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OLD\AXIS\"/>
    </mc:Choice>
  </mc:AlternateContent>
  <xr:revisionPtr revIDLastSave="0" documentId="13_ncr:1_{A32D288D-669D-4632-90F8-70DE31869CFC}" xr6:coauthVersionLast="36" xr6:coauthVersionMax="36"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5" i="1" l="1"/>
  <c r="A156" i="1" s="1"/>
  <c r="A157" i="1" s="1"/>
  <c r="A158" i="1" s="1"/>
  <c r="A159" i="1" s="1"/>
  <c r="A160" i="1" s="1"/>
  <c r="A161" i="1" s="1"/>
  <c r="A162" i="1" s="1"/>
  <c r="A163" i="1" s="1"/>
  <c r="A164" i="1" s="1"/>
  <c r="A165" i="1" s="1"/>
  <c r="A166" i="1" s="1"/>
  <c r="J126" i="1"/>
  <c r="K124" i="1"/>
  <c r="J124" i="1"/>
  <c r="E128" i="1"/>
  <c r="D128" i="1"/>
  <c r="E127" i="1"/>
  <c r="E126" i="1"/>
  <c r="D126" i="1"/>
  <c r="E125" i="1"/>
  <c r="E124" i="1"/>
  <c r="D127" i="1"/>
  <c r="D125" i="1"/>
  <c r="D124" i="1"/>
  <c r="L124" i="1" l="1"/>
  <c r="D119" i="1"/>
  <c r="D118" i="1"/>
  <c r="D117" i="1"/>
  <c r="D116" i="1"/>
  <c r="D115" i="1"/>
  <c r="D114" i="1"/>
  <c r="E43" i="1"/>
  <c r="F125" i="1" l="1"/>
  <c r="H125" i="1" s="1"/>
  <c r="F127" i="1"/>
  <c r="H127" i="1" s="1"/>
  <c r="C106" i="1" l="1"/>
  <c r="C107" i="1" s="1"/>
  <c r="F118" i="1"/>
  <c r="H118" i="1" s="1"/>
  <c r="F117" i="1"/>
  <c r="H117" i="1" s="1"/>
  <c r="C102" i="1" l="1"/>
  <c r="C103" i="1" s="1"/>
  <c r="F114" i="1"/>
  <c r="H114"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2" i="1"/>
  <c r="B156" i="1"/>
  <c r="B155" i="1"/>
  <c r="F152" i="1"/>
  <c r="H152" i="1" s="1"/>
  <c r="F151" i="1"/>
  <c r="H151" i="1" s="1"/>
  <c r="F150" i="1"/>
  <c r="H150" i="1" s="1"/>
  <c r="F149" i="1"/>
  <c r="H149" i="1" s="1"/>
  <c r="F148" i="1"/>
  <c r="H148" i="1" s="1"/>
  <c r="F146" i="1"/>
  <c r="H146" i="1" s="1"/>
  <c r="F145" i="1"/>
  <c r="H145" i="1" s="1"/>
  <c r="F144" i="1"/>
  <c r="H144" i="1" s="1"/>
  <c r="F143" i="1"/>
  <c r="H143" i="1" s="1"/>
  <c r="F142" i="1"/>
  <c r="H142" i="1" s="1"/>
  <c r="F140" i="1"/>
  <c r="H140" i="1" s="1"/>
  <c r="F139" i="1"/>
  <c r="H139" i="1" s="1"/>
  <c r="F138" i="1"/>
  <c r="H138" i="1" s="1"/>
  <c r="F137" i="1"/>
  <c r="H137" i="1" s="1"/>
  <c r="F136" i="1"/>
  <c r="H136" i="1" s="1"/>
  <c r="F134" i="1"/>
  <c r="H134" i="1" s="1"/>
  <c r="F133" i="1"/>
  <c r="H133" i="1" s="1"/>
  <c r="F132" i="1"/>
  <c r="H132" i="1" s="1"/>
  <c r="F131" i="1"/>
  <c r="H131" i="1" s="1"/>
  <c r="F130" i="1"/>
  <c r="H130" i="1" s="1"/>
  <c r="A130" i="1"/>
  <c r="A131" i="1" s="1"/>
  <c r="A132" i="1" s="1"/>
  <c r="A133" i="1" s="1"/>
  <c r="A134" i="1" s="1"/>
  <c r="F128" i="1"/>
  <c r="H128" i="1" s="1"/>
  <c r="F126" i="1"/>
  <c r="H126" i="1" s="1"/>
  <c r="F124" i="1"/>
  <c r="F119" i="1"/>
  <c r="H119" i="1" s="1"/>
  <c r="F116" i="1"/>
  <c r="H116" i="1" s="1"/>
  <c r="F115" i="1"/>
  <c r="H115" i="1" s="1"/>
  <c r="C108" i="1"/>
  <c r="F99" i="1"/>
  <c r="C73" i="1"/>
  <c r="B74" i="1" s="1"/>
  <c r="D67" i="1"/>
  <c r="D62" i="1"/>
  <c r="G56" i="1"/>
  <c r="C56" i="1"/>
  <c r="K54" i="1"/>
  <c r="G51" i="1"/>
  <c r="C51" i="1"/>
  <c r="E44" i="1"/>
  <c r="E45" i="1" s="1"/>
  <c r="S33" i="1"/>
  <c r="E31" i="1"/>
  <c r="E28" i="1"/>
  <c r="E26" i="1"/>
  <c r="C16" i="1"/>
  <c r="I15" i="1"/>
  <c r="Z13" i="1"/>
  <c r="E3" i="1"/>
  <c r="B168" i="1" s="1"/>
  <c r="A148" i="1"/>
  <c r="H74" i="1"/>
  <c r="A136" i="1"/>
  <c r="A142" i="1"/>
  <c r="E42" i="7" l="1"/>
  <c r="E106" i="1"/>
  <c r="E107" i="1" s="1"/>
  <c r="E102" i="1"/>
  <c r="E103" i="1" s="1"/>
  <c r="H124" i="1"/>
  <c r="G102" i="1"/>
  <c r="G103" i="1" s="1"/>
  <c r="J81" i="1"/>
  <c r="J82" i="1"/>
  <c r="I42" i="7"/>
  <c r="H42" i="7" s="1"/>
  <c r="L42" i="7"/>
  <c r="K42" i="7" s="1"/>
  <c r="D82" i="1"/>
  <c r="J76" i="1"/>
  <c r="D81" i="1"/>
  <c r="D86" i="1"/>
  <c r="D80" i="1"/>
  <c r="D85" i="1"/>
  <c r="D79" i="1"/>
  <c r="J78" i="1"/>
  <c r="C77" i="1" s="1"/>
  <c r="D84" i="1"/>
  <c r="D83" i="1"/>
  <c r="J77" i="1"/>
  <c r="J73" i="1"/>
  <c r="J75" i="1" s="1"/>
  <c r="D42" i="7"/>
  <c r="L54" i="1"/>
  <c r="J83" i="1"/>
  <c r="J84" i="1"/>
  <c r="I52" i="1"/>
  <c r="J79" i="1"/>
  <c r="J80" i="1" s="1"/>
  <c r="J85" i="1" s="1"/>
  <c r="J86" i="1" s="1"/>
  <c r="C78" i="1" s="1"/>
  <c r="A143" i="1"/>
  <c r="A149" i="1"/>
  <c r="A137" i="1"/>
  <c r="G106" i="1" l="1"/>
  <c r="G107" i="1" s="1"/>
  <c r="G108" i="1" s="1"/>
  <c r="I126" i="1"/>
  <c r="E108" i="1"/>
  <c r="D44" i="7"/>
  <c r="E44" i="7"/>
  <c r="E77" i="1"/>
  <c r="D78" i="1"/>
  <c r="G77" i="1"/>
  <c r="D71" i="1" s="1"/>
  <c r="D77" i="1"/>
  <c r="A150" i="1"/>
  <c r="A138" i="1"/>
  <c r="A144" i="1"/>
  <c r="I74" i="1" l="1"/>
  <c r="I75" i="1" s="1"/>
  <c r="J74" i="1"/>
  <c r="D72" i="1"/>
  <c r="F72" i="1"/>
  <c r="A139" i="1"/>
  <c r="A151" i="1"/>
  <c r="A145" i="1"/>
  <c r="I73" i="1" l="1"/>
  <c r="C75" i="1" s="1"/>
  <c r="A152" i="1"/>
  <c r="A140" i="1"/>
  <c r="A1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<sst xmlns="http://schemas.openxmlformats.org/spreadsheetml/2006/main" count="605" uniqueCount="411">
  <si>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</si>
  <si>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</si>
  <si>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</si>
  <si>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</si>
  <si>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</si>
  <si>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</si>
  <si>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</si>
  <si>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</si>
  <si>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</si>
  <si>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</si>
  <si>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</si>
  <si>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</si>
  <si>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</si>
  <si>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</si>
  <si>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</si>
  <si>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</si>
  <si>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</si>
  <si>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</si>
  <si>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</si>
  <si>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</si>
  <si>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</si>
  <si>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</si>
  <si>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</si>
  <si>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</si>
  <si>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</si>
  <si>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</si>
  <si>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</si>
  <si>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</si>
  <si>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</si>
  <si>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</si>
  <si>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</si>
  <si>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</si>
  <si>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</si>
  <si>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</si>
  <si>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</si>
  <si>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</si>
  <si>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</si>
  <si>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</si>
  <si>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</si>
  <si>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</si>
  <si>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</si>
  <si>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</si>
  <si>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</si>
  <si>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</si>
  <si>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</si>
  <si>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</si>
  <si>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</si>
  <si>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</si>
  <si>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</si>
  <si>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</si>
  <si>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</si>
  <si>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</si>
  <si>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</si>
  <si>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</si>
  <si>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</si>
  <si>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</si>
  <si>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</si>
  <si>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</si>
  <si>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</si>
  <si>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</si>
  <si>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</si>
  <si>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</si>
  <si>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</si>
  <si>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</si>
  <si>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</si>
  <si>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</si>
  <si>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</si>
  <si>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</si>
  <si>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</si>
  <si>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</si>
  <si>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</si>
  <si>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</si>
  <si>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</si>
  <si>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</si>
  <si>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</si>
  <si>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</si>
  <si>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</si>
  <si>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</si>
  <si>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</si>
  <si>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</si>
  <si>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</si>
  <si>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</si>
  <si>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</si>
  <si>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</si>
  <si>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</si>
  <si>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</si>
  <si>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</si>
  <si>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</si>
  <si>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</si>
  <si>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</si>
  <si>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</si>
  <si>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</si>
  <si>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</si>
  <si>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</si>
  <si>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</si>
  <si>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</si>
  <si>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</si>
  <si>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</si>
  <si>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</si>
  <si>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</si>
  <si>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</si>
  <si>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</si>
  <si>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</si>
  <si>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</si>
  <si>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</si>
  <si>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</si>
  <si>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</si>
  <si>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</si>
  <si>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</si>
  <si>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</si>
  <si>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</si>
  <si>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</si>
  <si>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</si>
  <si>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</si>
  <si>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</si>
  <si>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</si>
  <si>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</si>
  <si>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</si>
  <si>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</si>
  <si>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</si>
  <si>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</si>
  <si>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</si>
  <si>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</si>
  <si>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</si>
  <si>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</si>
  <si>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</si>
  <si>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</si>
  <si>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</si>
  <si>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</si>
  <si>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</si>
  <si>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</si>
  <si>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</si>
  <si>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</si>
  <si>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</si>
  <si>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</si>
  <si>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</si>
  <si>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</si>
  <si>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</si>
  <si>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</si>
  <si>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</si>
  <si>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</si>
  <si>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</si>
  <si>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</si>
  <si>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</si>
  <si>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</si>
  <si>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</si>
  <si>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</si>
  <si>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</si>
  <si>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</si>
  <si>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</si>
  <si>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</si>
  <si>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</si>
  <si>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</si>
  <si>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</si>
  <si>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</si>
  <si>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</si>
  <si>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</si>
  <si>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</si>
  <si>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</si>
  <si>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</si>
  <si>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</si>
  <si>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</si>
  <si>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</si>
  <si>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</si>
  <si>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</si>
  <si>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</si>
  <si>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</si>
  <si>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</si>
  <si>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</si>
  <si>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</si>
  <si>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</si>
  <si>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</si>
  <si>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</si>
  <si>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</si>
  <si>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</si>
  <si>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</si>
  <si>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</si>
  <si>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</si>
  <si>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</si>
  <si>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</si>
  <si>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</si>
  <si>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</si>
  <si>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</si>
  <si>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</si>
  <si>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</si>
  <si>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</si>
  <si>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</si>
  <si>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</si>
  <si>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</si>
  <si>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</si>
  <si>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</si>
  <si>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</si>
  <si>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</si>
  <si>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</si>
  <si>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</si>
  <si>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</si>
  <si>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</si>
  <si>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</si>
  <si>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</si>
  <si>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</si>
  <si>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</si>
  <si>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</si>
  <si>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</si>
  <si>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</si>
  <si>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</si>
  <si>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</si>
  <si>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</si>
  <si>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</si>
  <si>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</si>
  <si>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</si>
  <si>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</si>
  <si>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</si>
  <si>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</si>
  <si>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</si>
  <si>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</si>
  <si>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</si>
  <si>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</si>
  <si>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</si>
  <si>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</si>
  <si>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</si>
  <si>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</si>
  <si>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</si>
  <si>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</si>
  <si>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</si>
  <si>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</si>
  <si>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</si>
  <si>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</si>
  <si>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</si>
  <si>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</si>
  <si>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</si>
  <si>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</si>
  <si>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</si>
  <si>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</si>
  <si>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</si>
  <si>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</si>
  <si>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</si>
  <si>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</si>
  <si>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</si>
  <si>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</si>
  <si>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</si>
  <si>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</si>
  <si>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</si>
  <si>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</si>
  <si>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</si>
  <si>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</si>
  <si>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</si>
  <si>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</si>
  <si>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</si>
  <si>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</si>
  <si>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</si>
  <si>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</si>
  <si>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</si>
  <si>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</si>
  <si>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</si>
  <si>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</si>
  <si>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</si>
  <si>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</si>
  <si>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</si>
  <si>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</si>
  <si>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</si>
  <si>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</si>
  <si>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</si>
  <si>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</si>
  <si>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</si>
  <si>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</si>
  <si>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</si>
  <si>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</si>
  <si>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</si>
  <si>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</si>
  <si>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</si>
  <si>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</si>
  <si>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</si>
  <si>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</si>
  <si>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</si>
  <si>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</si>
  <si>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</si>
  <si>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</si>
  <si>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</si>
  <si>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</si>
  <si>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</si>
  <si>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</si>
  <si>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</si>
  <si>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</si>
  <si>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</si>
  <si>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</si>
  <si>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</si>
  <si>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</si>
  <si>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</si>
  <si>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</si>
  <si>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</si>
  <si>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</si>
  <si>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</si>
  <si>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</si>
  <si>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</si>
  <si>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</si>
  <si>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</si>
  <si>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</si>
  <si>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</si>
  <si>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</si>
  <si>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</si>
  <si>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</si>
  <si>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</si>
  <si>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</si>
  <si>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</si>
  <si>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</si>
  <si>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</si>
  <si>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</si>
  <si>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</si>
  <si>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</si>
  <si>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</si>
  <si>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</si>
  <si>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</si>
  <si>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</si>
  <si>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</si>
  <si>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</si>
  <si>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</si>
  <si>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</si>
  <si>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</si>
  <si>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</si>
  <si>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</si>
  <si>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</si>
  <si>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</si>
  <si>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</si>
  <si>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</si>
  <si>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</si>
  <si>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</si>
  <si>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</si>
  <si>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</si>
  <si>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</si>
  <si>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</si>
  <si>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</si>
  <si>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</si>
  <si>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</si>
  <si>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</si>
  <si>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</si>
  <si>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</si>
  <si>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</si>
  <si>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</si>
  <si>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</si>
  <si>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</si>
  <si>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</si>
  <si>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</si>
  <si>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</si>
  <si>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</si>
  <si>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</si>
  <si>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</si>
  <si>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</si>
  <si>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</si>
  <si>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</si>
  <si>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</si>
  <si>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</si>
  <si>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</si>
  <si>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</si>
  <si>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</si>
  <si>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</si>
  <si>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Thane Municipal Corporation (TMC)</t>
  </si>
  <si>
    <t>P52000078169</t>
  </si>
  <si>
    <t>Utekhol</t>
  </si>
  <si>
    <t>1.6 KM from Mangaon Railway Station</t>
  </si>
  <si>
    <t>Mahavir Bhavan</t>
  </si>
  <si>
    <t>Survey No</t>
  </si>
  <si>
    <t>Vishwa Apartments</t>
  </si>
  <si>
    <t>https://maps.app.goo.gl/xyG1FPPmavsLSyQm6</t>
  </si>
  <si>
    <t>12 MW DP Road/Other Plot</t>
  </si>
  <si>
    <t>9 MW Internal Road</t>
  </si>
  <si>
    <t>12 MW DP Road</t>
  </si>
  <si>
    <t>Other Plot</t>
  </si>
  <si>
    <t>Internal Road</t>
  </si>
  <si>
    <t>Open plot</t>
  </si>
  <si>
    <t>Mangaon Nagar Panchayat</t>
  </si>
  <si>
    <t>Gr + 1st to 4th Floor</t>
  </si>
  <si>
    <t>As per RERA - 31/12/2026</t>
  </si>
  <si>
    <t>Shop</t>
  </si>
  <si>
    <t>1st to 4th Floor For Residential</t>
  </si>
  <si>
    <t>1BHK</t>
  </si>
  <si>
    <t>2BHK</t>
  </si>
  <si>
    <t>Shops</t>
  </si>
  <si>
    <t>Ground Floor For Commercial &amp; Parking</t>
  </si>
  <si>
    <t>Flats</t>
  </si>
  <si>
    <t>https://housing.com/in/buy/projects/page/336644-vishwa-apartments-by-r-k-infrastructures-in-khandad</t>
  </si>
  <si>
    <t>MNP/BD/EP/354/2022-23</t>
  </si>
  <si>
    <t>G +1st to 4th Floor</t>
  </si>
  <si>
    <t>Khandad</t>
  </si>
  <si>
    <t>Approved Plans, CC, Cost Sheet</t>
  </si>
  <si>
    <t>Flats - 20, Shops - 6</t>
  </si>
  <si>
    <t xml:space="preserve">Mr.Sam7888099799  
Mr.Ratanmala Ramesh Khanvilkar 9011730123
</t>
  </si>
  <si>
    <t>18.239076,73.284126</t>
  </si>
  <si>
    <t>Mangaon West</t>
  </si>
  <si>
    <t>MNP/BD/EP/354</t>
  </si>
  <si>
    <r>
      <t xml:space="preserve">Shop No.
</t>
    </r>
    <r>
      <rPr>
        <b/>
        <sz val="11"/>
        <rFont val="Times New Roman"/>
        <family val="1"/>
      </rPr>
      <t>(Approved Plan)</t>
    </r>
  </si>
  <si>
    <t>Name of the builder</t>
  </si>
  <si>
    <t>R K Infrastructure</t>
  </si>
  <si>
    <t xml:space="preserve">Mr. Ratnmala Ramesh Khanvilkar
</t>
  </si>
  <si>
    <t>Mr.Sam 788099799</t>
  </si>
  <si>
    <r>
      <t xml:space="preserve">Flat No.
</t>
    </r>
    <r>
      <rPr>
        <b/>
        <sz val="11"/>
        <rFont val="Times New Roman"/>
        <family val="1"/>
      </rPr>
      <t>(Approved Plan)</t>
    </r>
  </si>
  <si>
    <t>Balcony + WS Area</t>
  </si>
  <si>
    <t xml:space="preserve"> Nitesh Patil</t>
  </si>
  <si>
    <t>Construction work is in process at the time of Visit (labour found)</t>
  </si>
  <si>
    <t>We considered Gross carpet area = Net carpet + Balcony + WS Area</t>
  </si>
  <si>
    <r>
      <t xml:space="preserve">Proposed Amenities :                                                                                                                                                                                                                         </t>
    </r>
    <r>
      <rPr>
        <b/>
        <sz val="12"/>
        <rFont val="Times New Roman"/>
        <family val="1"/>
      </rPr>
      <t xml:space="preserve">                                               </t>
    </r>
  </si>
  <si>
    <t>Closed Car Parking, Fire Fighting System, Sufficient Water Supply, etc.</t>
  </si>
  <si>
    <t xml:space="preserve">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
</t>
  </si>
  <si>
    <t>s</t>
  </si>
  <si>
    <t>Remark No.12</t>
  </si>
  <si>
    <t>40/B, Plot No.3 &amp; 4</t>
  </si>
  <si>
    <t>As Floor plans doesnot consist of Unit Numbering, We have considered unit numbering from sale plan provided by site meet person during site visit.</t>
  </si>
  <si>
    <t xml:space="preserve">As per approved plan &amp; CC,  project consists of Survey No.40, H.No.2A, Plot No.3 &amp; 4.  
But as per RERA, project consists of Survey No.40/B, Plot No.3 &amp; 4. 
</t>
  </si>
  <si>
    <t xml:space="preserve">Remark No. 11 is resolved by corrigendum (i.e. correction letter) provided by authority regarding survey nos. letter attached below.
</t>
  </si>
  <si>
    <t>Remark No.13</t>
  </si>
  <si>
    <t>The Vishwa Apartments project is near by the Railway Track, Please check for Railway Noc.</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</si>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</sst>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25" fillId="0" borderId="0" xfId="10"/>
    <xf numFmtId="1" fontId="6" fillId="0" borderId="0"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5" fillId="0" borderId="3" xfId="0"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horizontal="left" vertical="top" wrapText="1"/>
      <protection locked="0"/>
    </xf>
    <xf numFmtId="1" fontId="7" fillId="0" borderId="21" xfId="0" applyNumberFormat="1" applyFont="1" applyBorder="1" applyAlignment="1" applyProtection="1">
      <alignment horizontal="left" vertical="top" wrapText="1"/>
      <protection locked="0"/>
    </xf>
    <xf numFmtId="1" fontId="7" fillId="0" borderId="9" xfId="0" applyNumberFormat="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5" fillId="0" borderId="8" xfId="1" applyFont="1" applyBorder="1" applyAlignment="1" applyProtection="1">
      <alignment horizontal="left" vertical="top"/>
      <protection locked="0"/>
    </xf>
    <xf numFmtId="0" fontId="5" fillId="0" borderId="21" xfId="1" applyFont="1" applyBorder="1" applyAlignment="1" applyProtection="1">
      <alignment horizontal="left" vertical="top"/>
      <protection locked="0"/>
    </xf>
    <xf numFmtId="0" fontId="5" fillId="0" borderId="9"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horizontal="center" vertical="center"/>
      <protection locked="0"/>
    </xf>
    <xf numFmtId="1" fontId="9" fillId="0" borderId="9"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6" fillId="0" borderId="8" xfId="0" applyNumberFormat="1" applyFont="1" applyBorder="1" applyAlignment="1" applyProtection="1">
      <alignment horizontal="center" vertical="top" wrapText="1"/>
      <protection locked="0"/>
    </xf>
    <xf numFmtId="1" fontId="6" fillId="0" borderId="9"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6" fillId="0" borderId="8"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39"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17" xfId="1" applyFont="1" applyBorder="1" applyAlignment="1" applyProtection="1">
      <alignment horizontal="center" vertical="top" wrapText="1"/>
      <protection locked="0"/>
    </xf>
    <xf numFmtId="0" fontId="12" fillId="0" borderId="24" xfId="1" applyFont="1" applyBorder="1" applyAlignment="1" applyProtection="1">
      <alignment horizontal="center" vertical="top" wrapText="1"/>
      <protection locked="0"/>
    </xf>
    <xf numFmtId="0" fontId="12" fillId="0" borderId="18" xfId="1" applyFont="1" applyBorder="1" applyAlignment="1" applyProtection="1">
      <alignment horizontal="center" vertical="top" wrapText="1"/>
      <protection locked="0"/>
    </xf>
    <xf numFmtId="0" fontId="12" fillId="0" borderId="25" xfId="1" applyFont="1" applyBorder="1" applyAlignment="1" applyProtection="1">
      <alignment horizontal="center" vertical="top" wrapText="1"/>
      <protection locked="0"/>
    </xf>
    <xf numFmtId="0" fontId="12" fillId="0" borderId="0" xfId="1" applyFont="1" applyBorder="1" applyAlignment="1" applyProtection="1">
      <alignment horizontal="center" vertical="top" wrapText="1"/>
      <protection locked="0"/>
    </xf>
    <xf numFmtId="0" fontId="12" fillId="0" borderId="26" xfId="1" applyFont="1" applyBorder="1" applyAlignment="1" applyProtection="1">
      <alignment horizontal="center" vertical="top" wrapText="1"/>
      <protection locked="0"/>
    </xf>
    <xf numFmtId="0" fontId="12" fillId="0" borderId="19" xfId="1" applyFont="1" applyBorder="1" applyAlignment="1" applyProtection="1">
      <alignment horizontal="center" vertical="top" wrapText="1"/>
      <protection locked="0"/>
    </xf>
    <xf numFmtId="0" fontId="12" fillId="0" borderId="2"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13" fillId="0" borderId="9" xfId="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center" wrapText="1"/>
      <protection locked="0"/>
    </xf>
    <xf numFmtId="1" fontId="7" fillId="0" borderId="21" xfId="0" applyNumberFormat="1" applyFont="1" applyBorder="1" applyAlignment="1" applyProtection="1">
      <alignment horizontal="center" vertical="center" wrapText="1"/>
      <protection locked="0"/>
    </xf>
    <xf numFmtId="1" fontId="7" fillId="0" borderId="9" xfId="0"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7" fillId="0" borderId="8" xfId="1" applyFont="1" applyBorder="1" applyAlignment="1" applyProtection="1">
      <alignment vertical="top"/>
      <protection locked="0"/>
    </xf>
    <xf numFmtId="0" fontId="7" fillId="0" borderId="21" xfId="1" applyFont="1" applyBorder="1" applyAlignment="1" applyProtection="1">
      <alignment vertical="top"/>
      <protection locked="0"/>
    </xf>
    <xf numFmtId="0" fontId="7" fillId="0" borderId="9" xfId="1" applyFont="1" applyBorder="1" applyAlignment="1" applyProtection="1">
      <alignment vertical="top"/>
      <protection locked="0"/>
    </xf>
    <xf numFmtId="0" fontId="7" fillId="0" borderId="13" xfId="1" applyFont="1" applyBorder="1" applyAlignment="1" applyProtection="1">
      <alignment horizontal="center" vertical="top"/>
      <protection locked="0"/>
    </xf>
    <xf numFmtId="0" fontId="7" fillId="0" borderId="14" xfId="1" applyFont="1" applyBorder="1" applyAlignment="1" applyProtection="1">
      <alignment horizontal="center" vertical="top"/>
      <protection locked="0"/>
    </xf>
    <xf numFmtId="0" fontId="7" fillId="0" borderId="15" xfId="1" applyFont="1" applyBorder="1" applyAlignment="1" applyProtection="1">
      <alignment horizontal="center" vertical="top"/>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3" xfId="1" applyFont="1" applyBorder="1" applyAlignment="1" applyProtection="1">
      <alignment horizontal="left" vertical="top"/>
      <protection locked="0"/>
    </xf>
    <xf numFmtId="0" fontId="7" fillId="0" borderId="14"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 fontId="9" fillId="0" borderId="33" xfId="0" applyNumberFormat="1" applyFont="1" applyBorder="1" applyAlignment="1" applyProtection="1">
      <alignment horizontal="center" vertical="top" wrapText="1"/>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164" fontId="11" fillId="0" borderId="1" xfId="1" applyNumberFormat="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5" fillId="0" borderId="8" xfId="1" applyFont="1" applyBorder="1" applyAlignment="1" applyProtection="1">
      <alignment vertical="top"/>
      <protection locked="0"/>
    </xf>
    <xf numFmtId="0" fontId="5" fillId="0" borderId="21" xfId="1" applyFont="1" applyBorder="1" applyAlignment="1" applyProtection="1">
      <alignment vertical="top"/>
      <protection locked="0"/>
    </xf>
    <xf numFmtId="0" fontId="5" fillId="0" borderId="9" xfId="1" applyFont="1" applyBorder="1" applyAlignment="1" applyProtection="1">
      <alignment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4.jpeg"/><Relationship Id="rId3" Type="http://schemas.openxmlformats.org/officeDocument/2006/relationships/image" Target="../media/image3.png"/><Relationship Id="rId21" Type="http://schemas.microsoft.com/office/2007/relationships/hdphoto" Target="../media/hdphoto2.wdp"/><Relationship Id="rId34" Type="http://schemas.openxmlformats.org/officeDocument/2006/relationships/image" Target="../media/image32.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3.png"/><Relationship Id="rId33" Type="http://schemas.openxmlformats.org/officeDocument/2006/relationships/image" Target="../media/image31.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19.png"/><Relationship Id="rId29" Type="http://schemas.openxmlformats.org/officeDocument/2006/relationships/image" Target="../media/image27.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2.png"/><Relationship Id="rId32" Type="http://schemas.openxmlformats.org/officeDocument/2006/relationships/image" Target="../media/image30.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1.png"/><Relationship Id="rId28" Type="http://schemas.openxmlformats.org/officeDocument/2006/relationships/image" Target="../media/image26.jpeg"/><Relationship Id="rId36" Type="http://schemas.openxmlformats.org/officeDocument/2006/relationships/image" Target="../media/image34.jpeg"/><Relationship Id="rId10" Type="http://schemas.openxmlformats.org/officeDocument/2006/relationships/image" Target="../media/image10.jpeg"/><Relationship Id="rId19" Type="http://schemas.microsoft.com/office/2007/relationships/hdphoto" Target="../media/hdphoto1.wdp"/><Relationship Id="rId31" Type="http://schemas.openxmlformats.org/officeDocument/2006/relationships/image" Target="../media/image2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0.png"/><Relationship Id="rId27" Type="http://schemas.openxmlformats.org/officeDocument/2006/relationships/image" Target="../media/image25.jpeg"/><Relationship Id="rId30" Type="http://schemas.openxmlformats.org/officeDocument/2006/relationships/image" Target="../media/image28.jpeg"/><Relationship Id="rId35" Type="http://schemas.openxmlformats.org/officeDocument/2006/relationships/image" Target="../media/image33.jpe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8</xdr:col>
      <xdr:colOff>554520</xdr:colOff>
      <xdr:row>45</xdr:row>
      <xdr:rowOff>38101</xdr:rowOff>
    </xdr:from>
    <xdr:to>
      <xdr:col>13</xdr:col>
      <xdr:colOff>226359</xdr:colOff>
      <xdr:row>63</xdr:row>
      <xdr:rowOff>62463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869595" y="10058401"/>
          <a:ext cx="4062864" cy="2653262"/>
        </a:xfrm>
        <a:prstGeom prst="rect">
          <a:avLst/>
        </a:prstGeom>
      </xdr:spPr>
    </xdr:pic>
    <xdr:clientData/>
  </xdr:twoCellAnchor>
  <xdr:twoCellAnchor editAs="oneCell">
    <xdr:from>
      <xdr:col>25</xdr:col>
      <xdr:colOff>218006</xdr:colOff>
      <xdr:row>286</xdr:row>
      <xdr:rowOff>0</xdr:rowOff>
    </xdr:from>
    <xdr:to>
      <xdr:col>32</xdr:col>
      <xdr:colOff>32890</xdr:colOff>
      <xdr:row>313</xdr:row>
      <xdr:rowOff>100219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9077506" y="53265457"/>
          <a:ext cx="4105275" cy="5467350"/>
        </a:xfrm>
        <a:prstGeom prst="rect">
          <a:avLst/>
        </a:prstGeom>
        <a:ln>
          <a:solidFill>
            <a:schemeClr val="tx1"/>
          </a:solidFill>
        </a:ln>
      </xdr:spPr>
    </xdr:pic>
    <xdr:clientData/>
  </xdr:twoCellAnchor>
  <xdr:twoCellAnchor editAs="oneCell">
    <xdr:from>
      <xdr:col>25</xdr:col>
      <xdr:colOff>370406</xdr:colOff>
      <xdr:row>286</xdr:row>
      <xdr:rowOff>152400</xdr:rowOff>
    </xdr:from>
    <xdr:to>
      <xdr:col>32</xdr:col>
      <xdr:colOff>185290</xdr:colOff>
      <xdr:row>314</xdr:row>
      <xdr:rowOff>53837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9229906" y="53417857"/>
          <a:ext cx="4105275" cy="5467350"/>
        </a:xfrm>
        <a:prstGeom prst="rect">
          <a:avLst/>
        </a:prstGeom>
        <a:ln>
          <a:solidFill>
            <a:schemeClr val="tx1"/>
          </a:solidFill>
        </a:ln>
      </xdr:spPr>
    </xdr:pic>
    <xdr:clientData/>
  </xdr:twoCellAnchor>
  <xdr:twoCellAnchor editAs="oneCell">
    <xdr:from>
      <xdr:col>0</xdr:col>
      <xdr:colOff>265043</xdr:colOff>
      <xdr:row>352</xdr:row>
      <xdr:rowOff>16565</xdr:rowOff>
    </xdr:from>
    <xdr:to>
      <xdr:col>7</xdr:col>
      <xdr:colOff>460565</xdr:colOff>
      <xdr:row>372</xdr:row>
      <xdr:rowOff>913</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265043" y="50101500"/>
          <a:ext cx="5778000" cy="3960000"/>
        </a:xfrm>
        <a:prstGeom prst="rect">
          <a:avLst/>
        </a:prstGeom>
        <a:ln>
          <a:solidFill>
            <a:schemeClr val="tx1"/>
          </a:solidFill>
        </a:ln>
      </xdr:spPr>
    </xdr:pic>
    <xdr:clientData/>
  </xdr:twoCellAnchor>
  <xdr:twoCellAnchor editAs="oneCell">
    <xdr:from>
      <xdr:col>8</xdr:col>
      <xdr:colOff>1122098</xdr:colOff>
      <xdr:row>22</xdr:row>
      <xdr:rowOff>48064</xdr:rowOff>
    </xdr:from>
    <xdr:to>
      <xdr:col>13</xdr:col>
      <xdr:colOff>633350</xdr:colOff>
      <xdr:row>28</xdr:row>
      <xdr:rowOff>35126</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
        <a:stretch>
          <a:fillRect/>
        </a:stretch>
      </xdr:blipFill>
      <xdr:spPr>
        <a:xfrm>
          <a:off x="7431010" y="5505329"/>
          <a:ext cx="3903958" cy="1197297"/>
        </a:xfrm>
        <a:prstGeom prst="rect">
          <a:avLst/>
        </a:prstGeom>
      </xdr:spPr>
    </xdr:pic>
    <xdr:clientData/>
  </xdr:twoCellAnchor>
  <xdr:twoCellAnchor editAs="oneCell">
    <xdr:from>
      <xdr:col>10</xdr:col>
      <xdr:colOff>216640</xdr:colOff>
      <xdr:row>31</xdr:row>
      <xdr:rowOff>62559</xdr:rowOff>
    </xdr:from>
    <xdr:to>
      <xdr:col>14</xdr:col>
      <xdr:colOff>706178</xdr:colOff>
      <xdr:row>48</xdr:row>
      <xdr:rowOff>165655</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
        <a:stretch>
          <a:fillRect/>
        </a:stretch>
      </xdr:blipFill>
      <xdr:spPr>
        <a:xfrm>
          <a:off x="8452964" y="7323971"/>
          <a:ext cx="3795273" cy="3532096"/>
        </a:xfrm>
        <a:prstGeom prst="rect">
          <a:avLst/>
        </a:prstGeom>
      </xdr:spPr>
    </xdr:pic>
    <xdr:clientData/>
  </xdr:twoCellAnchor>
  <xdr:twoCellAnchor editAs="oneCell">
    <xdr:from>
      <xdr:col>8</xdr:col>
      <xdr:colOff>262778</xdr:colOff>
      <xdr:row>14</xdr:row>
      <xdr:rowOff>158003</xdr:rowOff>
    </xdr:from>
    <xdr:to>
      <xdr:col>17</xdr:col>
      <xdr:colOff>306403</xdr:colOff>
      <xdr:row>21</xdr:row>
      <xdr:rowOff>205862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6571690" y="3564591"/>
          <a:ext cx="7473125" cy="1683918"/>
        </a:xfrm>
        <a:prstGeom prst="rect">
          <a:avLst/>
        </a:prstGeom>
      </xdr:spPr>
    </xdr:pic>
    <xdr:clientData/>
  </xdr:twoCellAnchor>
  <xdr:twoCellAnchor editAs="oneCell">
    <xdr:from>
      <xdr:col>9</xdr:col>
      <xdr:colOff>38099</xdr:colOff>
      <xdr:row>0</xdr:row>
      <xdr:rowOff>0</xdr:rowOff>
    </xdr:from>
    <xdr:to>
      <xdr:col>17</xdr:col>
      <xdr:colOff>20162</xdr:colOff>
      <xdr:row>11</xdr:row>
      <xdr:rowOff>85860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a:stretch>
          <a:fillRect/>
        </a:stretch>
      </xdr:blipFill>
      <xdr:spPr>
        <a:xfrm>
          <a:off x="7515224" y="0"/>
          <a:ext cx="6249513" cy="2867160"/>
        </a:xfrm>
        <a:prstGeom prst="rect">
          <a:avLst/>
        </a:prstGeom>
      </xdr:spPr>
    </xdr:pic>
    <xdr:clientData/>
  </xdr:twoCellAnchor>
  <xdr:twoCellAnchor>
    <xdr:from>
      <xdr:col>0</xdr:col>
      <xdr:colOff>326748</xdr:colOff>
      <xdr:row>372</xdr:row>
      <xdr:rowOff>116783</xdr:rowOff>
    </xdr:from>
    <xdr:to>
      <xdr:col>7</xdr:col>
      <xdr:colOff>409575</xdr:colOff>
      <xdr:row>392</xdr:row>
      <xdr:rowOff>161925</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326748" y="70487483"/>
          <a:ext cx="5664477" cy="4045642"/>
          <a:chOff x="298173" y="51723233"/>
          <a:chExt cx="5664477" cy="4045642"/>
        </a:xfrm>
      </xdr:grpSpPr>
      <xdr:grpSp>
        <xdr:nvGrpSpPr>
          <xdr:cNvPr id="47" name="Group 46">
            <a:extLst>
              <a:ext uri="{FF2B5EF4-FFF2-40B4-BE49-F238E27FC236}">
                <a16:creationId xmlns:a16="http://schemas.microsoft.com/office/drawing/2014/main" id="{00000000-0008-0000-0000-00002F000000}"/>
              </a:ext>
            </a:extLst>
          </xdr:cNvPr>
          <xdr:cNvGrpSpPr/>
        </xdr:nvGrpSpPr>
        <xdr:grpSpPr>
          <a:xfrm>
            <a:off x="298173" y="51723233"/>
            <a:ext cx="5664477" cy="4026592"/>
            <a:chOff x="2004390" y="53381412"/>
            <a:chExt cx="3553239" cy="2252871"/>
          </a:xfrm>
        </xdr:grpSpPr>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2004390" y="53381412"/>
              <a:ext cx="3553239" cy="2252871"/>
            </a:xfrm>
            <a:prstGeom prst="rect">
              <a:avLst/>
            </a:prstGeom>
            <a:ln>
              <a:solidFill>
                <a:schemeClr val="tx1"/>
              </a:solidFill>
            </a:ln>
          </xdr:spPr>
        </xdr:pic>
        <xdr:sp macro="" textlink="">
          <xdr:nvSpPr>
            <xdr:cNvPr id="46" name="Snip and Round Single Corner Rectangle 45">
              <a:extLst>
                <a:ext uri="{FF2B5EF4-FFF2-40B4-BE49-F238E27FC236}">
                  <a16:creationId xmlns:a16="http://schemas.microsoft.com/office/drawing/2014/main" id="{00000000-0008-0000-0000-00002E000000}"/>
                </a:ext>
              </a:extLst>
            </xdr:cNvPr>
            <xdr:cNvSpPr/>
          </xdr:nvSpPr>
          <xdr:spPr>
            <a:xfrm rot="19865163">
              <a:off x="3179606" y="54256908"/>
              <a:ext cx="416408" cy="331834"/>
            </a:xfrm>
            <a:prstGeom prst="snipRound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2457450" y="51758850"/>
            <a:ext cx="3495675" cy="40100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2857500" y="51739800"/>
            <a:ext cx="3105150" cy="35147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TextBox 19">
            <a:extLst>
              <a:ext uri="{FF2B5EF4-FFF2-40B4-BE49-F238E27FC236}">
                <a16:creationId xmlns:a16="http://schemas.microsoft.com/office/drawing/2014/main" id="{00000000-0008-0000-0000-000014000000}"/>
              </a:ext>
            </a:extLst>
          </xdr:cNvPr>
          <xdr:cNvSpPr txBox="1"/>
        </xdr:nvSpPr>
        <xdr:spPr>
          <a:xfrm rot="2832662">
            <a:off x="3126934" y="53356147"/>
            <a:ext cx="225783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Railway Track</a:t>
            </a:r>
            <a:endParaRPr lang="en-IN" b="1">
              <a:solidFill>
                <a:srgbClr val="FF0000"/>
              </a:solidFill>
            </a:endParaRPr>
          </a:p>
        </xdr:txBody>
      </xdr:sp>
    </xdr:grpSp>
    <xdr:clientData/>
  </xdr:twoCellAnchor>
  <xdr:twoCellAnchor>
    <xdr:from>
      <xdr:col>8</xdr:col>
      <xdr:colOff>744071</xdr:colOff>
      <xdr:row>183</xdr:row>
      <xdr:rowOff>89085</xdr:rowOff>
    </xdr:from>
    <xdr:to>
      <xdr:col>15</xdr:col>
      <xdr:colOff>647738</xdr:colOff>
      <xdr:row>224</xdr:row>
      <xdr:rowOff>52430</xdr:rowOff>
    </xdr:to>
    <xdr:grpSp>
      <xdr:nvGrpSpPr>
        <xdr:cNvPr id="6" name="Group 5">
          <a:extLst>
            <a:ext uri="{FF2B5EF4-FFF2-40B4-BE49-F238E27FC236}">
              <a16:creationId xmlns:a16="http://schemas.microsoft.com/office/drawing/2014/main" id="{3A8EF59E-D19B-43ED-9791-EF7A481C3CCA}"/>
            </a:ext>
          </a:extLst>
        </xdr:cNvPr>
        <xdr:cNvGrpSpPr/>
      </xdr:nvGrpSpPr>
      <xdr:grpSpPr>
        <a:xfrm>
          <a:off x="7059146" y="33255135"/>
          <a:ext cx="5942517" cy="8164370"/>
          <a:chOff x="191621" y="33045585"/>
          <a:chExt cx="5942517" cy="8164370"/>
        </a:xfrm>
      </xdr:grpSpPr>
      <xdr:pic>
        <xdr:nvPicPr>
          <xdr:cNvPr id="22" name="Picture 21" descr="https://vsjcllp.vsjadon.com/upload/insp-214841-843.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91621" y="33045585"/>
            <a:ext cx="2917736" cy="3895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14841-1512.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216402" y="33045585"/>
            <a:ext cx="2917736" cy="3895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14841-845.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74543" y="39249234"/>
            <a:ext cx="2590924" cy="19458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14841-880.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202372" y="37006896"/>
            <a:ext cx="2876000" cy="21600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14841-871.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252132" y="37007986"/>
            <a:ext cx="2876000" cy="21600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14841-1525.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4577851" y="39254205"/>
            <a:ext cx="1460541" cy="19500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14841-847.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979644" y="39250799"/>
            <a:ext cx="1467325" cy="19591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12</xdr:col>
      <xdr:colOff>687161</xdr:colOff>
      <xdr:row>109</xdr:row>
      <xdr:rowOff>14968</xdr:rowOff>
    </xdr:from>
    <xdr:to>
      <xdr:col>24</xdr:col>
      <xdr:colOff>503239</xdr:colOff>
      <xdr:row>122</xdr:row>
      <xdr:rowOff>92333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6"/>
        <a:stretch>
          <a:fillRect/>
        </a:stretch>
      </xdr:blipFill>
      <xdr:spPr>
        <a:xfrm>
          <a:off x="10640786" y="19279281"/>
          <a:ext cx="8174266" cy="3363489"/>
        </a:xfrm>
        <a:prstGeom prst="rect">
          <a:avLst/>
        </a:prstGeom>
      </xdr:spPr>
    </xdr:pic>
    <xdr:clientData/>
  </xdr:twoCellAnchor>
  <xdr:twoCellAnchor editAs="oneCell">
    <xdr:from>
      <xdr:col>8</xdr:col>
      <xdr:colOff>551330</xdr:colOff>
      <xdr:row>270</xdr:row>
      <xdr:rowOff>155202</xdr:rowOff>
    </xdr:from>
    <xdr:to>
      <xdr:col>19</xdr:col>
      <xdr:colOff>308791</xdr:colOff>
      <xdr:row>297</xdr:row>
      <xdr:rowOff>183815</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a:stretch>
          <a:fillRect/>
        </a:stretch>
      </xdr:blipFill>
      <xdr:spPr>
        <a:xfrm>
          <a:off x="6866405" y="47494452"/>
          <a:ext cx="8520461" cy="5429287"/>
        </a:xfrm>
        <a:prstGeom prst="rect">
          <a:avLst/>
        </a:prstGeom>
      </xdr:spPr>
    </xdr:pic>
    <xdr:clientData/>
  </xdr:twoCellAnchor>
  <xdr:oneCellAnchor>
    <xdr:from>
      <xdr:col>5</xdr:col>
      <xdr:colOff>694765</xdr:colOff>
      <xdr:row>318</xdr:row>
      <xdr:rowOff>22412</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4807324" y="48084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a:p>
      </xdr:txBody>
    </xdr:sp>
    <xdr:clientData/>
  </xdr:oneCellAnchor>
  <xdr:twoCellAnchor>
    <xdr:from>
      <xdr:col>1</xdr:col>
      <xdr:colOff>39859</xdr:colOff>
      <xdr:row>310</xdr:row>
      <xdr:rowOff>197937</xdr:rowOff>
    </xdr:from>
    <xdr:to>
      <xdr:col>6</xdr:col>
      <xdr:colOff>381000</xdr:colOff>
      <xdr:row>328</xdr:row>
      <xdr:rowOff>115031</xdr:rowOff>
    </xdr:to>
    <xdr:grpSp>
      <xdr:nvGrpSpPr>
        <xdr:cNvPr id="63" name="Group 62">
          <a:extLst>
            <a:ext uri="{FF2B5EF4-FFF2-40B4-BE49-F238E27FC236}">
              <a16:creationId xmlns:a16="http://schemas.microsoft.com/office/drawing/2014/main" id="{00000000-0008-0000-0000-00003F000000}"/>
            </a:ext>
          </a:extLst>
        </xdr:cNvPr>
        <xdr:cNvGrpSpPr/>
      </xdr:nvGrpSpPr>
      <xdr:grpSpPr>
        <a:xfrm>
          <a:off x="801859" y="58167087"/>
          <a:ext cx="4427366" cy="3517544"/>
          <a:chOff x="811384" y="46868756"/>
          <a:chExt cx="4431288" cy="3546119"/>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811386" y="46868756"/>
            <a:ext cx="4431286" cy="3546119"/>
            <a:chOff x="992361" y="46518012"/>
            <a:chExt cx="4427364" cy="3517544"/>
          </a:xfrm>
        </xdr:grpSpPr>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8">
              <a:extLst>
                <a:ext uri="{BEBA8EAE-BF5A-486C-A8C5-ECC9F3942E4B}">
                  <a14:imgProps xmlns:a14="http://schemas.microsoft.com/office/drawing/2010/main">
                    <a14:imgLayer r:embed="rId19">
                      <a14:imgEffect>
                        <a14:sharpenSoften amount="50000"/>
                      </a14:imgEffect>
                    </a14:imgLayer>
                  </a14:imgProps>
                </a:ext>
              </a:extLst>
            </a:blip>
            <a:stretch>
              <a:fillRect/>
            </a:stretch>
          </xdr:blipFill>
          <xdr:spPr>
            <a:xfrm>
              <a:off x="992361" y="46518012"/>
              <a:ext cx="4427364" cy="3517544"/>
            </a:xfrm>
            <a:prstGeom prst="rect">
              <a:avLst/>
            </a:prstGeom>
            <a:ln>
              <a:solidFill>
                <a:schemeClr val="tx1"/>
              </a:solidFill>
            </a:ln>
          </xdr:spPr>
        </xdr:pic>
        <xdr:sp macro="" textlink="">
          <xdr:nvSpPr>
            <xdr:cNvPr id="43" name="Rectangle 42">
              <a:extLst>
                <a:ext uri="{FF2B5EF4-FFF2-40B4-BE49-F238E27FC236}">
                  <a16:creationId xmlns:a16="http://schemas.microsoft.com/office/drawing/2014/main" id="{00000000-0008-0000-0000-00002B000000}"/>
                </a:ext>
              </a:extLst>
            </xdr:cNvPr>
            <xdr:cNvSpPr/>
          </xdr:nvSpPr>
          <xdr:spPr>
            <a:xfrm>
              <a:off x="1285875" y="48910875"/>
              <a:ext cx="1562100" cy="39907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4" name="Rectangle 43">
              <a:extLst>
                <a:ext uri="{FF2B5EF4-FFF2-40B4-BE49-F238E27FC236}">
                  <a16:creationId xmlns:a16="http://schemas.microsoft.com/office/drawing/2014/main" id="{00000000-0008-0000-0000-00002C000000}"/>
                </a:ext>
              </a:extLst>
            </xdr:cNvPr>
            <xdr:cNvSpPr/>
          </xdr:nvSpPr>
          <xdr:spPr>
            <a:xfrm>
              <a:off x="4343400" y="48891826"/>
              <a:ext cx="447675" cy="3619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8" name="TextBox 26">
              <a:extLst>
                <a:ext uri="{FF2B5EF4-FFF2-40B4-BE49-F238E27FC236}">
                  <a16:creationId xmlns:a16="http://schemas.microsoft.com/office/drawing/2014/main" id="{00000000-0008-0000-0000-000030000000}"/>
                </a:ext>
              </a:extLst>
            </xdr:cNvPr>
            <xdr:cNvSpPr txBox="1"/>
          </xdr:nvSpPr>
          <xdr:spPr>
            <a:xfrm>
              <a:off x="3180790" y="47428337"/>
              <a:ext cx="486335" cy="33687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1</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49" name="TextBox 26">
              <a:extLst>
                <a:ext uri="{FF2B5EF4-FFF2-40B4-BE49-F238E27FC236}">
                  <a16:creationId xmlns:a16="http://schemas.microsoft.com/office/drawing/2014/main" id="{00000000-0008-0000-0000-000031000000}"/>
                </a:ext>
              </a:extLst>
            </xdr:cNvPr>
            <xdr:cNvSpPr txBox="1"/>
          </xdr:nvSpPr>
          <xdr:spPr>
            <a:xfrm>
              <a:off x="4571440" y="47495012"/>
              <a:ext cx="486335" cy="33687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2</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0" name="TextBox 26">
              <a:extLst>
                <a:ext uri="{FF2B5EF4-FFF2-40B4-BE49-F238E27FC236}">
                  <a16:creationId xmlns:a16="http://schemas.microsoft.com/office/drawing/2014/main" id="{00000000-0008-0000-0000-000032000000}"/>
                </a:ext>
              </a:extLst>
            </xdr:cNvPr>
            <xdr:cNvSpPr txBox="1"/>
          </xdr:nvSpPr>
          <xdr:spPr>
            <a:xfrm>
              <a:off x="3904690" y="48152237"/>
              <a:ext cx="486335" cy="33687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3</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3" name="TextBox 26">
              <a:extLst>
                <a:ext uri="{FF2B5EF4-FFF2-40B4-BE49-F238E27FC236}">
                  <a16:creationId xmlns:a16="http://schemas.microsoft.com/office/drawing/2014/main" id="{00000000-0008-0000-0000-000035000000}"/>
                </a:ext>
              </a:extLst>
            </xdr:cNvPr>
            <xdr:cNvSpPr txBox="1"/>
          </xdr:nvSpPr>
          <xdr:spPr>
            <a:xfrm>
              <a:off x="2190190" y="48190337"/>
              <a:ext cx="486335" cy="33687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4</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4" name="TextBox 26">
              <a:extLst>
                <a:ext uri="{FF2B5EF4-FFF2-40B4-BE49-F238E27FC236}">
                  <a16:creationId xmlns:a16="http://schemas.microsoft.com/office/drawing/2014/main" id="{00000000-0008-0000-0000-000036000000}"/>
                </a:ext>
              </a:extLst>
            </xdr:cNvPr>
            <xdr:cNvSpPr txBox="1"/>
          </xdr:nvSpPr>
          <xdr:spPr>
            <a:xfrm>
              <a:off x="1628215" y="47485487"/>
              <a:ext cx="486335" cy="33687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5</a:t>
              </a:r>
              <a:endParaRPr lang="en-IN" sz="1600" b="1">
                <a:solidFill>
                  <a:srgbClr val="FF0000"/>
                </a:solidFill>
                <a:latin typeface="Times New Roman" panose="02020603050405020304" pitchFamily="18" charset="0"/>
                <a:cs typeface="Times New Roman" panose="02020603050405020304" pitchFamily="18" charset="0"/>
              </a:endParaRPr>
            </a:p>
          </xdr:txBody>
        </xdr:sp>
      </xdr:grpSp>
      <xdr:cxnSp macro="">
        <xdr:nvCxnSpPr>
          <xdr:cNvPr id="27" name="Straight Arrow Connector 26">
            <a:extLst>
              <a:ext uri="{FF2B5EF4-FFF2-40B4-BE49-F238E27FC236}">
                <a16:creationId xmlns:a16="http://schemas.microsoft.com/office/drawing/2014/main" id="{00000000-0008-0000-0000-00001B000000}"/>
              </a:ext>
            </a:extLst>
          </xdr:cNvPr>
          <xdr:cNvCxnSpPr/>
        </xdr:nvCxnSpPr>
        <xdr:spPr>
          <a:xfrm flipV="1">
            <a:off x="1478835" y="49706892"/>
            <a:ext cx="178978" cy="28080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8" name="Straight Arrow Connector 57">
            <a:extLst>
              <a:ext uri="{FF2B5EF4-FFF2-40B4-BE49-F238E27FC236}">
                <a16:creationId xmlns:a16="http://schemas.microsoft.com/office/drawing/2014/main" id="{00000000-0008-0000-0000-00003A000000}"/>
              </a:ext>
            </a:extLst>
          </xdr:cNvPr>
          <xdr:cNvCxnSpPr/>
        </xdr:nvCxnSpPr>
        <xdr:spPr>
          <a:xfrm flipV="1">
            <a:off x="1665292" y="49703562"/>
            <a:ext cx="2442901" cy="26493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0" name="TextBox 26">
            <a:extLst>
              <a:ext uri="{FF2B5EF4-FFF2-40B4-BE49-F238E27FC236}">
                <a16:creationId xmlns:a16="http://schemas.microsoft.com/office/drawing/2014/main" id="{00000000-0008-0000-0000-00003C000000}"/>
              </a:ext>
            </a:extLst>
          </xdr:cNvPr>
          <xdr:cNvSpPr txBox="1"/>
        </xdr:nvSpPr>
        <xdr:spPr>
          <a:xfrm>
            <a:off x="811384" y="49952322"/>
            <a:ext cx="1647575" cy="362746"/>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900" b="1">
                <a:solidFill>
                  <a:srgbClr val="FF0000"/>
                </a:solidFill>
                <a:latin typeface="Times New Roman" panose="02020603050405020304" pitchFamily="18" charset="0"/>
                <a:cs typeface="Times New Roman" panose="02020603050405020304" pitchFamily="18" charset="0"/>
              </a:rPr>
              <a:t>Not Mentioned Terrace Area @</a:t>
            </a:r>
            <a:r>
              <a:rPr lang="en-US" sz="900" b="1" baseline="0">
                <a:solidFill>
                  <a:srgbClr val="FF0000"/>
                </a:solidFill>
                <a:latin typeface="Times New Roman" panose="02020603050405020304" pitchFamily="18" charset="0"/>
                <a:cs typeface="Times New Roman" panose="02020603050405020304" pitchFamily="18" charset="0"/>
              </a:rPr>
              <a:t> 1st Floor</a:t>
            </a:r>
            <a:endParaRPr lang="en-IN" sz="9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390525</xdr:colOff>
      <xdr:row>329</xdr:row>
      <xdr:rowOff>91253</xdr:rowOff>
    </xdr:from>
    <xdr:to>
      <xdr:col>7</xdr:col>
      <xdr:colOff>101600</xdr:colOff>
      <xdr:row>349</xdr:row>
      <xdr:rowOff>65818</xdr:rowOff>
    </xdr:to>
    <xdr:grpSp>
      <xdr:nvGrpSpPr>
        <xdr:cNvPr id="73" name="Group 72">
          <a:extLst>
            <a:ext uri="{FF2B5EF4-FFF2-40B4-BE49-F238E27FC236}">
              <a16:creationId xmlns:a16="http://schemas.microsoft.com/office/drawing/2014/main" id="{00000000-0008-0000-0000-000049000000}"/>
            </a:ext>
          </a:extLst>
        </xdr:cNvPr>
        <xdr:cNvGrpSpPr/>
      </xdr:nvGrpSpPr>
      <xdr:grpSpPr>
        <a:xfrm>
          <a:off x="390525" y="61860878"/>
          <a:ext cx="5292725" cy="3975065"/>
          <a:chOff x="390525" y="49894579"/>
          <a:chExt cx="5293553" cy="3950217"/>
        </a:xfrm>
      </xdr:grpSpPr>
      <xdr:pic>
        <xdr:nvPicPr>
          <xdr:cNvPr id="41" name="Picture 40" descr="https://vsjcllp.vsjadon.com/upload/insp-214841-861.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0">
            <a:extLst>
              <a:ext uri="{BEBA8EAE-BF5A-486C-A8C5-ECC9F3942E4B}">
                <a14:imgProps xmlns:a14="http://schemas.microsoft.com/office/drawing/2010/main">
                  <a14:imgLayer r:embed="rId21">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390525" y="49894579"/>
            <a:ext cx="5293553" cy="39502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72" name="Group 71">
            <a:extLst>
              <a:ext uri="{FF2B5EF4-FFF2-40B4-BE49-F238E27FC236}">
                <a16:creationId xmlns:a16="http://schemas.microsoft.com/office/drawing/2014/main" id="{00000000-0008-0000-0000-000048000000}"/>
              </a:ext>
            </a:extLst>
          </xdr:cNvPr>
          <xdr:cNvGrpSpPr/>
        </xdr:nvGrpSpPr>
        <xdr:grpSpPr>
          <a:xfrm>
            <a:off x="2384453" y="52427734"/>
            <a:ext cx="2994806" cy="1276701"/>
            <a:chOff x="2384453" y="52427734"/>
            <a:chExt cx="2994806" cy="1276701"/>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rot="297636">
              <a:off x="2384453" y="52427734"/>
              <a:ext cx="1835684" cy="72410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2" name="Rectangle 41">
              <a:extLst>
                <a:ext uri="{FF2B5EF4-FFF2-40B4-BE49-F238E27FC236}">
                  <a16:creationId xmlns:a16="http://schemas.microsoft.com/office/drawing/2014/main" id="{00000000-0008-0000-0000-00002A000000}"/>
                </a:ext>
              </a:extLst>
            </xdr:cNvPr>
            <xdr:cNvSpPr/>
          </xdr:nvSpPr>
          <xdr:spPr>
            <a:xfrm rot="297636">
              <a:off x="4860577" y="52753621"/>
              <a:ext cx="518682" cy="44693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4" name="TextBox 26">
              <a:extLst>
                <a:ext uri="{FF2B5EF4-FFF2-40B4-BE49-F238E27FC236}">
                  <a16:creationId xmlns:a16="http://schemas.microsoft.com/office/drawing/2014/main" id="{00000000-0008-0000-0000-000040000000}"/>
                </a:ext>
              </a:extLst>
            </xdr:cNvPr>
            <xdr:cNvSpPr txBox="1"/>
          </xdr:nvSpPr>
          <xdr:spPr>
            <a:xfrm>
              <a:off x="3049245" y="53511595"/>
              <a:ext cx="1572452" cy="192840"/>
            </a:xfrm>
            <a:prstGeom prst="rect">
              <a:avLst/>
            </a:prstGeom>
            <a:solidFill>
              <a:schemeClr val="bg1">
                <a:lumMod val="85000"/>
              </a:schemeClr>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900" b="1">
                  <a:solidFill>
                    <a:srgbClr val="FF0000"/>
                  </a:solidFill>
                  <a:latin typeface="Times New Roman" panose="02020603050405020304" pitchFamily="18" charset="0"/>
                  <a:cs typeface="Times New Roman" panose="02020603050405020304" pitchFamily="18" charset="0"/>
                </a:rPr>
                <a:t>Terrace Area @</a:t>
              </a:r>
              <a:r>
                <a:rPr lang="en-US" sz="900" b="1" baseline="0">
                  <a:solidFill>
                    <a:srgbClr val="FF0000"/>
                  </a:solidFill>
                  <a:latin typeface="Times New Roman" panose="02020603050405020304" pitchFamily="18" charset="0"/>
                  <a:cs typeface="Times New Roman" panose="02020603050405020304" pitchFamily="18" charset="0"/>
                </a:rPr>
                <a:t> 1st Floor</a:t>
              </a:r>
              <a:endParaRPr lang="en-IN" sz="900" b="1">
                <a:solidFill>
                  <a:srgbClr val="FF0000"/>
                </a:solidFill>
                <a:latin typeface="Times New Roman" panose="02020603050405020304" pitchFamily="18" charset="0"/>
                <a:cs typeface="Times New Roman" panose="02020603050405020304" pitchFamily="18" charset="0"/>
              </a:endParaRPr>
            </a:p>
          </xdr:txBody>
        </xdr:sp>
        <xdr:cxnSp macro="">
          <xdr:nvCxnSpPr>
            <xdr:cNvPr id="66" name="Straight Arrow Connector 65">
              <a:extLst>
                <a:ext uri="{FF2B5EF4-FFF2-40B4-BE49-F238E27FC236}">
                  <a16:creationId xmlns:a16="http://schemas.microsoft.com/office/drawing/2014/main" id="{00000000-0008-0000-0000-000042000000}"/>
                </a:ext>
              </a:extLst>
            </xdr:cNvPr>
            <xdr:cNvCxnSpPr>
              <a:stCxn id="64" idx="0"/>
            </xdr:cNvCxnSpPr>
          </xdr:nvCxnSpPr>
          <xdr:spPr>
            <a:xfrm flipH="1" flipV="1">
              <a:off x="3503543" y="53149500"/>
              <a:ext cx="331928" cy="3620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000-000043000000}"/>
                </a:ext>
              </a:extLst>
            </xdr:cNvPr>
            <xdr:cNvCxnSpPr>
              <a:endCxn id="42" idx="2"/>
            </xdr:cNvCxnSpPr>
          </xdr:nvCxnSpPr>
          <xdr:spPr>
            <a:xfrm flipV="1">
              <a:off x="3843130" y="53199722"/>
              <a:ext cx="1257464" cy="2976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12</xdr:col>
      <xdr:colOff>701168</xdr:colOff>
      <xdr:row>0</xdr:row>
      <xdr:rowOff>364192</xdr:rowOff>
    </xdr:from>
    <xdr:to>
      <xdr:col>22</xdr:col>
      <xdr:colOff>258507</xdr:colOff>
      <xdr:row>16</xdr:row>
      <xdr:rowOff>24532</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2"/>
        <a:stretch>
          <a:fillRect/>
        </a:stretch>
      </xdr:blipFill>
      <xdr:spPr>
        <a:xfrm>
          <a:off x="10607168" y="364192"/>
          <a:ext cx="6650663" cy="3694458"/>
        </a:xfrm>
        <a:prstGeom prst="rect">
          <a:avLst/>
        </a:prstGeom>
      </xdr:spPr>
    </xdr:pic>
    <xdr:clientData/>
  </xdr:twoCellAnchor>
  <xdr:twoCellAnchor editAs="oneCell">
    <xdr:from>
      <xdr:col>11</xdr:col>
      <xdr:colOff>549088</xdr:colOff>
      <xdr:row>162</xdr:row>
      <xdr:rowOff>11205</xdr:rowOff>
    </xdr:from>
    <xdr:to>
      <xdr:col>22</xdr:col>
      <xdr:colOff>196051</xdr:colOff>
      <xdr:row>165</xdr:row>
      <xdr:rowOff>776995</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3"/>
        <a:stretch>
          <a:fillRect/>
        </a:stretch>
      </xdr:blipFill>
      <xdr:spPr>
        <a:xfrm>
          <a:off x="9536206" y="27712146"/>
          <a:ext cx="7659169" cy="2372056"/>
        </a:xfrm>
        <a:prstGeom prst="rect">
          <a:avLst/>
        </a:prstGeom>
      </xdr:spPr>
    </xdr:pic>
    <xdr:clientData/>
  </xdr:twoCellAnchor>
  <xdr:oneCellAnchor>
    <xdr:from>
      <xdr:col>1</xdr:col>
      <xdr:colOff>526776</xdr:colOff>
      <xdr:row>247</xdr:row>
      <xdr:rowOff>103531</xdr:rowOff>
    </xdr:from>
    <xdr:ext cx="3750885" cy="3441389"/>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24"/>
        <a:stretch>
          <a:fillRect/>
        </a:stretch>
      </xdr:blipFill>
      <xdr:spPr>
        <a:xfrm>
          <a:off x="1288776" y="45671131"/>
          <a:ext cx="3750885" cy="3441389"/>
        </a:xfrm>
        <a:prstGeom prst="rect">
          <a:avLst/>
        </a:prstGeom>
        <a:ln>
          <a:solidFill>
            <a:schemeClr val="tx1"/>
          </a:solidFill>
        </a:ln>
      </xdr:spPr>
    </xdr:pic>
    <xdr:clientData/>
  </xdr:oneCellAnchor>
  <xdr:oneCellAnchor>
    <xdr:from>
      <xdr:col>2</xdr:col>
      <xdr:colOff>57980</xdr:colOff>
      <xdr:row>226</xdr:row>
      <xdr:rowOff>8283</xdr:rowOff>
    </xdr:from>
    <xdr:ext cx="3142420" cy="4000612"/>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
        <a:stretch>
          <a:fillRect/>
        </a:stretch>
      </xdr:blipFill>
      <xdr:spPr>
        <a:xfrm>
          <a:off x="1620080" y="41375358"/>
          <a:ext cx="3142420" cy="4000612"/>
        </a:xfrm>
        <a:prstGeom prst="rect">
          <a:avLst/>
        </a:prstGeom>
        <a:ln>
          <a:solidFill>
            <a:schemeClr val="tx1"/>
          </a:solidFill>
        </a:ln>
      </xdr:spPr>
    </xdr:pic>
    <xdr:clientData/>
  </xdr:oneCellAnchor>
  <xdr:twoCellAnchor>
    <xdr:from>
      <xdr:col>4</xdr:col>
      <xdr:colOff>714557</xdr:colOff>
      <xdr:row>260</xdr:row>
      <xdr:rowOff>125300</xdr:rowOff>
    </xdr:from>
    <xdr:to>
      <xdr:col>5</xdr:col>
      <xdr:colOff>588891</xdr:colOff>
      <xdr:row>263</xdr:row>
      <xdr:rowOff>22770</xdr:rowOff>
    </xdr:to>
    <xdr:grpSp>
      <xdr:nvGrpSpPr>
        <xdr:cNvPr id="79" name="Group 78">
          <a:extLst>
            <a:ext uri="{FF2B5EF4-FFF2-40B4-BE49-F238E27FC236}">
              <a16:creationId xmlns:a16="http://schemas.microsoft.com/office/drawing/2014/main" id="{00000000-0008-0000-0000-00004F000000}"/>
            </a:ext>
          </a:extLst>
        </xdr:cNvPr>
        <xdr:cNvGrpSpPr/>
      </xdr:nvGrpSpPr>
      <xdr:grpSpPr>
        <a:xfrm rot="5400000">
          <a:off x="4117701" y="48614356"/>
          <a:ext cx="497545" cy="655384"/>
          <a:chOff x="141426" y="-157279"/>
          <a:chExt cx="474784" cy="1083378"/>
        </a:xfrm>
      </xdr:grpSpPr>
      <xdr:sp macro="" textlink="">
        <xdr:nvSpPr>
          <xdr:cNvPr id="80" name="Right Arrow 79">
            <a:extLst>
              <a:ext uri="{FF2B5EF4-FFF2-40B4-BE49-F238E27FC236}">
                <a16:creationId xmlns:a16="http://schemas.microsoft.com/office/drawing/2014/main" id="{00000000-0008-0000-0000-000050000000}"/>
              </a:ext>
            </a:extLst>
          </xdr:cNvPr>
          <xdr:cNvSpPr/>
        </xdr:nvSpPr>
        <xdr:spPr>
          <a:xfrm rot="16200000">
            <a:off x="215550" y="630633"/>
            <a:ext cx="386861" cy="204072"/>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endParaRPr lang="en-IN" sz="1400"/>
          </a:p>
        </xdr:txBody>
      </xdr:sp>
      <xdr:sp macro="" textlink="">
        <xdr:nvSpPr>
          <xdr:cNvPr id="81" name="TextBox 7">
            <a:extLst>
              <a:ext uri="{FF2B5EF4-FFF2-40B4-BE49-F238E27FC236}">
                <a16:creationId xmlns:a16="http://schemas.microsoft.com/office/drawing/2014/main" id="{00000000-0008-0000-0000-000051000000}"/>
              </a:ext>
            </a:extLst>
          </xdr:cNvPr>
          <xdr:cNvSpPr txBox="1"/>
        </xdr:nvSpPr>
        <xdr:spPr>
          <a:xfrm>
            <a:off x="141426" y="-157279"/>
            <a:ext cx="474784" cy="7631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a:latin typeface="Times New Roman" panose="02020603050405020304" pitchFamily="18" charset="0"/>
                <a:cs typeface="Times New Roman" panose="02020603050405020304" pitchFamily="18" charset="0"/>
              </a:rPr>
              <a:t>N</a:t>
            </a:r>
            <a:endParaRPr lang="en-IN" sz="2400" b="1">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306456</xdr:colOff>
      <xdr:row>161</xdr:row>
      <xdr:rowOff>66261</xdr:rowOff>
    </xdr:from>
    <xdr:to>
      <xdr:col>12</xdr:col>
      <xdr:colOff>604556</xdr:colOff>
      <xdr:row>163</xdr:row>
      <xdr:rowOff>598318</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4"/>
        <a:stretch>
          <a:fillRect/>
        </a:stretch>
      </xdr:blipFill>
      <xdr:spPr>
        <a:xfrm>
          <a:off x="6626086" y="27216652"/>
          <a:ext cx="3901035" cy="1196323"/>
        </a:xfrm>
        <a:prstGeom prst="rect">
          <a:avLst/>
        </a:prstGeom>
      </xdr:spPr>
    </xdr:pic>
    <xdr:clientData/>
  </xdr:twoCellAnchor>
  <xdr:twoCellAnchor editAs="oneCell">
    <xdr:from>
      <xdr:col>0</xdr:col>
      <xdr:colOff>342900</xdr:colOff>
      <xdr:row>270</xdr:row>
      <xdr:rowOff>171449</xdr:rowOff>
    </xdr:from>
    <xdr:to>
      <xdr:col>7</xdr:col>
      <xdr:colOff>316108</xdr:colOff>
      <xdr:row>308</xdr:row>
      <xdr:rowOff>142874</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25"/>
        <a:stretch>
          <a:fillRect/>
        </a:stretch>
      </xdr:blipFill>
      <xdr:spPr>
        <a:xfrm>
          <a:off x="342900" y="49739549"/>
          <a:ext cx="5554858" cy="7572375"/>
        </a:xfrm>
        <a:prstGeom prst="rect">
          <a:avLst/>
        </a:prstGeom>
        <a:ln>
          <a:solidFill>
            <a:sysClr val="windowText" lastClr="000000"/>
          </a:solidFill>
        </a:ln>
      </xdr:spPr>
    </xdr:pic>
    <xdr:clientData/>
  </xdr:twoCellAnchor>
  <xdr:oneCellAnchor>
    <xdr:from>
      <xdr:col>11</xdr:col>
      <xdr:colOff>549088</xdr:colOff>
      <xdr:row>163</xdr:row>
      <xdr:rowOff>11205</xdr:rowOff>
    </xdr:from>
    <xdr:ext cx="7667013" cy="2356465"/>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3"/>
        <a:stretch>
          <a:fillRect/>
        </a:stretch>
      </xdr:blipFill>
      <xdr:spPr>
        <a:xfrm>
          <a:off x="9540688" y="27509880"/>
          <a:ext cx="7667013" cy="2356465"/>
        </a:xfrm>
        <a:prstGeom prst="rect">
          <a:avLst/>
        </a:prstGeom>
      </xdr:spPr>
    </xdr:pic>
    <xdr:clientData/>
  </xdr:oneCellAnchor>
  <xdr:twoCellAnchor>
    <xdr:from>
      <xdr:col>0</xdr:col>
      <xdr:colOff>161926</xdr:colOff>
      <xdr:row>182</xdr:row>
      <xdr:rowOff>76200</xdr:rowOff>
    </xdr:from>
    <xdr:to>
      <xdr:col>7</xdr:col>
      <xdr:colOff>579644</xdr:colOff>
      <xdr:row>223</xdr:row>
      <xdr:rowOff>120975</xdr:rowOff>
    </xdr:to>
    <xdr:grpSp>
      <xdr:nvGrpSpPr>
        <xdr:cNvPr id="59" name="Group 58">
          <a:extLst>
            <a:ext uri="{FF2B5EF4-FFF2-40B4-BE49-F238E27FC236}">
              <a16:creationId xmlns:a16="http://schemas.microsoft.com/office/drawing/2014/main" id="{5C86D0F7-0AAC-491E-AEA2-DCA05A2D7CA4}"/>
            </a:ext>
          </a:extLst>
        </xdr:cNvPr>
        <xdr:cNvGrpSpPr/>
      </xdr:nvGrpSpPr>
      <xdr:grpSpPr>
        <a:xfrm>
          <a:off x="161926" y="33042225"/>
          <a:ext cx="5999368" cy="8245800"/>
          <a:chOff x="429316" y="533400"/>
          <a:chExt cx="5999368" cy="8245800"/>
        </a:xfrm>
      </xdr:grpSpPr>
      <xdr:pic>
        <xdr:nvPicPr>
          <xdr:cNvPr id="61" name="Picture 60">
            <a:extLst>
              <a:ext uri="{FF2B5EF4-FFF2-40B4-BE49-F238E27FC236}">
                <a16:creationId xmlns:a16="http://schemas.microsoft.com/office/drawing/2014/main" id="{31547BA3-7472-4CD2-973B-2EDB6952F0EB}"/>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023937" y="533400"/>
            <a:ext cx="2291813" cy="3060000"/>
          </a:xfrm>
          <a:prstGeom prst="rect">
            <a:avLst/>
          </a:prstGeom>
          <a:ln>
            <a:solidFill>
              <a:schemeClr val="tx1"/>
            </a:solidFill>
          </a:ln>
        </xdr:spPr>
      </xdr:pic>
      <xdr:pic>
        <xdr:nvPicPr>
          <xdr:cNvPr id="62" name="Picture 61">
            <a:extLst>
              <a:ext uri="{FF2B5EF4-FFF2-40B4-BE49-F238E27FC236}">
                <a16:creationId xmlns:a16="http://schemas.microsoft.com/office/drawing/2014/main" id="{D2EB7445-7355-474D-9F59-1409D11F89CB}"/>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533775" y="533400"/>
            <a:ext cx="2291813" cy="3060000"/>
          </a:xfrm>
          <a:prstGeom prst="rect">
            <a:avLst/>
          </a:prstGeom>
          <a:ln>
            <a:solidFill>
              <a:schemeClr val="tx1"/>
            </a:solidFill>
          </a:ln>
        </xdr:spPr>
      </xdr:pic>
      <xdr:pic>
        <xdr:nvPicPr>
          <xdr:cNvPr id="65" name="Picture 64">
            <a:extLst>
              <a:ext uri="{FF2B5EF4-FFF2-40B4-BE49-F238E27FC236}">
                <a16:creationId xmlns:a16="http://schemas.microsoft.com/office/drawing/2014/main" id="{22E404D4-3888-43FA-97DC-BC7032A6541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4204698" y="3762000"/>
            <a:ext cx="2157000" cy="1620000"/>
          </a:xfrm>
          <a:prstGeom prst="rect">
            <a:avLst/>
          </a:prstGeom>
          <a:ln>
            <a:solidFill>
              <a:schemeClr val="tx1"/>
            </a:solidFill>
          </a:ln>
        </xdr:spPr>
      </xdr:pic>
      <xdr:pic>
        <xdr:nvPicPr>
          <xdr:cNvPr id="68" name="Picture 67">
            <a:extLst>
              <a:ext uri="{FF2B5EF4-FFF2-40B4-BE49-F238E27FC236}">
                <a16:creationId xmlns:a16="http://schemas.microsoft.com/office/drawing/2014/main" id="{C56710E8-20A1-4FC6-8737-7BE75D6B2A26}"/>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29316" y="5550600"/>
            <a:ext cx="1917333" cy="1440000"/>
          </a:xfrm>
          <a:prstGeom prst="rect">
            <a:avLst/>
          </a:prstGeom>
          <a:ln>
            <a:solidFill>
              <a:schemeClr val="tx1"/>
            </a:solidFill>
          </a:ln>
        </xdr:spPr>
      </xdr:pic>
      <xdr:pic>
        <xdr:nvPicPr>
          <xdr:cNvPr id="69" name="Picture 68">
            <a:extLst>
              <a:ext uri="{FF2B5EF4-FFF2-40B4-BE49-F238E27FC236}">
                <a16:creationId xmlns:a16="http://schemas.microsoft.com/office/drawing/2014/main" id="{27EC85C2-CFE2-4C05-B41E-A57B5C52009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86465" y="3762000"/>
            <a:ext cx="1213313" cy="1620000"/>
          </a:xfrm>
          <a:prstGeom prst="rect">
            <a:avLst/>
          </a:prstGeom>
          <a:ln>
            <a:solidFill>
              <a:schemeClr val="tx1"/>
            </a:solidFill>
          </a:ln>
        </xdr:spPr>
      </xdr:pic>
      <xdr:pic>
        <xdr:nvPicPr>
          <xdr:cNvPr id="70" name="Picture 69">
            <a:extLst>
              <a:ext uri="{FF2B5EF4-FFF2-40B4-BE49-F238E27FC236}">
                <a16:creationId xmlns:a16="http://schemas.microsoft.com/office/drawing/2014/main" id="{EF879FDB-A20C-443C-AE15-954A840B453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873738" y="3762000"/>
            <a:ext cx="2157000" cy="1620000"/>
          </a:xfrm>
          <a:prstGeom prst="rect">
            <a:avLst/>
          </a:prstGeom>
          <a:ln>
            <a:solidFill>
              <a:schemeClr val="tx1"/>
            </a:solidFill>
          </a:ln>
        </xdr:spPr>
      </xdr:pic>
      <xdr:pic>
        <xdr:nvPicPr>
          <xdr:cNvPr id="71" name="Picture 70">
            <a:extLst>
              <a:ext uri="{FF2B5EF4-FFF2-40B4-BE49-F238E27FC236}">
                <a16:creationId xmlns:a16="http://schemas.microsoft.com/office/drawing/2014/main" id="{CC619792-DEE6-4803-A0BC-29327B292A76}"/>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2470333" y="5550600"/>
            <a:ext cx="1917333" cy="1440000"/>
          </a:xfrm>
          <a:prstGeom prst="rect">
            <a:avLst/>
          </a:prstGeom>
          <a:ln>
            <a:solidFill>
              <a:schemeClr val="tx1"/>
            </a:solidFill>
          </a:ln>
        </xdr:spPr>
      </xdr:pic>
      <xdr:pic>
        <xdr:nvPicPr>
          <xdr:cNvPr id="74" name="Picture 73">
            <a:extLst>
              <a:ext uri="{FF2B5EF4-FFF2-40B4-BE49-F238E27FC236}">
                <a16:creationId xmlns:a16="http://schemas.microsoft.com/office/drawing/2014/main" id="{0F77AF46-A7AE-452E-A23C-A724EBD3CD59}"/>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511351" y="5550600"/>
            <a:ext cx="1917333" cy="1440000"/>
          </a:xfrm>
          <a:prstGeom prst="rect">
            <a:avLst/>
          </a:prstGeom>
          <a:ln>
            <a:solidFill>
              <a:schemeClr val="tx1"/>
            </a:solidFill>
          </a:ln>
        </xdr:spPr>
      </xdr:pic>
      <xdr:pic>
        <xdr:nvPicPr>
          <xdr:cNvPr id="84" name="Picture 83">
            <a:extLst>
              <a:ext uri="{FF2B5EF4-FFF2-40B4-BE49-F238E27FC236}">
                <a16:creationId xmlns:a16="http://schemas.microsoft.com/office/drawing/2014/main" id="{7B036665-DF04-41BB-9AE4-94B56335C5A4}"/>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3404139" y="7159200"/>
            <a:ext cx="1213313" cy="1620000"/>
          </a:xfrm>
          <a:prstGeom prst="rect">
            <a:avLst/>
          </a:prstGeom>
          <a:ln>
            <a:solidFill>
              <a:schemeClr val="tx1"/>
            </a:solidFill>
          </a:ln>
        </xdr:spPr>
      </xdr:pic>
      <xdr:pic>
        <xdr:nvPicPr>
          <xdr:cNvPr id="85" name="Picture 84">
            <a:extLst>
              <a:ext uri="{FF2B5EF4-FFF2-40B4-BE49-F238E27FC236}">
                <a16:creationId xmlns:a16="http://schemas.microsoft.com/office/drawing/2014/main" id="{E23145F2-8034-4B35-9A70-469159F95534}"/>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4791566" y="7159200"/>
            <a:ext cx="1213313" cy="1620000"/>
          </a:xfrm>
          <a:prstGeom prst="rect">
            <a:avLst/>
          </a:prstGeom>
          <a:ln>
            <a:solidFill>
              <a:schemeClr val="tx1"/>
            </a:solidFill>
          </a:ln>
        </xdr:spPr>
      </xdr:pic>
      <xdr:pic>
        <xdr:nvPicPr>
          <xdr:cNvPr id="86" name="Picture 85">
            <a:extLst>
              <a:ext uri="{FF2B5EF4-FFF2-40B4-BE49-F238E27FC236}">
                <a16:creationId xmlns:a16="http://schemas.microsoft.com/office/drawing/2014/main" id="{448676FA-B15A-42E3-BE13-73C1C375354A}"/>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73025" y="7159200"/>
            <a:ext cx="2157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336644-vishwa-apartments-by-r-k-infrastructures-in-khandad" TargetMode="External"/><Relationship Id="rId1" Type="http://schemas.openxmlformats.org/officeDocument/2006/relationships/hyperlink" Target="https://maps.app.goo.gl/xyG1FPPmavsLSyQm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52"/>
  <sheetViews>
    <sheetView tabSelected="1" view="pageBreakPreview" topLeftCell="A167" zoomScaleNormal="100" zoomScaleSheetLayoutView="100" zoomScalePageLayoutView="85" workbookViewId="0">
      <selection activeCell="J179" sqref="J179"/>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13" t="s">
        <v>163</v>
      </c>
      <c r="B1" s="213"/>
      <c r="C1" s="213"/>
      <c r="D1" s="213"/>
      <c r="E1" s="213"/>
      <c r="F1" s="213"/>
      <c r="G1" s="213"/>
      <c r="H1" s="213"/>
    </row>
    <row r="2" spans="1:26" ht="16.5" customHeight="1" x14ac:dyDescent="0.25">
      <c r="A2" s="214" t="s">
        <v>0</v>
      </c>
      <c r="B2" s="214"/>
      <c r="C2" s="214"/>
      <c r="D2" s="214"/>
      <c r="E2" s="214"/>
      <c r="F2" s="214"/>
      <c r="G2" s="214"/>
      <c r="H2" s="214"/>
    </row>
    <row r="3" spans="1:26" x14ac:dyDescent="0.25">
      <c r="A3" s="184" t="s">
        <v>1</v>
      </c>
      <c r="B3" s="184"/>
      <c r="C3" s="184"/>
      <c r="D3" s="184"/>
      <c r="E3" s="184" t="str">
        <f ca="1">TEXT(TODAY(),"DD/MM/YYYY")</f>
        <v>19/09/2025</v>
      </c>
      <c r="F3" s="184"/>
      <c r="G3" s="184"/>
      <c r="H3" s="184"/>
      <c r="K3" s="50" t="s">
        <v>234</v>
      </c>
      <c r="L3" s="48" t="s">
        <v>232</v>
      </c>
      <c r="M3" s="48" t="s">
        <v>237</v>
      </c>
      <c r="N3" s="48" t="s">
        <v>235</v>
      </c>
      <c r="O3" s="48" t="s">
        <v>354</v>
      </c>
      <c r="P3" s="48" t="s">
        <v>238</v>
      </c>
    </row>
    <row r="4" spans="1:26" ht="15" customHeight="1" x14ac:dyDescent="0.25">
      <c r="A4" s="184" t="s">
        <v>231</v>
      </c>
      <c r="B4" s="184"/>
      <c r="C4" s="184"/>
      <c r="D4" s="184"/>
      <c r="E4" s="184" t="s">
        <v>232</v>
      </c>
      <c r="F4" s="184"/>
      <c r="G4" s="184"/>
      <c r="H4" s="184"/>
      <c r="K4" s="47" t="s">
        <v>233</v>
      </c>
      <c r="L4" s="48" t="s">
        <v>169</v>
      </c>
      <c r="M4" s="48" t="s">
        <v>242</v>
      </c>
      <c r="N4" s="48" t="s">
        <v>244</v>
      </c>
      <c r="O4" s="48" t="s">
        <v>339</v>
      </c>
      <c r="P4" s="48"/>
    </row>
    <row r="5" spans="1:26" ht="15" customHeight="1" x14ac:dyDescent="0.25">
      <c r="A5" s="184" t="s">
        <v>2</v>
      </c>
      <c r="B5" s="184"/>
      <c r="C5" s="184"/>
      <c r="D5" s="184"/>
      <c r="E5" s="184" t="s">
        <v>240</v>
      </c>
      <c r="F5" s="184"/>
      <c r="G5" s="184"/>
      <c r="H5" s="184"/>
      <c r="K5" s="47"/>
      <c r="L5" s="48" t="s">
        <v>239</v>
      </c>
      <c r="M5" s="48" t="s">
        <v>243</v>
      </c>
      <c r="N5" s="48" t="s">
        <v>245</v>
      </c>
      <c r="O5" s="48" t="s">
        <v>340</v>
      </c>
      <c r="P5" s="48"/>
    </row>
    <row r="6" spans="1:26" x14ac:dyDescent="0.25">
      <c r="A6" s="184" t="s">
        <v>3</v>
      </c>
      <c r="B6" s="184"/>
      <c r="C6" s="184"/>
      <c r="D6" s="184"/>
      <c r="E6" s="216">
        <v>45918</v>
      </c>
      <c r="F6" s="184"/>
      <c r="G6" s="184"/>
      <c r="H6" s="184"/>
      <c r="K6" s="47"/>
      <c r="L6" s="48" t="s">
        <v>240</v>
      </c>
      <c r="M6" s="48" t="s">
        <v>352</v>
      </c>
      <c r="N6" s="48"/>
      <c r="O6" s="48" t="s">
        <v>341</v>
      </c>
      <c r="P6" s="48"/>
    </row>
    <row r="7" spans="1:26" ht="16.5" customHeight="1" x14ac:dyDescent="0.25">
      <c r="A7" s="184" t="s">
        <v>390</v>
      </c>
      <c r="B7" s="184"/>
      <c r="C7" s="184"/>
      <c r="D7" s="184"/>
      <c r="E7" s="217" t="s">
        <v>392</v>
      </c>
      <c r="F7" s="218"/>
      <c r="G7" s="218"/>
      <c r="H7" s="219"/>
      <c r="K7" s="47"/>
      <c r="L7" s="48" t="s">
        <v>241</v>
      </c>
      <c r="M7" s="48"/>
      <c r="N7" s="48"/>
      <c r="O7" s="48" t="s">
        <v>341</v>
      </c>
      <c r="P7" s="48"/>
    </row>
    <row r="8" spans="1:26" ht="15" customHeight="1" x14ac:dyDescent="0.25">
      <c r="A8" s="184" t="s">
        <v>4</v>
      </c>
      <c r="B8" s="184"/>
      <c r="C8" s="184"/>
      <c r="D8" s="184"/>
      <c r="E8" s="184" t="s">
        <v>391</v>
      </c>
      <c r="F8" s="184"/>
      <c r="G8" s="184"/>
      <c r="H8" s="184"/>
      <c r="K8" s="47"/>
      <c r="L8" s="48"/>
      <c r="M8" s="48"/>
      <c r="N8" s="48"/>
      <c r="O8" s="48" t="s">
        <v>342</v>
      </c>
      <c r="P8" s="48"/>
    </row>
    <row r="9" spans="1:26" x14ac:dyDescent="0.25">
      <c r="A9" s="184" t="s">
        <v>5</v>
      </c>
      <c r="B9" s="184"/>
      <c r="C9" s="184"/>
      <c r="D9" s="184"/>
      <c r="E9" s="215" t="s">
        <v>361</v>
      </c>
      <c r="F9" s="204"/>
      <c r="G9" s="204"/>
      <c r="H9" s="204"/>
      <c r="K9" s="47"/>
      <c r="L9" s="48"/>
      <c r="M9" s="48"/>
      <c r="N9" s="48"/>
      <c r="O9" s="48" t="s">
        <v>343</v>
      </c>
      <c r="P9" s="48"/>
    </row>
    <row r="10" spans="1:26" ht="31.5" customHeight="1" x14ac:dyDescent="0.25">
      <c r="A10" s="184" t="s">
        <v>166</v>
      </c>
      <c r="B10" s="184"/>
      <c r="C10" s="184"/>
      <c r="D10" s="184"/>
      <c r="E10" s="146" t="s">
        <v>385</v>
      </c>
      <c r="F10" s="184"/>
      <c r="G10" s="184"/>
      <c r="H10" s="184"/>
      <c r="K10" s="47"/>
      <c r="L10" s="48"/>
      <c r="M10" s="48"/>
      <c r="N10" s="48"/>
      <c r="O10" s="48" t="s">
        <v>344</v>
      </c>
      <c r="P10" s="48"/>
    </row>
    <row r="11" spans="1:26" ht="15.75" customHeight="1" x14ac:dyDescent="0.25">
      <c r="A11" s="184" t="s">
        <v>167</v>
      </c>
      <c r="B11" s="184"/>
      <c r="C11" s="184"/>
      <c r="D11" s="184"/>
      <c r="E11" s="220" t="s">
        <v>393</v>
      </c>
      <c r="F11" s="221"/>
      <c r="G11" s="221"/>
      <c r="H11" s="222"/>
      <c r="O11" s="48" t="s">
        <v>345</v>
      </c>
    </row>
    <row r="12" spans="1:26" x14ac:dyDescent="0.25">
      <c r="A12" s="184" t="s">
        <v>6</v>
      </c>
      <c r="B12" s="184"/>
      <c r="C12" s="184"/>
      <c r="D12" s="184"/>
      <c r="E12" s="184" t="s">
        <v>116</v>
      </c>
      <c r="F12" s="184"/>
      <c r="G12" s="184"/>
      <c r="H12" s="184"/>
    </row>
    <row r="13" spans="1:26" x14ac:dyDescent="0.25">
      <c r="A13" s="184" t="s">
        <v>170</v>
      </c>
      <c r="B13" s="184"/>
      <c r="C13" s="184"/>
      <c r="D13" s="184"/>
      <c r="E13" s="184" t="s">
        <v>27</v>
      </c>
      <c r="F13" s="184"/>
      <c r="G13" s="184"/>
      <c r="H13" s="184"/>
      <c r="S13" s="48" t="s">
        <v>178</v>
      </c>
      <c r="T13" s="48" t="s">
        <v>187</v>
      </c>
      <c r="U13" s="48" t="s">
        <v>171</v>
      </c>
      <c r="V13" s="48" t="s">
        <v>192</v>
      </c>
      <c r="W13" s="48" t="s">
        <v>210</v>
      </c>
      <c r="X13"/>
      <c r="Y13" t="s">
        <v>192</v>
      </c>
      <c r="Z13" t="e">
        <f ca="1">OFFSET($S$13,1,MATCH($G20,$S$13:$W$13,0)-1,15,1)</f>
        <v>#VALUE!</v>
      </c>
    </row>
    <row r="14" spans="1:26" x14ac:dyDescent="0.25">
      <c r="A14" s="144" t="s">
        <v>277</v>
      </c>
      <c r="B14" s="144"/>
      <c r="C14" s="144"/>
      <c r="D14" s="144"/>
      <c r="E14" s="146" t="s">
        <v>383</v>
      </c>
      <c r="F14" s="146"/>
      <c r="G14" s="146"/>
      <c r="H14" s="146"/>
      <c r="S14" s="48" t="s">
        <v>178</v>
      </c>
      <c r="T14" s="48" t="s">
        <v>185</v>
      </c>
      <c r="U14" s="48" t="s">
        <v>207</v>
      </c>
      <c r="V14" s="48" t="s">
        <v>193</v>
      </c>
      <c r="W14" s="48" t="s">
        <v>211</v>
      </c>
      <c r="X14"/>
      <c r="Y14"/>
      <c r="Z14"/>
    </row>
    <row r="15" spans="1:26" x14ac:dyDescent="0.25">
      <c r="A15" s="144" t="s">
        <v>7</v>
      </c>
      <c r="B15" s="144"/>
      <c r="C15" s="144"/>
      <c r="D15" s="144"/>
      <c r="E15" s="146" t="s">
        <v>356</v>
      </c>
      <c r="F15" s="184"/>
      <c r="G15" s="184"/>
      <c r="H15" s="184"/>
      <c r="I15" s="260" t="e">
        <f ca="1">OFFSET($D$5,1,MATCH($J13,$D$5:$H$5,0)-1,15,1)</f>
        <v>#N/A</v>
      </c>
      <c r="J15" s="261"/>
      <c r="K15" s="261"/>
      <c r="L15" s="261"/>
      <c r="M15" s="261"/>
      <c r="N15" s="261"/>
      <c r="O15" s="261"/>
      <c r="P15" s="261"/>
      <c r="S15" s="48" t="s">
        <v>179</v>
      </c>
      <c r="T15" s="48" t="s">
        <v>186</v>
      </c>
      <c r="U15" s="48" t="s">
        <v>208</v>
      </c>
      <c r="V15" s="48" t="s">
        <v>194</v>
      </c>
      <c r="W15" s="48" t="s">
        <v>224</v>
      </c>
      <c r="X15"/>
      <c r="Y15"/>
      <c r="Z15"/>
    </row>
    <row r="16" spans="1:26" ht="33.75" customHeight="1" x14ac:dyDescent="0.25">
      <c r="A16" s="196" t="s">
        <v>8</v>
      </c>
      <c r="B16" s="196"/>
      <c r="C16" s="196" t="str">
        <f>CONCATENATE((IF(OR(E9="",E9="NA"),"",E9)),", ",(IF(OR(A17="",A17="NA"),"",A17)),".",(IF(OR(C17="",C17="NA"),"",C17)),", near ",(IF(OR(C22="",C22="NA"),"",C22)),", ",(IF(OR(C19="",C19="NA"),"",C19)),", ",(IF(OR(C18="",C18="NA"),"",C18)),", ",(IF(OR(G19="",G19="NA"),"",G19)),", ",(IF(OR(C20="",C20="NA"),"",C20)),", ",(IF(OR(C21="",C21="NA"),"",C21)),", ",(IF(OR(G20="",G20="NA"),"",G20))," - ",(IF(OR(G21="",G21="NA"),"",G21)),".")</f>
        <v>Vishwa Apartments, Survey No.40/B, Plot No.3 &amp; 4, near Mahavir Bhavan, Internal Road, Khandad, Utekhol, Mangaon West, Mangaon, Raigad - 402104.</v>
      </c>
      <c r="D16" s="196"/>
      <c r="E16" s="196"/>
      <c r="F16" s="196"/>
      <c r="G16" s="196"/>
      <c r="H16" s="196"/>
      <c r="S16" s="48" t="s">
        <v>180</v>
      </c>
      <c r="T16" s="48" t="s">
        <v>188</v>
      </c>
      <c r="U16" s="48" t="s">
        <v>209</v>
      </c>
      <c r="V16" s="48" t="s">
        <v>195</v>
      </c>
      <c r="W16" s="48" t="s">
        <v>212</v>
      </c>
      <c r="X16"/>
      <c r="Y16"/>
      <c r="Z16"/>
    </row>
    <row r="17" spans="1:26" x14ac:dyDescent="0.25">
      <c r="A17" s="146" t="s">
        <v>360</v>
      </c>
      <c r="B17" s="146"/>
      <c r="C17" s="146" t="s">
        <v>404</v>
      </c>
      <c r="D17" s="146"/>
      <c r="E17" s="146"/>
      <c r="F17" s="146"/>
      <c r="G17" s="146"/>
      <c r="H17" s="146"/>
      <c r="S17" s="48" t="s">
        <v>181</v>
      </c>
      <c r="T17" s="48" t="s">
        <v>189</v>
      </c>
      <c r="U17" s="48" t="s">
        <v>171</v>
      </c>
      <c r="V17" s="48" t="s">
        <v>196</v>
      </c>
      <c r="W17" s="48" t="s">
        <v>213</v>
      </c>
      <c r="X17"/>
      <c r="Y17"/>
      <c r="Z17"/>
    </row>
    <row r="18" spans="1:26" ht="15.75" customHeight="1" x14ac:dyDescent="0.25">
      <c r="A18" s="146" t="s">
        <v>161</v>
      </c>
      <c r="B18" s="146"/>
      <c r="C18" s="146" t="s">
        <v>382</v>
      </c>
      <c r="D18" s="146"/>
      <c r="E18" s="146"/>
      <c r="F18" s="146"/>
      <c r="G18" s="146"/>
      <c r="H18" s="146"/>
      <c r="S18" s="48" t="s">
        <v>182</v>
      </c>
      <c r="T18" s="48" t="s">
        <v>187</v>
      </c>
      <c r="U18" s="48"/>
      <c r="V18" s="48" t="s">
        <v>197</v>
      </c>
      <c r="W18" s="48" t="s">
        <v>214</v>
      </c>
      <c r="X18"/>
      <c r="Y18"/>
      <c r="Z18"/>
    </row>
    <row r="19" spans="1:26" ht="15.75" customHeight="1" x14ac:dyDescent="0.25">
      <c r="A19" s="196" t="s">
        <v>9</v>
      </c>
      <c r="B19" s="196"/>
      <c r="C19" s="184" t="s">
        <v>367</v>
      </c>
      <c r="D19" s="184"/>
      <c r="E19" s="196" t="s">
        <v>68</v>
      </c>
      <c r="F19" s="196"/>
      <c r="G19" s="146" t="s">
        <v>357</v>
      </c>
      <c r="H19" s="146"/>
      <c r="S19" s="48" t="s">
        <v>183</v>
      </c>
      <c r="T19" s="48" t="s">
        <v>190</v>
      </c>
      <c r="U19" s="48"/>
      <c r="V19" s="48" t="s">
        <v>198</v>
      </c>
      <c r="W19" s="48" t="s">
        <v>215</v>
      </c>
      <c r="X19"/>
      <c r="Y19"/>
      <c r="Z19"/>
    </row>
    <row r="20" spans="1:26" x14ac:dyDescent="0.25">
      <c r="A20" s="144" t="s">
        <v>11</v>
      </c>
      <c r="B20" s="144"/>
      <c r="C20" s="146" t="s">
        <v>387</v>
      </c>
      <c r="D20" s="146"/>
      <c r="E20" s="146" t="s">
        <v>10</v>
      </c>
      <c r="F20" s="146"/>
      <c r="G20" s="212" t="s">
        <v>192</v>
      </c>
      <c r="H20" s="212"/>
      <c r="S20" s="48" t="s">
        <v>184</v>
      </c>
      <c r="T20" s="48" t="s">
        <v>191</v>
      </c>
      <c r="U20" s="48"/>
      <c r="V20" s="48" t="s">
        <v>199</v>
      </c>
      <c r="W20" s="48" t="s">
        <v>216</v>
      </c>
      <c r="X20"/>
      <c r="Y20"/>
      <c r="Z20"/>
    </row>
    <row r="21" spans="1:26" x14ac:dyDescent="0.25">
      <c r="A21" s="144" t="s">
        <v>69</v>
      </c>
      <c r="B21" s="144"/>
      <c r="C21" s="146" t="s">
        <v>202</v>
      </c>
      <c r="D21" s="146"/>
      <c r="E21" s="146" t="s">
        <v>12</v>
      </c>
      <c r="F21" s="146"/>
      <c r="G21" s="146">
        <v>402104</v>
      </c>
      <c r="H21" s="146"/>
      <c r="S21" s="48"/>
      <c r="T21" s="48"/>
      <c r="U21" s="48"/>
      <c r="V21" s="48" t="s">
        <v>200</v>
      </c>
      <c r="W21" s="48" t="s">
        <v>217</v>
      </c>
      <c r="X21"/>
      <c r="Y21"/>
      <c r="Z21"/>
    </row>
    <row r="22" spans="1:26" ht="32.25" customHeight="1" x14ac:dyDescent="0.25">
      <c r="A22" s="144" t="s">
        <v>117</v>
      </c>
      <c r="B22" s="144"/>
      <c r="C22" s="146" t="s">
        <v>359</v>
      </c>
      <c r="D22" s="146"/>
      <c r="E22" s="196" t="s">
        <v>13</v>
      </c>
      <c r="F22" s="196"/>
      <c r="G22" s="146" t="s">
        <v>358</v>
      </c>
      <c r="H22" s="146"/>
      <c r="S22" s="48"/>
      <c r="T22" s="48"/>
      <c r="U22" s="48"/>
      <c r="V22" s="48" t="s">
        <v>201</v>
      </c>
      <c r="W22" s="48" t="s">
        <v>218</v>
      </c>
      <c r="X22"/>
      <c r="Y22"/>
      <c r="Z22"/>
    </row>
    <row r="23" spans="1:26" ht="15" customHeight="1" x14ac:dyDescent="0.25">
      <c r="A23" s="196" t="s">
        <v>71</v>
      </c>
      <c r="B23" s="196"/>
      <c r="C23" s="196"/>
      <c r="D23" s="196"/>
      <c r="E23" s="184" t="s">
        <v>14</v>
      </c>
      <c r="F23" s="184"/>
      <c r="G23" s="184"/>
      <c r="H23" s="184"/>
      <c r="S23" s="48"/>
      <c r="T23" s="48"/>
      <c r="U23" s="48"/>
      <c r="V23" s="48" t="s">
        <v>202</v>
      </c>
      <c r="W23" s="48" t="s">
        <v>219</v>
      </c>
      <c r="X23"/>
      <c r="Y23"/>
      <c r="Z23"/>
    </row>
    <row r="24" spans="1:26" ht="18.75" customHeight="1" x14ac:dyDescent="0.25">
      <c r="A24" s="196"/>
      <c r="B24" s="196"/>
      <c r="C24" s="196"/>
      <c r="D24" s="196"/>
      <c r="E24" s="184"/>
      <c r="F24" s="184"/>
      <c r="G24" s="184"/>
      <c r="H24" s="184"/>
      <c r="S24" s="48"/>
      <c r="T24" s="48"/>
      <c r="U24" s="48"/>
      <c r="V24" s="48" t="s">
        <v>203</v>
      </c>
      <c r="W24" s="48" t="s">
        <v>220</v>
      </c>
      <c r="X24"/>
      <c r="Y24"/>
      <c r="Z24"/>
    </row>
    <row r="25" spans="1:26" ht="15" customHeight="1" x14ac:dyDescent="0.25">
      <c r="A25" s="196" t="s">
        <v>15</v>
      </c>
      <c r="B25" s="196"/>
      <c r="C25" s="196"/>
      <c r="D25" s="196"/>
      <c r="E25" s="146" t="s">
        <v>16</v>
      </c>
      <c r="F25" s="146"/>
      <c r="G25" s="146"/>
      <c r="H25" s="146"/>
      <c r="S25" s="48"/>
      <c r="T25" s="48"/>
      <c r="U25" s="48"/>
      <c r="V25" s="48" t="s">
        <v>204</v>
      </c>
      <c r="W25" s="48" t="s">
        <v>221</v>
      </c>
      <c r="X25"/>
      <c r="Y25"/>
      <c r="Z25"/>
    </row>
    <row r="26" spans="1:26" ht="15" customHeight="1" x14ac:dyDescent="0.25">
      <c r="A26" s="144" t="s">
        <v>17</v>
      </c>
      <c r="B26" s="144"/>
      <c r="C26" s="144"/>
      <c r="D26" s="144"/>
      <c r="E26" s="146" t="str">
        <f>IF(AND(G20="Mumbai"),"Upper Class","Middle Class")</f>
        <v>Middle Class</v>
      </c>
      <c r="F26" s="146"/>
      <c r="G26" s="146"/>
      <c r="H26" s="146"/>
      <c r="S26" s="48"/>
      <c r="T26" s="48"/>
      <c r="U26" s="48"/>
      <c r="V26" s="48" t="s">
        <v>205</v>
      </c>
      <c r="W26" s="48" t="s">
        <v>222</v>
      </c>
      <c r="X26"/>
      <c r="Y26"/>
      <c r="Z26"/>
    </row>
    <row r="27" spans="1:26" x14ac:dyDescent="0.25">
      <c r="A27" s="144" t="s">
        <v>18</v>
      </c>
      <c r="B27" s="144"/>
      <c r="C27" s="144"/>
      <c r="D27" s="144"/>
      <c r="E27" s="146" t="s">
        <v>19</v>
      </c>
      <c r="F27" s="146"/>
      <c r="G27" s="146"/>
      <c r="H27" s="146"/>
      <c r="S27" s="48"/>
      <c r="T27" s="48"/>
      <c r="U27" s="48"/>
      <c r="V27" s="48" t="s">
        <v>206</v>
      </c>
      <c r="W27" s="48" t="s">
        <v>223</v>
      </c>
      <c r="X27"/>
      <c r="Y27"/>
      <c r="Z27"/>
    </row>
    <row r="28" spans="1:26" ht="15.75" customHeight="1" x14ac:dyDescent="0.25">
      <c r="A28" s="144" t="s">
        <v>20</v>
      </c>
      <c r="B28" s="144"/>
      <c r="C28" s="144"/>
      <c r="D28" s="144"/>
      <c r="E28" s="146" t="str">
        <f>IF(AND(G20="Mumbai"),"Developed","Developing")</f>
        <v>Developing</v>
      </c>
      <c r="F28" s="146"/>
      <c r="G28" s="146"/>
      <c r="H28" s="146"/>
    </row>
    <row r="29" spans="1:26" x14ac:dyDescent="0.25">
      <c r="A29" s="144" t="s">
        <v>21</v>
      </c>
      <c r="B29" s="144"/>
      <c r="C29" s="144"/>
      <c r="D29" s="144"/>
      <c r="E29" s="146" t="s">
        <v>22</v>
      </c>
      <c r="F29" s="146"/>
      <c r="G29" s="146"/>
      <c r="H29" s="146"/>
    </row>
    <row r="30" spans="1:26" ht="15.75" customHeight="1" x14ac:dyDescent="0.25">
      <c r="A30" s="144" t="s">
        <v>76</v>
      </c>
      <c r="B30" s="144"/>
      <c r="C30" s="144"/>
      <c r="D30" s="144"/>
      <c r="E30" s="146" t="s">
        <v>77</v>
      </c>
      <c r="F30" s="146"/>
      <c r="G30" s="146"/>
      <c r="H30" s="146"/>
    </row>
    <row r="31" spans="1:26" ht="15" customHeight="1" x14ac:dyDescent="0.25">
      <c r="A31" s="144" t="s">
        <v>29</v>
      </c>
      <c r="B31" s="144"/>
      <c r="C31" s="144"/>
      <c r="D31" s="144"/>
      <c r="E31" s="14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6"/>
      <c r="G31" s="146"/>
      <c r="H31" s="146"/>
    </row>
    <row r="32" spans="1:26" ht="15.75" customHeight="1" x14ac:dyDescent="0.25">
      <c r="A32" s="144" t="s">
        <v>88</v>
      </c>
      <c r="B32" s="144"/>
      <c r="C32" s="144"/>
      <c r="D32" s="144"/>
      <c r="E32" s="146" t="s">
        <v>30</v>
      </c>
      <c r="F32" s="146"/>
      <c r="G32" s="146"/>
      <c r="H32" s="146"/>
    </row>
    <row r="33" spans="1:19" s="19" customFormat="1" x14ac:dyDescent="0.25">
      <c r="A33" s="211" t="s">
        <v>89</v>
      </c>
      <c r="B33" s="211"/>
      <c r="C33" s="208" t="s">
        <v>172</v>
      </c>
      <c r="D33" s="209"/>
      <c r="E33" s="210"/>
      <c r="F33" s="208" t="s">
        <v>28</v>
      </c>
      <c r="G33" s="209"/>
      <c r="H33" s="210"/>
      <c r="S33" s="19" t="e">
        <f ca="1">OFFSET($S$13,1,MATCH($G20,$S$13:$W$13,0)-1,15,1)</f>
        <v>#VALUE!</v>
      </c>
    </row>
    <row r="34" spans="1:19" s="19" customFormat="1" x14ac:dyDescent="0.25">
      <c r="A34" s="164" t="s">
        <v>23</v>
      </c>
      <c r="B34" s="164" t="s">
        <v>27</v>
      </c>
      <c r="C34" s="165" t="s">
        <v>366</v>
      </c>
      <c r="D34" s="166"/>
      <c r="E34" s="167"/>
      <c r="F34" s="165" t="s">
        <v>368</v>
      </c>
      <c r="G34" s="166"/>
      <c r="H34" s="167"/>
    </row>
    <row r="35" spans="1:19" x14ac:dyDescent="0.25">
      <c r="A35" s="164" t="s">
        <v>24</v>
      </c>
      <c r="B35" s="164" t="s">
        <v>27</v>
      </c>
      <c r="C35" s="165" t="s">
        <v>365</v>
      </c>
      <c r="D35" s="166"/>
      <c r="E35" s="167"/>
      <c r="F35" s="165" t="s">
        <v>368</v>
      </c>
      <c r="G35" s="166"/>
      <c r="H35" s="167"/>
    </row>
    <row r="36" spans="1:19" s="19" customFormat="1" x14ac:dyDescent="0.25">
      <c r="A36" s="164" t="s">
        <v>26</v>
      </c>
      <c r="B36" s="164" t="s">
        <v>27</v>
      </c>
      <c r="C36" s="165" t="s">
        <v>363</v>
      </c>
      <c r="D36" s="166"/>
      <c r="E36" s="167"/>
      <c r="F36" s="165" t="s">
        <v>368</v>
      </c>
      <c r="G36" s="166"/>
      <c r="H36" s="167"/>
    </row>
    <row r="37" spans="1:19" x14ac:dyDescent="0.25">
      <c r="A37" s="164" t="s">
        <v>25</v>
      </c>
      <c r="B37" s="164" t="s">
        <v>27</v>
      </c>
      <c r="C37" s="165" t="s">
        <v>364</v>
      </c>
      <c r="D37" s="166"/>
      <c r="E37" s="167"/>
      <c r="F37" s="165" t="s">
        <v>367</v>
      </c>
      <c r="G37" s="166"/>
      <c r="H37" s="167"/>
    </row>
    <row r="38" spans="1:19" x14ac:dyDescent="0.25">
      <c r="A38" s="144" t="s">
        <v>278</v>
      </c>
      <c r="B38" s="144"/>
      <c r="C38" s="144"/>
      <c r="D38" s="144"/>
      <c r="E38" s="144"/>
      <c r="F38" s="144"/>
      <c r="G38" s="144"/>
      <c r="H38" s="144"/>
    </row>
    <row r="39" spans="1:19" ht="15.75" customHeight="1" x14ac:dyDescent="0.25">
      <c r="A39" s="144" t="s">
        <v>164</v>
      </c>
      <c r="B39" s="144"/>
      <c r="C39" s="169" t="s">
        <v>386</v>
      </c>
      <c r="D39" s="169"/>
      <c r="E39" s="169"/>
      <c r="F39" s="169"/>
      <c r="G39" s="169"/>
      <c r="H39" s="169"/>
    </row>
    <row r="40" spans="1:19" x14ac:dyDescent="0.25">
      <c r="A40" s="144" t="s">
        <v>160</v>
      </c>
      <c r="B40" s="144"/>
      <c r="C40" s="145" t="s">
        <v>362</v>
      </c>
      <c r="D40" s="146"/>
      <c r="E40" s="146"/>
      <c r="F40" s="146"/>
      <c r="G40" s="146"/>
      <c r="H40" s="146"/>
    </row>
    <row r="41" spans="1:19" x14ac:dyDescent="0.25">
      <c r="A41" s="169" t="s">
        <v>31</v>
      </c>
      <c r="B41" s="169"/>
      <c r="C41" s="169"/>
      <c r="D41" s="169"/>
      <c r="E41" s="169"/>
      <c r="F41" s="169"/>
      <c r="G41" s="169"/>
      <c r="H41" s="169"/>
    </row>
    <row r="42" spans="1:19" x14ac:dyDescent="0.25">
      <c r="A42" s="144" t="s">
        <v>32</v>
      </c>
      <c r="B42" s="144"/>
      <c r="C42" s="144"/>
      <c r="D42" s="144"/>
      <c r="E42" s="168">
        <v>552</v>
      </c>
      <c r="F42" s="168"/>
      <c r="G42" s="168"/>
      <c r="H42" s="168"/>
    </row>
    <row r="43" spans="1:19" x14ac:dyDescent="0.25">
      <c r="A43" s="144" t="s">
        <v>33</v>
      </c>
      <c r="B43" s="144"/>
      <c r="C43" s="144"/>
      <c r="D43" s="144"/>
      <c r="E43" s="268">
        <f>698.28/E42</f>
        <v>1.2649999999999999</v>
      </c>
      <c r="F43" s="268"/>
      <c r="G43" s="268"/>
      <c r="H43" s="268"/>
    </row>
    <row r="44" spans="1:19" x14ac:dyDescent="0.25">
      <c r="A44" s="144" t="s">
        <v>34</v>
      </c>
      <c r="B44" s="144"/>
      <c r="C44" s="144"/>
      <c r="D44" s="144"/>
      <c r="E44" s="185">
        <f>E46/E42-E43</f>
        <v>1.1259782608695652</v>
      </c>
      <c r="F44" s="185"/>
      <c r="G44" s="185"/>
      <c r="H44" s="185"/>
    </row>
    <row r="45" spans="1:19" x14ac:dyDescent="0.25">
      <c r="A45" s="144" t="s">
        <v>35</v>
      </c>
      <c r="B45" s="144"/>
      <c r="C45" s="144"/>
      <c r="D45" s="144"/>
      <c r="E45" s="185">
        <f>E43+E44</f>
        <v>2.3909782608695651</v>
      </c>
      <c r="F45" s="185"/>
      <c r="G45" s="185"/>
      <c r="H45" s="185"/>
    </row>
    <row r="46" spans="1:19" x14ac:dyDescent="0.25">
      <c r="A46" s="144" t="s">
        <v>87</v>
      </c>
      <c r="B46" s="144"/>
      <c r="C46" s="144"/>
      <c r="D46" s="144"/>
      <c r="E46" s="186">
        <v>1319.82</v>
      </c>
      <c r="F46" s="186"/>
      <c r="G46" s="186"/>
      <c r="H46" s="186"/>
    </row>
    <row r="47" spans="1:19" x14ac:dyDescent="0.25">
      <c r="A47" s="184" t="s">
        <v>36</v>
      </c>
      <c r="B47" s="184"/>
      <c r="C47" s="184"/>
      <c r="D47" s="184"/>
      <c r="E47" s="184" t="s">
        <v>116</v>
      </c>
      <c r="F47" s="184"/>
      <c r="G47" s="184"/>
      <c r="H47" s="184"/>
    </row>
    <row r="48" spans="1:19" x14ac:dyDescent="0.25">
      <c r="A48" s="169" t="s">
        <v>37</v>
      </c>
      <c r="B48" s="169"/>
      <c r="C48" s="169"/>
      <c r="D48" s="169"/>
      <c r="E48" s="169"/>
      <c r="F48" s="169"/>
      <c r="G48" s="169"/>
      <c r="H48" s="169"/>
    </row>
    <row r="49" spans="1:24" ht="33.75" customHeight="1" x14ac:dyDescent="0.25">
      <c r="A49" s="171" t="s">
        <v>149</v>
      </c>
      <c r="B49" s="173"/>
      <c r="C49" s="192" t="s">
        <v>369</v>
      </c>
      <c r="D49" s="193"/>
      <c r="E49" s="193"/>
      <c r="F49" s="193"/>
      <c r="G49" s="193"/>
      <c r="H49" s="194"/>
      <c r="R49" t="s">
        <v>251</v>
      </c>
      <c r="S49" s="51" t="s">
        <v>171</v>
      </c>
      <c r="T49" s="51" t="s">
        <v>178</v>
      </c>
      <c r="U49" s="51" t="s">
        <v>192</v>
      </c>
      <c r="V49" s="51" t="s">
        <v>187</v>
      </c>
    </row>
    <row r="50" spans="1:24" ht="15.75" customHeight="1" x14ac:dyDescent="0.25">
      <c r="A50" s="171" t="s">
        <v>38</v>
      </c>
      <c r="B50" s="173"/>
      <c r="C50" s="171" t="s">
        <v>388</v>
      </c>
      <c r="D50" s="172"/>
      <c r="E50" s="173"/>
      <c r="F50" s="17" t="s">
        <v>39</v>
      </c>
      <c r="G50" s="174">
        <v>45076</v>
      </c>
      <c r="H50" s="175"/>
      <c r="R50"/>
      <c r="S50" s="51" t="s">
        <v>252</v>
      </c>
      <c r="T50" s="51" t="s">
        <v>257</v>
      </c>
      <c r="U50" s="51" t="s">
        <v>268</v>
      </c>
      <c r="V50" s="51" t="s">
        <v>273</v>
      </c>
    </row>
    <row r="51" spans="1:24" x14ac:dyDescent="0.25">
      <c r="A51" s="171" t="s">
        <v>40</v>
      </c>
      <c r="B51" s="173"/>
      <c r="C51" s="171" t="str">
        <f>C50</f>
        <v>MNP/BD/EP/354</v>
      </c>
      <c r="D51" s="172"/>
      <c r="E51" s="173"/>
      <c r="F51" s="17" t="s">
        <v>39</v>
      </c>
      <c r="G51" s="174">
        <f>G50</f>
        <v>45076</v>
      </c>
      <c r="H51" s="175"/>
      <c r="R51"/>
      <c r="S51" s="51" t="s">
        <v>253</v>
      </c>
      <c r="T51" s="51" t="s">
        <v>355</v>
      </c>
      <c r="U51" s="51" t="s">
        <v>266</v>
      </c>
      <c r="V51" s="51" t="s">
        <v>274</v>
      </c>
    </row>
    <row r="52" spans="1:24" s="20" customFormat="1" ht="15.75" customHeight="1" x14ac:dyDescent="0.25">
      <c r="A52" s="180" t="s">
        <v>153</v>
      </c>
      <c r="B52" s="181"/>
      <c r="C52" s="171" t="s">
        <v>380</v>
      </c>
      <c r="D52" s="172"/>
      <c r="E52" s="173"/>
      <c r="F52" s="17" t="s">
        <v>39</v>
      </c>
      <c r="G52" s="174">
        <v>45076</v>
      </c>
      <c r="H52" s="175"/>
      <c r="I52" s="19" t="str">
        <f ca="1">IF(G52&gt;EDATE(E3,-48),"NO REMARK","CC REMARK FOR CC")</f>
        <v>NO REMARK</v>
      </c>
      <c r="J52" s="77"/>
      <c r="R52"/>
      <c r="S52" s="51" t="s">
        <v>254</v>
      </c>
      <c r="T52" s="51" t="s">
        <v>259</v>
      </c>
      <c r="U52" s="51" t="s">
        <v>256</v>
      </c>
      <c r="V52" s="51" t="s">
        <v>275</v>
      </c>
    </row>
    <row r="53" spans="1:24" s="20" customFormat="1" x14ac:dyDescent="0.25">
      <c r="A53" s="182"/>
      <c r="B53" s="183"/>
      <c r="C53" s="171" t="s">
        <v>381</v>
      </c>
      <c r="D53" s="172"/>
      <c r="E53" s="172"/>
      <c r="F53" s="172"/>
      <c r="G53" s="172"/>
      <c r="H53" s="173"/>
      <c r="R53"/>
      <c r="S53" s="51" t="s">
        <v>255</v>
      </c>
      <c r="T53" s="51" t="s">
        <v>262</v>
      </c>
      <c r="U53" s="51" t="s">
        <v>269</v>
      </c>
      <c r="V53" s="70" t="s">
        <v>347</v>
      </c>
    </row>
    <row r="54" spans="1:24" s="20" customFormat="1" hidden="1" x14ac:dyDescent="0.25">
      <c r="A54" s="176" t="s">
        <v>279</v>
      </c>
      <c r="B54" s="177"/>
      <c r="C54" s="171"/>
      <c r="D54" s="172"/>
      <c r="E54" s="173"/>
      <c r="F54" s="17" t="s">
        <v>39</v>
      </c>
      <c r="G54" s="174"/>
      <c r="H54" s="175"/>
      <c r="K54" s="78">
        <f>EDATE(G52,-48)</f>
        <v>43615</v>
      </c>
      <c r="L54" s="20" t="str">
        <f ca="1">IF(G52&gt;EDATE(E3,-48),"NO REMARK","CC REMARK FOR CC")</f>
        <v>NO REMARK</v>
      </c>
      <c r="R54"/>
      <c r="S54" s="51" t="s">
        <v>254</v>
      </c>
      <c r="T54" s="51" t="s">
        <v>259</v>
      </c>
      <c r="U54" s="51" t="s">
        <v>256</v>
      </c>
      <c r="V54" s="51" t="s">
        <v>275</v>
      </c>
    </row>
    <row r="55" spans="1:24" s="20" customFormat="1" ht="32.25" hidden="1" customHeight="1" x14ac:dyDescent="0.25">
      <c r="A55" s="178"/>
      <c r="B55" s="179"/>
      <c r="C55" s="155"/>
      <c r="D55" s="156"/>
      <c r="E55" s="156"/>
      <c r="F55" s="156"/>
      <c r="G55" s="156"/>
      <c r="H55" s="157"/>
      <c r="R55"/>
      <c r="S55" s="51" t="s">
        <v>256</v>
      </c>
      <c r="T55" s="51" t="s">
        <v>260</v>
      </c>
      <c r="U55" s="51" t="s">
        <v>270</v>
      </c>
      <c r="V55" s="71"/>
      <c r="W55" s="18"/>
      <c r="X55" s="18"/>
    </row>
    <row r="56" spans="1:24" s="20" customFormat="1" ht="34.5" hidden="1" customHeight="1" x14ac:dyDescent="0.25">
      <c r="A56" s="176" t="s">
        <v>280</v>
      </c>
      <c r="B56" s="177"/>
      <c r="C56" s="171">
        <f>C55</f>
        <v>0</v>
      </c>
      <c r="D56" s="172"/>
      <c r="E56" s="173"/>
      <c r="F56" s="17" t="s">
        <v>39</v>
      </c>
      <c r="G56" s="174">
        <f>G55</f>
        <v>0</v>
      </c>
      <c r="H56" s="175"/>
      <c r="R56"/>
      <c r="S56" s="71"/>
      <c r="T56" s="51" t="s">
        <v>261</v>
      </c>
      <c r="U56" s="51" t="s">
        <v>271</v>
      </c>
      <c r="V56" s="71"/>
      <c r="W56" s="18"/>
      <c r="X56" s="18"/>
    </row>
    <row r="57" spans="1:24" s="20" customFormat="1" ht="41.25" hidden="1" customHeight="1" x14ac:dyDescent="0.25">
      <c r="A57" s="178"/>
      <c r="B57" s="179"/>
      <c r="C57" s="171"/>
      <c r="D57" s="172"/>
      <c r="E57" s="172"/>
      <c r="F57" s="172"/>
      <c r="G57" s="172"/>
      <c r="H57" s="173"/>
      <c r="R57"/>
      <c r="S57" s="71"/>
      <c r="T57" s="51" t="s">
        <v>263</v>
      </c>
      <c r="U57" s="51" t="s">
        <v>369</v>
      </c>
      <c r="V57" s="71"/>
      <c r="W57" s="18"/>
      <c r="X57" s="18"/>
    </row>
    <row r="58" spans="1:24" s="20" customFormat="1" ht="15.75" hidden="1" customHeight="1" x14ac:dyDescent="0.25">
      <c r="A58" s="176" t="s">
        <v>349</v>
      </c>
      <c r="B58" s="177"/>
      <c r="C58" s="171"/>
      <c r="D58" s="172"/>
      <c r="E58" s="173"/>
      <c r="F58" s="17" t="s">
        <v>39</v>
      </c>
      <c r="G58" s="174"/>
      <c r="H58" s="175"/>
      <c r="R58"/>
      <c r="S58" s="71"/>
      <c r="T58" s="51" t="s">
        <v>264</v>
      </c>
      <c r="U58" s="71" t="s">
        <v>294</v>
      </c>
      <c r="V58" s="71"/>
      <c r="W58" s="18"/>
      <c r="X58" s="18"/>
    </row>
    <row r="59" spans="1:24" s="20" customFormat="1" ht="33.75" hidden="1" customHeight="1" x14ac:dyDescent="0.25">
      <c r="A59" s="178"/>
      <c r="B59" s="179"/>
      <c r="C59" s="196" t="s">
        <v>351</v>
      </c>
      <c r="D59" s="196"/>
      <c r="E59" s="196"/>
      <c r="F59" s="17" t="s">
        <v>350</v>
      </c>
      <c r="G59" s="174"/>
      <c r="H59" s="175"/>
      <c r="R59"/>
      <c r="S59" s="71"/>
      <c r="T59" s="51" t="s">
        <v>265</v>
      </c>
      <c r="U59" s="71"/>
      <c r="V59" s="71"/>
      <c r="W59" s="18"/>
      <c r="X59" s="18"/>
    </row>
    <row r="60" spans="1:24" x14ac:dyDescent="0.25">
      <c r="A60" s="262" t="s">
        <v>41</v>
      </c>
      <c r="B60" s="263"/>
      <c r="C60" s="262" t="s">
        <v>101</v>
      </c>
      <c r="D60" s="264"/>
      <c r="E60" s="263"/>
      <c r="F60" s="40" t="s">
        <v>39</v>
      </c>
      <c r="G60" s="265" t="s">
        <v>27</v>
      </c>
      <c r="H60" s="266"/>
      <c r="R60"/>
      <c r="S60" s="71"/>
      <c r="T60" s="51" t="s">
        <v>267</v>
      </c>
      <c r="U60" s="71"/>
      <c r="V60" s="71"/>
    </row>
    <row r="61" spans="1:24" x14ac:dyDescent="0.25">
      <c r="A61" s="195" t="s">
        <v>43</v>
      </c>
      <c r="B61" s="195"/>
      <c r="C61" s="195"/>
      <c r="D61" s="195"/>
      <c r="E61" s="195"/>
      <c r="F61" s="195"/>
      <c r="G61" s="195"/>
      <c r="H61" s="195"/>
      <c r="S61" s="71"/>
      <c r="T61" s="51" t="s">
        <v>276</v>
      </c>
      <c r="U61" s="71"/>
      <c r="V61" s="71"/>
    </row>
    <row r="62" spans="1:24" x14ac:dyDescent="0.25">
      <c r="A62" s="196" t="s">
        <v>86</v>
      </c>
      <c r="B62" s="196"/>
      <c r="C62" s="196"/>
      <c r="D62" s="144">
        <f>E46</f>
        <v>1319.82</v>
      </c>
      <c r="E62" s="144"/>
      <c r="F62" s="144"/>
      <c r="G62" s="144"/>
      <c r="H62" s="144"/>
      <c r="R62"/>
    </row>
    <row r="63" spans="1:24" x14ac:dyDescent="0.25">
      <c r="A63" s="146" t="s">
        <v>44</v>
      </c>
      <c r="B63" s="184"/>
      <c r="C63" s="184"/>
      <c r="D63" s="184" t="s">
        <v>384</v>
      </c>
      <c r="E63" s="184"/>
      <c r="F63" s="184"/>
      <c r="G63" s="184"/>
      <c r="H63" s="184"/>
      <c r="I63" s="21"/>
      <c r="R63"/>
    </row>
    <row r="64" spans="1:24" x14ac:dyDescent="0.25">
      <c r="A64" s="189" t="s">
        <v>45</v>
      </c>
      <c r="B64" s="190"/>
      <c r="C64" s="191"/>
      <c r="D64" s="187" t="s">
        <v>370</v>
      </c>
      <c r="E64" s="188"/>
      <c r="F64" s="188"/>
      <c r="G64" s="188"/>
      <c r="H64" s="188"/>
      <c r="R64"/>
    </row>
    <row r="65" spans="1:19" ht="15.75" customHeight="1" x14ac:dyDescent="0.25">
      <c r="A65" s="189" t="s">
        <v>84</v>
      </c>
      <c r="B65" s="190"/>
      <c r="C65" s="190"/>
      <c r="D65" s="184" t="s">
        <v>370</v>
      </c>
      <c r="E65" s="184"/>
      <c r="F65" s="184"/>
      <c r="G65" s="184"/>
      <c r="H65" s="184"/>
      <c r="R65"/>
    </row>
    <row r="66" spans="1:19" ht="15.75" customHeight="1" x14ac:dyDescent="0.25">
      <c r="A66" s="144" t="s">
        <v>42</v>
      </c>
      <c r="B66" s="144"/>
      <c r="C66" s="144"/>
      <c r="D66" s="170" t="s">
        <v>371</v>
      </c>
      <c r="E66" s="170"/>
      <c r="F66" s="170"/>
      <c r="G66" s="170"/>
      <c r="H66" s="170"/>
      <c r="J66" s="22"/>
      <c r="K66" s="21"/>
      <c r="N66" s="21"/>
      <c r="S66"/>
    </row>
    <row r="67" spans="1:19" ht="15.75" customHeight="1" x14ac:dyDescent="0.25">
      <c r="A67" s="144" t="s">
        <v>82</v>
      </c>
      <c r="B67" s="144"/>
      <c r="C67" s="144"/>
      <c r="D67" s="202" t="str">
        <f>(IF(G60="NA","60 Years After Completion",IF(G60&lt;&gt;"NA",""&amp;60-ROUNDDOWN((E3-G60)/360,0)&amp;" Years"," ")))</f>
        <v>60 Years After Completion</v>
      </c>
      <c r="E67" s="202"/>
      <c r="F67" s="202"/>
      <c r="G67" s="202"/>
      <c r="H67" s="202"/>
      <c r="N67" s="21"/>
      <c r="S67"/>
    </row>
    <row r="68" spans="1:19" ht="15.75" customHeight="1" x14ac:dyDescent="0.25">
      <c r="A68" s="144" t="s">
        <v>83</v>
      </c>
      <c r="B68" s="144"/>
      <c r="C68" s="144"/>
      <c r="D68" s="196" t="s">
        <v>22</v>
      </c>
      <c r="E68" s="196"/>
      <c r="F68" s="196"/>
      <c r="G68" s="196"/>
      <c r="H68" s="196"/>
      <c r="J68" s="23"/>
      <c r="K68" s="23"/>
      <c r="S68"/>
    </row>
    <row r="69" spans="1:19" x14ac:dyDescent="0.25">
      <c r="A69" s="184" t="s">
        <v>399</v>
      </c>
      <c r="B69" s="184"/>
      <c r="C69" s="184"/>
      <c r="D69" s="146" t="s">
        <v>400</v>
      </c>
      <c r="E69" s="146"/>
      <c r="F69" s="146"/>
      <c r="G69" s="146"/>
      <c r="H69" s="146"/>
      <c r="I69" s="83" t="s">
        <v>379</v>
      </c>
      <c r="S69"/>
    </row>
    <row r="70" spans="1:19" x14ac:dyDescent="0.25">
      <c r="A70" s="196" t="s">
        <v>145</v>
      </c>
      <c r="B70" s="196"/>
      <c r="C70" s="196"/>
      <c r="D70" s="196" t="s">
        <v>27</v>
      </c>
      <c r="E70" s="196"/>
      <c r="F70" s="196"/>
      <c r="G70" s="196"/>
      <c r="H70" s="196"/>
      <c r="I70" s="24"/>
      <c r="J70" s="24"/>
      <c r="K70" s="24"/>
      <c r="L70" s="24"/>
      <c r="M70" s="24"/>
      <c r="N70" s="24"/>
    </row>
    <row r="71" spans="1:19" ht="15.75" customHeight="1" x14ac:dyDescent="0.25">
      <c r="A71" s="201" t="s">
        <v>81</v>
      </c>
      <c r="B71" s="201"/>
      <c r="C71" s="201"/>
      <c r="D71" s="187" t="str">
        <f ca="1">(IF(G77&gt;95%,"Nothing",IF(G77&gt;0%,"Cement, Aggregate, Steel, etc",IF(G77=0%,"Work not yet Started"))))</f>
        <v>Cement, Aggregate, Steel, etc</v>
      </c>
      <c r="E71" s="187"/>
      <c r="F71" s="187"/>
      <c r="G71" s="187"/>
      <c r="H71" s="187"/>
      <c r="J71" s="23"/>
      <c r="S71"/>
    </row>
    <row r="72" spans="1:19" ht="33.75" customHeight="1" thickBot="1" x14ac:dyDescent="0.3">
      <c r="A72" s="200" t="s">
        <v>114</v>
      </c>
      <c r="B72" s="200"/>
      <c r="C72" s="200"/>
      <c r="D72" s="187" t="str">
        <f ca="1">(IF(D71="Nothing","Yes",IF(D71="Cement, Aggregate, Steel, etc","Under Construction",IF(D71="Work not yet Started","Work not yet Started"))))</f>
        <v>Under Construction</v>
      </c>
      <c r="E72" s="187"/>
      <c r="F72" s="187" t="str">
        <f ca="1">(IF(D71="Nothing","Yes",IF(D71="Cement, Aggregate, Steel, etc","Under Construction",IF(D71="Work not yet Started","Work not yet Started"))))</f>
        <v>Under Construction</v>
      </c>
      <c r="G72" s="187"/>
      <c r="H72" s="187"/>
      <c r="S72"/>
    </row>
    <row r="73" spans="1:19" ht="15.75" customHeight="1" x14ac:dyDescent="0.25">
      <c r="A73" s="205" t="s">
        <v>135</v>
      </c>
      <c r="B73" s="206"/>
      <c r="C73" s="272" t="str">
        <f>D65</f>
        <v>Gr + 1st to 4th Floor</v>
      </c>
      <c r="D73" s="273"/>
      <c r="E73" s="273"/>
      <c r="F73" s="273"/>
      <c r="G73" s="273"/>
      <c r="H73" s="274"/>
      <c r="I73" s="42" t="str">
        <f ca="1">IF(D86=100%,"All work Completed. Possession granted to the Building.",IF(D85=100%,"All work Completed, Waiting for OC",I74&amp;""&amp;I75&amp;""&amp;J74&amp;""&amp;J73&amp;" "&amp;J75))</f>
        <v xml:space="preserve">Excavation, Plinth, RCC Slab, Brickwork, Internal Plaster, External Plaster Completed </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25">
      <c r="A74" s="15" t="s">
        <v>137</v>
      </c>
      <c r="B74" s="46">
        <f>IF(AND(ISNUMBER(SEARCH("1B",C73))),1,IF(AND(ISNUMBER(SEARCH("2B",C73))),2,IF(AND(ISNUMBER(SEARCH("3B",C73))),3,IF(AND(ISNUMBER(SEARCH("4B",C73))),4,IF(ISNUMBER(SEARCH("5B",C73)),5,0)))))</f>
        <v>0</v>
      </c>
      <c r="C74" s="46" t="s">
        <v>67</v>
      </c>
      <c r="D74" s="46">
        <v>1</v>
      </c>
      <c r="E74" s="46" t="s">
        <v>66</v>
      </c>
      <c r="F74" s="46">
        <v>0</v>
      </c>
      <c r="G74" s="46" t="s">
        <v>75</v>
      </c>
      <c r="H74" s="16">
        <f ca="1">--TRIM(RIGHT(SUBSTITUTE(LEFT(C73,_xlfn.AGGREGATE(16,6,FIND({0,1,2,3,4,5,6,7,8,9},C73,ROW(INDIRECT("1:"&amp;LEN(C73)))),1))," ",REPT(" ",LEN(C73))),LEN(C73)))</f>
        <v>4</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5" customHeight="1" x14ac:dyDescent="0.25">
      <c r="A75" s="203" t="s">
        <v>85</v>
      </c>
      <c r="B75" s="204"/>
      <c r="C75" s="197" t="str">
        <f ca="1">I73</f>
        <v xml:space="preserve">Excavation, Plinth, RCC Slab, Brickwork, Internal Plaster, External Plaster Completed </v>
      </c>
      <c r="D75" s="198"/>
      <c r="E75" s="198"/>
      <c r="F75" s="198"/>
      <c r="G75" s="198"/>
      <c r="H75" s="199"/>
      <c r="I75" s="44" t="str">
        <f ca="1">IF(I74&lt;&gt;""," Completed","")</f>
        <v xml:space="preserve"> Completed</v>
      </c>
      <c r="J75" s="45" t="str">
        <f ca="1">IF(J73&lt;&gt;"","Completed","")</f>
        <v/>
      </c>
      <c r="S75"/>
    </row>
    <row r="76" spans="1:19" ht="15.75" customHeight="1" x14ac:dyDescent="0.25">
      <c r="A76" s="119" t="s">
        <v>46</v>
      </c>
      <c r="B76" s="120"/>
      <c r="C76" s="91" t="s">
        <v>134</v>
      </c>
      <c r="D76" s="91" t="s">
        <v>78</v>
      </c>
      <c r="E76" s="120" t="s">
        <v>80</v>
      </c>
      <c r="F76" s="120"/>
      <c r="G76" s="120" t="s">
        <v>79</v>
      </c>
      <c r="H76" s="207"/>
      <c r="I76" s="13" t="s">
        <v>136</v>
      </c>
      <c r="J76" s="25">
        <f ca="1">H74*25%</f>
        <v>1</v>
      </c>
      <c r="S76"/>
    </row>
    <row r="77" spans="1:19" x14ac:dyDescent="0.25">
      <c r="A77" s="119" t="s">
        <v>123</v>
      </c>
      <c r="B77" s="120"/>
      <c r="C77" s="91">
        <f ca="1">J78</f>
        <v>4</v>
      </c>
      <c r="D77" s="92">
        <f ca="1">((100/H74)*C77)/100</f>
        <v>1</v>
      </c>
      <c r="E77" s="121">
        <f ca="1">(((C78/H74*10)+(40/(D74+F74+H74)*C79)+(7.5/(H74)*C80)+(7.5/(H74)*C81)+(10/H74*C82)+(10/H74*C83)+(5/H74*C84)+(5/H74*C85)+(5/H74*C86))/100)</f>
        <v>0.75</v>
      </c>
      <c r="F77" s="122"/>
      <c r="G77" s="121">
        <f ca="1">((((C77/H74)*20)+((C78/H74)*25)+(30/(H74+F74+D74)*C79)+(5/H74*C80)+(5/H74*C81)+(5/H74*C82)+(5/H74*C83)+(0/H74*C84)+(0/H74*C85)+(5/H74*C86))/100)</f>
        <v>0.9</v>
      </c>
      <c r="H77" s="127"/>
      <c r="I77" s="13" t="s">
        <v>96</v>
      </c>
      <c r="J77" s="26">
        <f ca="1">H74*50%</f>
        <v>2</v>
      </c>
    </row>
    <row r="78" spans="1:19" x14ac:dyDescent="0.25">
      <c r="A78" s="119" t="s">
        <v>47</v>
      </c>
      <c r="B78" s="120"/>
      <c r="C78" s="91">
        <f ca="1">J86</f>
        <v>4</v>
      </c>
      <c r="D78" s="92">
        <f ca="1">((100/H74)*C78)/100</f>
        <v>1</v>
      </c>
      <c r="E78" s="123"/>
      <c r="F78" s="124"/>
      <c r="G78" s="123"/>
      <c r="H78" s="128"/>
      <c r="I78" s="13" t="s">
        <v>97</v>
      </c>
      <c r="J78" s="26">
        <f ca="1">H74</f>
        <v>4</v>
      </c>
      <c r="S78"/>
    </row>
    <row r="79" spans="1:19" ht="15.75" customHeight="1" x14ac:dyDescent="0.25">
      <c r="A79" s="119" t="s">
        <v>124</v>
      </c>
      <c r="B79" s="120"/>
      <c r="C79" s="91">
        <v>5</v>
      </c>
      <c r="D79" s="92">
        <f ca="1">((100/(D74+F74+H74))*C79)/100</f>
        <v>1</v>
      </c>
      <c r="E79" s="123"/>
      <c r="F79" s="124"/>
      <c r="G79" s="123"/>
      <c r="H79" s="128"/>
      <c r="I79" s="13" t="s">
        <v>98</v>
      </c>
      <c r="J79" s="27">
        <f ca="1">(IF(B74&gt;1,(H74/(B74+2)),H74/4))</f>
        <v>1</v>
      </c>
      <c r="S79"/>
    </row>
    <row r="80" spans="1:19" ht="15.75" customHeight="1" x14ac:dyDescent="0.25">
      <c r="A80" s="119" t="s">
        <v>131</v>
      </c>
      <c r="B80" s="120" t="s">
        <v>125</v>
      </c>
      <c r="C80" s="91">
        <v>4</v>
      </c>
      <c r="D80" s="92">
        <f ca="1">((100/H74)*C80)/100</f>
        <v>1</v>
      </c>
      <c r="E80" s="123"/>
      <c r="F80" s="124"/>
      <c r="G80" s="123"/>
      <c r="H80" s="128"/>
      <c r="I80" s="13" t="s">
        <v>99</v>
      </c>
      <c r="J80" s="27">
        <f ca="1">(IF(B74&gt;1,(H74/(B74+2)+J79),H74/4+J79))</f>
        <v>2</v>
      </c>
    </row>
    <row r="81" spans="1:22" ht="15.75" customHeight="1" x14ac:dyDescent="0.25">
      <c r="A81" s="119" t="s">
        <v>132</v>
      </c>
      <c r="B81" s="120" t="s">
        <v>125</v>
      </c>
      <c r="C81" s="91">
        <v>4</v>
      </c>
      <c r="D81" s="92">
        <f ca="1">((100/H74)*C81)/100</f>
        <v>1</v>
      </c>
      <c r="E81" s="123"/>
      <c r="F81" s="124"/>
      <c r="G81" s="123"/>
      <c r="H81" s="128"/>
      <c r="I81" s="13" t="s">
        <v>143</v>
      </c>
      <c r="J81" s="27">
        <f>(IF(B74&gt;1,(H74/(B74+2)+J80),0))</f>
        <v>0</v>
      </c>
    </row>
    <row r="82" spans="1:22" ht="15" customHeight="1" x14ac:dyDescent="0.25">
      <c r="A82" s="119" t="s">
        <v>130</v>
      </c>
      <c r="B82" s="120" t="s">
        <v>127</v>
      </c>
      <c r="C82" s="91">
        <v>4</v>
      </c>
      <c r="D82" s="92">
        <f ca="1">((100/(H74))*C82)/100</f>
        <v>1</v>
      </c>
      <c r="E82" s="123"/>
      <c r="F82" s="124"/>
      <c r="G82" s="123"/>
      <c r="H82" s="128"/>
      <c r="I82" s="13" t="s">
        <v>138</v>
      </c>
      <c r="J82" s="27">
        <f>(IF(B74&gt;2,(H74/(B74+2)+J81),0))</f>
        <v>0</v>
      </c>
    </row>
    <row r="83" spans="1:22" ht="15.75" customHeight="1" x14ac:dyDescent="0.25">
      <c r="A83" s="119" t="s">
        <v>126</v>
      </c>
      <c r="B83" s="120" t="s">
        <v>126</v>
      </c>
      <c r="C83" s="91">
        <v>0</v>
      </c>
      <c r="D83" s="92">
        <f ca="1">((100/H74)*C83)/100</f>
        <v>0</v>
      </c>
      <c r="E83" s="123"/>
      <c r="F83" s="124"/>
      <c r="G83" s="123"/>
      <c r="H83" s="128"/>
      <c r="I83" s="13" t="s">
        <v>139</v>
      </c>
      <c r="J83" s="28">
        <f>(IF(B74&gt;3,(H74/(B74+2)+J82),0))</f>
        <v>0</v>
      </c>
    </row>
    <row r="84" spans="1:22" ht="15.75" customHeight="1" x14ac:dyDescent="0.25">
      <c r="A84" s="119" t="s">
        <v>133</v>
      </c>
      <c r="B84" s="120"/>
      <c r="C84" s="91">
        <v>0</v>
      </c>
      <c r="D84" s="92">
        <f ca="1">((100/H74)*C84)/100</f>
        <v>0</v>
      </c>
      <c r="E84" s="123"/>
      <c r="F84" s="124"/>
      <c r="G84" s="123"/>
      <c r="H84" s="128"/>
      <c r="I84" s="13" t="s">
        <v>140</v>
      </c>
      <c r="J84" s="27">
        <f>(IF(B74&gt;4,(H74/(B74+2)+J83),0))</f>
        <v>0</v>
      </c>
    </row>
    <row r="85" spans="1:22" ht="15.75" customHeight="1" x14ac:dyDescent="0.25">
      <c r="A85" s="119" t="s">
        <v>128</v>
      </c>
      <c r="B85" s="120" t="s">
        <v>128</v>
      </c>
      <c r="C85" s="91">
        <v>0</v>
      </c>
      <c r="D85" s="92">
        <f ca="1">((100/(H74))*C85)/100</f>
        <v>0</v>
      </c>
      <c r="E85" s="123"/>
      <c r="F85" s="124"/>
      <c r="G85" s="123"/>
      <c r="H85" s="128"/>
      <c r="I85" s="13" t="s">
        <v>144</v>
      </c>
      <c r="J85" s="27">
        <f ca="1">(IF(B74=1,(H74/(B74+3)+J80),IF(B74=0,(H74/4+J80),IF(B74&gt;1,0))))</f>
        <v>3</v>
      </c>
    </row>
    <row r="86" spans="1:22" ht="16.5" thickBot="1" x14ac:dyDescent="0.3">
      <c r="A86" s="223" t="s">
        <v>129</v>
      </c>
      <c r="B86" s="224"/>
      <c r="C86" s="93">
        <v>0</v>
      </c>
      <c r="D86" s="94">
        <f ca="1">((100/(H74))*C86)/100</f>
        <v>0</v>
      </c>
      <c r="E86" s="125"/>
      <c r="F86" s="126"/>
      <c r="G86" s="125"/>
      <c r="H86" s="129"/>
      <c r="I86" s="14" t="s">
        <v>100</v>
      </c>
      <c r="J86" s="29">
        <f ca="1">(IF(B74&gt;1.5,(H74/(B74+2)+J80+MAX(0,J81-J80)+MAX(0,J82-J81)+MAX(0,J83-J82)+MAX(0,J84-J83)+MAX(0,J85-J84)),IF(B74=1,(H74/(B74+3)+J85),IF(B74=0,H74/4+J85))))</f>
        <v>4</v>
      </c>
    </row>
    <row r="87" spans="1:22" ht="15.75" customHeight="1" x14ac:dyDescent="0.25">
      <c r="A87" s="252" t="s">
        <v>155</v>
      </c>
      <c r="B87" s="253"/>
      <c r="C87" s="253"/>
      <c r="D87" s="253"/>
      <c r="E87" s="254"/>
      <c r="F87" s="269" t="s">
        <v>159</v>
      </c>
      <c r="G87" s="269"/>
      <c r="H87" s="269"/>
      <c r="R87" t="s">
        <v>251</v>
      </c>
      <c r="S87" t="s">
        <v>171</v>
      </c>
      <c r="T87" t="s">
        <v>178</v>
      </c>
      <c r="U87" t="s">
        <v>192</v>
      </c>
      <c r="V87" t="s">
        <v>187</v>
      </c>
    </row>
    <row r="88" spans="1:22" ht="15.75" customHeight="1" x14ac:dyDescent="0.25">
      <c r="A88" s="130" t="s">
        <v>157</v>
      </c>
      <c r="B88" s="131"/>
      <c r="C88" s="131"/>
      <c r="D88" s="131"/>
      <c r="E88" s="132"/>
      <c r="F88" s="163">
        <v>3700</v>
      </c>
      <c r="G88" s="163"/>
      <c r="H88" s="163"/>
      <c r="R88"/>
      <c r="S88">
        <v>800000</v>
      </c>
      <c r="T88">
        <v>150000</v>
      </c>
      <c r="U88">
        <v>100000</v>
      </c>
      <c r="V88">
        <v>100000</v>
      </c>
    </row>
    <row r="89" spans="1:22" ht="15.75" customHeight="1" x14ac:dyDescent="0.25">
      <c r="A89" s="130" t="s">
        <v>156</v>
      </c>
      <c r="B89" s="131"/>
      <c r="C89" s="131"/>
      <c r="D89" s="131"/>
      <c r="E89" s="132"/>
      <c r="F89" s="163">
        <v>6000</v>
      </c>
      <c r="G89" s="163"/>
      <c r="H89" s="163"/>
      <c r="R89"/>
      <c r="S89">
        <v>900000</v>
      </c>
      <c r="T89">
        <v>200000</v>
      </c>
      <c r="U89">
        <v>150000</v>
      </c>
      <c r="V89">
        <v>150000</v>
      </c>
    </row>
    <row r="90" spans="1:22" ht="15.75" hidden="1" customHeight="1" x14ac:dyDescent="0.25">
      <c r="A90" s="130" t="s">
        <v>158</v>
      </c>
      <c r="B90" s="131"/>
      <c r="C90" s="131"/>
      <c r="D90" s="131"/>
      <c r="E90" s="132"/>
      <c r="F90" s="163"/>
      <c r="G90" s="163"/>
      <c r="H90" s="163"/>
      <c r="R90"/>
      <c r="S90">
        <v>1000000</v>
      </c>
      <c r="T90">
        <v>250000</v>
      </c>
      <c r="U90">
        <v>200000</v>
      </c>
      <c r="V90">
        <v>200000</v>
      </c>
    </row>
    <row r="91" spans="1:22" s="30" customFormat="1" ht="15.75" hidden="1" customHeight="1" x14ac:dyDescent="0.25">
      <c r="A91" s="130" t="s">
        <v>174</v>
      </c>
      <c r="B91" s="131"/>
      <c r="C91" s="131"/>
      <c r="D91" s="131"/>
      <c r="E91" s="132"/>
      <c r="F91" s="163"/>
      <c r="G91" s="163"/>
      <c r="H91" s="163"/>
      <c r="R91"/>
      <c r="S91">
        <v>1100000</v>
      </c>
      <c r="T91">
        <v>300000</v>
      </c>
      <c r="U91">
        <v>250000</v>
      </c>
      <c r="V91" s="20">
        <v>250000</v>
      </c>
    </row>
    <row r="92" spans="1:22" s="30" customFormat="1" ht="15.75" hidden="1" customHeight="1" x14ac:dyDescent="0.25">
      <c r="A92" s="130" t="s">
        <v>90</v>
      </c>
      <c r="B92" s="131"/>
      <c r="C92" s="131"/>
      <c r="D92" s="131"/>
      <c r="E92" s="132"/>
      <c r="F92" s="163"/>
      <c r="G92" s="163"/>
      <c r="H92" s="163"/>
      <c r="R92"/>
      <c r="S92">
        <v>1200000</v>
      </c>
      <c r="T92">
        <v>350000</v>
      </c>
      <c r="U92">
        <v>300000</v>
      </c>
      <c r="V92">
        <v>300000</v>
      </c>
    </row>
    <row r="93" spans="1:22" s="30" customFormat="1" ht="15.75" hidden="1" customHeight="1" x14ac:dyDescent="0.25">
      <c r="A93" s="130" t="s">
        <v>91</v>
      </c>
      <c r="B93" s="131"/>
      <c r="C93" s="131"/>
      <c r="D93" s="131"/>
      <c r="E93" s="132"/>
      <c r="F93" s="163"/>
      <c r="G93" s="163"/>
      <c r="H93" s="163"/>
      <c r="R93"/>
      <c r="S93">
        <v>1300000</v>
      </c>
      <c r="T93">
        <v>400000</v>
      </c>
      <c r="U93">
        <v>350000</v>
      </c>
      <c r="V93" s="20">
        <v>400000</v>
      </c>
    </row>
    <row r="94" spans="1:22" s="30" customFormat="1" ht="15.75" hidden="1" customHeight="1" x14ac:dyDescent="0.25">
      <c r="A94" s="130" t="s">
        <v>92</v>
      </c>
      <c r="B94" s="131"/>
      <c r="C94" s="131"/>
      <c r="D94" s="131"/>
      <c r="E94" s="132"/>
      <c r="F94" s="163"/>
      <c r="G94" s="163"/>
      <c r="H94" s="163"/>
      <c r="R94"/>
      <c r="S94">
        <v>1400000</v>
      </c>
      <c r="T94">
        <v>500000</v>
      </c>
      <c r="U94">
        <v>400000</v>
      </c>
      <c r="V94"/>
    </row>
    <row r="95" spans="1:22" s="30" customFormat="1" ht="15.75" hidden="1" customHeight="1" x14ac:dyDescent="0.25">
      <c r="A95" s="130" t="s">
        <v>93</v>
      </c>
      <c r="B95" s="131"/>
      <c r="C95" s="131"/>
      <c r="D95" s="131"/>
      <c r="E95" s="132"/>
      <c r="F95" s="163"/>
      <c r="G95" s="163"/>
      <c r="H95" s="163"/>
      <c r="R95"/>
      <c r="S95">
        <v>1500000</v>
      </c>
      <c r="T95">
        <v>600000</v>
      </c>
      <c r="U95">
        <v>500000</v>
      </c>
      <c r="V95" s="20"/>
    </row>
    <row r="96" spans="1:22" s="30" customFormat="1" ht="15.75" hidden="1" customHeight="1" x14ac:dyDescent="0.25">
      <c r="A96" s="130" t="s">
        <v>94</v>
      </c>
      <c r="B96" s="131"/>
      <c r="C96" s="131"/>
      <c r="D96" s="131"/>
      <c r="E96" s="132"/>
      <c r="F96" s="163"/>
      <c r="G96" s="163"/>
      <c r="H96" s="163"/>
      <c r="R96"/>
      <c r="S96">
        <v>1600000</v>
      </c>
      <c r="T96">
        <v>700000</v>
      </c>
      <c r="U96">
        <v>600000</v>
      </c>
      <c r="V96"/>
    </row>
    <row r="97" spans="1:22" s="30" customFormat="1" ht="15.75" hidden="1" customHeight="1" x14ac:dyDescent="0.25">
      <c r="A97" s="130" t="s">
        <v>95</v>
      </c>
      <c r="B97" s="131"/>
      <c r="C97" s="131"/>
      <c r="D97" s="131"/>
      <c r="E97" s="132"/>
      <c r="F97" s="163"/>
      <c r="G97" s="163"/>
      <c r="H97" s="163"/>
      <c r="R97"/>
      <c r="S97">
        <v>1700000</v>
      </c>
      <c r="T97">
        <v>800000</v>
      </c>
      <c r="U97"/>
      <c r="V97" s="20"/>
    </row>
    <row r="98" spans="1:22" ht="15.75" customHeight="1" x14ac:dyDescent="0.25">
      <c r="A98" s="130" t="s">
        <v>48</v>
      </c>
      <c r="B98" s="131"/>
      <c r="C98" s="131"/>
      <c r="D98" s="131"/>
      <c r="E98" s="132"/>
      <c r="F98" s="163">
        <v>100000</v>
      </c>
      <c r="G98" s="163"/>
      <c r="H98" s="163"/>
      <c r="R98"/>
      <c r="S98">
        <v>1800000</v>
      </c>
      <c r="T98">
        <v>900000</v>
      </c>
      <c r="U98"/>
    </row>
    <row r="99" spans="1:22" s="31" customFormat="1" x14ac:dyDescent="0.25">
      <c r="A99" s="240" t="s">
        <v>49</v>
      </c>
      <c r="B99" s="241"/>
      <c r="C99" s="241"/>
      <c r="D99" s="241"/>
      <c r="E99" s="242"/>
      <c r="F99" s="163">
        <f>F88*0.8</f>
        <v>2960</v>
      </c>
      <c r="G99" s="163"/>
      <c r="H99" s="163"/>
      <c r="R99" s="18"/>
      <c r="S99" s="18"/>
      <c r="T99">
        <v>1000000</v>
      </c>
      <c r="U99"/>
      <c r="V99" s="18"/>
    </row>
    <row r="100" spans="1:22" s="32" customFormat="1" ht="15.75" customHeight="1" x14ac:dyDescent="0.25">
      <c r="A100" s="237" t="s">
        <v>70</v>
      </c>
      <c r="B100" s="238"/>
      <c r="C100" s="238"/>
      <c r="D100" s="238"/>
      <c r="E100" s="238"/>
      <c r="F100" s="238"/>
      <c r="G100" s="238"/>
      <c r="H100" s="239"/>
      <c r="R100"/>
      <c r="S100" s="18"/>
      <c r="T100"/>
      <c r="U100"/>
      <c r="V100" s="18"/>
    </row>
    <row r="101" spans="1:22" s="32" customFormat="1" ht="15.75" customHeight="1" x14ac:dyDescent="0.25">
      <c r="A101" s="141" t="s">
        <v>50</v>
      </c>
      <c r="B101" s="141"/>
      <c r="C101" s="256" t="s">
        <v>73</v>
      </c>
      <c r="D101" s="257"/>
      <c r="E101" s="140" t="s">
        <v>51</v>
      </c>
      <c r="F101" s="140"/>
      <c r="G101" s="141" t="s">
        <v>52</v>
      </c>
      <c r="H101" s="141"/>
      <c r="R101"/>
      <c r="S101" s="18"/>
      <c r="T101"/>
      <c r="U101" s="18"/>
      <c r="V101" s="18"/>
    </row>
    <row r="102" spans="1:22" s="32" customFormat="1" x14ac:dyDescent="0.25">
      <c r="A102" s="243" t="s">
        <v>376</v>
      </c>
      <c r="B102" s="243"/>
      <c r="C102" s="147">
        <f>COUNT(D114:D119)</f>
        <v>6</v>
      </c>
      <c r="D102" s="148"/>
      <c r="E102" s="149">
        <f>SUM(F114:F119)</f>
        <v>1010.5576884</v>
      </c>
      <c r="F102" s="150"/>
      <c r="G102" s="149">
        <f>SUM(H114:H119)</f>
        <v>1515.8365325999998</v>
      </c>
      <c r="H102" s="150"/>
      <c r="R102"/>
      <c r="S102" s="18"/>
      <c r="T102"/>
      <c r="U102" s="18"/>
      <c r="V102" s="18"/>
    </row>
    <row r="103" spans="1:22" s="32" customFormat="1" x14ac:dyDescent="0.25">
      <c r="A103" s="136" t="s">
        <v>148</v>
      </c>
      <c r="B103" s="136"/>
      <c r="C103" s="137">
        <f>SUM(C102)</f>
        <v>6</v>
      </c>
      <c r="D103" s="138"/>
      <c r="E103" s="139">
        <f>SUM(E102)</f>
        <v>1010.5576884</v>
      </c>
      <c r="F103" s="140"/>
      <c r="G103" s="141">
        <f>SUM(G102)</f>
        <v>1515.8365325999998</v>
      </c>
      <c r="H103" s="141"/>
      <c r="R103"/>
      <c r="S103" s="18"/>
      <c r="T103"/>
      <c r="U103" s="18"/>
      <c r="V103" s="18"/>
    </row>
    <row r="104" spans="1:22" s="32" customFormat="1" ht="15.75" customHeight="1" x14ac:dyDescent="0.25">
      <c r="A104" s="237" t="s">
        <v>65</v>
      </c>
      <c r="B104" s="238"/>
      <c r="C104" s="238"/>
      <c r="D104" s="238"/>
      <c r="E104" s="238"/>
      <c r="F104" s="238"/>
      <c r="G104" s="238"/>
      <c r="H104" s="239"/>
      <c r="T104"/>
    </row>
    <row r="105" spans="1:22" s="32" customFormat="1" ht="15.75" customHeight="1" x14ac:dyDescent="0.25">
      <c r="A105" s="141" t="s">
        <v>50</v>
      </c>
      <c r="B105" s="141"/>
      <c r="C105" s="256" t="s">
        <v>73</v>
      </c>
      <c r="D105" s="257"/>
      <c r="E105" s="140" t="s">
        <v>51</v>
      </c>
      <c r="F105" s="140"/>
      <c r="G105" s="141" t="s">
        <v>52</v>
      </c>
      <c r="H105" s="141"/>
      <c r="T105"/>
    </row>
    <row r="106" spans="1:22" s="32" customFormat="1" x14ac:dyDescent="0.25">
      <c r="A106" s="243" t="s">
        <v>378</v>
      </c>
      <c r="B106" s="243"/>
      <c r="C106" s="158">
        <f>COUNT(D124:D128)*4</f>
        <v>20</v>
      </c>
      <c r="D106" s="159"/>
      <c r="E106" s="149">
        <f>SUM(F124:F128)*4</f>
        <v>10358.459841600001</v>
      </c>
      <c r="F106" s="149"/>
      <c r="G106" s="149">
        <f>SUM(H124:H128)*4</f>
        <v>15019.766770319999</v>
      </c>
      <c r="H106" s="149"/>
      <c r="T106"/>
    </row>
    <row r="107" spans="1:22" s="32" customFormat="1" ht="16.5" thickBot="1" x14ac:dyDescent="0.3">
      <c r="A107" s="133" t="s">
        <v>148</v>
      </c>
      <c r="B107" s="133"/>
      <c r="C107" s="258">
        <f>SUM(C106)</f>
        <v>20</v>
      </c>
      <c r="D107" s="259"/>
      <c r="E107" s="134">
        <f>SUM(E106)</f>
        <v>10358.459841600001</v>
      </c>
      <c r="F107" s="134"/>
      <c r="G107" s="135">
        <f>SUM(G106)</f>
        <v>15019.766770319999</v>
      </c>
      <c r="H107" s="135"/>
      <c r="T107"/>
    </row>
    <row r="108" spans="1:22" s="32" customFormat="1" ht="16.5" thickBot="1" x14ac:dyDescent="0.3">
      <c r="A108" s="250" t="s">
        <v>165</v>
      </c>
      <c r="B108" s="251"/>
      <c r="C108" s="270">
        <f>C103+C107</f>
        <v>26</v>
      </c>
      <c r="D108" s="271"/>
      <c r="E108" s="255">
        <f>E103+E107</f>
        <v>11369.017530000001</v>
      </c>
      <c r="F108" s="255"/>
      <c r="G108" s="153">
        <f>G103+G107</f>
        <v>16535.603302919997</v>
      </c>
      <c r="H108" s="154"/>
      <c r="T108"/>
    </row>
    <row r="109" spans="1:22" s="31" customFormat="1" x14ac:dyDescent="0.25">
      <c r="A109" s="247" t="s">
        <v>353</v>
      </c>
      <c r="B109" s="248"/>
      <c r="C109" s="248"/>
      <c r="D109" s="248"/>
      <c r="E109" s="248"/>
      <c r="F109" s="248"/>
      <c r="G109" s="248"/>
      <c r="H109" s="249"/>
      <c r="T109" s="32"/>
    </row>
    <row r="110" spans="1:22" x14ac:dyDescent="0.25">
      <c r="A110" s="208" t="s">
        <v>173</v>
      </c>
      <c r="B110" s="209"/>
      <c r="C110" s="209"/>
      <c r="D110" s="209"/>
      <c r="E110" s="209"/>
      <c r="F110" s="209"/>
      <c r="G110" s="209"/>
      <c r="H110" s="210"/>
      <c r="T110" s="32"/>
    </row>
    <row r="111" spans="1:22" ht="47.25" customHeight="1" x14ac:dyDescent="0.25">
      <c r="A111" s="101" t="s">
        <v>389</v>
      </c>
      <c r="B111" s="101" t="s">
        <v>175</v>
      </c>
      <c r="C111" s="101" t="s">
        <v>53</v>
      </c>
      <c r="D111" s="101" t="s">
        <v>230</v>
      </c>
      <c r="E111" s="151" t="s">
        <v>154</v>
      </c>
      <c r="F111" s="101" t="s">
        <v>54</v>
      </c>
      <c r="G111" s="151" t="s">
        <v>55</v>
      </c>
      <c r="H111" s="85" t="s">
        <v>146</v>
      </c>
      <c r="T111" s="32"/>
    </row>
    <row r="112" spans="1:22" s="34" customFormat="1" x14ac:dyDescent="0.25">
      <c r="A112" s="102"/>
      <c r="B112" s="102"/>
      <c r="C112" s="102"/>
      <c r="D112" s="102"/>
      <c r="E112" s="152"/>
      <c r="F112" s="102"/>
      <c r="G112" s="152"/>
      <c r="H112" s="86">
        <v>0.5</v>
      </c>
      <c r="T112" s="32"/>
    </row>
    <row r="113" spans="1:20" s="34" customFormat="1" ht="15.75" customHeight="1" x14ac:dyDescent="0.25">
      <c r="A113" s="160" t="s">
        <v>377</v>
      </c>
      <c r="B113" s="161"/>
      <c r="C113" s="161"/>
      <c r="D113" s="161"/>
      <c r="E113" s="161"/>
      <c r="F113" s="161"/>
      <c r="G113" s="161"/>
      <c r="H113" s="162"/>
      <c r="I113" s="81">
        <v>10.763999999999999</v>
      </c>
      <c r="J113" s="33"/>
      <c r="T113" s="32"/>
    </row>
    <row r="114" spans="1:20" s="34" customFormat="1" ht="15.75" customHeight="1" x14ac:dyDescent="0.25">
      <c r="A114" s="106">
        <v>1</v>
      </c>
      <c r="B114" s="107"/>
      <c r="C114" s="87" t="s">
        <v>372</v>
      </c>
      <c r="D114" s="81">
        <f>(3.24*4.35)*10.764</f>
        <v>151.70781599999998</v>
      </c>
      <c r="E114" s="87">
        <v>0</v>
      </c>
      <c r="F114" s="87">
        <f t="shared" ref="F114:F119" si="0">D114+(IF(E114&lt;201,E114,IF(E114&lt;301,E114/2,E114/3)))</f>
        <v>151.70781599999998</v>
      </c>
      <c r="G114" s="88">
        <v>0</v>
      </c>
      <c r="H114" s="89">
        <f t="shared" ref="H114:H119" si="1">(F114+(IF(G114&lt;101,G114,IF(G114&lt;201,G114/2,IF(G114&lt;=301,G114/3,G114/4)))))*(($H$112)+1)</f>
        <v>227.56172399999997</v>
      </c>
      <c r="I114" s="84"/>
      <c r="L114" s="142"/>
      <c r="M114" s="142"/>
      <c r="N114" s="33"/>
      <c r="T114" s="32"/>
    </row>
    <row r="115" spans="1:20" s="34" customFormat="1" ht="15.75" customHeight="1" x14ac:dyDescent="0.25">
      <c r="A115" s="106">
        <v>2</v>
      </c>
      <c r="B115" s="107"/>
      <c r="C115" s="87" t="s">
        <v>372</v>
      </c>
      <c r="D115" s="81">
        <f>(4.25*4.72)*10.764</f>
        <v>215.92583999999997</v>
      </c>
      <c r="E115" s="87">
        <v>0</v>
      </c>
      <c r="F115" s="87">
        <f t="shared" si="0"/>
        <v>215.92583999999997</v>
      </c>
      <c r="G115" s="87">
        <v>0</v>
      </c>
      <c r="H115" s="89">
        <f t="shared" si="1"/>
        <v>323.88875999999993</v>
      </c>
      <c r="I115" s="84"/>
      <c r="L115" s="142"/>
      <c r="M115" s="142"/>
      <c r="N115" s="33"/>
      <c r="T115" s="31"/>
    </row>
    <row r="116" spans="1:20" s="34" customFormat="1" ht="15.75" customHeight="1" x14ac:dyDescent="0.25">
      <c r="A116" s="106">
        <v>3</v>
      </c>
      <c r="B116" s="107"/>
      <c r="C116" s="87" t="s">
        <v>372</v>
      </c>
      <c r="D116" s="81">
        <f>(3*6.35)*10.764</f>
        <v>205.05419999999995</v>
      </c>
      <c r="E116" s="87">
        <v>0</v>
      </c>
      <c r="F116" s="87">
        <f t="shared" si="0"/>
        <v>205.05419999999995</v>
      </c>
      <c r="G116" s="87">
        <v>0</v>
      </c>
      <c r="H116" s="87">
        <f t="shared" si="1"/>
        <v>307.58129999999994</v>
      </c>
      <c r="I116" s="33"/>
      <c r="L116" s="142"/>
      <c r="M116" s="142"/>
      <c r="N116" s="33"/>
      <c r="T116" s="18"/>
    </row>
    <row r="117" spans="1:20" s="34" customFormat="1" ht="15.75" customHeight="1" x14ac:dyDescent="0.25">
      <c r="A117" s="106">
        <v>4</v>
      </c>
      <c r="B117" s="107"/>
      <c r="C117" s="87" t="s">
        <v>372</v>
      </c>
      <c r="D117" s="81">
        <f>(3*5.3)*10.764</f>
        <v>171.14759999999998</v>
      </c>
      <c r="E117" s="87">
        <v>0</v>
      </c>
      <c r="F117" s="87">
        <f t="shared" si="0"/>
        <v>171.14759999999998</v>
      </c>
      <c r="G117" s="87">
        <v>0</v>
      </c>
      <c r="H117" s="87">
        <f t="shared" si="1"/>
        <v>256.72139999999996</v>
      </c>
      <c r="I117" s="33"/>
      <c r="L117" s="142"/>
      <c r="M117" s="142"/>
      <c r="N117" s="33"/>
      <c r="T117" s="18"/>
    </row>
    <row r="118" spans="1:20" s="34" customFormat="1" x14ac:dyDescent="0.25">
      <c r="A118" s="106">
        <v>5</v>
      </c>
      <c r="B118" s="107"/>
      <c r="C118" s="87" t="s">
        <v>372</v>
      </c>
      <c r="D118" s="81">
        <f>(2.75*4.4)*10.764</f>
        <v>130.24440000000001</v>
      </c>
      <c r="E118" s="87">
        <v>0</v>
      </c>
      <c r="F118" s="87">
        <f t="shared" si="0"/>
        <v>130.24440000000001</v>
      </c>
      <c r="G118" s="87">
        <v>0</v>
      </c>
      <c r="H118" s="87">
        <f t="shared" si="1"/>
        <v>195.36660000000001</v>
      </c>
      <c r="I118" s="33"/>
      <c r="N118" s="33"/>
    </row>
    <row r="119" spans="1:20" ht="15.75" customHeight="1" x14ac:dyDescent="0.25">
      <c r="A119" s="106">
        <v>6</v>
      </c>
      <c r="B119" s="107"/>
      <c r="C119" s="87" t="s">
        <v>372</v>
      </c>
      <c r="D119" s="81">
        <f>(4.13*3.07)*10.764</f>
        <v>136.47783239999998</v>
      </c>
      <c r="E119" s="87">
        <v>0</v>
      </c>
      <c r="F119" s="87">
        <f t="shared" si="0"/>
        <v>136.47783239999998</v>
      </c>
      <c r="G119" s="87">
        <v>0</v>
      </c>
      <c r="H119" s="87">
        <f t="shared" si="1"/>
        <v>204.71674859999996</v>
      </c>
      <c r="I119" s="33"/>
      <c r="T119" s="34"/>
    </row>
    <row r="120" spans="1:20" s="34" customFormat="1" x14ac:dyDescent="0.25">
      <c r="A120" s="96"/>
      <c r="B120" s="267"/>
      <c r="C120" s="267"/>
      <c r="D120" s="267"/>
      <c r="E120" s="267"/>
      <c r="F120" s="267"/>
      <c r="G120" s="267"/>
      <c r="H120" s="97"/>
      <c r="I120" s="33"/>
    </row>
    <row r="121" spans="1:20" s="34" customFormat="1" ht="47.25" x14ac:dyDescent="0.25">
      <c r="A121" s="108" t="s">
        <v>394</v>
      </c>
      <c r="B121" s="101" t="s">
        <v>176</v>
      </c>
      <c r="C121" s="101" t="s">
        <v>53</v>
      </c>
      <c r="D121" s="101" t="s">
        <v>230</v>
      </c>
      <c r="E121" s="101" t="s">
        <v>395</v>
      </c>
      <c r="F121" s="101" t="s">
        <v>54</v>
      </c>
      <c r="G121" s="151" t="s">
        <v>55</v>
      </c>
      <c r="H121" s="59" t="s">
        <v>146</v>
      </c>
      <c r="J121" s="33"/>
    </row>
    <row r="122" spans="1:20" s="34" customFormat="1" ht="15.75" customHeight="1" x14ac:dyDescent="0.25">
      <c r="A122" s="109"/>
      <c r="B122" s="102"/>
      <c r="C122" s="102"/>
      <c r="D122" s="102"/>
      <c r="E122" s="102"/>
      <c r="F122" s="102"/>
      <c r="G122" s="152"/>
      <c r="H122" s="86">
        <v>0.45</v>
      </c>
      <c r="I122" s="33"/>
      <c r="L122" s="142"/>
      <c r="M122" s="142"/>
      <c r="N122" s="33"/>
    </row>
    <row r="123" spans="1:20" s="34" customFormat="1" ht="15.75" customHeight="1" x14ac:dyDescent="0.25">
      <c r="A123" s="110" t="s">
        <v>373</v>
      </c>
      <c r="B123" s="111"/>
      <c r="C123" s="111"/>
      <c r="D123" s="111"/>
      <c r="E123" s="111"/>
      <c r="F123" s="111"/>
      <c r="G123" s="111"/>
      <c r="H123" s="112"/>
      <c r="I123" s="33"/>
      <c r="L123" s="142"/>
      <c r="M123" s="142"/>
      <c r="N123" s="33"/>
    </row>
    <row r="124" spans="1:20" s="34" customFormat="1" ht="15.75" customHeight="1" x14ac:dyDescent="0.25">
      <c r="A124" s="96">
        <v>1</v>
      </c>
      <c r="B124" s="97"/>
      <c r="C124" s="39" t="s">
        <v>374</v>
      </c>
      <c r="D124" s="81">
        <f>(4.25*3+2.25*2.75+3*3.3+1.8*1.2+1.05*1.25+1.2*1.9)*10.764</f>
        <v>372.32676000000004</v>
      </c>
      <c r="E124" s="81">
        <f>(1.9*1.5+0.75*(2.25+3))*10.764</f>
        <v>73.060649999999995</v>
      </c>
      <c r="F124" s="39">
        <f>D124+E124</f>
        <v>445.38741000000005</v>
      </c>
      <c r="G124" s="49">
        <v>0</v>
      </c>
      <c r="H124" s="49">
        <f>F124*(($H$122)+1)+(IF(G124&lt;101,G124,IF(G124&lt;201,G124/2,IF(G124&lt;=301,G124/3,G124/4))))</f>
        <v>645.81174450000003</v>
      </c>
      <c r="I124" s="81">
        <v>10.763999999999999</v>
      </c>
      <c r="J124" s="34">
        <f>2951000</f>
        <v>2951000</v>
      </c>
      <c r="K124" s="34">
        <f>0.07</f>
        <v>7.0000000000000007E-2</v>
      </c>
      <c r="L124" s="142">
        <f>J124*K124</f>
        <v>206570.00000000003</v>
      </c>
      <c r="M124" s="142"/>
      <c r="N124" s="33"/>
      <c r="T124" s="18"/>
    </row>
    <row r="125" spans="1:20" s="34" customFormat="1" x14ac:dyDescent="0.25">
      <c r="A125" s="96">
        <v>2</v>
      </c>
      <c r="B125" s="97"/>
      <c r="C125" s="80" t="s">
        <v>374</v>
      </c>
      <c r="D125" s="81">
        <f>(4.25*3+2.25*2.75+3*3.3+1.8*1.2+1.05*1.25+1.2*1.9)*10.764</f>
        <v>372.32676000000004</v>
      </c>
      <c r="E125" s="81">
        <f>(1.9*1.5+0.75*(2.25+3))*10.764</f>
        <v>73.060649999999995</v>
      </c>
      <c r="F125" s="82">
        <f>D125+E125</f>
        <v>445.38741000000005</v>
      </c>
      <c r="G125" s="80">
        <v>0</v>
      </c>
      <c r="H125" s="80">
        <f>F125*(($H$122)+1)+(IF(G125&lt;101,G125,IF(G125&lt;201,G125/2,IF(G125&lt;=301,G125/3,G125/4))))</f>
        <v>645.81174450000003</v>
      </c>
      <c r="I125" s="33"/>
      <c r="L125" s="142"/>
      <c r="M125" s="142"/>
    </row>
    <row r="126" spans="1:20" s="34" customFormat="1" x14ac:dyDescent="0.25">
      <c r="A126" s="96">
        <v>3</v>
      </c>
      <c r="B126" s="97"/>
      <c r="C126" s="39" t="s">
        <v>375</v>
      </c>
      <c r="D126" s="81">
        <f>(4.75*3+2.75*2.3+3*3.3+3*3.3+1.95*1.2+1.05*1.25+2*1.2+1.05*1.7)*10.764</f>
        <v>518.95934999999997</v>
      </c>
      <c r="E126" s="81">
        <f>(1.9*1.5+0.75*(2.25+3+3+2.75))*10.764</f>
        <v>119.48039999999999</v>
      </c>
      <c r="F126" s="49">
        <f>D126+E126</f>
        <v>638.43975</v>
      </c>
      <c r="G126" s="49">
        <v>0</v>
      </c>
      <c r="H126" s="49">
        <f>F126*(($H$122)+1)+(IF(G126&lt;101,G126,IF(G126&lt;201,G126/2,IF(G126&lt;=301,G126/3,G126/4))))</f>
        <v>925.73763750000001</v>
      </c>
      <c r="I126" s="33">
        <f>2572600/H124</f>
        <v>3983.5138055467801</v>
      </c>
      <c r="J126" s="34">
        <f>677/460.6</f>
        <v>1.4698219713417282</v>
      </c>
      <c r="N126" s="33"/>
    </row>
    <row r="127" spans="1:20" s="34" customFormat="1" x14ac:dyDescent="0.25">
      <c r="A127" s="96">
        <v>4</v>
      </c>
      <c r="B127" s="97"/>
      <c r="C127" s="80" t="s">
        <v>374</v>
      </c>
      <c r="D127" s="81">
        <f>(4.3*3+2.25*2.75+3*3.3+1.05*1.25+1.95*1.2+1.05*1.6)*10.764</f>
        <v>369.42048</v>
      </c>
      <c r="E127" s="81">
        <f>(1.9*1.5+0.75*(2.25+3))*10.764</f>
        <v>73.060649999999995</v>
      </c>
      <c r="F127" s="80">
        <f>D127+E127</f>
        <v>442.48113000000001</v>
      </c>
      <c r="G127" s="80">
        <v>0</v>
      </c>
      <c r="H127" s="80">
        <f>F127*(($H$122)+1)+(IF(G127&lt;101,G127,IF(G127&lt;201,G127/2,IF(G127&lt;=301,G127/3,G127/4))))</f>
        <v>641.59763850000002</v>
      </c>
      <c r="I127" s="33"/>
      <c r="N127" s="33"/>
    </row>
    <row r="128" spans="1:20" s="34" customFormat="1" x14ac:dyDescent="0.25">
      <c r="A128" s="96">
        <v>5</v>
      </c>
      <c r="B128" s="97"/>
      <c r="C128" s="80" t="s">
        <v>375</v>
      </c>
      <c r="D128" s="81">
        <f>(4.17*3+2.54*3.5+2.89*3.24+3.3*3+1.4*0.9+1.25*1.95+1.9*1.2)*10.764</f>
        <v>502.04480039999999</v>
      </c>
      <c r="E128" s="81">
        <f>(2.89+3+0.75*(3.5+3))*10.764</f>
        <v>115.87446</v>
      </c>
      <c r="F128" s="49">
        <f>D128+E128</f>
        <v>617.91926039999998</v>
      </c>
      <c r="G128" s="49">
        <v>0</v>
      </c>
      <c r="H128" s="49">
        <f>F128*(($H$122)+1)+(IF(G128&lt;101,G128,IF(G128&lt;201,G128/2,IF(G128&lt;=301,G128/3,G128/4))))</f>
        <v>895.98292757999991</v>
      </c>
      <c r="I128" s="33"/>
      <c r="J128" s="34" t="s">
        <v>402</v>
      </c>
      <c r="N128" s="33"/>
    </row>
    <row r="129" spans="1:14" s="34" customFormat="1" ht="15.75" hidden="1" customHeight="1" x14ac:dyDescent="0.25">
      <c r="A129" s="110" t="s">
        <v>115</v>
      </c>
      <c r="B129" s="111"/>
      <c r="C129" s="111"/>
      <c r="D129" s="111"/>
      <c r="E129" s="111"/>
      <c r="F129" s="111"/>
      <c r="G129" s="111"/>
      <c r="H129" s="112"/>
      <c r="I129" s="33"/>
      <c r="N129" s="33"/>
    </row>
    <row r="130" spans="1:14" s="34" customFormat="1" hidden="1" x14ac:dyDescent="0.25">
      <c r="A130" s="143">
        <f>LEFT(A129,SUM(LEN(A129)-LEN(SUBSTITUTE(A129,{"0","1","2","3","4","5","6","7","8","9"},""))))*100+1</f>
        <v>201</v>
      </c>
      <c r="B130" s="143"/>
      <c r="C130" s="39"/>
      <c r="D130" s="39"/>
      <c r="E130" s="49">
        <v>0</v>
      </c>
      <c r="F130" s="49">
        <f>D130+E130</f>
        <v>0</v>
      </c>
      <c r="G130" s="49">
        <v>0</v>
      </c>
      <c r="H130" s="49">
        <f>F130*(($H$122)+1)+(IF(G130&lt;101,G130,IF(G130&lt;201,G130/2,IF(G130&lt;=301,G130/3,G130/4))))</f>
        <v>0</v>
      </c>
      <c r="I130" s="33"/>
      <c r="N130" s="33"/>
    </row>
    <row r="131" spans="1:14" s="34" customFormat="1" ht="15.75" hidden="1" customHeight="1" x14ac:dyDescent="0.25">
      <c r="A131" s="143">
        <f>A130+1</f>
        <v>202</v>
      </c>
      <c r="B131" s="143"/>
      <c r="C131" s="39"/>
      <c r="D131" s="39"/>
      <c r="E131" s="49">
        <v>0</v>
      </c>
      <c r="F131" s="49">
        <f>D131+E131</f>
        <v>0</v>
      </c>
      <c r="G131" s="49">
        <v>0</v>
      </c>
      <c r="H131" s="49">
        <f>F131*(($H$122)+1)+(IF(G131&lt;101,G131,IF(G131&lt;201,G131/2,IF(G131&lt;=301,G131/3,G131/4))))</f>
        <v>0</v>
      </c>
      <c r="I131" s="33"/>
    </row>
    <row r="132" spans="1:14" s="34" customFormat="1" ht="15.75" hidden="1" customHeight="1" x14ac:dyDescent="0.25">
      <c r="A132" s="143">
        <f>A131+1</f>
        <v>203</v>
      </c>
      <c r="B132" s="143"/>
      <c r="C132" s="39"/>
      <c r="D132" s="39"/>
      <c r="E132" s="49">
        <v>0</v>
      </c>
      <c r="F132" s="49">
        <f>D132+E132</f>
        <v>0</v>
      </c>
      <c r="G132" s="49">
        <v>0</v>
      </c>
      <c r="H132" s="49">
        <f>F132*(($H$122)+1)+(IF(G132&lt;101,G132,IF(G132&lt;201,G132/2,IF(G132&lt;=301,G132/3,G132/4))))</f>
        <v>0</v>
      </c>
      <c r="I132" s="33"/>
    </row>
    <row r="133" spans="1:14" s="34" customFormat="1" ht="15.75" hidden="1" customHeight="1" x14ac:dyDescent="0.25">
      <c r="A133" s="143">
        <f>A132+1</f>
        <v>204</v>
      </c>
      <c r="B133" s="143"/>
      <c r="C133" s="39"/>
      <c r="D133" s="39"/>
      <c r="E133" s="49">
        <v>0</v>
      </c>
      <c r="F133" s="49">
        <f>D133+E133</f>
        <v>0</v>
      </c>
      <c r="G133" s="49">
        <v>0</v>
      </c>
      <c r="H133" s="49">
        <f>F133*(($H$122)+1)+(IF(G133&lt;101,G133,IF(G133&lt;201,G133/2,IF(G133&lt;=301,G133/3,G133/4))))</f>
        <v>0</v>
      </c>
      <c r="I133" s="33"/>
    </row>
    <row r="134" spans="1:14" s="34" customFormat="1" ht="15.75" hidden="1" customHeight="1" x14ac:dyDescent="0.25">
      <c r="A134" s="143">
        <f>A133+1</f>
        <v>205</v>
      </c>
      <c r="B134" s="143"/>
      <c r="C134" s="39"/>
      <c r="D134" s="39"/>
      <c r="E134" s="49">
        <v>0</v>
      </c>
      <c r="F134" s="49">
        <f>D134+E134</f>
        <v>0</v>
      </c>
      <c r="G134" s="49">
        <v>0</v>
      </c>
      <c r="H134" s="49">
        <f>F134*(($H$122)+1)+(IF(G134&lt;101,G134,IF(G134&lt;201,G134/2,IF(G134&lt;=301,G134/3,G134/4))))</f>
        <v>0</v>
      </c>
      <c r="I134" s="33"/>
    </row>
    <row r="135" spans="1:14" s="34" customFormat="1" ht="15.75" hidden="1" customHeight="1" x14ac:dyDescent="0.25">
      <c r="A135" s="110" t="s">
        <v>147</v>
      </c>
      <c r="B135" s="111"/>
      <c r="C135" s="111"/>
      <c r="D135" s="111"/>
      <c r="E135" s="111"/>
      <c r="F135" s="111"/>
      <c r="G135" s="111"/>
      <c r="H135" s="112"/>
      <c r="I135" s="33"/>
    </row>
    <row r="136" spans="1:14" s="34" customFormat="1" ht="15.75" hidden="1" customHeight="1" x14ac:dyDescent="0.25">
      <c r="A136" s="96" t="str">
        <f ca="1">(SUMPRODUCT(MID(0&amp;(LEFT(A135,SUM(LEN(A135)-LEN(SUBSTITUTE(A135,{"0","1","2"},""))))), LARGE(INDEX(ISNUMBER(--MID((LEFT(A135,SUM(LEN(A135)-LEN(SUBSTITUTE(A135,{"0","1","2"},""))))), ROW(INDIRECT("1:"&amp;LEN((LEFT(A135,SUM(LEN(A135)-LEN(SUBSTITUTE(A135,{"0","1","2"},"")))))))), 1)) * ROW(INDIRECT("1:"&amp;LEN((LEFT(A135,SUM(LEN(A135)-LEN(SUBSTITUTE(A135,{"0","1","2"},"")))))))), 0), ROW(INDIRECT("1:"&amp;LEN((LEFT(A135,SUM(LEN(A135)-LEN(SUBSTITUTE(A135,{"0","1","2"},"")))))))))+1, 1) * 10^ROW(INDIRECT("1:"&amp;LEN((LEFT(A135,SUM(LEN(A135)-LEN(SUBSTITUTE(A135,{"0","1","2"},""))))))))/10))*100+1&amp;""&amp;" ,.., "&amp;""&amp;(SUMPRODUCT(MID(0&amp;(--TRIM(RIGHT(SUBSTITUTE(LEFT(A135,_xlfn.AGGREGATE(16,6,FIND({0,1,2,3,4,5,6,7,8,9},A135,ROW(INDIRECT("1:"&amp;LEN(A135)))),1))," ",REPT(" ",LEN(A135))),LEN(A135)))), LARGE(INDEX(ISNUMBER(--MID((--TRIM(RIGHT(SUBSTITUTE(LEFT(A135,_xlfn.AGGREGATE(16,6,FIND({0,1,2,3,4,5,6,7,8,9},A135,ROW(INDIRECT("1:"&amp;LEN(A135)))),1))," ",REPT(" ",LEN(A135))),LEN(A135)))), ROW(INDIRECT("1:"&amp;LEN((--TRIM(RIGHT(SUBSTITUTE(LEFT(A135,_xlfn.AGGREGATE(16,6,FIND({0,1,2,3,4,5,6,7,8,9},A135,ROW(INDIRECT("1:"&amp;LEN(A135)))),1))," ",REPT(" ",LEN(A135))),LEN(A135))))))), 1)) * ROW(INDIRECT("1:"&amp;LEN((--TRIM(RIGHT(SUBSTITUTE(LEFT(A135,_xlfn.AGGREGATE(16,6,FIND({0,1,2,3,4,5,6,7,8,9},A135,ROW(INDIRECT("1:"&amp;LEN(A135)))),1))," ",REPT(" ",LEN(A135))),LEN(A135))))))), 0), ROW(INDIRECT("1:"&amp;LEN((--TRIM(RIGHT(SUBSTITUTE(LEFT(A135,_xlfn.AGGREGATE(16,6,FIND({0,1,2,3,4,5,6,7,8,9},A135,ROW(INDIRECT("1:"&amp;LEN(A135)))),1))," ",REPT(" ",LEN(A135))),LEN(A135))))))))+1, 1) * 10^ROW(INDIRECT("1:"&amp;LEN((--TRIM(RIGHT(SUBSTITUTE(LEFT(A135,_xlfn.AGGREGATE(16,6,FIND({0,1,2,3,4,5,6,7,8,9},A135,ROW(INDIRECT("1:"&amp;LEN(A135)))),1))," ",REPT(" ",LEN(A135))),LEN(A135)))))))/10))*100+1</f>
        <v>301 ,.., 1501</v>
      </c>
      <c r="B136" s="97"/>
      <c r="C136" s="39"/>
      <c r="D136" s="39"/>
      <c r="E136" s="49">
        <v>0</v>
      </c>
      <c r="F136" s="49">
        <f>D136+E136</f>
        <v>0</v>
      </c>
      <c r="G136" s="49">
        <v>0</v>
      </c>
      <c r="H136" s="49">
        <f>F136*(($H$122)+1)+(IF(G136&lt;101,G136,IF(G136&lt;201,G136/2,IF(G136&lt;=301,G136/3,G136/4))))</f>
        <v>0</v>
      </c>
      <c r="I136" s="33"/>
    </row>
    <row r="137" spans="1:14" s="34" customFormat="1" hidden="1" x14ac:dyDescent="0.25">
      <c r="A137" s="96" t="str">
        <f ca="1">(SUMPRODUCT(MID(0&amp;(LEFT(A136,SUM(LEN(A136)-LEN(SUBSTITUTE(A136,{"0","1","2"},""))))), LARGE(INDEX(ISNUMBER(--MID((LEFT(A136,SUM(LEN(A136)-LEN(SUBSTITUTE(A136,{"0","1","2"},""))))), ROW(INDIRECT("1:"&amp;LEN((LEFT(A136,SUM(LEN(A136)-LEN(SUBSTITUTE(A136,{"0","1","2"},"")))))))), 1)) * ROW(INDIRECT("1:"&amp;LEN((LEFT(A136,SUM(LEN(A136)-LEN(SUBSTITUTE(A136,{"0","1","2"},"")))))))), 0), ROW(INDIRECT("1:"&amp;LEN((LEFT(A136,SUM(LEN(A136)-LEN(SUBSTITUTE(A136,{"0","1","2"},"")))))))))+1, 1) * 10^ROW(INDIRECT("1:"&amp;LEN((LEFT(A136,SUM(LEN(A136)-LEN(SUBSTITUTE(A136,{"0","1","2"},""))))))))/10))*1+1&amp;""&amp;" ,.., "&amp;""&amp;(SUMPRODUCT(MID(0&amp;(--TRIM(RIGHT(SUBSTITUTE(LEFT(A136,_xlfn.AGGREGATE(16,6,FIND({0,1,2,3,4,5,6,7,8,9},A136,ROW(INDIRECT("1:"&amp;LEN(A136)))),1))," ",REPT(" ",LEN(A136))),LEN(A136)))), LARGE(INDEX(ISNUMBER(--MID((--TRIM(RIGHT(SUBSTITUTE(LEFT(A136,_xlfn.AGGREGATE(16,6,FIND({0,1,2,3,4,5,6,7,8,9},A136,ROW(INDIRECT("1:"&amp;LEN(A136)))),1))," ",REPT(" ",LEN(A136))),LEN(A136)))), ROW(INDIRECT("1:"&amp;LEN((--TRIM(RIGHT(SUBSTITUTE(LEFT(A136,_xlfn.AGGREGATE(16,6,FIND({0,1,2,3,4,5,6,7,8,9},A136,ROW(INDIRECT("1:"&amp;LEN(A136)))),1))," ",REPT(" ",LEN(A136))),LEN(A136))))))), 1)) * ROW(INDIRECT("1:"&amp;LEN((--TRIM(RIGHT(SUBSTITUTE(LEFT(A136,_xlfn.AGGREGATE(16,6,FIND({0,1,2,3,4,5,6,7,8,9},A136,ROW(INDIRECT("1:"&amp;LEN(A136)))),1))," ",REPT(" ",LEN(A136))),LEN(A136))))))), 0), ROW(INDIRECT("1:"&amp;LEN((--TRIM(RIGHT(SUBSTITUTE(LEFT(A136,_xlfn.AGGREGATE(16,6,FIND({0,1,2,3,4,5,6,7,8,9},A136,ROW(INDIRECT("1:"&amp;LEN(A136)))),1))," ",REPT(" ",LEN(A136))),LEN(A136))))))))+1, 1) * 10^ROW(INDIRECT("1:"&amp;LEN((--TRIM(RIGHT(SUBSTITUTE(LEFT(A136,_xlfn.AGGREGATE(16,6,FIND({0,1,2,3,4,5,6,7,8,9},A136,ROW(INDIRECT("1:"&amp;LEN(A136)))),1))," ",REPT(" ",LEN(A136))),LEN(A136)))))))/10))*1+1</f>
        <v>302 ,.., 1502</v>
      </c>
      <c r="B137" s="97"/>
      <c r="C137" s="39"/>
      <c r="D137" s="39"/>
      <c r="E137" s="49">
        <v>0</v>
      </c>
      <c r="F137" s="49">
        <f>D137+E137</f>
        <v>0</v>
      </c>
      <c r="G137" s="49">
        <v>0</v>
      </c>
      <c r="H137" s="49">
        <f>F137*(($H$122)+1)+(IF(G137&lt;101,G137,IF(G137&lt;201,G137/2,IF(G137&lt;=301,G137/3,G137/4))))</f>
        <v>0</v>
      </c>
      <c r="I137" s="33"/>
    </row>
    <row r="138" spans="1:14" s="34" customFormat="1" ht="15.75" hidden="1" customHeight="1" x14ac:dyDescent="0.25">
      <c r="A138" s="96"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10^ROW(INDIRECT("1:"&amp;LEN((LEFT(A137,SUM(LEN(A137)-LEN(SUBSTITUTE(A137,{"0","1","2"},""))))))))/10))*1+1&amp;""&amp;" ,..,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",LEN(A137))),LEN(A137)))))))/10))*1+1</f>
        <v>303 ,.., 1503</v>
      </c>
      <c r="B138" s="97"/>
      <c r="C138" s="39"/>
      <c r="D138" s="39"/>
      <c r="E138" s="49">
        <v>0</v>
      </c>
      <c r="F138" s="49">
        <f>D138+E138</f>
        <v>0</v>
      </c>
      <c r="G138" s="49">
        <v>0</v>
      </c>
      <c r="H138" s="49">
        <f>F138*(($H$122)+1)+(IF(G138&lt;101,G138,IF(G138&lt;201,G138/2,IF(G138&lt;=301,G138/3,G138/4))))</f>
        <v>0</v>
      </c>
      <c r="I138" s="33"/>
    </row>
    <row r="139" spans="1:14" s="34" customFormat="1" ht="15.75" hidden="1" customHeight="1" x14ac:dyDescent="0.25">
      <c r="A139" s="96"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304 ,.., 1504</v>
      </c>
      <c r="B139" s="97"/>
      <c r="C139" s="39"/>
      <c r="D139" s="39"/>
      <c r="E139" s="49">
        <v>0</v>
      </c>
      <c r="F139" s="49">
        <f>D139+E139</f>
        <v>0</v>
      </c>
      <c r="G139" s="49">
        <v>0</v>
      </c>
      <c r="H139" s="49">
        <f>F139*(($H$122)+1)+(IF(G139&lt;101,G139,IF(G139&lt;201,G139/2,IF(G139&lt;=301,G139/3,G139/4))))</f>
        <v>0</v>
      </c>
      <c r="I139" s="33"/>
    </row>
    <row r="140" spans="1:14" s="34" customFormat="1" ht="15.75" hidden="1" customHeight="1" x14ac:dyDescent="0.25">
      <c r="A140" s="96"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305 ,.., 1505</v>
      </c>
      <c r="B140" s="97"/>
      <c r="C140" s="39"/>
      <c r="D140" s="39"/>
      <c r="E140" s="49">
        <v>0</v>
      </c>
      <c r="F140" s="49">
        <f>D140+E140</f>
        <v>0</v>
      </c>
      <c r="G140" s="49">
        <v>0</v>
      </c>
      <c r="H140" s="49">
        <f>F140*(($H$122)+1)+(IF(G140&lt;101,G140,IF(G140&lt;201,G140/2,IF(G140&lt;=301,G140/3,G140/4))))</f>
        <v>0</v>
      </c>
      <c r="I140" s="33"/>
    </row>
    <row r="141" spans="1:14" s="34" customFormat="1" ht="15.75" hidden="1" customHeight="1" x14ac:dyDescent="0.25">
      <c r="A141" s="110" t="s">
        <v>141</v>
      </c>
      <c r="B141" s="111"/>
      <c r="C141" s="111"/>
      <c r="D141" s="111"/>
      <c r="E141" s="111"/>
      <c r="F141" s="111"/>
      <c r="G141" s="111"/>
      <c r="H141" s="112"/>
      <c r="I141" s="33"/>
    </row>
    <row r="142" spans="1:14" s="34" customFormat="1" ht="15.75" hidden="1" customHeight="1" x14ac:dyDescent="0.25">
      <c r="A142" s="96"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10^ROW(INDIRECT("1:"&amp;LEN((LEFT(A141,SUM(LEN(A141)-LEN(SUBSTITUTE(A141,{"0","1","2"},""))))))))/10))*100+1&amp;""&amp;" to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",LEN(A141))),LEN(A141)))))))/10))*100+1</f>
        <v>201 to 501</v>
      </c>
      <c r="B142" s="97"/>
      <c r="C142" s="39"/>
      <c r="D142" s="39"/>
      <c r="E142" s="49">
        <v>0</v>
      </c>
      <c r="F142" s="49">
        <f>D142+E142</f>
        <v>0</v>
      </c>
      <c r="G142" s="49">
        <v>0</v>
      </c>
      <c r="H142" s="49">
        <f>F142*(($H$122)+1)+(IF(G142&lt;101,G142,IF(G142&lt;201,G142/2,IF(G142&lt;=301,G142/3,G142/4))))</f>
        <v>0</v>
      </c>
      <c r="I142" s="33"/>
    </row>
    <row r="143" spans="1:14" s="34" customFormat="1" hidden="1" x14ac:dyDescent="0.25">
      <c r="A143" s="96"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to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202 to 502</v>
      </c>
      <c r="B143" s="97"/>
      <c r="C143" s="39"/>
      <c r="D143" s="39"/>
      <c r="E143" s="49">
        <v>0</v>
      </c>
      <c r="F143" s="49">
        <f>D143+E143</f>
        <v>0</v>
      </c>
      <c r="G143" s="49">
        <v>0</v>
      </c>
      <c r="H143" s="49">
        <f>F143*(($H$122)+1)+(IF(G143&lt;101,G143,IF(G143&lt;201,G143/2,IF(G143&lt;=301,G143/3,G143/4))))</f>
        <v>0</v>
      </c>
      <c r="I143" s="33"/>
    </row>
    <row r="144" spans="1:14" s="34" customFormat="1" ht="15.75" hidden="1" customHeight="1" x14ac:dyDescent="0.25">
      <c r="A144" s="96"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10^ROW(INDIRECT("1:"&amp;LEN((LEFT(A143,SUM(LEN(A143)-LEN(SUBSTITUTE(A143,{"0","1","2"},""))))))))/10))*1+1&amp;""&amp;" to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",LEN(A143))),LEN(A143)))))))/10))*1+1</f>
        <v>203 to 503</v>
      </c>
      <c r="B144" s="97"/>
      <c r="C144" s="39"/>
      <c r="D144" s="39"/>
      <c r="E144" s="49">
        <v>0</v>
      </c>
      <c r="F144" s="49">
        <f>D144+E144</f>
        <v>0</v>
      </c>
      <c r="G144" s="49">
        <v>0</v>
      </c>
      <c r="H144" s="49">
        <f>F144*(($H$122)+1)+(IF(G144&lt;101,G144,IF(G144&lt;201,G144/2,IF(G144&lt;=301,G144/3,G144/4))))</f>
        <v>0</v>
      </c>
      <c r="I144" s="33"/>
    </row>
    <row r="145" spans="1:20" s="34" customFormat="1" ht="15.75" hidden="1" customHeight="1" x14ac:dyDescent="0.25">
      <c r="A145" s="96"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204 to 504</v>
      </c>
      <c r="B145" s="97"/>
      <c r="C145" s="39"/>
      <c r="D145" s="39"/>
      <c r="E145" s="49">
        <v>0</v>
      </c>
      <c r="F145" s="49">
        <f>D145+E145</f>
        <v>0</v>
      </c>
      <c r="G145" s="49">
        <v>0</v>
      </c>
      <c r="H145" s="49">
        <f>F145*(($H$122)+1)+(IF(G145&lt;101,G145,IF(G145&lt;201,G145/2,IF(G145&lt;=301,G145/3,G145/4))))</f>
        <v>0</v>
      </c>
      <c r="I145" s="33"/>
    </row>
    <row r="146" spans="1:20" s="34" customFormat="1" ht="15.75" hidden="1" customHeight="1" x14ac:dyDescent="0.25">
      <c r="A146" s="96"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205 to 505</v>
      </c>
      <c r="B146" s="97"/>
      <c r="C146" s="39"/>
      <c r="D146" s="39"/>
      <c r="E146" s="49">
        <v>0</v>
      </c>
      <c r="F146" s="49">
        <f>D146+E146</f>
        <v>0</v>
      </c>
      <c r="G146" s="49">
        <v>0</v>
      </c>
      <c r="H146" s="49">
        <f>F146*(($H$122)+1)+(IF(G146&lt;101,G146,IF(G146&lt;201,G146/2,IF(G146&lt;=301,G146/3,G146/4))))</f>
        <v>0</v>
      </c>
      <c r="I146" s="33"/>
    </row>
    <row r="147" spans="1:20" s="34" customFormat="1" ht="15.75" hidden="1" customHeight="1" x14ac:dyDescent="0.25">
      <c r="A147" s="110" t="s">
        <v>142</v>
      </c>
      <c r="B147" s="111"/>
      <c r="C147" s="111"/>
      <c r="D147" s="111"/>
      <c r="E147" s="111"/>
      <c r="F147" s="111"/>
      <c r="G147" s="111"/>
      <c r="H147" s="112"/>
      <c r="I147" s="33"/>
    </row>
    <row r="148" spans="1:20" s="34" customFormat="1" ht="15.75" hidden="1" customHeight="1" x14ac:dyDescent="0.25">
      <c r="A148" s="96"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10^ROW(INDIRECT("1:"&amp;LEN((LEFT(A147,SUM(LEN(A147)-LEN(SUBSTITUTE(A147,{"0","1","2"},""))))))))/10))*100+1&amp;""&amp;" &amp;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",LEN(A147))),LEN(A147)))))))/10))*100+1</f>
        <v>201 &amp; 501</v>
      </c>
      <c r="B148" s="97"/>
      <c r="C148" s="39"/>
      <c r="D148" s="39"/>
      <c r="E148" s="49">
        <v>0</v>
      </c>
      <c r="F148" s="49">
        <f>D148+E148</f>
        <v>0</v>
      </c>
      <c r="G148" s="49">
        <v>0</v>
      </c>
      <c r="H148" s="49">
        <f>F148*(($H$122)+1)+(IF(G148&lt;101,G148,IF(G148&lt;201,G148/2,IF(G148&lt;=301,G148/3,G148/4))))</f>
        <v>0</v>
      </c>
      <c r="I148" s="33"/>
    </row>
    <row r="149" spans="1:20" s="32" customFormat="1" hidden="1" x14ac:dyDescent="0.25">
      <c r="A149" s="96"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&amp;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202 &amp; 502</v>
      </c>
      <c r="B149" s="97"/>
      <c r="C149" s="39"/>
      <c r="D149" s="39"/>
      <c r="E149" s="49">
        <v>0</v>
      </c>
      <c r="F149" s="49">
        <f>D149+E149</f>
        <v>0</v>
      </c>
      <c r="G149" s="49">
        <v>0</v>
      </c>
      <c r="H149" s="49">
        <f>F149*(($H$122)+1)+(IF(G149&lt;101,G149,IF(G149&lt;201,G149/2,IF(G149&lt;=301,G149/3,G149/4))))</f>
        <v>0</v>
      </c>
      <c r="T149" s="34"/>
    </row>
    <row r="150" spans="1:20" s="32" customFormat="1" ht="66" hidden="1" customHeight="1" x14ac:dyDescent="0.25">
      <c r="A150" s="96"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&amp;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203 &amp; 503</v>
      </c>
      <c r="B150" s="97"/>
      <c r="C150" s="39"/>
      <c r="D150" s="39"/>
      <c r="E150" s="49">
        <v>0</v>
      </c>
      <c r="F150" s="49">
        <f>D150+E150</f>
        <v>0</v>
      </c>
      <c r="G150" s="49">
        <v>0</v>
      </c>
      <c r="H150" s="49">
        <f>F150*(($H$122)+1)+(IF(G150&lt;101,G150,IF(G150&lt;201,G150/2,IF(G150&lt;=301,G150/3,G150/4))))</f>
        <v>0</v>
      </c>
      <c r="T150" s="34"/>
    </row>
    <row r="151" spans="1:20" s="32" customFormat="1" hidden="1" x14ac:dyDescent="0.25">
      <c r="A151" s="96"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204 &amp; 504</v>
      </c>
      <c r="B151" s="97"/>
      <c r="C151" s="39"/>
      <c r="D151" s="39"/>
      <c r="E151" s="49">
        <v>0</v>
      </c>
      <c r="F151" s="49">
        <f>D151+E151</f>
        <v>0</v>
      </c>
      <c r="G151" s="49">
        <v>0</v>
      </c>
      <c r="H151" s="49">
        <f>F151*(($H$122)+1)+(IF(G151&lt;101,G151,IF(G151&lt;201,G151/2,IF(G151&lt;=301,G151/3,G151/4))))</f>
        <v>0</v>
      </c>
      <c r="T151" s="34"/>
    </row>
    <row r="152" spans="1:20" s="32" customFormat="1" hidden="1" x14ac:dyDescent="0.25">
      <c r="A152" s="96"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205 &amp; 505</v>
      </c>
      <c r="B152" s="97"/>
      <c r="C152" s="39"/>
      <c r="D152" s="39"/>
      <c r="E152" s="49">
        <v>0</v>
      </c>
      <c r="F152" s="49">
        <f>D152+E152</f>
        <v>0</v>
      </c>
      <c r="G152" s="49">
        <v>0</v>
      </c>
      <c r="H152" s="49">
        <f>F152*(($H$122)+1)+(IF(G152&lt;101,G152,IF(G152&lt;201,G152/2,IF(G152&lt;=301,G152/3,G152/4))))</f>
        <v>0</v>
      </c>
      <c r="T152" s="34"/>
    </row>
    <row r="153" spans="1:20" s="32" customFormat="1" x14ac:dyDescent="0.25">
      <c r="A153" s="116" t="s">
        <v>63</v>
      </c>
      <c r="B153" s="117"/>
      <c r="C153" s="117"/>
      <c r="D153" s="117"/>
      <c r="E153" s="117"/>
      <c r="F153" s="117"/>
      <c r="G153" s="117"/>
      <c r="H153" s="118"/>
      <c r="T153" s="34"/>
    </row>
    <row r="154" spans="1:20" s="32" customFormat="1" x14ac:dyDescent="0.25">
      <c r="A154" s="41">
        <v>1</v>
      </c>
      <c r="B154" s="103" t="s">
        <v>397</v>
      </c>
      <c r="C154" s="104"/>
      <c r="D154" s="104"/>
      <c r="E154" s="104"/>
      <c r="F154" s="104"/>
      <c r="G154" s="104"/>
      <c r="H154" s="105"/>
      <c r="T154" s="34"/>
    </row>
    <row r="155" spans="1:20" s="32" customFormat="1" ht="15.75" customHeight="1" x14ac:dyDescent="0.25">
      <c r="A155" s="41">
        <f>A154+1</f>
        <v>2</v>
      </c>
      <c r="B155" s="103" t="str">
        <f>(IF(H121="Saleable area Loading :","We have considered Saleable area of Flats as per our Calculation.","We considered Saleable area of Flat as per Builder area Sheet."))</f>
        <v>We have considered Saleable area of Flats as per our Calculation.</v>
      </c>
      <c r="C155" s="104"/>
      <c r="D155" s="104"/>
      <c r="E155" s="104"/>
      <c r="F155" s="104"/>
      <c r="G155" s="104"/>
      <c r="H155" s="105"/>
    </row>
    <row r="156" spans="1:20" s="32" customFormat="1" ht="15.75" customHeight="1" x14ac:dyDescent="0.25">
      <c r="A156" s="90">
        <f>A155+1</f>
        <v>3</v>
      </c>
      <c r="B156" s="103" t="str">
        <f>(IF(H111="Saleable area Loading :","We have considered Saleable area of Commercial as per our Calculation.","We considered Saleable area of Commercial as per Builder area Sheet."))</f>
        <v>We have considered Saleable area of Commercial as per our Calculation.</v>
      </c>
      <c r="C156" s="104"/>
      <c r="D156" s="104"/>
      <c r="E156" s="104"/>
      <c r="F156" s="104"/>
      <c r="G156" s="104"/>
      <c r="H156" s="105"/>
    </row>
    <row r="157" spans="1:20" s="32" customFormat="1" ht="15.75" customHeight="1" x14ac:dyDescent="0.25">
      <c r="A157" s="90">
        <f>A156+1</f>
        <v>4</v>
      </c>
      <c r="B157" s="103" t="s">
        <v>118</v>
      </c>
      <c r="C157" s="104"/>
      <c r="D157" s="104"/>
      <c r="E157" s="104"/>
      <c r="F157" s="104"/>
      <c r="G157" s="104"/>
      <c r="H157" s="105"/>
    </row>
    <row r="158" spans="1:20" s="32" customFormat="1" ht="15.75" customHeight="1" x14ac:dyDescent="0.25">
      <c r="A158" s="90">
        <f t="shared" ref="A158:A163" si="2">A157+1</f>
        <v>5</v>
      </c>
      <c r="B158" s="103" t="s">
        <v>398</v>
      </c>
      <c r="C158" s="104"/>
      <c r="D158" s="104"/>
      <c r="E158" s="104"/>
      <c r="F158" s="104"/>
      <c r="G158" s="104"/>
      <c r="H158" s="105"/>
    </row>
    <row r="159" spans="1:20" s="32" customFormat="1" ht="15.75" customHeight="1" x14ac:dyDescent="0.25">
      <c r="A159" s="90">
        <f t="shared" si="2"/>
        <v>6</v>
      </c>
      <c r="B159" s="113" t="s">
        <v>150</v>
      </c>
      <c r="C159" s="114"/>
      <c r="D159" s="114"/>
      <c r="E159" s="114"/>
      <c r="F159" s="114"/>
      <c r="G159" s="114"/>
      <c r="H159" s="115"/>
    </row>
    <row r="160" spans="1:20" s="32" customFormat="1" ht="15.75" customHeight="1" x14ac:dyDescent="0.25">
      <c r="A160" s="90">
        <f t="shared" si="2"/>
        <v>7</v>
      </c>
      <c r="B160" s="113" t="s">
        <v>119</v>
      </c>
      <c r="C160" s="114"/>
      <c r="D160" s="114"/>
      <c r="E160" s="114"/>
      <c r="F160" s="114"/>
      <c r="G160" s="114"/>
      <c r="H160" s="115"/>
    </row>
    <row r="161" spans="1:20" s="32" customFormat="1" ht="31.5" customHeight="1" x14ac:dyDescent="0.25">
      <c r="A161" s="90">
        <f t="shared" si="2"/>
        <v>8</v>
      </c>
      <c r="B161" s="103" t="s">
        <v>152</v>
      </c>
      <c r="C161" s="104"/>
      <c r="D161" s="104"/>
      <c r="E161" s="104"/>
      <c r="F161" s="104"/>
      <c r="G161" s="104"/>
      <c r="H161" s="105"/>
    </row>
    <row r="162" spans="1:20" s="32" customFormat="1" ht="15.75" customHeight="1" x14ac:dyDescent="0.25">
      <c r="A162" s="90">
        <f t="shared" si="2"/>
        <v>9</v>
      </c>
      <c r="B162" s="113" t="s">
        <v>120</v>
      </c>
      <c r="C162" s="114"/>
      <c r="D162" s="114"/>
      <c r="E162" s="114"/>
      <c r="F162" s="114"/>
      <c r="G162" s="114"/>
      <c r="H162" s="115"/>
    </row>
    <row r="163" spans="1:20" s="32" customFormat="1" ht="36.75" customHeight="1" x14ac:dyDescent="0.25">
      <c r="A163" s="90">
        <f t="shared" si="2"/>
        <v>10</v>
      </c>
      <c r="B163" s="103" t="s">
        <v>405</v>
      </c>
      <c r="C163" s="104"/>
      <c r="D163" s="104"/>
      <c r="E163" s="104"/>
      <c r="F163" s="104"/>
      <c r="G163" s="104"/>
      <c r="H163" s="105"/>
    </row>
    <row r="164" spans="1:20" s="32" customFormat="1" ht="50.25" customHeight="1" x14ac:dyDescent="0.25">
      <c r="A164" s="95">
        <f t="shared" ref="A164:A166" si="3">A163+1</f>
        <v>11</v>
      </c>
      <c r="B164" s="103" t="s">
        <v>406</v>
      </c>
      <c r="C164" s="104"/>
      <c r="D164" s="104"/>
      <c r="E164" s="104"/>
      <c r="F164" s="104"/>
      <c r="G164" s="104"/>
      <c r="H164" s="105"/>
    </row>
    <row r="165" spans="1:20" s="32" customFormat="1" ht="38.25" customHeight="1" x14ac:dyDescent="0.25">
      <c r="A165" s="95">
        <f t="shared" si="3"/>
        <v>12</v>
      </c>
      <c r="B165" s="103" t="s">
        <v>407</v>
      </c>
      <c r="C165" s="104"/>
      <c r="D165" s="104"/>
      <c r="E165" s="104"/>
      <c r="F165" s="104"/>
      <c r="G165" s="104"/>
      <c r="H165" s="105"/>
    </row>
    <row r="166" spans="1:20" ht="69.75" customHeight="1" x14ac:dyDescent="0.25">
      <c r="A166" s="95">
        <f t="shared" si="3"/>
        <v>13</v>
      </c>
      <c r="B166" s="103" t="s">
        <v>401</v>
      </c>
      <c r="C166" s="104"/>
      <c r="D166" s="104"/>
      <c r="E166" s="104"/>
      <c r="F166" s="104"/>
      <c r="G166" s="104"/>
      <c r="H166" s="105"/>
      <c r="T166" s="32"/>
    </row>
    <row r="167" spans="1:20" ht="31.5" customHeight="1" x14ac:dyDescent="0.25">
      <c r="A167" s="75" t="s">
        <v>151</v>
      </c>
      <c r="B167" s="103" t="s">
        <v>409</v>
      </c>
      <c r="C167" s="104"/>
      <c r="D167" s="104"/>
      <c r="E167" s="104"/>
      <c r="F167" s="104"/>
      <c r="G167" s="104"/>
      <c r="H167" s="105"/>
      <c r="T167" s="32"/>
    </row>
    <row r="168" spans="1:20" ht="15.75" hidden="1" customHeight="1" x14ac:dyDescent="0.25">
      <c r="A168" s="75" t="s">
        <v>151</v>
      </c>
      <c r="B168" s="98" t="str">
        <f ca="1">IF(G52&gt;EDATE(E3,-48),"NO REMARK FOR CC","REMARK FOR CC")</f>
        <v>NO REMARK FOR CC</v>
      </c>
      <c r="C168" s="99"/>
      <c r="D168" s="99"/>
      <c r="E168" s="99"/>
      <c r="F168" s="99"/>
      <c r="G168" s="99"/>
      <c r="H168" s="100"/>
      <c r="T168" s="32"/>
    </row>
    <row r="169" spans="1:20" ht="15.75" hidden="1" customHeight="1" x14ac:dyDescent="0.25">
      <c r="A169" s="76" t="s">
        <v>151</v>
      </c>
      <c r="B169" s="98" t="s">
        <v>348</v>
      </c>
      <c r="C169" s="99"/>
      <c r="D169" s="99"/>
      <c r="E169" s="99"/>
      <c r="F169" s="99"/>
      <c r="G169" s="99"/>
      <c r="H169" s="100"/>
      <c r="T169" s="32"/>
    </row>
    <row r="170" spans="1:20" x14ac:dyDescent="0.25">
      <c r="A170" s="244" t="s">
        <v>56</v>
      </c>
      <c r="B170" s="245"/>
      <c r="C170" s="245"/>
      <c r="D170" s="245"/>
      <c r="E170" s="245"/>
      <c r="F170" s="245"/>
      <c r="G170" s="245"/>
      <c r="H170" s="246"/>
      <c r="T170" s="32"/>
    </row>
    <row r="171" spans="1:20" x14ac:dyDescent="0.25">
      <c r="A171" s="130" t="s">
        <v>57</v>
      </c>
      <c r="B171" s="131"/>
      <c r="C171" s="131"/>
      <c r="D171" s="131"/>
      <c r="E171" s="131"/>
      <c r="F171" s="131"/>
      <c r="G171" s="131"/>
      <c r="H171" s="132"/>
      <c r="T171" s="32"/>
    </row>
    <row r="172" spans="1:20" x14ac:dyDescent="0.25">
      <c r="A172" s="275" t="s">
        <v>58</v>
      </c>
      <c r="B172" s="276"/>
      <c r="C172" s="276"/>
      <c r="D172" s="276"/>
      <c r="E172" s="276"/>
      <c r="F172" s="276"/>
      <c r="G172" s="276"/>
      <c r="H172" s="277"/>
    </row>
    <row r="173" spans="1:20" x14ac:dyDescent="0.25">
      <c r="A173" s="130" t="s">
        <v>59</v>
      </c>
      <c r="B173" s="131"/>
      <c r="C173" s="131"/>
      <c r="D173" s="131"/>
      <c r="E173" s="131"/>
      <c r="F173" s="131"/>
      <c r="G173" s="131"/>
      <c r="H173" s="132"/>
    </row>
    <row r="174" spans="1:20" x14ac:dyDescent="0.25">
      <c r="A174" s="130" t="s">
        <v>60</v>
      </c>
      <c r="B174" s="131"/>
      <c r="C174" s="131"/>
      <c r="D174" s="131"/>
      <c r="E174" s="131"/>
      <c r="F174" s="131"/>
      <c r="G174" s="131"/>
      <c r="H174" s="132"/>
    </row>
    <row r="175" spans="1:20" x14ac:dyDescent="0.25">
      <c r="A175" s="130" t="s">
        <v>121</v>
      </c>
      <c r="B175" s="131"/>
      <c r="C175" s="131"/>
      <c r="D175" s="131"/>
      <c r="E175" s="131"/>
      <c r="F175" s="131"/>
      <c r="G175" s="131"/>
      <c r="H175" s="132"/>
    </row>
    <row r="176" spans="1:20" ht="15.75" customHeight="1" x14ac:dyDescent="0.25">
      <c r="A176" s="171" t="s">
        <v>122</v>
      </c>
      <c r="B176" s="172"/>
      <c r="C176" s="172"/>
      <c r="D176" s="172"/>
      <c r="E176" s="172"/>
      <c r="F176" s="172"/>
      <c r="G176" s="172"/>
      <c r="H176" s="173"/>
    </row>
    <row r="177" spans="1:8" x14ac:dyDescent="0.25">
      <c r="A177" s="234" t="s">
        <v>72</v>
      </c>
      <c r="B177" s="234"/>
      <c r="C177" s="235" t="s">
        <v>396</v>
      </c>
      <c r="D177" s="236"/>
      <c r="E177" s="234" t="s">
        <v>102</v>
      </c>
      <c r="F177" s="234"/>
      <c r="G177" s="234" t="s">
        <v>410</v>
      </c>
      <c r="H177" s="234"/>
    </row>
    <row r="178" spans="1:8" ht="15.75" customHeight="1" x14ac:dyDescent="0.25">
      <c r="A178" s="225" t="s">
        <v>74</v>
      </c>
      <c r="B178" s="226"/>
      <c r="C178" s="226"/>
      <c r="D178" s="226"/>
      <c r="E178" s="226"/>
      <c r="F178" s="226"/>
      <c r="G178" s="226"/>
      <c r="H178" s="227"/>
    </row>
    <row r="179" spans="1:8" x14ac:dyDescent="0.25">
      <c r="A179" s="228"/>
      <c r="B179" s="229"/>
      <c r="C179" s="229"/>
      <c r="D179" s="229"/>
      <c r="E179" s="229"/>
      <c r="F179" s="229"/>
      <c r="G179" s="229"/>
      <c r="H179" s="230"/>
    </row>
    <row r="180" spans="1:8" x14ac:dyDescent="0.25">
      <c r="A180" s="228"/>
      <c r="B180" s="229"/>
      <c r="C180" s="229"/>
      <c r="D180" s="229"/>
      <c r="E180" s="229"/>
      <c r="F180" s="229"/>
      <c r="G180" s="229"/>
      <c r="H180" s="230"/>
    </row>
    <row r="181" spans="1:8" ht="15" customHeight="1" x14ac:dyDescent="0.25">
      <c r="A181" s="231"/>
      <c r="B181" s="232"/>
      <c r="C181" s="232"/>
      <c r="D181" s="232"/>
      <c r="E181" s="232"/>
      <c r="F181" s="232"/>
      <c r="G181" s="232"/>
      <c r="H181" s="233"/>
    </row>
    <row r="182" spans="1:8" x14ac:dyDescent="0.25">
      <c r="A182" s="35" t="s">
        <v>61</v>
      </c>
      <c r="B182" s="36"/>
      <c r="C182" s="36"/>
      <c r="D182" s="35" t="str">
        <f>E9</f>
        <v>Vishwa Apartments</v>
      </c>
      <c r="F182" s="36"/>
      <c r="G182" s="36"/>
      <c r="H182" s="36"/>
    </row>
    <row r="183" spans="1:8" x14ac:dyDescent="0.25">
      <c r="A183" s="36"/>
      <c r="B183" s="36"/>
      <c r="C183" s="36"/>
      <c r="D183" s="36"/>
      <c r="E183" s="36"/>
      <c r="F183" s="36"/>
      <c r="G183" s="36"/>
      <c r="H183" s="36"/>
    </row>
    <row r="184" spans="1:8" x14ac:dyDescent="0.25">
      <c r="A184" s="36"/>
      <c r="B184" s="36"/>
      <c r="C184" s="36"/>
      <c r="D184" s="36"/>
      <c r="E184" s="36"/>
      <c r="F184" s="36"/>
      <c r="G184" s="36"/>
      <c r="H184" s="36"/>
    </row>
    <row r="226" spans="1:1" x14ac:dyDescent="0.25">
      <c r="A226" s="38" t="s">
        <v>162</v>
      </c>
    </row>
    <row r="267" spans="1:1" hidden="1" x14ac:dyDescent="0.25">
      <c r="A267" s="38" t="s">
        <v>162</v>
      </c>
    </row>
    <row r="268" spans="1:1" hidden="1" x14ac:dyDescent="0.25"/>
    <row r="269" spans="1:1" hidden="1" x14ac:dyDescent="0.25"/>
    <row r="270" spans="1:1" x14ac:dyDescent="0.25">
      <c r="A270" s="38" t="s">
        <v>403</v>
      </c>
    </row>
    <row r="311" spans="1:1" x14ac:dyDescent="0.25">
      <c r="A311" s="38" t="s">
        <v>408</v>
      </c>
    </row>
    <row r="352" spans="1:1" x14ac:dyDescent="0.25">
      <c r="A352" s="38" t="s">
        <v>62</v>
      </c>
    </row>
  </sheetData>
  <mergeCells count="320">
    <mergeCell ref="A175:H175"/>
    <mergeCell ref="A172:H172"/>
    <mergeCell ref="A171:H171"/>
    <mergeCell ref="B168:H168"/>
    <mergeCell ref="B167:H167"/>
    <mergeCell ref="B166:H166"/>
    <mergeCell ref="B163:H163"/>
    <mergeCell ref="B162:H162"/>
    <mergeCell ref="B161:H161"/>
    <mergeCell ref="B164:H164"/>
    <mergeCell ref="B165:H165"/>
    <mergeCell ref="A120:H120"/>
    <mergeCell ref="E43:H43"/>
    <mergeCell ref="A43:D43"/>
    <mergeCell ref="A82:B82"/>
    <mergeCell ref="A50:B50"/>
    <mergeCell ref="C52:E52"/>
    <mergeCell ref="A145:B145"/>
    <mergeCell ref="A146:B146"/>
    <mergeCell ref="A141:H141"/>
    <mergeCell ref="A135:H135"/>
    <mergeCell ref="C56:E56"/>
    <mergeCell ref="A139:B139"/>
    <mergeCell ref="F87:H87"/>
    <mergeCell ref="F92:H92"/>
    <mergeCell ref="A124:B124"/>
    <mergeCell ref="A119:B119"/>
    <mergeCell ref="A116:B116"/>
    <mergeCell ref="A127:B127"/>
    <mergeCell ref="A133:B133"/>
    <mergeCell ref="C108:D108"/>
    <mergeCell ref="C73:H73"/>
    <mergeCell ref="A68:C68"/>
    <mergeCell ref="A77:B77"/>
    <mergeCell ref="A85:B85"/>
    <mergeCell ref="I15:P15"/>
    <mergeCell ref="F97:H97"/>
    <mergeCell ref="F95:H95"/>
    <mergeCell ref="A137:B137"/>
    <mergeCell ref="A110:H110"/>
    <mergeCell ref="G101:H101"/>
    <mergeCell ref="A96:E96"/>
    <mergeCell ref="A115:B115"/>
    <mergeCell ref="A60:B60"/>
    <mergeCell ref="C60:E60"/>
    <mergeCell ref="D62:H62"/>
    <mergeCell ref="F96:H96"/>
    <mergeCell ref="E101:F101"/>
    <mergeCell ref="A101:B101"/>
    <mergeCell ref="C105:D105"/>
    <mergeCell ref="D70:H70"/>
    <mergeCell ref="D63:H63"/>
    <mergeCell ref="G60:H60"/>
    <mergeCell ref="C53:H53"/>
    <mergeCell ref="A117:B117"/>
    <mergeCell ref="A54:B55"/>
    <mergeCell ref="C59:E59"/>
    <mergeCell ref="G54:H54"/>
    <mergeCell ref="A56:B57"/>
    <mergeCell ref="A148:B148"/>
    <mergeCell ref="E105:F105"/>
    <mergeCell ref="A109:H109"/>
    <mergeCell ref="A114:B114"/>
    <mergeCell ref="A108:B108"/>
    <mergeCell ref="A90:E90"/>
    <mergeCell ref="A87:E87"/>
    <mergeCell ref="F91:H91"/>
    <mergeCell ref="A91:E91"/>
    <mergeCell ref="E108:F108"/>
    <mergeCell ref="A130:B130"/>
    <mergeCell ref="A105:B105"/>
    <mergeCell ref="D121:D122"/>
    <mergeCell ref="E121:E122"/>
    <mergeCell ref="F88:H88"/>
    <mergeCell ref="G102:H102"/>
    <mergeCell ref="F94:H94"/>
    <mergeCell ref="C101:D101"/>
    <mergeCell ref="C107:D107"/>
    <mergeCell ref="A123:H123"/>
    <mergeCell ref="A93:E93"/>
    <mergeCell ref="F93:H93"/>
    <mergeCell ref="A95:E95"/>
    <mergeCell ref="F90:H90"/>
    <mergeCell ref="A11:D11"/>
    <mergeCell ref="E11:H11"/>
    <mergeCell ref="A23:D24"/>
    <mergeCell ref="A86:B86"/>
    <mergeCell ref="A178:H181"/>
    <mergeCell ref="A177:B177"/>
    <mergeCell ref="E177:F177"/>
    <mergeCell ref="C177:D177"/>
    <mergeCell ref="G177:H177"/>
    <mergeCell ref="A100:H100"/>
    <mergeCell ref="A98:E98"/>
    <mergeCell ref="F98:H98"/>
    <mergeCell ref="A99:E99"/>
    <mergeCell ref="F99:H99"/>
    <mergeCell ref="A129:H129"/>
    <mergeCell ref="A106:B106"/>
    <mergeCell ref="A138:B138"/>
    <mergeCell ref="A102:B102"/>
    <mergeCell ref="A173:H173"/>
    <mergeCell ref="A104:H104"/>
    <mergeCell ref="A176:H176"/>
    <mergeCell ref="A174:H174"/>
    <mergeCell ref="A170:H170"/>
    <mergeCell ref="G105:H10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D68:H68"/>
    <mergeCell ref="C75:H75"/>
    <mergeCell ref="A69:C69"/>
    <mergeCell ref="D69:H69"/>
    <mergeCell ref="A72:C72"/>
    <mergeCell ref="D72:H72"/>
    <mergeCell ref="A71:C71"/>
    <mergeCell ref="A76:B76"/>
    <mergeCell ref="A46:D46"/>
    <mergeCell ref="A47:D47"/>
    <mergeCell ref="D67:H67"/>
    <mergeCell ref="A65:C65"/>
    <mergeCell ref="D65:H65"/>
    <mergeCell ref="A75:B75"/>
    <mergeCell ref="A73:B73"/>
    <mergeCell ref="A70:C70"/>
    <mergeCell ref="D71:H71"/>
    <mergeCell ref="G59:H59"/>
    <mergeCell ref="G76:H76"/>
    <mergeCell ref="E76:F76"/>
    <mergeCell ref="A44:D44"/>
    <mergeCell ref="E44:H44"/>
    <mergeCell ref="E45:H45"/>
    <mergeCell ref="E46:H46"/>
    <mergeCell ref="E47:H47"/>
    <mergeCell ref="C57:H57"/>
    <mergeCell ref="A48:H48"/>
    <mergeCell ref="D64:H64"/>
    <mergeCell ref="A64:C64"/>
    <mergeCell ref="A45:D45"/>
    <mergeCell ref="A49:B49"/>
    <mergeCell ref="C49:H49"/>
    <mergeCell ref="G52:H52"/>
    <mergeCell ref="A61:H61"/>
    <mergeCell ref="A62:C62"/>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L114:M114"/>
    <mergeCell ref="A84:B84"/>
    <mergeCell ref="C106:D106"/>
    <mergeCell ref="E106:F106"/>
    <mergeCell ref="G106:H106"/>
    <mergeCell ref="A88:E88"/>
    <mergeCell ref="A113:H113"/>
    <mergeCell ref="E111:E112"/>
    <mergeCell ref="F89:H89"/>
    <mergeCell ref="A89:E89"/>
    <mergeCell ref="D111:D112"/>
    <mergeCell ref="G111:G112"/>
    <mergeCell ref="A94:E94"/>
    <mergeCell ref="L125:M125"/>
    <mergeCell ref="A134:B134"/>
    <mergeCell ref="A131:B131"/>
    <mergeCell ref="A132:B132"/>
    <mergeCell ref="A142:B142"/>
    <mergeCell ref="A40:B40"/>
    <mergeCell ref="C40:H40"/>
    <mergeCell ref="F111:F112"/>
    <mergeCell ref="C102:D102"/>
    <mergeCell ref="E102:F102"/>
    <mergeCell ref="B111:B112"/>
    <mergeCell ref="A111:A112"/>
    <mergeCell ref="C121:C122"/>
    <mergeCell ref="G121:G122"/>
    <mergeCell ref="L124:M124"/>
    <mergeCell ref="L122:M122"/>
    <mergeCell ref="A125:B125"/>
    <mergeCell ref="G108:H108"/>
    <mergeCell ref="A126:B126"/>
    <mergeCell ref="L123:M123"/>
    <mergeCell ref="C55:H55"/>
    <mergeCell ref="L117:M117"/>
    <mergeCell ref="L116:M116"/>
    <mergeCell ref="L115:M115"/>
    <mergeCell ref="A79:B79"/>
    <mergeCell ref="E77:F86"/>
    <mergeCell ref="G77:H86"/>
    <mergeCell ref="A92:E92"/>
    <mergeCell ref="A107:B107"/>
    <mergeCell ref="E107:F107"/>
    <mergeCell ref="A97:E97"/>
    <mergeCell ref="G107:H107"/>
    <mergeCell ref="A103:B103"/>
    <mergeCell ref="C103:D103"/>
    <mergeCell ref="E103:F103"/>
    <mergeCell ref="G103:H103"/>
    <mergeCell ref="A81:B81"/>
    <mergeCell ref="A80:B80"/>
    <mergeCell ref="A83:B83"/>
    <mergeCell ref="A78:B78"/>
    <mergeCell ref="A128:B128"/>
    <mergeCell ref="A143:B143"/>
    <mergeCell ref="A151:B151"/>
    <mergeCell ref="B169:H169"/>
    <mergeCell ref="C111:C112"/>
    <mergeCell ref="B121:B122"/>
    <mergeCell ref="B156:H156"/>
    <mergeCell ref="A152:B152"/>
    <mergeCell ref="A118:B118"/>
    <mergeCell ref="A121:A122"/>
    <mergeCell ref="F121:F122"/>
    <mergeCell ref="A136:B136"/>
    <mergeCell ref="A140:B140"/>
    <mergeCell ref="A150:B150"/>
    <mergeCell ref="A147:H147"/>
    <mergeCell ref="B160:H160"/>
    <mergeCell ref="B158:H158"/>
    <mergeCell ref="B155:H155"/>
    <mergeCell ref="B154:H154"/>
    <mergeCell ref="A153:H153"/>
    <mergeCell ref="B157:H157"/>
    <mergeCell ref="A149:B149"/>
    <mergeCell ref="B159:H159"/>
    <mergeCell ref="A144:B144"/>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1:E112" xr:uid="{00000000-0002-0000-0000-000003000000}">
      <formula1>"Attached Loft area,Attached Otla area,Attached Mezzanine area"</formula1>
    </dataValidation>
    <dataValidation type="list" allowBlank="1" showInputMessage="1" showErrorMessage="1" sqref="G177:H177" xr:uid="{00000000-0002-0000-0000-000004000000}">
      <formula1>"Kunal Kadam,Pranita Mhatre,Shruti Fule,Pooja Kawale,Gaurav Panchal,Diptee Gotawade,Shruti Tathare,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1:B112" xr:uid="{00000000-0002-0000-0000-000007000000}">
      <formula1>"Shop No. (Sale Plan),Sale / Rehab,Sale / Mhada"</formula1>
    </dataValidation>
    <dataValidation type="list" allowBlank="1" showInputMessage="1" showErrorMessage="1" sqref="B121:B12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1:E122" xr:uid="{00000000-0002-0000-0000-00000B000000}">
      <formula1>"Fungible area,Balcony + WS Area,Chajja Area,Cornice Area,AP Area,WS Area"</formula1>
    </dataValidation>
    <dataValidation type="list" allowBlank="1" showInputMessage="1" showErrorMessage="1" sqref="H112 H12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1 H121" xr:uid="{00000000-0002-0000-0000-00000F000000}">
      <formula1>"Saleable area Loading :,Builder Saleable Area"</formula1>
    </dataValidation>
    <dataValidation type="list" allowBlank="1" showInputMessage="1" showErrorMessage="1" sqref="D111:D112 D121:D122" xr:uid="{00000000-0002-0000-0000-000010000000}">
      <formula1>"Carpet area,RERA Carpet area"</formula1>
    </dataValidation>
  </dataValidations>
  <hyperlinks>
    <hyperlink ref="C40" r:id="rId1" xr:uid="{00000000-0004-0000-0000-000000000000}"/>
    <hyperlink ref="I69" r:id="rId2" xr:uid="{00000000-0004-0000-0000-000001000000}"/>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7" manualBreakCount="7">
    <brk id="72" max="16383" man="1"/>
    <brk id="169" max="16383" man="1"/>
    <brk id="181" max="16383" man="1"/>
    <brk id="225" max="7" man="1"/>
    <brk id="266" max="7" man="1"/>
    <brk id="310" max="7" man="1"/>
    <brk id="351"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8" t="s">
        <v>103</v>
      </c>
      <c r="C3" s="278"/>
      <c r="D3" s="278"/>
      <c r="E3" s="278"/>
      <c r="F3" s="278"/>
      <c r="G3" s="278"/>
      <c r="H3" s="278"/>
    </row>
    <row r="4" spans="1:9" x14ac:dyDescent="0.25">
      <c r="A4" s="2"/>
      <c r="B4" s="3" t="s">
        <v>104</v>
      </c>
      <c r="C4" s="3" t="s">
        <v>105</v>
      </c>
      <c r="D4" s="3" t="s">
        <v>64</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10</v>
      </c>
      <c r="D4" s="48" t="s">
        <v>177</v>
      </c>
      <c r="E4" s="48" t="s">
        <v>187</v>
      </c>
      <c r="F4" s="48" t="s">
        <v>171</v>
      </c>
      <c r="G4" s="48" t="s">
        <v>192</v>
      </c>
      <c r="H4" s="48" t="s">
        <v>210</v>
      </c>
      <c r="J4" t="s">
        <v>192</v>
      </c>
      <c r="K4" t="s">
        <v>208</v>
      </c>
    </row>
    <row r="5" spans="2:11" x14ac:dyDescent="0.25">
      <c r="B5" s="47"/>
      <c r="C5" s="47"/>
      <c r="D5" s="48" t="s">
        <v>178</v>
      </c>
      <c r="E5" s="48" t="s">
        <v>185</v>
      </c>
      <c r="F5" s="48" t="s">
        <v>207</v>
      </c>
      <c r="G5" s="48" t="s">
        <v>193</v>
      </c>
      <c r="H5" s="48" t="s">
        <v>211</v>
      </c>
    </row>
    <row r="6" spans="2:11" x14ac:dyDescent="0.25">
      <c r="B6" s="47"/>
      <c r="C6" s="47"/>
      <c r="D6" s="48" t="s">
        <v>179</v>
      </c>
      <c r="E6" s="48" t="s">
        <v>186</v>
      </c>
      <c r="F6" s="48" t="s">
        <v>208</v>
      </c>
      <c r="G6" s="48" t="s">
        <v>194</v>
      </c>
      <c r="H6" s="48" t="s">
        <v>224</v>
      </c>
    </row>
    <row r="7" spans="2:11" x14ac:dyDescent="0.25">
      <c r="B7" s="47"/>
      <c r="C7" s="47"/>
      <c r="D7" s="48" t="s">
        <v>180</v>
      </c>
      <c r="E7" s="48" t="s">
        <v>188</v>
      </c>
      <c r="F7" s="48" t="s">
        <v>209</v>
      </c>
      <c r="G7" s="48" t="s">
        <v>195</v>
      </c>
      <c r="H7" s="48" t="s">
        <v>212</v>
      </c>
    </row>
    <row r="8" spans="2:11" x14ac:dyDescent="0.25">
      <c r="B8" s="47"/>
      <c r="C8" s="47"/>
      <c r="D8" s="48" t="s">
        <v>181</v>
      </c>
      <c r="E8" s="48" t="s">
        <v>189</v>
      </c>
      <c r="F8" s="48"/>
      <c r="G8" s="48" t="s">
        <v>196</v>
      </c>
      <c r="H8" s="48" t="s">
        <v>213</v>
      </c>
    </row>
    <row r="9" spans="2:11" x14ac:dyDescent="0.25">
      <c r="B9" s="47"/>
      <c r="C9" s="47"/>
      <c r="D9" s="48" t="s">
        <v>182</v>
      </c>
      <c r="E9" s="48" t="s">
        <v>187</v>
      </c>
      <c r="F9" s="48"/>
      <c r="G9" s="48" t="s">
        <v>197</v>
      </c>
      <c r="H9" s="48" t="s">
        <v>214</v>
      </c>
    </row>
    <row r="10" spans="2:11" x14ac:dyDescent="0.25">
      <c r="B10" s="47"/>
      <c r="C10" s="47"/>
      <c r="D10" s="48" t="s">
        <v>183</v>
      </c>
      <c r="E10" s="48" t="s">
        <v>190</v>
      </c>
      <c r="F10" s="48"/>
      <c r="G10" s="48" t="s">
        <v>198</v>
      </c>
      <c r="H10" s="48" t="s">
        <v>215</v>
      </c>
    </row>
    <row r="11" spans="2:11" x14ac:dyDescent="0.25">
      <c r="B11" s="47"/>
      <c r="C11" s="47"/>
      <c r="D11" s="48" t="s">
        <v>184</v>
      </c>
      <c r="E11" s="48" t="s">
        <v>191</v>
      </c>
      <c r="F11" s="48"/>
      <c r="G11" s="48" t="s">
        <v>199</v>
      </c>
      <c r="H11" s="48" t="s">
        <v>216</v>
      </c>
    </row>
    <row r="12" spans="2:11" x14ac:dyDescent="0.25">
      <c r="B12" s="47"/>
      <c r="C12" s="47"/>
      <c r="D12" s="48"/>
      <c r="E12" s="48"/>
      <c r="F12" s="48"/>
      <c r="G12" s="48" t="s">
        <v>200</v>
      </c>
      <c r="H12" s="48" t="s">
        <v>217</v>
      </c>
    </row>
    <row r="13" spans="2:11" x14ac:dyDescent="0.25">
      <c r="B13" s="47"/>
      <c r="C13" s="47"/>
      <c r="D13" s="48"/>
      <c r="E13" s="48"/>
      <c r="F13" s="48"/>
      <c r="G13" s="48" t="s">
        <v>201</v>
      </c>
      <c r="H13" s="48" t="s">
        <v>218</v>
      </c>
    </row>
    <row r="14" spans="2:11" x14ac:dyDescent="0.25">
      <c r="B14" s="47"/>
      <c r="C14" s="47"/>
      <c r="D14" s="48"/>
      <c r="E14" s="48"/>
      <c r="F14" s="48"/>
      <c r="G14" s="48" t="s">
        <v>202</v>
      </c>
      <c r="H14" s="48" t="s">
        <v>219</v>
      </c>
    </row>
    <row r="15" spans="2:11" x14ac:dyDescent="0.25">
      <c r="B15" s="47"/>
      <c r="C15" s="47"/>
      <c r="D15" s="48"/>
      <c r="E15" s="48"/>
      <c r="F15" s="48"/>
      <c r="G15" s="48" t="s">
        <v>203</v>
      </c>
      <c r="H15" s="48" t="s">
        <v>220</v>
      </c>
    </row>
    <row r="16" spans="2:11" x14ac:dyDescent="0.25">
      <c r="B16" s="47"/>
      <c r="C16" s="47"/>
      <c r="D16" s="48"/>
      <c r="E16" s="48"/>
      <c r="F16" s="48"/>
      <c r="G16" s="48" t="s">
        <v>204</v>
      </c>
      <c r="H16" s="48" t="s">
        <v>221</v>
      </c>
    </row>
    <row r="17" spans="2:8" x14ac:dyDescent="0.25">
      <c r="B17" s="47"/>
      <c r="C17" s="47"/>
      <c r="D17" s="48"/>
      <c r="E17" s="48"/>
      <c r="F17" s="48"/>
      <c r="G17" s="48" t="s">
        <v>205</v>
      </c>
      <c r="H17" s="48" t="s">
        <v>222</v>
      </c>
    </row>
    <row r="18" spans="2:8" x14ac:dyDescent="0.25">
      <c r="B18" s="47"/>
      <c r="C18" s="47"/>
      <c r="D18" s="48"/>
      <c r="E18" s="48"/>
      <c r="F18" s="48"/>
      <c r="G18" s="48" t="s">
        <v>206</v>
      </c>
      <c r="H18" s="48" t="s">
        <v>223</v>
      </c>
    </row>
    <row r="24" spans="2:8" x14ac:dyDescent="0.25">
      <c r="C24" t="s">
        <v>168</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168</v>
      </c>
    </row>
    <row r="33" spans="3:11" x14ac:dyDescent="0.25">
      <c r="J33">
        <v>1</v>
      </c>
      <c r="K33">
        <v>2</v>
      </c>
    </row>
    <row r="34" spans="3:11" x14ac:dyDescent="0.25">
      <c r="C34" s="50" t="s">
        <v>234</v>
      </c>
      <c r="D34" s="48" t="s">
        <v>232</v>
      </c>
      <c r="E34" s="48" t="s">
        <v>237</v>
      </c>
      <c r="F34" s="48" t="s">
        <v>235</v>
      </c>
      <c r="G34" s="48" t="s">
        <v>236</v>
      </c>
      <c r="H34" s="48" t="s">
        <v>238</v>
      </c>
      <c r="J34" t="s">
        <v>192</v>
      </c>
      <c r="K34" t="s">
        <v>208</v>
      </c>
    </row>
    <row r="35" spans="3:11" x14ac:dyDescent="0.25">
      <c r="C35" s="47" t="s">
        <v>233</v>
      </c>
      <c r="D35" s="48" t="s">
        <v>169</v>
      </c>
      <c r="E35" s="48" t="s">
        <v>242</v>
      </c>
      <c r="F35" s="48" t="s">
        <v>244</v>
      </c>
      <c r="G35" s="48" t="s">
        <v>246</v>
      </c>
      <c r="H35" s="48"/>
    </row>
    <row r="36" spans="3:11" x14ac:dyDescent="0.25">
      <c r="C36" s="47"/>
      <c r="D36" s="48" t="s">
        <v>239</v>
      </c>
      <c r="E36" s="48" t="s">
        <v>243</v>
      </c>
      <c r="F36" s="48" t="s">
        <v>245</v>
      </c>
      <c r="G36" s="48" t="s">
        <v>247</v>
      </c>
      <c r="H36" s="48"/>
    </row>
    <row r="37" spans="3:11" x14ac:dyDescent="0.25">
      <c r="C37" s="47"/>
      <c r="D37" s="48" t="s">
        <v>240</v>
      </c>
      <c r="E37" s="48"/>
      <c r="F37" s="48"/>
      <c r="G37" s="48" t="s">
        <v>248</v>
      </c>
      <c r="H37" s="48"/>
    </row>
    <row r="38" spans="3:11" x14ac:dyDescent="0.25">
      <c r="C38" s="47"/>
      <c r="D38" s="48" t="s">
        <v>241</v>
      </c>
      <c r="E38" s="48"/>
      <c r="F38" s="48"/>
      <c r="G38" s="48" t="s">
        <v>248</v>
      </c>
      <c r="H38" s="48"/>
    </row>
    <row r="39" spans="3:11" x14ac:dyDescent="0.25">
      <c r="C39" s="47"/>
      <c r="D39" s="48"/>
      <c r="E39" s="48"/>
      <c r="F39" s="48"/>
      <c r="G39" s="48" t="s">
        <v>249</v>
      </c>
      <c r="H39" s="48"/>
    </row>
    <row r="40" spans="3:11" x14ac:dyDescent="0.25">
      <c r="C40" s="47"/>
      <c r="D40" s="48"/>
      <c r="E40" s="48"/>
      <c r="F40" s="48"/>
      <c r="G40" s="48" t="s">
        <v>250</v>
      </c>
      <c r="H40" s="48"/>
    </row>
    <row r="41" spans="3:11" x14ac:dyDescent="0.25">
      <c r="C41" s="47"/>
      <c r="D41" s="48"/>
      <c r="E41" s="48"/>
      <c r="F41" s="48"/>
      <c r="G41" s="48"/>
      <c r="H41" s="48"/>
    </row>
    <row r="43" spans="3:11" x14ac:dyDescent="0.25">
      <c r="C43" t="s">
        <v>251</v>
      </c>
    </row>
    <row r="44" spans="3:11" x14ac:dyDescent="0.25">
      <c r="C44" t="s">
        <v>171</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177</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192</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187</v>
      </c>
      <c r="D67" t="s">
        <v>273</v>
      </c>
    </row>
    <row r="68" spans="3:4" x14ac:dyDescent="0.25">
      <c r="D68" t="s">
        <v>274</v>
      </c>
    </row>
    <row r="69" spans="3:4" x14ac:dyDescent="0.25">
      <c r="D69" t="s">
        <v>275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1">
        <v>1</v>
      </c>
      <c r="C2" s="54" t="s">
        <v>281</v>
      </c>
    </row>
    <row r="3" spans="2:3" x14ac:dyDescent="0.25">
      <c r="B3" s="51">
        <v>2</v>
      </c>
      <c r="C3" s="52" t="s">
        <v>282</v>
      </c>
    </row>
    <row r="4" spans="2:3" x14ac:dyDescent="0.25">
      <c r="B4" s="51">
        <v>3</v>
      </c>
      <c r="C4" s="53" t="s">
        <v>283</v>
      </c>
    </row>
    <row r="5" spans="2:3" x14ac:dyDescent="0.25">
      <c r="B5" s="51">
        <v>4</v>
      </c>
      <c r="C5" s="52" t="s">
        <v>284</v>
      </c>
    </row>
    <row r="6" spans="2:3" x14ac:dyDescent="0.25">
      <c r="B6" s="51">
        <v>5</v>
      </c>
      <c r="C6" s="53" t="s">
        <v>285</v>
      </c>
    </row>
    <row r="7" spans="2:3" ht="30" x14ac:dyDescent="0.25">
      <c r="B7" s="51">
        <v>6</v>
      </c>
      <c r="C7" s="52" t="s">
        <v>286</v>
      </c>
    </row>
    <row r="8" spans="2:3" ht="75" x14ac:dyDescent="0.25">
      <c r="B8" s="51">
        <v>7</v>
      </c>
      <c r="C8" s="52" t="s">
        <v>287</v>
      </c>
    </row>
    <row r="9" spans="2:3" x14ac:dyDescent="0.25">
      <c r="B9" s="51">
        <v>8</v>
      </c>
      <c r="C9" s="53" t="s">
        <v>288</v>
      </c>
    </row>
    <row r="10" spans="2:3" x14ac:dyDescent="0.25">
      <c r="B10" s="51">
        <v>9</v>
      </c>
      <c r="C10" s="53" t="s">
        <v>289</v>
      </c>
    </row>
    <row r="11" spans="2:3" x14ac:dyDescent="0.25">
      <c r="B11" s="51">
        <v>10</v>
      </c>
      <c r="C11" s="53" t="s">
        <v>290</v>
      </c>
    </row>
    <row r="12" spans="2:3" x14ac:dyDescent="0.25">
      <c r="B12" s="51">
        <v>11</v>
      </c>
      <c r="C12" s="53" t="s">
        <v>291</v>
      </c>
    </row>
    <row r="13" spans="2:3" x14ac:dyDescent="0.25">
      <c r="B13" s="51">
        <v>12</v>
      </c>
      <c r="C13" s="53" t="s">
        <v>292</v>
      </c>
    </row>
    <row r="14" spans="2:3" x14ac:dyDescent="0.25">
      <c r="B14" s="51">
        <v>13</v>
      </c>
      <c r="C14" s="53" t="s">
        <v>293</v>
      </c>
    </row>
    <row r="15" spans="2:3" x14ac:dyDescent="0.25">
      <c r="B15" s="51">
        <v>14</v>
      </c>
      <c r="C15" s="53" t="s">
        <v>283</v>
      </c>
    </row>
    <row r="16" spans="2:3" x14ac:dyDescent="0.25">
      <c r="B16" s="51">
        <v>15</v>
      </c>
      <c r="C16" s="53" t="s">
        <v>295</v>
      </c>
    </row>
    <row r="17" spans="2:3" x14ac:dyDescent="0.25">
      <c r="B17" s="73">
        <v>16</v>
      </c>
      <c r="C17" s="57" t="s">
        <v>296</v>
      </c>
    </row>
    <row r="18" spans="2:3" x14ac:dyDescent="0.25">
      <c r="B18" s="56">
        <v>17</v>
      </c>
      <c r="C18" s="57" t="s">
        <v>297</v>
      </c>
    </row>
    <row r="19" spans="2:3" x14ac:dyDescent="0.25">
      <c r="B19" s="55">
        <v>18</v>
      </c>
      <c r="C19" s="51" t="s">
        <v>298</v>
      </c>
    </row>
    <row r="20" spans="2:3" x14ac:dyDescent="0.25">
      <c r="B20" s="56">
        <v>19</v>
      </c>
      <c r="C20" s="51" t="s">
        <v>334</v>
      </c>
    </row>
    <row r="21" spans="2:3" x14ac:dyDescent="0.25">
      <c r="B21" s="58">
        <v>20</v>
      </c>
      <c r="C21" s="51" t="s">
        <v>299</v>
      </c>
    </row>
    <row r="22" spans="2:3" x14ac:dyDescent="0.25">
      <c r="B22" s="56">
        <v>21</v>
      </c>
      <c r="C22" s="51" t="s">
        <v>298</v>
      </c>
    </row>
    <row r="23" spans="2:3" s="67" customFormat="1" ht="29.25" customHeight="1" x14ac:dyDescent="0.25">
      <c r="B23" s="66">
        <v>22</v>
      </c>
      <c r="C23" s="54" t="s">
        <v>326</v>
      </c>
    </row>
    <row r="24" spans="2:3" s="67" customFormat="1" ht="30.75" customHeight="1" x14ac:dyDescent="0.25">
      <c r="B24" s="68">
        <v>23</v>
      </c>
      <c r="C24" s="54" t="s">
        <v>327</v>
      </c>
    </row>
    <row r="25" spans="2:3" x14ac:dyDescent="0.25">
      <c r="B25" s="58">
        <v>24</v>
      </c>
      <c r="C25" s="51" t="s">
        <v>330</v>
      </c>
    </row>
    <row r="26" spans="2:3" x14ac:dyDescent="0.25">
      <c r="B26" s="56">
        <v>25</v>
      </c>
      <c r="C26" s="51" t="s">
        <v>328</v>
      </c>
    </row>
    <row r="27" spans="2:3" x14ac:dyDescent="0.25">
      <c r="B27" s="68">
        <v>26</v>
      </c>
      <c r="C27" s="58" t="s">
        <v>329</v>
      </c>
    </row>
    <row r="28" spans="2:3" x14ac:dyDescent="0.25">
      <c r="B28" s="69">
        <v>27</v>
      </c>
      <c r="C28" s="51" t="s">
        <v>331</v>
      </c>
    </row>
    <row r="29" spans="2:3" ht="60" x14ac:dyDescent="0.25">
      <c r="B29" s="72">
        <v>28</v>
      </c>
      <c r="C29" s="52" t="s">
        <v>332</v>
      </c>
    </row>
    <row r="30" spans="2:3" x14ac:dyDescent="0.25">
      <c r="B30" s="68">
        <v>29</v>
      </c>
      <c r="C30" s="51" t="s">
        <v>333</v>
      </c>
    </row>
    <row r="31" spans="2:3" ht="30" x14ac:dyDescent="0.25">
      <c r="B31" s="74">
        <v>30</v>
      </c>
      <c r="C31" s="52" t="s">
        <v>335</v>
      </c>
    </row>
    <row r="32" spans="2:3" x14ac:dyDescent="0.25">
      <c r="B32" s="68">
        <v>31</v>
      </c>
      <c r="C32" s="51" t="s">
        <v>336</v>
      </c>
    </row>
    <row r="33" spans="2:3" x14ac:dyDescent="0.25">
      <c r="B33" s="68">
        <v>32</v>
      </c>
      <c r="C33" s="51" t="s">
        <v>337</v>
      </c>
    </row>
    <row r="34" spans="2:3" ht="36.75" customHeight="1" x14ac:dyDescent="0.25">
      <c r="B34" s="74">
        <v>33</v>
      </c>
      <c r="C34" s="57" t="s">
        <v>338</v>
      </c>
    </row>
    <row r="35" spans="2:3" x14ac:dyDescent="0.25">
      <c r="B35" s="79">
        <v>34</v>
      </c>
      <c r="C35" s="51" t="s">
        <v>346</v>
      </c>
    </row>
    <row r="36" spans="2:3" ht="60" x14ac:dyDescent="0.25">
      <c r="B36" s="66">
        <v>35</v>
      </c>
      <c r="C36" s="52" t="s">
        <v>348</v>
      </c>
    </row>
    <row r="37" spans="2:3" x14ac:dyDescent="0.25">
      <c r="B37" s="51"/>
      <c r="C37" s="51"/>
    </row>
    <row r="38" spans="2:3" x14ac:dyDescent="0.25">
      <c r="B38" s="51"/>
      <c r="C38" s="51"/>
    </row>
    <row r="39" spans="2:3" x14ac:dyDescent="0.25">
      <c r="B39" s="51"/>
      <c r="C39" s="51"/>
    </row>
    <row r="40" spans="2:3" x14ac:dyDescent="0.25">
      <c r="B40" s="51"/>
      <c r="C40" s="51"/>
    </row>
    <row r="41" spans="2:3" x14ac:dyDescent="0.25">
      <c r="B41" s="51"/>
      <c r="C41" s="51"/>
    </row>
    <row r="42" spans="2:3" x14ac:dyDescent="0.25">
      <c r="B42" s="51"/>
      <c r="C42" s="51"/>
    </row>
    <row r="43" spans="2:3" x14ac:dyDescent="0.25">
      <c r="B43" s="51"/>
      <c r="C43" s="51"/>
    </row>
    <row r="44" spans="2:3" x14ac:dyDescent="0.25">
      <c r="B44" s="51"/>
      <c r="C44"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RowHeight="15" x14ac:dyDescent="0.25"/>
  <cols>
    <col min="1" max="1" width="9.140625" style="47"/>
    <col min="2" max="2" width="12.28515625" style="47" customWidth="1"/>
    <col min="3" max="16384" width="9.140625" style="47"/>
  </cols>
  <sheetData>
    <row r="2" spans="1:12" x14ac:dyDescent="0.25">
      <c r="B2" s="60" t="s">
        <v>300</v>
      </c>
      <c r="C2" s="279"/>
      <c r="D2" s="279"/>
    </row>
    <row r="3" spans="1:12" x14ac:dyDescent="0.25">
      <c r="D3" s="61"/>
      <c r="E3" s="61"/>
      <c r="F3" s="61"/>
      <c r="G3" s="61"/>
      <c r="H3" s="61"/>
      <c r="I3" s="61"/>
    </row>
    <row r="4" spans="1:12" x14ac:dyDescent="0.25">
      <c r="A4" s="60" t="s">
        <v>64</v>
      </c>
      <c r="B4" s="62" t="s">
        <v>301</v>
      </c>
      <c r="C4" s="280" t="s">
        <v>302</v>
      </c>
      <c r="D4" s="280"/>
      <c r="E4" s="280"/>
      <c r="F4" s="62"/>
      <c r="G4" s="281" t="s">
        <v>303</v>
      </c>
      <c r="H4" s="281"/>
      <c r="I4" s="281"/>
      <c r="J4" s="282" t="s">
        <v>304</v>
      </c>
      <c r="K4" s="282"/>
      <c r="L4" s="282"/>
    </row>
    <row r="5" spans="1:12" x14ac:dyDescent="0.25">
      <c r="A5" s="60"/>
      <c r="B5" s="62"/>
      <c r="C5" s="62" t="s">
        <v>305</v>
      </c>
      <c r="D5" s="62" t="s">
        <v>306</v>
      </c>
      <c r="E5" s="62" t="s">
        <v>307</v>
      </c>
      <c r="F5" s="62"/>
      <c r="G5" s="62" t="s">
        <v>305</v>
      </c>
      <c r="H5" s="62" t="s">
        <v>306</v>
      </c>
      <c r="I5" s="62" t="s">
        <v>307</v>
      </c>
      <c r="J5" s="62" t="s">
        <v>305</v>
      </c>
      <c r="K5" s="62" t="s">
        <v>306</v>
      </c>
      <c r="L5" s="62" t="s">
        <v>307</v>
      </c>
    </row>
    <row r="6" spans="1:12" x14ac:dyDescent="0.25">
      <c r="B6" s="48" t="s">
        <v>308</v>
      </c>
      <c r="C6" s="48"/>
      <c r="D6" s="48"/>
      <c r="E6" s="48">
        <f>C6*D6</f>
        <v>0</v>
      </c>
      <c r="F6" s="48" t="s">
        <v>325</v>
      </c>
      <c r="G6" s="48"/>
      <c r="H6" s="48"/>
      <c r="I6" s="48">
        <f>G6*H6</f>
        <v>0</v>
      </c>
      <c r="J6" s="48"/>
      <c r="K6" s="48"/>
      <c r="L6" s="48">
        <f>J6*K6</f>
        <v>0</v>
      </c>
    </row>
    <row r="7" spans="1:12" x14ac:dyDescent="0.25">
      <c r="B7" s="48"/>
      <c r="C7" s="48"/>
      <c r="D7" s="48"/>
      <c r="E7" s="48">
        <f t="shared" ref="E7:E41" si="0">C7*D7</f>
        <v>0</v>
      </c>
      <c r="F7" s="48" t="s">
        <v>325</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309</v>
      </c>
      <c r="G9" s="48"/>
      <c r="H9" s="48"/>
      <c r="I9" s="48">
        <f t="shared" si="1"/>
        <v>0</v>
      </c>
      <c r="J9" s="48"/>
      <c r="K9" s="48"/>
      <c r="L9" s="48">
        <f t="shared" si="2"/>
        <v>0</v>
      </c>
    </row>
    <row r="10" spans="1:12" x14ac:dyDescent="0.25">
      <c r="B10" s="48" t="s">
        <v>310</v>
      </c>
      <c r="C10" s="48"/>
      <c r="D10" s="48"/>
      <c r="E10" s="48">
        <f t="shared" si="0"/>
        <v>0</v>
      </c>
      <c r="F10" s="48" t="s">
        <v>309</v>
      </c>
      <c r="G10" s="48"/>
      <c r="H10" s="48"/>
      <c r="I10" s="48">
        <f t="shared" si="1"/>
        <v>0</v>
      </c>
      <c r="J10" s="48"/>
      <c r="K10" s="48"/>
      <c r="L10" s="48">
        <f t="shared" si="2"/>
        <v>0</v>
      </c>
    </row>
    <row r="11" spans="1:12" x14ac:dyDescent="0.25">
      <c r="B11" s="48"/>
      <c r="C11" s="48"/>
      <c r="D11" s="48"/>
      <c r="E11" s="48">
        <f t="shared" si="0"/>
        <v>0</v>
      </c>
      <c r="F11" s="48" t="s">
        <v>311</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312</v>
      </c>
      <c r="C14" s="48"/>
      <c r="D14" s="48"/>
      <c r="E14" s="48">
        <f t="shared" si="0"/>
        <v>0</v>
      </c>
      <c r="F14" s="48" t="s">
        <v>309</v>
      </c>
      <c r="G14" s="48"/>
      <c r="H14" s="48"/>
      <c r="I14" s="48">
        <f t="shared" si="1"/>
        <v>0</v>
      </c>
      <c r="J14" s="48"/>
      <c r="K14" s="48"/>
      <c r="L14" s="48">
        <f t="shared" si="2"/>
        <v>0</v>
      </c>
    </row>
    <row r="15" spans="1:12" x14ac:dyDescent="0.25">
      <c r="B15" s="48"/>
      <c r="C15" s="48"/>
      <c r="D15" s="48"/>
      <c r="E15" s="48">
        <f t="shared" si="0"/>
        <v>0</v>
      </c>
      <c r="F15" s="48" t="s">
        <v>311</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313</v>
      </c>
      <c r="C18" s="48"/>
      <c r="D18" s="48"/>
      <c r="E18" s="48">
        <f t="shared" si="0"/>
        <v>0</v>
      </c>
      <c r="F18" s="48" t="s">
        <v>309</v>
      </c>
      <c r="G18" s="48"/>
      <c r="H18" s="48"/>
      <c r="I18" s="48">
        <f t="shared" si="1"/>
        <v>0</v>
      </c>
      <c r="J18" s="48"/>
      <c r="K18" s="48"/>
      <c r="L18" s="48">
        <f t="shared" si="2"/>
        <v>0</v>
      </c>
    </row>
    <row r="19" spans="2:12" x14ac:dyDescent="0.25">
      <c r="B19" s="48"/>
      <c r="C19" s="48"/>
      <c r="D19" s="48"/>
      <c r="E19" s="48">
        <f t="shared" si="0"/>
        <v>0</v>
      </c>
      <c r="F19" s="48" t="s">
        <v>311</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314</v>
      </c>
      <c r="C21" s="48"/>
      <c r="D21" s="48"/>
      <c r="E21" s="48">
        <f t="shared" si="0"/>
        <v>0</v>
      </c>
      <c r="F21" s="48" t="s">
        <v>309</v>
      </c>
      <c r="G21" s="48"/>
      <c r="H21" s="48"/>
      <c r="I21" s="48">
        <f t="shared" si="1"/>
        <v>0</v>
      </c>
      <c r="J21" s="48"/>
      <c r="K21" s="48"/>
      <c r="L21" s="48">
        <f t="shared" si="2"/>
        <v>0</v>
      </c>
    </row>
    <row r="22" spans="2:12" x14ac:dyDescent="0.25">
      <c r="B22" s="48"/>
      <c r="C22" s="48"/>
      <c r="D22" s="48"/>
      <c r="E22" s="48">
        <f t="shared" si="0"/>
        <v>0</v>
      </c>
      <c r="F22" s="48" t="s">
        <v>311</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315</v>
      </c>
      <c r="C24" s="48"/>
      <c r="D24" s="48"/>
      <c r="E24" s="48">
        <f t="shared" si="0"/>
        <v>0</v>
      </c>
      <c r="F24" s="48" t="s">
        <v>316</v>
      </c>
      <c r="G24" s="48"/>
      <c r="H24" s="48"/>
      <c r="I24" s="48">
        <f t="shared" si="1"/>
        <v>0</v>
      </c>
      <c r="J24" s="48"/>
      <c r="K24" s="48"/>
      <c r="L24" s="48">
        <f t="shared" si="2"/>
        <v>0</v>
      </c>
    </row>
    <row r="25" spans="2:12" x14ac:dyDescent="0.25">
      <c r="B25" s="48"/>
      <c r="C25" s="48"/>
      <c r="D25" s="48"/>
      <c r="E25" s="48">
        <f>C25*D25</f>
        <v>0</v>
      </c>
      <c r="F25" s="48" t="s">
        <v>316</v>
      </c>
      <c r="G25" s="48"/>
      <c r="H25" s="48"/>
      <c r="I25" s="48">
        <f>G25*H25</f>
        <v>0</v>
      </c>
      <c r="J25" s="48"/>
      <c r="K25" s="48"/>
      <c r="L25" s="48">
        <f>J25*K25</f>
        <v>0</v>
      </c>
    </row>
    <row r="26" spans="2:12" x14ac:dyDescent="0.25">
      <c r="B26" s="48"/>
      <c r="C26" s="48"/>
      <c r="D26" s="48"/>
      <c r="E26" s="48">
        <f>C26*D26</f>
        <v>0</v>
      </c>
      <c r="F26" s="48" t="s">
        <v>316</v>
      </c>
      <c r="G26" s="48"/>
      <c r="H26" s="48"/>
      <c r="I26" s="48">
        <f>G26*H26</f>
        <v>0</v>
      </c>
      <c r="J26" s="48"/>
      <c r="K26" s="48"/>
      <c r="L26" s="48">
        <f>J26*K26</f>
        <v>0</v>
      </c>
    </row>
    <row r="27" spans="2:12" x14ac:dyDescent="0.25">
      <c r="B27" s="48"/>
      <c r="C27" s="48"/>
      <c r="D27" s="48"/>
      <c r="E27" s="48">
        <f>C27*D27</f>
        <v>0</v>
      </c>
      <c r="F27" s="48" t="s">
        <v>316</v>
      </c>
      <c r="G27" s="48"/>
      <c r="H27" s="48"/>
      <c r="I27" s="48">
        <f>G27*H27</f>
        <v>0</v>
      </c>
      <c r="J27" s="48"/>
      <c r="K27" s="48"/>
      <c r="L27" s="48">
        <f>J27*K27</f>
        <v>0</v>
      </c>
    </row>
    <row r="28" spans="2:12" x14ac:dyDescent="0.25">
      <c r="B28" s="48" t="s">
        <v>317</v>
      </c>
      <c r="C28" s="48"/>
      <c r="D28" s="48"/>
      <c r="E28" s="48">
        <f t="shared" si="0"/>
        <v>0</v>
      </c>
      <c r="F28" s="48" t="s">
        <v>316</v>
      </c>
      <c r="G28" s="48"/>
      <c r="H28" s="48"/>
      <c r="I28" s="48">
        <f t="shared" si="1"/>
        <v>0</v>
      </c>
      <c r="J28" s="48"/>
      <c r="K28" s="48"/>
      <c r="L28" s="48">
        <f t="shared" si="2"/>
        <v>0</v>
      </c>
    </row>
    <row r="29" spans="2:12" x14ac:dyDescent="0.25">
      <c r="B29" s="48" t="s">
        <v>318</v>
      </c>
      <c r="C29" s="48"/>
      <c r="D29" s="48"/>
      <c r="E29" s="48">
        <f t="shared" si="0"/>
        <v>0</v>
      </c>
      <c r="F29" s="48" t="s">
        <v>316</v>
      </c>
      <c r="G29" s="48"/>
      <c r="H29" s="48"/>
      <c r="I29" s="48">
        <f t="shared" si="1"/>
        <v>0</v>
      </c>
      <c r="J29" s="48"/>
      <c r="K29" s="48"/>
      <c r="L29" s="48">
        <f t="shared" si="2"/>
        <v>0</v>
      </c>
    </row>
    <row r="30" spans="2:12" x14ac:dyDescent="0.25">
      <c r="B30" s="48" t="s">
        <v>322</v>
      </c>
      <c r="C30" s="48"/>
      <c r="D30" s="48"/>
      <c r="E30" s="48">
        <f t="shared" si="0"/>
        <v>0</v>
      </c>
      <c r="F30" s="48"/>
      <c r="G30" s="48"/>
      <c r="H30" s="48"/>
      <c r="I30" s="48">
        <f t="shared" si="1"/>
        <v>0</v>
      </c>
      <c r="J30" s="48"/>
      <c r="K30" s="48"/>
      <c r="L30" s="48">
        <f t="shared" si="2"/>
        <v>0</v>
      </c>
    </row>
    <row r="31" spans="2:12" x14ac:dyDescent="0.25">
      <c r="B31" s="48"/>
      <c r="C31" s="48"/>
      <c r="D31" s="48"/>
      <c r="E31" s="48">
        <f>C31*D31</f>
        <v>0</v>
      </c>
      <c r="F31" s="48"/>
      <c r="G31" s="48"/>
      <c r="H31" s="48"/>
      <c r="I31" s="48">
        <f>G31*H31</f>
        <v>0</v>
      </c>
      <c r="J31" s="48"/>
      <c r="K31" s="48"/>
      <c r="L31" s="48">
        <f>J31*K31</f>
        <v>0</v>
      </c>
    </row>
    <row r="32" spans="2:12" x14ac:dyDescent="0.25">
      <c r="B32" s="48"/>
      <c r="C32" s="48"/>
      <c r="D32" s="48"/>
      <c r="E32" s="48">
        <f>C32*D32</f>
        <v>0</v>
      </c>
      <c r="F32" s="48"/>
      <c r="G32" s="48"/>
      <c r="H32" s="48"/>
      <c r="I32" s="48">
        <f>G32*H32</f>
        <v>0</v>
      </c>
      <c r="J32" s="48"/>
      <c r="K32" s="48"/>
      <c r="L32" s="48">
        <f>J32*K32</f>
        <v>0</v>
      </c>
    </row>
    <row r="33" spans="2:12" x14ac:dyDescent="0.25">
      <c r="B33" s="48" t="s">
        <v>319</v>
      </c>
      <c r="C33" s="48"/>
      <c r="D33" s="48"/>
      <c r="E33" s="48">
        <f t="shared" si="0"/>
        <v>0</v>
      </c>
      <c r="F33" s="48"/>
      <c r="G33" s="48"/>
      <c r="H33" s="48"/>
      <c r="I33" s="48">
        <f t="shared" si="1"/>
        <v>0</v>
      </c>
      <c r="J33" s="48"/>
      <c r="K33" s="48"/>
      <c r="L33" s="48">
        <f t="shared" si="2"/>
        <v>0</v>
      </c>
    </row>
    <row r="34" spans="2:12" x14ac:dyDescent="0.25">
      <c r="B34" s="48" t="s">
        <v>323</v>
      </c>
      <c r="C34" s="48"/>
      <c r="D34" s="48"/>
      <c r="E34" s="48">
        <f t="shared" si="0"/>
        <v>0</v>
      </c>
      <c r="F34" s="48"/>
      <c r="G34" s="48"/>
      <c r="H34" s="48"/>
      <c r="I34" s="48">
        <f t="shared" si="1"/>
        <v>0</v>
      </c>
      <c r="J34" s="48"/>
      <c r="K34" s="48"/>
      <c r="L34" s="48">
        <f t="shared" si="2"/>
        <v>0</v>
      </c>
    </row>
    <row r="35" spans="2:12" x14ac:dyDescent="0.25">
      <c r="B35" s="48" t="s">
        <v>320</v>
      </c>
      <c r="C35" s="48"/>
      <c r="D35" s="48"/>
      <c r="E35" s="48">
        <f t="shared" si="0"/>
        <v>0</v>
      </c>
      <c r="F35" s="48"/>
      <c r="G35" s="48"/>
      <c r="H35" s="48"/>
      <c r="I35" s="48">
        <f t="shared" si="1"/>
        <v>0</v>
      </c>
      <c r="J35" s="48"/>
      <c r="K35" s="48"/>
      <c r="L35" s="48">
        <f t="shared" si="2"/>
        <v>0</v>
      </c>
    </row>
    <row r="36" spans="2:12" x14ac:dyDescent="0.25">
      <c r="B36" s="48" t="s">
        <v>321</v>
      </c>
      <c r="C36" s="48"/>
      <c r="D36" s="48"/>
      <c r="E36" s="48">
        <f t="shared" si="0"/>
        <v>0</v>
      </c>
      <c r="F36" s="48"/>
      <c r="G36" s="48"/>
      <c r="H36" s="48"/>
      <c r="I36" s="48">
        <f t="shared" ref="I36:I41" si="3">G36*H36</f>
        <v>0</v>
      </c>
      <c r="J36" s="48"/>
      <c r="K36" s="48"/>
      <c r="L36" s="48">
        <f t="shared" ref="L36:L41" si="4">J36*K36</f>
        <v>0</v>
      </c>
    </row>
    <row r="37" spans="2:12" x14ac:dyDescent="0.25">
      <c r="B37" s="48"/>
      <c r="C37" s="48"/>
      <c r="D37" s="48"/>
      <c r="E37" s="48">
        <f>C37*D37</f>
        <v>0</v>
      </c>
      <c r="F37" s="48"/>
      <c r="G37" s="48"/>
      <c r="H37" s="48"/>
      <c r="I37" s="48">
        <f t="shared" si="3"/>
        <v>0</v>
      </c>
      <c r="J37" s="48"/>
      <c r="K37" s="48"/>
      <c r="L37" s="48">
        <f t="shared" si="4"/>
        <v>0</v>
      </c>
    </row>
    <row r="38" spans="2:12" x14ac:dyDescent="0.25">
      <c r="B38" s="48" t="s">
        <v>324</v>
      </c>
      <c r="C38" s="48"/>
      <c r="D38" s="48"/>
      <c r="E38" s="48">
        <f>C38*D38</f>
        <v>0</v>
      </c>
      <c r="F38" s="48"/>
      <c r="G38" s="48"/>
      <c r="H38" s="48"/>
      <c r="I38" s="48">
        <f t="shared" si="3"/>
        <v>0</v>
      </c>
      <c r="J38" s="48"/>
      <c r="K38" s="48"/>
      <c r="L38" s="48">
        <f t="shared" si="4"/>
        <v>0</v>
      </c>
    </row>
    <row r="39" spans="2:12" x14ac:dyDescent="0.25">
      <c r="B39" s="48"/>
      <c r="C39" s="48"/>
      <c r="D39" s="48"/>
      <c r="E39" s="48">
        <f t="shared" si="0"/>
        <v>0</v>
      </c>
      <c r="F39" s="48"/>
      <c r="G39" s="48"/>
      <c r="H39" s="48"/>
      <c r="I39" s="48">
        <f t="shared" si="3"/>
        <v>0</v>
      </c>
      <c r="J39" s="48"/>
      <c r="K39" s="48"/>
      <c r="L39" s="48">
        <f t="shared" si="4"/>
        <v>0</v>
      </c>
    </row>
    <row r="40" spans="2:12" x14ac:dyDescent="0.25">
      <c r="B40" s="48"/>
      <c r="C40" s="48"/>
      <c r="D40" s="48"/>
      <c r="E40" s="48">
        <f t="shared" si="0"/>
        <v>0</v>
      </c>
      <c r="F40" s="48"/>
      <c r="G40" s="48"/>
      <c r="H40" s="48"/>
      <c r="I40" s="48">
        <f t="shared" si="3"/>
        <v>0</v>
      </c>
      <c r="J40" s="48"/>
      <c r="K40" s="48"/>
      <c r="L40" s="48">
        <f t="shared" si="4"/>
        <v>0</v>
      </c>
    </row>
    <row r="41" spans="2:12" x14ac:dyDescent="0.25">
      <c r="B41" s="48"/>
      <c r="C41" s="48"/>
      <c r="D41" s="48"/>
      <c r="E41" s="48">
        <f t="shared" si="0"/>
        <v>0</v>
      </c>
      <c r="F41" s="48"/>
      <c r="G41" s="48"/>
      <c r="H41" s="48"/>
      <c r="I41" s="48">
        <f t="shared" si="3"/>
        <v>0</v>
      </c>
      <c r="J41" s="48"/>
      <c r="K41" s="48"/>
      <c r="L41" s="48">
        <f t="shared" si="4"/>
        <v>0</v>
      </c>
    </row>
    <row r="42" spans="2:12" x14ac:dyDescent="0.25">
      <c r="B42" s="48" t="s">
        <v>148</v>
      </c>
      <c r="C42" s="48"/>
      <c r="D42" s="48">
        <f>E42*10.764</f>
        <v>0</v>
      </c>
      <c r="E42" s="65">
        <f>SUM(E6:E41)</f>
        <v>0</v>
      </c>
      <c r="F42" s="48"/>
      <c r="G42" s="48"/>
      <c r="H42" s="48">
        <f>I42*10.764</f>
        <v>0</v>
      </c>
      <c r="I42" s="64">
        <f>SUM(I6:I41)</f>
        <v>0</v>
      </c>
      <c r="J42" s="48"/>
      <c r="K42" s="48">
        <f>L42*10.764</f>
        <v>0</v>
      </c>
      <c r="L42" s="63">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2025-09-19T07:33:03Z</cp:lastPrinted>
  <dcterms:created xsi:type="dcterms:W3CDTF">2019-07-16T09:29:46Z</dcterms:created>
  <dcterms:modified xsi:type="dcterms:W3CDTF">2025-09-19T07:35:02Z</dcterms:modified>
</cp:coreProperties>
</file>