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Sept 25\Rate Revision\"/>
    </mc:Choice>
  </mc:AlternateContent>
  <bookViews>
    <workbookView xWindow="0" yWindow="0" windowWidth="11295" windowHeight="757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Report!$A$1:$H$369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8" i="1" l="1"/>
  <c r="E207" i="1"/>
  <c r="J198" i="1" l="1"/>
  <c r="I198" i="1"/>
  <c r="D198" i="1"/>
  <c r="F198" i="1" s="1"/>
  <c r="J197" i="1"/>
  <c r="D197" i="1"/>
  <c r="F197" i="1" s="1"/>
  <c r="D196" i="1"/>
  <c r="F196" i="1" s="1"/>
  <c r="D195" i="1"/>
  <c r="F195" i="1" s="1"/>
  <c r="A195" i="1"/>
  <c r="A196" i="1" s="1"/>
  <c r="A197" i="1" s="1"/>
  <c r="A198" i="1" s="1"/>
  <c r="D194" i="1"/>
  <c r="F194" i="1" s="1"/>
  <c r="A194" i="1"/>
  <c r="G193" i="1"/>
  <c r="D193" i="1"/>
  <c r="F193" i="1" s="1"/>
  <c r="I200" i="1"/>
  <c r="G207" i="1"/>
  <c r="D208" i="1"/>
  <c r="F208" i="1" s="1"/>
  <c r="D207" i="1"/>
  <c r="F207" i="1" s="1"/>
  <c r="D187" i="1"/>
  <c r="D191" i="1"/>
  <c r="D190" i="1"/>
  <c r="D189" i="1"/>
  <c r="D188" i="1"/>
  <c r="D204" i="1"/>
  <c r="F204" i="1" s="1"/>
  <c r="D203" i="1"/>
  <c r="F203" i="1" s="1"/>
  <c r="D202" i="1"/>
  <c r="F202" i="1" s="1"/>
  <c r="D205" i="1"/>
  <c r="F205" i="1" s="1"/>
  <c r="A201" i="1"/>
  <c r="A202" i="1" s="1"/>
  <c r="A203" i="1" s="1"/>
  <c r="A204" i="1" s="1"/>
  <c r="A205" i="1" s="1"/>
  <c r="G200" i="1"/>
  <c r="D200" i="1"/>
  <c r="F200" i="1" s="1"/>
  <c r="J190" i="1"/>
  <c r="J191" i="1"/>
  <c r="A187" i="1"/>
  <c r="A188" i="1" s="1"/>
  <c r="A189" i="1" s="1"/>
  <c r="A190" i="1" s="1"/>
  <c r="A191" i="1" s="1"/>
  <c r="I191" i="1"/>
  <c r="D186" i="1"/>
  <c r="A174" i="1"/>
  <c r="A175" i="1" s="1"/>
  <c r="A176" i="1" s="1"/>
  <c r="A177" i="1" s="1"/>
  <c r="A178" i="1" s="1"/>
  <c r="A179" i="1" s="1"/>
  <c r="A180" i="1" s="1"/>
  <c r="A165" i="1"/>
  <c r="A166" i="1"/>
  <c r="A167" i="1" s="1"/>
  <c r="A168" i="1" s="1"/>
  <c r="A169" i="1" s="1"/>
  <c r="A170" i="1" s="1"/>
  <c r="A171" i="1" s="1"/>
  <c r="D171" i="1"/>
  <c r="F171" i="1" s="1"/>
  <c r="D170" i="1"/>
  <c r="F170" i="1" s="1"/>
  <c r="D169" i="1"/>
  <c r="F169" i="1" s="1"/>
  <c r="D168" i="1"/>
  <c r="F168" i="1" s="1"/>
  <c r="I168" i="1" s="1"/>
  <c r="D167" i="1"/>
  <c r="F167" i="1" s="1"/>
  <c r="D166" i="1"/>
  <c r="F166" i="1" s="1"/>
  <c r="D165" i="1"/>
  <c r="F165" i="1" s="1"/>
  <c r="J164" i="1"/>
  <c r="G164" i="1"/>
  <c r="F164" i="1"/>
  <c r="D164" i="1"/>
  <c r="D180" i="1"/>
  <c r="D179" i="1"/>
  <c r="D178" i="1"/>
  <c r="D177" i="1"/>
  <c r="D176" i="1"/>
  <c r="D175" i="1"/>
  <c r="D174" i="1"/>
  <c r="D173" i="1"/>
  <c r="J173" i="1"/>
  <c r="D140" i="1"/>
  <c r="J134" i="1"/>
  <c r="E109" i="1" l="1"/>
  <c r="C109" i="1"/>
  <c r="E113" i="1"/>
  <c r="C113" i="1"/>
  <c r="C114" i="1"/>
  <c r="E114" i="1"/>
  <c r="E39" i="1"/>
  <c r="G140" i="1"/>
  <c r="F140" i="1"/>
  <c r="G109" i="1" s="1"/>
  <c r="D138" i="1"/>
  <c r="D137" i="1"/>
  <c r="D135" i="1"/>
  <c r="D126" i="1"/>
  <c r="D125" i="1"/>
  <c r="D124" i="1"/>
  <c r="C47" i="1"/>
  <c r="G12" i="5" l="1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D244" i="1"/>
  <c r="B220" i="1"/>
  <c r="B219" i="1"/>
  <c r="D216" i="1"/>
  <c r="F216" i="1" s="1"/>
  <c r="D212" i="1"/>
  <c r="F212" i="1" s="1"/>
  <c r="G211" i="1"/>
  <c r="D211" i="1"/>
  <c r="A211" i="1"/>
  <c r="A212" i="1" s="1"/>
  <c r="A213" i="1" s="1"/>
  <c r="A214" i="1" s="1"/>
  <c r="A215" i="1" s="1"/>
  <c r="A216" i="1" s="1"/>
  <c r="F191" i="1"/>
  <c r="F190" i="1"/>
  <c r="F189" i="1"/>
  <c r="F188" i="1"/>
  <c r="I188" i="1" s="1"/>
  <c r="F187" i="1"/>
  <c r="G186" i="1"/>
  <c r="F186" i="1"/>
  <c r="F180" i="1"/>
  <c r="F179" i="1"/>
  <c r="F178" i="1"/>
  <c r="F177" i="1"/>
  <c r="F176" i="1"/>
  <c r="F175" i="1"/>
  <c r="F174" i="1"/>
  <c r="G173" i="1"/>
  <c r="F173" i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F147" i="1" s="1"/>
  <c r="D146" i="1"/>
  <c r="F146" i="1" s="1"/>
  <c r="F145" i="1"/>
  <c r="D145" i="1"/>
  <c r="F144" i="1"/>
  <c r="D144" i="1"/>
  <c r="A144" i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G143" i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D143" i="1"/>
  <c r="F143" i="1" s="1"/>
  <c r="F138" i="1"/>
  <c r="F137" i="1"/>
  <c r="D136" i="1"/>
  <c r="F136" i="1" s="1"/>
  <c r="F135" i="1"/>
  <c r="D134" i="1"/>
  <c r="F134" i="1" s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F126" i="1"/>
  <c r="F125" i="1"/>
  <c r="F124" i="1"/>
  <c r="A124" i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G123" i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D123" i="1"/>
  <c r="F105" i="1"/>
  <c r="J89" i="1"/>
  <c r="J88" i="1"/>
  <c r="J87" i="1"/>
  <c r="J86" i="1"/>
  <c r="L82" i="1"/>
  <c r="C78" i="1"/>
  <c r="D77" i="1"/>
  <c r="D76" i="1"/>
  <c r="J75" i="1"/>
  <c r="D75" i="1"/>
  <c r="J74" i="1"/>
  <c r="D74" i="1"/>
  <c r="J73" i="1"/>
  <c r="D73" i="1"/>
  <c r="J72" i="1"/>
  <c r="D72" i="1"/>
  <c r="D71" i="1"/>
  <c r="J70" i="1"/>
  <c r="J71" i="1" s="1"/>
  <c r="J76" i="1" s="1"/>
  <c r="J77" i="1" s="1"/>
  <c r="C69" i="1" s="1"/>
  <c r="C70" i="1"/>
  <c r="D70" i="1" s="1"/>
  <c r="J69" i="1"/>
  <c r="C68" i="1" s="1"/>
  <c r="D68" i="1" s="1"/>
  <c r="J68" i="1"/>
  <c r="J67" i="1"/>
  <c r="C64" i="1"/>
  <c r="D58" i="1"/>
  <c r="D52" i="1"/>
  <c r="G47" i="1"/>
  <c r="E40" i="1"/>
  <c r="E41" i="1" s="1"/>
  <c r="E24" i="1"/>
  <c r="E22" i="1"/>
  <c r="C13" i="1"/>
  <c r="E3" i="1"/>
  <c r="H79" i="1"/>
  <c r="G113" i="1" l="1"/>
  <c r="G114" i="1"/>
  <c r="E108" i="1"/>
  <c r="E110" i="1" s="1"/>
  <c r="C108" i="1"/>
  <c r="C110" i="1" s="1"/>
  <c r="F211" i="1"/>
  <c r="C115" i="1"/>
  <c r="G68" i="1"/>
  <c r="D62" i="1" s="1"/>
  <c r="F63" i="1" s="1"/>
  <c r="E68" i="1"/>
  <c r="I64" i="1" s="1"/>
  <c r="C66" i="1" s="1"/>
  <c r="D69" i="1"/>
  <c r="F123" i="1"/>
  <c r="G108" i="1" s="1"/>
  <c r="G110" i="1" s="1"/>
  <c r="E115" i="1"/>
  <c r="E116" i="1" s="1"/>
  <c r="D91" i="1"/>
  <c r="D89" i="1"/>
  <c r="D87" i="1"/>
  <c r="D85" i="1"/>
  <c r="J81" i="1"/>
  <c r="D88" i="1"/>
  <c r="D86" i="1"/>
  <c r="J84" i="1"/>
  <c r="J85" i="1" s="1"/>
  <c r="J90" i="1" s="1"/>
  <c r="J91" i="1" s="1"/>
  <c r="C83" i="1" s="1"/>
  <c r="D90" i="1"/>
  <c r="D84" i="1"/>
  <c r="J83" i="1"/>
  <c r="C82" i="1" s="1"/>
  <c r="J82" i="1"/>
  <c r="C116" i="1" l="1"/>
  <c r="G115" i="1"/>
  <c r="G116" i="1" s="1"/>
  <c r="D63" i="1"/>
  <c r="E82" i="1"/>
  <c r="D83" i="1"/>
  <c r="G82" i="1"/>
  <c r="D82" i="1"/>
  <c r="I78" i="1" l="1"/>
  <c r="C80" i="1" s="1"/>
</calcChain>
</file>

<file path=xl/sharedStrings.xml><?xml version="1.0" encoding="utf-8"?>
<sst xmlns="http://schemas.openxmlformats.org/spreadsheetml/2006/main" count="408" uniqueCount="262">
  <si>
    <t>Office No. 1031, Wing J, Akshar Business Park, Plot No. 03 Sector 25, Near APMC Market,
Vashi, Navi Mumbai, Maharashtra 400703 TEL: 022-46090378/79/8
E 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</si>
  <si>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</si>
  <si>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</si>
  <si>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</si>
  <si>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</si>
  <si>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</si>
  <si>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</si>
  <si>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Mr. Anil Hardasmal Tharwani</t>
  </si>
  <si>
    <t>Name of the builder company</t>
  </si>
  <si>
    <t>M/s. Tharwani Realty</t>
  </si>
  <si>
    <t>Name of the Project</t>
  </si>
  <si>
    <t>Tharwani Majestic Towers - Phase I &amp; II</t>
  </si>
  <si>
    <t>Contact Details ( Name &amp; Contact No.)</t>
  </si>
  <si>
    <t>Name / No of the Building</t>
  </si>
  <si>
    <t>Phase I - Celesto &amp; Phase II - Estrella</t>
  </si>
  <si>
    <t>Docouments Provided</t>
  </si>
  <si>
    <t>Approved Plans, CC, Sale Plans.</t>
  </si>
  <si>
    <t>RERA No.</t>
  </si>
  <si>
    <t>Phase I - P51700023841
Phase II - P51700023872</t>
  </si>
  <si>
    <t xml:space="preserve">Project location details       </t>
  </si>
  <si>
    <t>Road</t>
  </si>
  <si>
    <t>Internal road</t>
  </si>
  <si>
    <t>Locality/Village</t>
  </si>
  <si>
    <t>Barave</t>
  </si>
  <si>
    <t>City</t>
  </si>
  <si>
    <t>Kalyan (West)</t>
  </si>
  <si>
    <t>District</t>
  </si>
  <si>
    <t>Thane</t>
  </si>
  <si>
    <t>Taluka</t>
  </si>
  <si>
    <t>Kalyan</t>
  </si>
  <si>
    <t>Pin Code</t>
  </si>
  <si>
    <t>Nearby Landmark</t>
  </si>
  <si>
    <t>Tharwani Miracle</t>
  </si>
  <si>
    <t xml:space="preserve">Distance from city centre: </t>
  </si>
  <si>
    <t>4.4 KM from Kalyan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</si>
  <si>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</si>
  <si>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</si>
  <si>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</si>
  <si>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</si>
  <si>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</si>
  <si>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</si>
  <si>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</si>
  <si>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</si>
  <si>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</si>
  <si>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</si>
  <si>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</si>
  <si>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</si>
  <si>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</si>
  <si>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Residential + Commercial</t>
  </si>
  <si>
    <t>Restrictive Covenants in regard to Land Use</t>
  </si>
  <si>
    <t>No</t>
  </si>
  <si>
    <t>Boundries</t>
  </si>
  <si>
    <t>As per deed</t>
  </si>
  <si>
    <t>At site</t>
  </si>
  <si>
    <t>East</t>
  </si>
  <si>
    <t>NA</t>
  </si>
  <si>
    <t>Seasons Avenue</t>
  </si>
  <si>
    <t>West</t>
  </si>
  <si>
    <t>Mid-Town Empire</t>
  </si>
  <si>
    <t>North</t>
  </si>
  <si>
    <t>Open land</t>
  </si>
  <si>
    <t>South</t>
  </si>
  <si>
    <t>Does the boundaries at site match, as mentioned in the Docoumentation: NA</t>
  </si>
  <si>
    <t>Latitude,Longitude</t>
  </si>
  <si>
    <t>19.2610881,73.1462698</t>
  </si>
  <si>
    <t>Location Link</t>
  </si>
  <si>
    <t>https://maps.app.goo.gl/5SU8dcJaubzZoH9w7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</si>
  <si>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</si>
  <si>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</si>
  <si>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</si>
  <si>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</si>
  <si>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</si>
  <si>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</si>
  <si>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</si>
  <si>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 xml:space="preserve">Approval Detail : Plan approval </t>
  </si>
  <si>
    <t>Name of Municipal Corporation/Authority</t>
  </si>
  <si>
    <t>Kalyan-Dombivli Municipal Corporation (KDMC)</t>
  </si>
  <si>
    <t>Layout Approval No
(Building/Type - A &amp; B)</t>
  </si>
  <si>
    <t>Dated</t>
  </si>
  <si>
    <t>Approved Floor plan No.  
(Building/Type - A &amp; B)</t>
  </si>
  <si>
    <t>Commencement-CC No
Valid Up to: 
(Building/Type - A &amp; B)</t>
  </si>
  <si>
    <t xml:space="preserve">O. Certificate No.: </t>
  </si>
  <si>
    <t>NA
Approved upto : NA</t>
  </si>
  <si>
    <t>Building wise Construction details</t>
  </si>
  <si>
    <t>Approved area of building (Sq.Mt)</t>
  </si>
  <si>
    <t>Approved no of units</t>
  </si>
  <si>
    <t>Approved no of Floors</t>
  </si>
  <si>
    <t>Proposed no of Floors</t>
  </si>
  <si>
    <t>Type A - G/St + 1st to 4th Podium + 1st to 31st + 32nd (Recreational) Floor</t>
  </si>
  <si>
    <t>please check proposed structure</t>
  </si>
  <si>
    <t xml:space="preserve">Building/Type B - G/St + 1st to 4th Podium + 1st to 40th Floor
</t>
  </si>
  <si>
    <t>Expected Completion</t>
  </si>
  <si>
    <t>As per RERA - Phase I - 30/12/2025 &amp; Phase II - 30/12/2026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</si>
  <si>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</si>
  <si>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</si>
  <si>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</si>
  <si>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Vitrified tiles flooring, Kitchen Platform, Decorative Entrance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</si>
  <si>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</si>
  <si>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</si>
  <si>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</si>
  <si>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</si>
  <si>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</si>
  <si>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</si>
  <si>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</si>
  <si>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</si>
  <si>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</si>
  <si>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</si>
  <si>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</si>
  <si>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</si>
  <si>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</si>
  <si>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</si>
  <si>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</si>
  <si>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</si>
  <si>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</si>
  <si>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</si>
  <si>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</si>
  <si>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</si>
  <si>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</si>
  <si>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</si>
  <si>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</si>
  <si>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</si>
  <si>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</si>
  <si>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</si>
  <si>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</si>
  <si>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</si>
  <si>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</si>
  <si>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</si>
  <si>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</si>
  <si>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</si>
  <si>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</si>
  <si>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</si>
  <si>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</si>
  <si>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</si>
  <si>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</si>
  <si>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</si>
  <si>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Recommended Rates of the Property : </t>
  </si>
  <si>
    <t>On Saleable Area</t>
  </si>
  <si>
    <t>Recommended rate of the Flat Per Sq. Ft.</t>
  </si>
  <si>
    <t>Recommended rate of the Shop Per Sq. Ft.</t>
  </si>
  <si>
    <t>Recommended rate of the Office Per Sq. Ft.</t>
  </si>
  <si>
    <t>Floor Rise Rate</t>
  </si>
  <si>
    <t>Development Charges</t>
  </si>
  <si>
    <t>Club Charges</t>
  </si>
  <si>
    <t>Legal Charges</t>
  </si>
  <si>
    <t>Gas Connection Charges</t>
  </si>
  <si>
    <t>Water, Electricity, Drainages, Sewerage Connection</t>
  </si>
  <si>
    <t>Society Formation Charges</t>
  </si>
  <si>
    <t>Advance Maintenance Charges</t>
  </si>
  <si>
    <t xml:space="preserve">Recommended rate of Parking </t>
  </si>
  <si>
    <t>Distressed valuation of the Property</t>
  </si>
  <si>
    <t>Building &amp; Wing</t>
  </si>
  <si>
    <t>No. of Units</t>
  </si>
  <si>
    <t>Total Carpet Area</t>
  </si>
  <si>
    <t>Total Saleable Area</t>
  </si>
  <si>
    <t>Building B (Estrella)</t>
  </si>
  <si>
    <t>Building A (Celesto).</t>
  </si>
  <si>
    <t>Total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</si>
  <si>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</si>
  <si>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</si>
  <si>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</si>
  <si>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</si>
  <si>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</si>
  <si>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</si>
  <si>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Loft area</t>
  </si>
  <si>
    <t>Saleable area Loading :</t>
  </si>
  <si>
    <t>Floor</t>
  </si>
  <si>
    <t>Shop</t>
  </si>
  <si>
    <t>1st Floor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</si>
  <si>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</si>
  <si>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</si>
  <si>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Attached Terrace area</t>
  </si>
  <si>
    <t>Building A (Celesto)</t>
  </si>
  <si>
    <t>1st Podium Floor for Parking</t>
  </si>
  <si>
    <t>2nd Podium Floor for Parking</t>
  </si>
  <si>
    <t>3rd Podium Floor for Parking</t>
  </si>
  <si>
    <t>2BHK</t>
  </si>
  <si>
    <t>3BHK</t>
  </si>
  <si>
    <t>3rd Floor</t>
  </si>
  <si>
    <t>Terrace</t>
  </si>
  <si>
    <t>1BHK</t>
  </si>
  <si>
    <t xml:space="preserve">Remarks:  </t>
  </si>
  <si>
    <t>*</t>
  </si>
  <si>
    <t>We considered Carpet area as per Approved Plan.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</si>
  <si>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</si>
  <si>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</si>
  <si>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</si>
  <si>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</si>
  <si>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On Site, we meet Miss. Pooja : 7303243002.</t>
  </si>
  <si>
    <t>Construction work goes beyond approved plan &amp; CC For Type B (Estrella). Please provide revised approved plans &amp; CC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</si>
  <si>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</si>
  <si>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</si>
  <si>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</si>
  <si>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</si>
  <si>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</si>
  <si>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</si>
  <si>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</si>
  <si>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</si>
  <si>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By :</t>
  </si>
  <si>
    <t>Authorized Signatory
Name &amp; Seal of the agency</t>
  </si>
  <si>
    <t xml:space="preserve">PHOTOGRAPHS OF PROPERTY : 
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</si>
  <si>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</si>
  <si>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</si>
  <si>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</si>
  <si>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</si>
  <si>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</si>
  <si>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</si>
  <si>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</si>
  <si>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</si>
  <si>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</si>
  <si>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</si>
  <si>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</si>
  <si>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</si>
  <si>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</si>
  <si>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p</t>
  </si>
  <si>
    <t>Mr. Sanjay Tharwani  7770026066</t>
  </si>
  <si>
    <t>Shruti Tathare</t>
  </si>
  <si>
    <t>Prem Yerunkar</t>
  </si>
  <si>
    <t>Type A = Construction work is in process at the time of Visit. (Internal photo was not allowed)
Type B = Construction work is in process at the time of Visit</t>
  </si>
  <si>
    <t>2 Buildings</t>
  </si>
  <si>
    <t>KDMCC/RB/BP/2025/APL/00131</t>
  </si>
  <si>
    <t>Type A - G/St + 1st to 4th Podium + 1st to 32nd Floor
Type B - G/St + 1st to 4th Podium + 1st to 39th Floor</t>
  </si>
  <si>
    <t>Shop is missing</t>
  </si>
  <si>
    <t>Ground Floor For Commercial &amp; Parking</t>
  </si>
  <si>
    <t>2nd Floor for Commercial Duplex with 1st Floor &amp; Parking</t>
  </si>
  <si>
    <t>1st Floor For Commercial &amp; Parking</t>
  </si>
  <si>
    <t>Office</t>
  </si>
  <si>
    <t>Old Survey No</t>
  </si>
  <si>
    <t>4/2, 4/4, 25/6, 26/8, Plot No. 1 &amp; 2, New S.No. 4A/1, 4A/2, 4A/3, 4A/4, 4A/5, 4A/6, 4B/1, 4B/2, 25A/1, 25A/2, 26A</t>
  </si>
  <si>
    <t>Type A - G/St + 1st to 4th Podium + 1st to 31st + 32nd (Recreational) Floor
Type B - G/St + 1st to 4th Podium + 1st to 39th Floor</t>
  </si>
  <si>
    <t>Office Duplex with 2nd floor</t>
  </si>
  <si>
    <t>Ground Floor &amp; 1st to 3rd for Parking</t>
  </si>
  <si>
    <t>4th Podium Floor for Recreational Space</t>
  </si>
  <si>
    <t>2nd, 7th, 12th, 17th, 22nd &amp; 27th Floor (Refuge Area at Mid-Landing)</t>
  </si>
  <si>
    <t>1st, 3rd to 6th, 8th to 11th, 13th to 16th, 18th to 21st, 23rd to 26th &amp;
 28th to 31st Floor For Residential</t>
  </si>
  <si>
    <t>32nd Floor For Residential &amp; Recreational Area (Refuge Area at Mid-Landing)</t>
  </si>
  <si>
    <t>-</t>
  </si>
  <si>
    <t>Recreational Area</t>
  </si>
  <si>
    <t>32nd Floor For Recreational Area</t>
  </si>
  <si>
    <t>38th Floor For Residential</t>
  </si>
  <si>
    <t>38A</t>
  </si>
  <si>
    <t>38B</t>
  </si>
  <si>
    <t>7BHK Duplex with 39th Floor</t>
  </si>
  <si>
    <t>3BHK Duplex with 39th Floor</t>
  </si>
  <si>
    <t>2nd, 7th, 12th, 17th, 22nd, 27th &amp; 37th Floor (Refuge Area at Mid-Landing)</t>
  </si>
  <si>
    <t>1st, 3rd to 6th, 8th to 11th, 13th to 16th, 18th to 21st, 23rd to 26th,
 28th to 31st, 33rd to 36th Floor For Residential</t>
  </si>
  <si>
    <t>39th Floor For Residential Duplex with 38th Floor</t>
  </si>
  <si>
    <t>We considered Gross carpet area = Net carpet + Balcony Area.</t>
  </si>
  <si>
    <t>We have updated revised approved plans &amp; CC (On 23/09/2025).</t>
  </si>
  <si>
    <t>In Building No. B, Shop No. 6 &amp; 7 is Missing.</t>
  </si>
  <si>
    <t>Building B</t>
  </si>
  <si>
    <t xml:space="preserve">Commercial Area Details : </t>
  </si>
  <si>
    <t xml:space="preserve">Shop </t>
  </si>
  <si>
    <t>Residential Area Details : Flats</t>
  </si>
  <si>
    <t>Grand Total</t>
  </si>
  <si>
    <t>Flats - 471, Shops - 14, Office - 01</t>
  </si>
  <si>
    <t>Layout :</t>
  </si>
  <si>
    <t>7800 TO 8250</t>
  </si>
  <si>
    <t>3L TO 3.5L</t>
  </si>
  <si>
    <t>Bhargav cost shet</t>
  </si>
  <si>
    <t>VERBAL</t>
  </si>
  <si>
    <t>B 2605</t>
  </si>
  <si>
    <t xml:space="preserve">Recommended Rates / Other charges of the Property have been revised on 25/09/2025.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</si>
</sst>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* #,##0_ ;_ * \-#,##0_ ;_ * &quot;-&quot;??_ ;_ @_ "/>
  </numFmts>
  <fonts count="23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0" borderId="0"/>
    <xf numFmtId="0" fontId="2" fillId="0" borderId="0"/>
  </cellStyleXfs>
  <cellXfs count="204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9" fillId="0" borderId="0" xfId="8" applyFont="1"/>
    <xf numFmtId="0" fontId="10" fillId="0" borderId="0" xfId="5" applyFont="1"/>
    <xf numFmtId="0" fontId="8" fillId="0" borderId="0" xfId="0" applyFont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8" fillId="0" borderId="0" xfId="8" applyFont="1" applyProtection="1">
      <protection locked="0"/>
    </xf>
    <xf numFmtId="0" fontId="8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8" fillId="0" borderId="0" xfId="8" applyNumberFormat="1" applyFont="1"/>
    <xf numFmtId="0" fontId="8" fillId="0" borderId="0" xfId="8" applyFont="1" applyProtection="1">
      <protection hidden="1"/>
    </xf>
    <xf numFmtId="0" fontId="16" fillId="0" borderId="0" xfId="8" applyFont="1"/>
    <xf numFmtId="0" fontId="8" fillId="0" borderId="19" xfId="8" applyFont="1" applyBorder="1" applyProtection="1">
      <protection hidden="1"/>
    </xf>
    <xf numFmtId="0" fontId="8" fillId="0" borderId="20" xfId="8" applyFont="1" applyBorder="1" applyProtection="1">
      <protection hidden="1"/>
    </xf>
    <xf numFmtId="0" fontId="7" fillId="0" borderId="21" xfId="8" applyFont="1" applyBorder="1" applyAlignment="1" applyProtection="1">
      <alignment horizontal="center" vertical="top"/>
      <protection locked="0"/>
    </xf>
    <xf numFmtId="0" fontId="7" fillId="0" borderId="22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9" fontId="7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26" xfId="8" applyFont="1" applyBorder="1" applyAlignment="1" applyProtection="1">
      <alignment horizontal="center" vertical="top" wrapText="1"/>
      <protection locked="0"/>
    </xf>
    <xf numFmtId="9" fontId="7" fillId="0" borderId="26" xfId="2" applyFont="1" applyFill="1" applyBorder="1" applyAlignment="1" applyProtection="1">
      <alignment horizontal="center" vertical="top" wrapText="1"/>
      <protection locked="0"/>
    </xf>
    <xf numFmtId="1" fontId="7" fillId="0" borderId="1" xfId="8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9" fontId="12" fillId="0" borderId="13" xfId="2" applyFont="1" applyFill="1" applyBorder="1" applyAlignment="1" applyProtection="1">
      <alignment horizontal="center" vertical="top" wrapText="1"/>
      <protection locked="0"/>
    </xf>
    <xf numFmtId="1" fontId="10" fillId="0" borderId="1" xfId="8" applyNumberFormat="1" applyFont="1" applyBorder="1" applyAlignment="1" applyProtection="1">
      <alignment horizontal="center" vertical="center" wrapText="1"/>
      <protection locked="0"/>
    </xf>
    <xf numFmtId="0" fontId="8" fillId="0" borderId="24" xfId="8" applyFont="1" applyBorder="1" applyProtection="1">
      <protection hidden="1"/>
    </xf>
    <xf numFmtId="0" fontId="18" fillId="0" borderId="0" xfId="0" applyFont="1" applyProtection="1">
      <protection hidden="1"/>
    </xf>
    <xf numFmtId="0" fontId="8" fillId="0" borderId="24" xfId="8" applyFont="1" applyBorder="1"/>
    <xf numFmtId="0" fontId="18" fillId="0" borderId="24" xfId="0" applyFont="1" applyBorder="1" applyProtection="1">
      <protection hidden="1"/>
    </xf>
    <xf numFmtId="1" fontId="0" fillId="0" borderId="24" xfId="0" applyNumberFormat="1" applyBorder="1"/>
    <xf numFmtId="1" fontId="0" fillId="0" borderId="24" xfId="0" applyNumberFormat="1" applyBorder="1" applyAlignment="1">
      <alignment horizontal="right"/>
    </xf>
    <xf numFmtId="0" fontId="18" fillId="0" borderId="30" xfId="0" applyFont="1" applyBorder="1" applyProtection="1">
      <protection hidden="1"/>
    </xf>
    <xf numFmtId="1" fontId="0" fillId="0" borderId="29" xfId="0" applyNumberFormat="1" applyBorder="1"/>
    <xf numFmtId="1" fontId="8" fillId="0" borderId="0" xfId="8" applyNumberFormat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4" fillId="0" borderId="0" xfId="8" applyFont="1" applyProtection="1">
      <protection locked="0"/>
    </xf>
    <xf numFmtId="1" fontId="10" fillId="0" borderId="1" xfId="8" applyNumberFormat="1" applyFont="1" applyBorder="1" applyAlignment="1" applyProtection="1">
      <alignment horizontal="center" vertical="center" wrapText="1"/>
      <protection locked="0"/>
    </xf>
    <xf numFmtId="0" fontId="8" fillId="0" borderId="0" xfId="8" applyFont="1" applyAlignment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" fontId="10" fillId="2" borderId="1" xfId="8" applyNumberFormat="1" applyFont="1" applyFill="1" applyBorder="1" applyAlignment="1" applyProtection="1">
      <alignment horizontal="center" vertical="center" wrapText="1"/>
      <protection locked="0"/>
    </xf>
    <xf numFmtId="166" fontId="8" fillId="0" borderId="0" xfId="8" applyNumberFormat="1" applyFont="1" applyAlignment="1">
      <alignment horizontal="center" vertical="center"/>
    </xf>
    <xf numFmtId="1" fontId="8" fillId="0" borderId="1" xfId="8" applyNumberFormat="1" applyFont="1" applyBorder="1" applyAlignment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8" applyFont="1" applyAlignment="1">
      <alignment horizontal="center" vertical="center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10" fillId="0" borderId="10" xfId="0" applyNumberFormat="1" applyFont="1" applyBorder="1" applyAlignment="1" applyProtection="1">
      <alignment horizontal="center" vertical="center" wrapText="1"/>
      <protection locked="0"/>
    </xf>
    <xf numFmtId="1" fontId="10" fillId="0" borderId="13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" fontId="14" fillId="0" borderId="1" xfId="0" applyNumberFormat="1" applyFont="1" applyBorder="1" applyAlignment="1" applyProtection="1">
      <alignment horizontal="center" vertical="center"/>
      <protection locked="0"/>
    </xf>
    <xf numFmtId="1" fontId="12" fillId="0" borderId="2" xfId="0" applyNumberFormat="1" applyFont="1" applyBorder="1" applyAlignment="1" applyProtection="1">
      <alignment horizontal="center" vertical="center" wrapText="1"/>
      <protection locked="0"/>
    </xf>
    <xf numFmtId="1" fontId="12" fillId="0" borderId="4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2" xfId="8" applyNumberFormat="1" applyFont="1" applyBorder="1" applyAlignment="1" applyProtection="1">
      <alignment horizontal="center" vertical="center" wrapText="1"/>
      <protection locked="0"/>
    </xf>
    <xf numFmtId="1" fontId="10" fillId="0" borderId="4" xfId="8" applyNumberFormat="1" applyFont="1" applyBorder="1" applyAlignment="1" applyProtection="1">
      <alignment horizontal="center" vertical="center" wrapText="1"/>
      <protection locked="0"/>
    </xf>
    <xf numFmtId="1" fontId="10" fillId="0" borderId="5" xfId="8" applyNumberFormat="1" applyFont="1" applyBorder="1" applyAlignment="1" applyProtection="1">
      <alignment horizontal="center" vertical="center" wrapText="1"/>
      <protection locked="0"/>
    </xf>
    <xf numFmtId="1" fontId="10" fillId="0" borderId="6" xfId="8" applyNumberFormat="1" applyFont="1" applyBorder="1" applyAlignment="1" applyProtection="1">
      <alignment horizontal="center" vertical="center" wrapText="1"/>
      <protection locked="0"/>
    </xf>
    <xf numFmtId="1" fontId="10" fillId="0" borderId="11" xfId="8" applyNumberFormat="1" applyFont="1" applyBorder="1" applyAlignment="1" applyProtection="1">
      <alignment horizontal="center" vertical="center" wrapText="1"/>
      <protection locked="0"/>
    </xf>
    <xf numFmtId="1" fontId="10" fillId="0" borderId="12" xfId="8" applyNumberFormat="1" applyFont="1" applyBorder="1" applyAlignment="1" applyProtection="1">
      <alignment horizontal="center" vertical="center" wrapText="1"/>
      <protection locked="0"/>
    </xf>
    <xf numFmtId="1" fontId="10" fillId="0" borderId="7" xfId="8" applyNumberFormat="1" applyFont="1" applyBorder="1" applyAlignment="1" applyProtection="1">
      <alignment horizontal="center" vertical="center" wrapText="1"/>
      <protection locked="0"/>
    </xf>
    <xf numFmtId="1" fontId="10" fillId="0" borderId="8" xfId="8" applyNumberFormat="1" applyFont="1" applyBorder="1" applyAlignment="1" applyProtection="1">
      <alignment horizontal="center" vertical="center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7" xfId="8" applyFont="1" applyBorder="1" applyAlignment="1" applyProtection="1">
      <alignment horizontal="left" vertical="top" wrapText="1"/>
      <protection locked="0"/>
    </xf>
    <xf numFmtId="0" fontId="7" fillId="0" borderId="31" xfId="8" applyFont="1" applyBorder="1" applyAlignment="1" applyProtection="1">
      <alignment horizontal="left" vertical="top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0" fontId="10" fillId="0" borderId="1" xfId="8" applyFont="1" applyBorder="1" applyAlignment="1" applyProtection="1">
      <alignment horizontal="left" vertical="top"/>
      <protection locked="0"/>
    </xf>
    <xf numFmtId="0" fontId="10" fillId="0" borderId="1" xfId="8" applyFont="1" applyBorder="1" applyAlignment="1" applyProtection="1">
      <alignment horizontal="left" vertical="top" wrapText="1"/>
      <protection locked="0"/>
    </xf>
    <xf numFmtId="0" fontId="19" fillId="0" borderId="1" xfId="8" applyFont="1" applyBorder="1" applyAlignment="1" applyProtection="1">
      <alignment horizontal="center" vertical="top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13" xfId="8" applyNumberFormat="1" applyFont="1" applyBorder="1" applyAlignment="1" applyProtection="1">
      <alignment horizontal="center" vertical="top" wrapText="1"/>
      <protection locked="0"/>
    </xf>
    <xf numFmtId="1" fontId="17" fillId="0" borderId="10" xfId="8" applyNumberFormat="1" applyFont="1" applyBorder="1" applyAlignment="1" applyProtection="1">
      <alignment horizontal="center" vertical="top" wrapText="1"/>
      <protection locked="0"/>
    </xf>
    <xf numFmtId="1" fontId="17" fillId="0" borderId="13" xfId="8" applyNumberFormat="1" applyFont="1" applyBorder="1" applyAlignment="1" applyProtection="1">
      <alignment horizontal="center" vertical="top" wrapText="1"/>
      <protection locked="0"/>
    </xf>
    <xf numFmtId="1" fontId="10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9" fontId="7" fillId="0" borderId="5" xfId="2" applyFont="1" applyFill="1" applyBorder="1" applyAlignment="1" applyProtection="1">
      <alignment horizontal="center" vertical="center" wrapText="1"/>
      <protection locked="0"/>
    </xf>
    <xf numFmtId="9" fontId="7" fillId="0" borderId="6" xfId="2" applyFont="1" applyFill="1" applyBorder="1" applyAlignment="1" applyProtection="1">
      <alignment horizontal="center" vertical="center" wrapText="1"/>
      <protection locked="0"/>
    </xf>
    <xf numFmtId="9" fontId="7" fillId="0" borderId="11" xfId="2" applyFont="1" applyFill="1" applyBorder="1" applyAlignment="1" applyProtection="1">
      <alignment horizontal="center" vertical="center" wrapText="1"/>
      <protection locked="0"/>
    </xf>
    <xf numFmtId="9" fontId="7" fillId="0" borderId="12" xfId="2" applyFont="1" applyFill="1" applyBorder="1" applyAlignment="1" applyProtection="1">
      <alignment horizontal="center" vertical="center" wrapText="1"/>
      <protection locked="0"/>
    </xf>
    <xf numFmtId="9" fontId="7" fillId="0" borderId="27" xfId="2" applyFont="1" applyFill="1" applyBorder="1" applyAlignment="1" applyProtection="1">
      <alignment horizontal="center" vertical="center" wrapText="1"/>
      <protection locked="0"/>
    </xf>
    <xf numFmtId="9" fontId="7" fillId="0" borderId="28" xfId="2" applyFont="1" applyFill="1" applyBorder="1" applyAlignment="1" applyProtection="1">
      <alignment horizontal="center" vertical="center" wrapText="1"/>
      <protection locked="0"/>
    </xf>
    <xf numFmtId="9" fontId="7" fillId="0" borderId="23" xfId="2" applyFont="1" applyFill="1" applyBorder="1" applyAlignment="1" applyProtection="1">
      <alignment horizontal="center" vertical="center" wrapText="1"/>
      <protection locked="0"/>
    </xf>
    <xf numFmtId="9" fontId="7" fillId="0" borderId="24" xfId="2" applyFont="1" applyFill="1" applyBorder="1" applyAlignment="1" applyProtection="1">
      <alignment horizontal="center" vertical="center" wrapText="1"/>
      <protection locked="0"/>
    </xf>
    <xf numFmtId="9" fontId="7" fillId="0" borderId="29" xfId="2" applyFont="1" applyFill="1" applyBorder="1" applyAlignment="1" applyProtection="1">
      <alignment horizontal="center" vertical="center" wrapText="1"/>
      <protection locked="0"/>
    </xf>
    <xf numFmtId="0" fontId="10" fillId="0" borderId="5" xfId="8" applyFont="1" applyBorder="1" applyAlignment="1" applyProtection="1">
      <alignment horizontal="left" vertical="top" wrapText="1"/>
      <protection locked="0"/>
    </xf>
    <xf numFmtId="0" fontId="10" fillId="0" borderId="6" xfId="8" applyFont="1" applyBorder="1" applyAlignment="1" applyProtection="1">
      <alignment horizontal="left" vertical="top" wrapText="1"/>
      <protection locked="0"/>
    </xf>
    <xf numFmtId="0" fontId="10" fillId="0" borderId="7" xfId="8" applyFont="1" applyBorder="1" applyAlignment="1" applyProtection="1">
      <alignment horizontal="left" vertical="top" wrapText="1"/>
      <protection locked="0"/>
    </xf>
    <xf numFmtId="0" fontId="10" fillId="0" borderId="8" xfId="8" applyFont="1" applyBorder="1" applyAlignment="1" applyProtection="1">
      <alignment horizontal="left" vertical="top" wrapText="1"/>
      <protection locked="0"/>
    </xf>
    <xf numFmtId="0" fontId="10" fillId="0" borderId="1" xfId="8" applyFont="1" applyBorder="1" applyAlignment="1" applyProtection="1">
      <alignment vertical="top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0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9" xfId="8" applyNumberFormat="1" applyFont="1" applyBorder="1" applyAlignment="1" applyProtection="1">
      <alignment horizontal="center" vertical="center" wrapText="1"/>
      <protection locked="0"/>
    </xf>
    <xf numFmtId="1" fontId="10" fillId="0" borderId="0" xfId="8" applyNumberFormat="1" applyFont="1" applyAlignment="1" applyProtection="1">
      <alignment horizontal="center" vertical="center" wrapText="1"/>
      <protection locked="0"/>
    </xf>
    <xf numFmtId="1" fontId="10" fillId="0" borderId="31" xfId="8" applyNumberFormat="1" applyFont="1" applyBorder="1" applyAlignment="1" applyProtection="1">
      <alignment horizontal="center" vertical="center" wrapText="1"/>
      <protection locked="0"/>
    </xf>
    <xf numFmtId="1" fontId="12" fillId="0" borderId="2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3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4" xfId="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" fontId="14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1" fontId="12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8" applyFont="1" applyBorder="1" applyAlignment="1" applyProtection="1">
      <alignment horizontal="center" vertical="top" wrapText="1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0" fontId="7" fillId="0" borderId="25" xfId="8" applyFont="1" applyBorder="1" applyAlignment="1" applyProtection="1">
      <alignment horizontal="center" vertical="top" wrapText="1"/>
      <protection locked="0"/>
    </xf>
    <xf numFmtId="0" fontId="7" fillId="0" borderId="26" xfId="8" applyFont="1" applyBorder="1" applyAlignment="1" applyProtection="1">
      <alignment horizontal="center" vertical="top" wrapText="1"/>
      <protection locked="0"/>
    </xf>
    <xf numFmtId="0" fontId="12" fillId="0" borderId="13" xfId="8" applyFont="1" applyBorder="1" applyAlignment="1" applyProtection="1">
      <alignment horizontal="left" vertical="top"/>
      <protection locked="0"/>
    </xf>
    <xf numFmtId="0" fontId="12" fillId="0" borderId="13" xfId="8" applyFont="1" applyBorder="1" applyAlignment="1" applyProtection="1">
      <alignment horizontal="center" vertical="top"/>
      <protection locked="0"/>
    </xf>
    <xf numFmtId="0" fontId="13" fillId="0" borderId="16" xfId="8" applyFont="1" applyBorder="1" applyAlignment="1" applyProtection="1">
      <alignment horizontal="left" vertical="top" wrapText="1"/>
      <protection locked="0"/>
    </xf>
    <xf numFmtId="0" fontId="13" fillId="0" borderId="17" xfId="8" applyFont="1" applyBorder="1" applyAlignment="1" applyProtection="1">
      <alignment horizontal="left" vertical="top" wrapText="1"/>
      <protection locked="0"/>
    </xf>
    <xf numFmtId="0" fontId="13" fillId="0" borderId="18" xfId="8" applyFont="1" applyBorder="1" applyAlignment="1" applyProtection="1">
      <alignment horizontal="left" vertical="top" wrapText="1"/>
      <protection locked="0"/>
    </xf>
    <xf numFmtId="0" fontId="13" fillId="0" borderId="21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13" fillId="0" borderId="22" xfId="8" applyFont="1" applyBorder="1" applyAlignment="1" applyProtection="1">
      <alignment horizontal="left" vertical="top" wrapText="1"/>
      <protection locked="0"/>
    </xf>
    <xf numFmtId="0" fontId="7" fillId="0" borderId="22" xfId="8" applyFont="1" applyBorder="1" applyAlignment="1" applyProtection="1">
      <alignment horizontal="center" vertical="top" wrapText="1"/>
      <protection locked="0"/>
    </xf>
    <xf numFmtId="0" fontId="13" fillId="0" borderId="14" xfId="8" applyFont="1" applyBorder="1" applyAlignment="1" applyProtection="1">
      <alignment horizontal="left" vertical="top" wrapText="1"/>
      <protection locked="0"/>
    </xf>
    <xf numFmtId="0" fontId="13" fillId="0" borderId="15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10" fillId="0" borderId="10" xfId="8" applyFont="1" applyBorder="1" applyAlignment="1" applyProtection="1">
      <alignment horizontal="left" vertical="top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10" fillId="0" borderId="10" xfId="8" applyFont="1" applyBorder="1" applyAlignment="1" applyProtection="1">
      <alignment horizontal="left" vertical="top" wrapText="1"/>
      <protection locked="0"/>
    </xf>
    <xf numFmtId="0" fontId="7" fillId="0" borderId="1" xfId="8" applyFont="1" applyFill="1" applyBorder="1" applyAlignment="1" applyProtection="1">
      <alignment horizontal="left" vertical="top" wrapText="1"/>
      <protection locked="0"/>
    </xf>
    <xf numFmtId="0" fontId="7" fillId="0" borderId="1" xfId="8" applyFont="1" applyFill="1" applyBorder="1" applyAlignment="1" applyProtection="1">
      <alignment horizontal="left" vertical="top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/>
      <protection locked="0"/>
    </xf>
    <xf numFmtId="0" fontId="7" fillId="0" borderId="31" xfId="8" applyFont="1" applyBorder="1" applyAlignment="1" applyProtection="1">
      <alignment horizontal="left" vertical="top"/>
      <protection locked="0"/>
    </xf>
    <xf numFmtId="0" fontId="7" fillId="0" borderId="8" xfId="8" applyFont="1" applyBorder="1" applyAlignment="1" applyProtection="1">
      <alignment horizontal="left" vertical="top"/>
      <protection locked="0"/>
    </xf>
    <xf numFmtId="0" fontId="10" fillId="0" borderId="13" xfId="8" applyFont="1" applyBorder="1" applyAlignment="1" applyProtection="1">
      <alignment horizontal="left" vertical="top"/>
      <protection locked="0"/>
    </xf>
    <xf numFmtId="1" fontId="7" fillId="0" borderId="13" xfId="8" applyNumberFormat="1" applyFont="1" applyBorder="1" applyAlignment="1" applyProtection="1">
      <alignment horizontal="left" vertical="top" wrapText="1"/>
      <protection locked="0"/>
    </xf>
    <xf numFmtId="0" fontId="10" fillId="0" borderId="2" xfId="8" applyFont="1" applyBorder="1" applyAlignment="1" applyProtection="1">
      <alignment horizontal="left" vertical="top" wrapText="1"/>
      <protection locked="0"/>
    </xf>
    <xf numFmtId="0" fontId="10" fillId="0" borderId="3" xfId="8" applyFont="1" applyBorder="1" applyAlignment="1" applyProtection="1">
      <alignment horizontal="left" vertical="top" wrapText="1"/>
      <protection locked="0"/>
    </xf>
    <xf numFmtId="0" fontId="10" fillId="0" borderId="4" xfId="8" applyFont="1" applyBorder="1" applyAlignment="1" applyProtection="1">
      <alignment horizontal="left" vertical="top" wrapText="1"/>
      <protection locked="0"/>
    </xf>
    <xf numFmtId="14" fontId="10" fillId="0" borderId="2" xfId="8" applyNumberFormat="1" applyFont="1" applyBorder="1" applyAlignment="1" applyProtection="1">
      <alignment horizontal="left" vertical="top" wrapText="1"/>
      <protection locked="0"/>
    </xf>
    <xf numFmtId="14" fontId="10" fillId="0" borderId="4" xfId="8" applyNumberFormat="1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/>
      <protection locked="0"/>
    </xf>
    <xf numFmtId="0" fontId="12" fillId="0" borderId="4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vertical="top"/>
      <protection locked="0"/>
    </xf>
    <xf numFmtId="0" fontId="7" fillId="0" borderId="2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0" fontId="7" fillId="0" borderId="2" xfId="8" applyFont="1" applyBorder="1" applyAlignment="1" applyProtection="1">
      <alignment horizontal="left" vertical="top"/>
      <protection locked="0"/>
    </xf>
    <xf numFmtId="0" fontId="7" fillId="0" borderId="3" xfId="8" applyFont="1" applyBorder="1" applyAlignment="1" applyProtection="1">
      <alignment horizontal="left" vertical="top"/>
      <protection locked="0"/>
    </xf>
    <xf numFmtId="0" fontId="7" fillId="0" borderId="4" xfId="8" applyFont="1" applyBorder="1" applyAlignment="1" applyProtection="1">
      <alignment horizontal="left" vertical="top"/>
      <protection locked="0"/>
    </xf>
    <xf numFmtId="2" fontId="10" fillId="0" borderId="1" xfId="8" applyNumberFormat="1" applyFont="1" applyBorder="1" applyAlignment="1" applyProtection="1">
      <alignment horizontal="left" vertical="top" wrapText="1"/>
      <protection locked="0"/>
    </xf>
    <xf numFmtId="166" fontId="10" fillId="0" borderId="1" xfId="8" applyNumberFormat="1" applyFont="1" applyBorder="1" applyAlignment="1" applyProtection="1">
      <alignment horizontal="left" vertical="top"/>
      <protection locked="0"/>
    </xf>
    <xf numFmtId="2" fontId="10" fillId="0" borderId="1" xfId="8" applyNumberFormat="1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4" fillId="0" borderId="2" xfId="8" applyFont="1" applyBorder="1" applyAlignment="1" applyProtection="1">
      <alignment horizontal="left"/>
      <protection locked="0"/>
    </xf>
    <xf numFmtId="0" fontId="14" fillId="0" borderId="3" xfId="8" applyFont="1" applyBorder="1" applyAlignment="1" applyProtection="1">
      <alignment horizontal="left"/>
      <protection locked="0"/>
    </xf>
    <xf numFmtId="0" fontId="14" fillId="0" borderId="4" xfId="8" applyFont="1" applyBorder="1" applyAlignment="1" applyProtection="1">
      <alignment horizontal="left"/>
      <protection locked="0"/>
    </xf>
    <xf numFmtId="0" fontId="15" fillId="0" borderId="2" xfId="3" applyFill="1" applyBorder="1" applyAlignment="1" applyProtection="1">
      <alignment horizontal="left"/>
      <protection locked="0"/>
    </xf>
    <xf numFmtId="0" fontId="8" fillId="0" borderId="3" xfId="8" applyFont="1" applyBorder="1" applyAlignment="1" applyProtection="1">
      <alignment horizontal="left"/>
      <protection locked="0"/>
    </xf>
    <xf numFmtId="0" fontId="8" fillId="0" borderId="4" xfId="8" applyFont="1" applyBorder="1" applyAlignment="1" applyProtection="1">
      <alignment horizontal="left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14" fontId="7" fillId="0" borderId="1" xfId="8" applyNumberFormat="1" applyFont="1" applyBorder="1" applyAlignment="1" applyProtection="1">
      <alignment horizontal="left" vertical="top"/>
      <protection locked="0"/>
    </xf>
    <xf numFmtId="0" fontId="3" fillId="0" borderId="1" xfId="10" applyFont="1" applyBorder="1" applyAlignment="1">
      <alignment horizontal="left"/>
    </xf>
    <xf numFmtId="14" fontId="8" fillId="0" borderId="0" xfId="8" applyNumberFormat="1" applyFont="1"/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3" borderId="2" xfId="0" applyNumberFormat="1" applyFont="1" applyFill="1" applyBorder="1" applyAlignment="1" applyProtection="1">
      <alignment vertical="top" wrapText="1"/>
      <protection locked="0"/>
    </xf>
    <xf numFmtId="1" fontId="13" fillId="3" borderId="3" xfId="0" applyNumberFormat="1" applyFont="1" applyFill="1" applyBorder="1" applyAlignment="1" applyProtection="1">
      <alignment vertical="top" wrapText="1"/>
      <protection locked="0"/>
    </xf>
    <xf numFmtId="1" fontId="13" fillId="3" borderId="4" xfId="0" applyNumberFormat="1" applyFont="1" applyFill="1" applyBorder="1" applyAlignment="1" applyProtection="1">
      <alignment vertical="top" wrapText="1"/>
      <protection locked="0"/>
    </xf>
  </cellXfs>
  <cellStyles count="11">
    <cellStyle name="Comma" xfId="1" builtinId="3"/>
    <cellStyle name="Comma 2" xfId="4"/>
    <cellStyle name="Excel Built-in Normal" xfId="5"/>
    <cellStyle name="Excel Built-in Normal 2" xfId="6"/>
    <cellStyle name="Hyperlink" xfId="3" builtinId="8"/>
    <cellStyle name="Normal" xfId="0" builtinId="0"/>
    <cellStyle name="Normal 2" xfId="7"/>
    <cellStyle name="Normal 3" xfId="8"/>
    <cellStyle name="Normal 3 3" xfId="9"/>
    <cellStyle name="Normal 4" xf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448237</xdr:colOff>
      <xdr:row>65</xdr:row>
      <xdr:rowOff>22413</xdr:rowOff>
    </xdr:from>
    <xdr:to>
      <xdr:col>18</xdr:col>
      <xdr:colOff>488820</xdr:colOff>
      <xdr:row>74</xdr:row>
      <xdr:rowOff>52425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5875" y="15805150"/>
          <a:ext cx="5736590" cy="2240915"/>
        </a:xfrm>
        <a:prstGeom prst="rect">
          <a:avLst/>
        </a:prstGeom>
      </xdr:spPr>
    </xdr:pic>
    <xdr:clientData/>
  </xdr:twoCellAnchor>
  <xdr:twoCellAnchor editAs="oneCell">
    <xdr:from>
      <xdr:col>10</xdr:col>
      <xdr:colOff>605119</xdr:colOff>
      <xdr:row>79</xdr:row>
      <xdr:rowOff>369795</xdr:rowOff>
    </xdr:from>
    <xdr:to>
      <xdr:col>18</xdr:col>
      <xdr:colOff>559965</xdr:colOff>
      <xdr:row>88</xdr:row>
      <xdr:rowOff>83197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2720" y="19552920"/>
          <a:ext cx="5650865" cy="1938020"/>
        </a:xfrm>
        <a:prstGeom prst="rect">
          <a:avLst/>
        </a:prstGeom>
      </xdr:spPr>
    </xdr:pic>
    <xdr:clientData/>
  </xdr:twoCellAnchor>
  <xdr:twoCellAnchor editAs="oneCell">
    <xdr:from>
      <xdr:col>12</xdr:col>
      <xdr:colOff>145676</xdr:colOff>
      <xdr:row>48</xdr:row>
      <xdr:rowOff>235323</xdr:rowOff>
    </xdr:from>
    <xdr:to>
      <xdr:col>16</xdr:col>
      <xdr:colOff>521277</xdr:colOff>
      <xdr:row>53</xdr:row>
      <xdr:rowOff>552373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315" y="11522075"/>
          <a:ext cx="3423285" cy="154559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244</xdr:row>
      <xdr:rowOff>28574</xdr:rowOff>
    </xdr:from>
    <xdr:to>
      <xdr:col>7</xdr:col>
      <xdr:colOff>596712</xdr:colOff>
      <xdr:row>284</xdr:row>
      <xdr:rowOff>97837</xdr:rowOff>
    </xdr:to>
    <xdr:grpSp>
      <xdr:nvGrpSpPr>
        <xdr:cNvPr id="6" name="Group 5"/>
        <xdr:cNvGrpSpPr/>
      </xdr:nvGrpSpPr>
      <xdr:grpSpPr>
        <a:xfrm>
          <a:off x="200025" y="49196624"/>
          <a:ext cx="6102162" cy="8060738"/>
          <a:chOff x="200025" y="45510449"/>
          <a:chExt cx="6102162" cy="8060738"/>
        </a:xfrm>
      </xdr:grpSpPr>
      <xdr:grpSp>
        <xdr:nvGrpSpPr>
          <xdr:cNvPr id="4" name="Group 3"/>
          <xdr:cNvGrpSpPr/>
        </xdr:nvGrpSpPr>
        <xdr:grpSpPr>
          <a:xfrm>
            <a:off x="200025" y="45510449"/>
            <a:ext cx="6102162" cy="8060738"/>
            <a:chOff x="200025" y="45510449"/>
            <a:chExt cx="6102162" cy="8060738"/>
          </a:xfrm>
        </xdr:grpSpPr>
        <xdr:pic>
          <xdr:nvPicPr>
            <xdr:cNvPr id="21" name="Picture 20" descr="https://vsjcllp.vsjadon.com/upload/insp-246077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647951" y="51769293"/>
              <a:ext cx="2400300" cy="180189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" name="Picture 21" descr="https://vsjcllp.vsjadon.com/upload/insp-246077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00075" y="45510449"/>
              <a:ext cx="2590481" cy="34575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3" name="Picture 22" descr="https://vsjcllp.vsjadon.com/upload/insp-246077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24350" y="49053750"/>
              <a:ext cx="1977837" cy="26289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6" name="Picture 25" descr="https://vsjcllp.vsjadon.com/upload/insp-246077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66950" y="49053750"/>
              <a:ext cx="1969622" cy="26289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" name="Picture 27" descr="https://vsjcllp.vsjadon.com/upload/insp-246077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86125" y="45510449"/>
              <a:ext cx="2590481" cy="34575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9" name="Picture 28" descr="https://vsjcllp.vsjadon.com/upload/insp-246077-9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81101" y="51764531"/>
              <a:ext cx="1355644" cy="180189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3" name="Picture 42" descr="https://vsjcllp.vsjadon.com/upload/insp-246077-87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00025" y="49053750"/>
              <a:ext cx="1969622" cy="26289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" name="TextBox 4"/>
          <xdr:cNvSpPr txBox="1"/>
        </xdr:nvSpPr>
        <xdr:spPr>
          <a:xfrm>
            <a:off x="1352550" y="45596175"/>
            <a:ext cx="723900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/>
              <a:t>Phase</a:t>
            </a:r>
            <a:r>
              <a:rPr lang="en-IN" sz="1400" b="1" baseline="0"/>
              <a:t> I</a:t>
            </a:r>
            <a:endParaRPr lang="en-IN" sz="1400" b="1"/>
          </a:p>
        </xdr:txBody>
      </xdr:sp>
      <xdr:sp macro="" textlink="">
        <xdr:nvSpPr>
          <xdr:cNvPr id="44" name="TextBox 43"/>
          <xdr:cNvSpPr txBox="1"/>
        </xdr:nvSpPr>
        <xdr:spPr>
          <a:xfrm>
            <a:off x="3905250" y="45729524"/>
            <a:ext cx="838200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/>
              <a:t>Phase</a:t>
            </a:r>
            <a:r>
              <a:rPr lang="en-IN" sz="1400" b="1" baseline="0"/>
              <a:t> II</a:t>
            </a:r>
            <a:endParaRPr lang="en-IN" sz="1400" b="1"/>
          </a:p>
        </xdr:txBody>
      </xdr:sp>
      <xdr:sp macro="" textlink="">
        <xdr:nvSpPr>
          <xdr:cNvPr id="45" name="TextBox 44"/>
          <xdr:cNvSpPr txBox="1"/>
        </xdr:nvSpPr>
        <xdr:spPr>
          <a:xfrm>
            <a:off x="2543174" y="49025174"/>
            <a:ext cx="809625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Phase</a:t>
            </a:r>
            <a:r>
              <a:rPr lang="en-IN" sz="1200" b="1" baseline="0"/>
              <a:t> II</a:t>
            </a:r>
            <a:endParaRPr lang="en-IN" sz="1200" b="1"/>
          </a:p>
        </xdr:txBody>
      </xdr:sp>
      <xdr:sp macro="" textlink="">
        <xdr:nvSpPr>
          <xdr:cNvPr id="46" name="TextBox 45"/>
          <xdr:cNvSpPr txBox="1"/>
        </xdr:nvSpPr>
        <xdr:spPr>
          <a:xfrm>
            <a:off x="3114675" y="49387124"/>
            <a:ext cx="723900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Phase</a:t>
            </a:r>
            <a:r>
              <a:rPr lang="en-IN" sz="1200" b="1" baseline="0"/>
              <a:t> I</a:t>
            </a:r>
            <a:endParaRPr lang="en-IN" sz="1200" b="1"/>
          </a:p>
        </xdr:txBody>
      </xdr:sp>
    </xdr:grpSp>
    <xdr:clientData/>
  </xdr:twoCellAnchor>
  <xdr:twoCellAnchor>
    <xdr:from>
      <xdr:col>8</xdr:col>
      <xdr:colOff>761999</xdr:colOff>
      <xdr:row>227</xdr:row>
      <xdr:rowOff>0</xdr:rowOff>
    </xdr:from>
    <xdr:to>
      <xdr:col>9</xdr:col>
      <xdr:colOff>438149</xdr:colOff>
      <xdr:row>230</xdr:row>
      <xdr:rowOff>273801</xdr:rowOff>
    </xdr:to>
    <xdr:sp macro="" textlink="">
      <xdr:nvSpPr>
        <xdr:cNvPr id="47" name="TextBox 46"/>
        <xdr:cNvSpPr txBox="1"/>
      </xdr:nvSpPr>
      <xdr:spPr>
        <a:xfrm>
          <a:off x="7296149" y="42421926"/>
          <a:ext cx="8382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400" b="0"/>
        </a:p>
      </xdr:txBody>
    </xdr:sp>
    <xdr:clientData/>
  </xdr:twoCellAnchor>
  <xdr:twoCellAnchor>
    <xdr:from>
      <xdr:col>8</xdr:col>
      <xdr:colOff>761999</xdr:colOff>
      <xdr:row>227</xdr:row>
      <xdr:rowOff>0</xdr:rowOff>
    </xdr:from>
    <xdr:to>
      <xdr:col>14</xdr:col>
      <xdr:colOff>361214</xdr:colOff>
      <xdr:row>244</xdr:row>
      <xdr:rowOff>75694</xdr:rowOff>
    </xdr:to>
    <xdr:grpSp>
      <xdr:nvGrpSpPr>
        <xdr:cNvPr id="8" name="Group 7"/>
        <xdr:cNvGrpSpPr/>
      </xdr:nvGrpSpPr>
      <xdr:grpSpPr>
        <a:xfrm>
          <a:off x="7296149" y="45967650"/>
          <a:ext cx="4552215" cy="3276094"/>
          <a:chOff x="7296149" y="42421926"/>
          <a:chExt cx="4552215" cy="3135643"/>
        </a:xfrm>
      </xdr:grpSpPr>
      <xdr:pic>
        <xdr:nvPicPr>
          <xdr:cNvPr id="7" name="Picture 6"/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7296149" y="42421926"/>
            <a:ext cx="4552215" cy="3135643"/>
          </a:xfrm>
          <a:prstGeom prst="rect">
            <a:avLst/>
          </a:prstGeom>
        </xdr:spPr>
      </xdr:pic>
      <xdr:sp macro="" textlink="">
        <xdr:nvSpPr>
          <xdr:cNvPr id="48" name="TextBox 47"/>
          <xdr:cNvSpPr txBox="1"/>
        </xdr:nvSpPr>
        <xdr:spPr>
          <a:xfrm>
            <a:off x="9182098" y="43107726"/>
            <a:ext cx="1466851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Phase</a:t>
            </a:r>
            <a:r>
              <a:rPr lang="en-IN" sz="1200" b="1" baseline="0"/>
              <a:t> I (Tower A)</a:t>
            </a:r>
            <a:endParaRPr lang="en-IN" sz="1200" b="1"/>
          </a:p>
        </xdr:txBody>
      </xdr:sp>
      <xdr:sp macro="" textlink="">
        <xdr:nvSpPr>
          <xdr:cNvPr id="49" name="TextBox 48"/>
          <xdr:cNvSpPr txBox="1"/>
        </xdr:nvSpPr>
        <xdr:spPr>
          <a:xfrm>
            <a:off x="7448549" y="44250726"/>
            <a:ext cx="1466851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Phase</a:t>
            </a:r>
            <a:r>
              <a:rPr lang="en-IN" sz="1200" b="1" baseline="0"/>
              <a:t> II (Tower B)</a:t>
            </a:r>
            <a:endParaRPr lang="en-IN" sz="1200" b="1"/>
          </a:p>
        </xdr:txBody>
      </xdr:sp>
    </xdr:grpSp>
    <xdr:clientData/>
  </xdr:twoCellAnchor>
  <xdr:twoCellAnchor editAs="oneCell">
    <xdr:from>
      <xdr:col>8</xdr:col>
      <xdr:colOff>352425</xdr:colOff>
      <xdr:row>39</xdr:row>
      <xdr:rowOff>190500</xdr:rowOff>
    </xdr:from>
    <xdr:to>
      <xdr:col>12</xdr:col>
      <xdr:colOff>15676</xdr:colOff>
      <xdr:row>46</xdr:row>
      <xdr:rowOff>85482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86575" y="9210675"/>
          <a:ext cx="2997001" cy="1733308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45</xdr:row>
      <xdr:rowOff>283642</xdr:rowOff>
    </xdr:from>
    <xdr:to>
      <xdr:col>13</xdr:col>
      <xdr:colOff>501297</xdr:colOff>
      <xdr:row>50</xdr:row>
      <xdr:rowOff>168979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098196" y="10686599"/>
          <a:ext cx="4037971" cy="1541859"/>
        </a:xfrm>
        <a:prstGeom prst="rect">
          <a:avLst/>
        </a:prstGeom>
      </xdr:spPr>
    </xdr:pic>
    <xdr:clientData/>
  </xdr:twoCellAnchor>
  <xdr:twoCellAnchor>
    <xdr:from>
      <xdr:col>0</xdr:col>
      <xdr:colOff>156883</xdr:colOff>
      <xdr:row>288</xdr:row>
      <xdr:rowOff>168089</xdr:rowOff>
    </xdr:from>
    <xdr:to>
      <xdr:col>7</xdr:col>
      <xdr:colOff>699808</xdr:colOff>
      <xdr:row>310</xdr:row>
      <xdr:rowOff>73959</xdr:rowOff>
    </xdr:to>
    <xdr:grpSp>
      <xdr:nvGrpSpPr>
        <xdr:cNvPr id="14" name="Group 13"/>
        <xdr:cNvGrpSpPr/>
      </xdr:nvGrpSpPr>
      <xdr:grpSpPr>
        <a:xfrm>
          <a:off x="156883" y="58127714"/>
          <a:ext cx="6248400" cy="4306420"/>
          <a:chOff x="190500" y="58617971"/>
          <a:chExt cx="6257925" cy="4343400"/>
        </a:xfrm>
      </xdr:grpSpPr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190500" y="58617971"/>
            <a:ext cx="6257925" cy="43434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1" name="TextBox 10"/>
          <xdr:cNvSpPr txBox="1"/>
        </xdr:nvSpPr>
        <xdr:spPr>
          <a:xfrm>
            <a:off x="3630705" y="59301530"/>
            <a:ext cx="941295" cy="4034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6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Bldg</a:t>
            </a:r>
            <a:r>
              <a:rPr lang="en-IN" sz="1600" b="1" baseline="0"/>
              <a:t> A</a:t>
            </a:r>
            <a:endParaRPr lang="en-IN" sz="1600" b="1"/>
          </a:p>
        </xdr:txBody>
      </xdr:sp>
      <xdr:sp macro="" textlink="">
        <xdr:nvSpPr>
          <xdr:cNvPr id="33" name="TextBox 32"/>
          <xdr:cNvSpPr txBox="1"/>
        </xdr:nvSpPr>
        <xdr:spPr>
          <a:xfrm>
            <a:off x="2460811" y="60787431"/>
            <a:ext cx="941295" cy="4034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600" b="1" baseline="0"/>
              <a:t>Bldg B</a:t>
            </a:r>
            <a:endParaRPr lang="en-IN" sz="1600" b="1"/>
          </a:p>
        </xdr:txBody>
      </xdr:sp>
    </xdr:grpSp>
    <xdr:clientData/>
  </xdr:twoCellAnchor>
  <xdr:twoCellAnchor>
    <xdr:from>
      <xdr:col>0</xdr:col>
      <xdr:colOff>504265</xdr:colOff>
      <xdr:row>329</xdr:row>
      <xdr:rowOff>0</xdr:rowOff>
    </xdr:from>
    <xdr:to>
      <xdr:col>7</xdr:col>
      <xdr:colOff>409015</xdr:colOff>
      <xdr:row>367</xdr:row>
      <xdr:rowOff>43703</xdr:rowOff>
    </xdr:to>
    <xdr:grpSp>
      <xdr:nvGrpSpPr>
        <xdr:cNvPr id="17" name="Group 16"/>
        <xdr:cNvGrpSpPr/>
      </xdr:nvGrpSpPr>
      <xdr:grpSpPr>
        <a:xfrm>
          <a:off x="504265" y="65160525"/>
          <a:ext cx="5610225" cy="7644653"/>
          <a:chOff x="504265" y="65455800"/>
          <a:chExt cx="5610225" cy="7644653"/>
        </a:xfrm>
      </xdr:grpSpPr>
      <xdr:pic>
        <xdr:nvPicPr>
          <xdr:cNvPr id="2" name="Picture 1"/>
          <xdr:cNvPicPr>
            <a:picLocks noChangeAspect="1"/>
          </xdr:cNvPicPr>
        </xdr:nvPicPr>
        <xdr:blipFill>
          <a:blip xmlns:r="http://schemas.openxmlformats.org/officeDocument/2006/relationships" r:embed="rId15" cstate="print"/>
          <a:srcRect/>
          <a:stretch>
            <a:fillRect/>
          </a:stretch>
        </xdr:blipFill>
        <xdr:spPr>
          <a:xfrm>
            <a:off x="876300" y="65455800"/>
            <a:ext cx="4794310" cy="343331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16" name="Group 15"/>
          <xdr:cNvGrpSpPr/>
        </xdr:nvGrpSpPr>
        <xdr:grpSpPr>
          <a:xfrm>
            <a:off x="504265" y="69001901"/>
            <a:ext cx="5610225" cy="4098552"/>
            <a:chOff x="504265" y="69001901"/>
            <a:chExt cx="5610225" cy="4098552"/>
          </a:xfrm>
        </xdr:grpSpPr>
        <xdr:pic>
          <xdr:nvPicPr>
            <xdr:cNvPr id="34" name="Picture 33"/>
            <xdr:cNvPicPr>
              <a:picLocks noChangeAspect="1"/>
            </xdr:cNvPicPr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504265" y="69001901"/>
              <a:ext cx="5610225" cy="409855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5" name="Freeform 14"/>
            <xdr:cNvSpPr/>
          </xdr:nvSpPr>
          <xdr:spPr>
            <a:xfrm>
              <a:off x="1706617" y="69767997"/>
              <a:ext cx="2876879" cy="2079078"/>
            </a:xfrm>
            <a:custGeom>
              <a:avLst/>
              <a:gdLst>
                <a:gd name="connsiteX0" fmla="*/ 821121 w 2877207"/>
                <a:gd name="connsiteY0" fmla="*/ 2029810 h 2049517"/>
                <a:gd name="connsiteX1" fmla="*/ 2877207 w 2877207"/>
                <a:gd name="connsiteY1" fmla="*/ 584638 h 2049517"/>
                <a:gd name="connsiteX2" fmla="*/ 2345121 w 2877207"/>
                <a:gd name="connsiteY2" fmla="*/ 0 h 2049517"/>
                <a:gd name="connsiteX3" fmla="*/ 926224 w 2877207"/>
                <a:gd name="connsiteY3" fmla="*/ 308742 h 2049517"/>
                <a:gd name="connsiteX4" fmla="*/ 972207 w 2877207"/>
                <a:gd name="connsiteY4" fmla="*/ 512379 h 2049517"/>
                <a:gd name="connsiteX5" fmla="*/ 111672 w 2877207"/>
                <a:gd name="connsiteY5" fmla="*/ 1261242 h 2049517"/>
                <a:gd name="connsiteX6" fmla="*/ 0 w 2877207"/>
                <a:gd name="connsiteY6" fmla="*/ 1648810 h 2049517"/>
                <a:gd name="connsiteX7" fmla="*/ 558362 w 2877207"/>
                <a:gd name="connsiteY7" fmla="*/ 2029810 h 2049517"/>
                <a:gd name="connsiteX8" fmla="*/ 742293 w 2877207"/>
                <a:gd name="connsiteY8" fmla="*/ 2049517 h 2049517"/>
                <a:gd name="connsiteX9" fmla="*/ 821121 w 2877207"/>
                <a:gd name="connsiteY9" fmla="*/ 2029810 h 204951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877207" h="2049517">
                  <a:moveTo>
                    <a:pt x="821121" y="2029810"/>
                  </a:moveTo>
                  <a:lnTo>
                    <a:pt x="2877207" y="584638"/>
                  </a:lnTo>
                  <a:lnTo>
                    <a:pt x="2345121" y="0"/>
                  </a:lnTo>
                  <a:lnTo>
                    <a:pt x="926224" y="308742"/>
                  </a:lnTo>
                  <a:lnTo>
                    <a:pt x="972207" y="512379"/>
                  </a:lnTo>
                  <a:lnTo>
                    <a:pt x="111672" y="1261242"/>
                  </a:lnTo>
                  <a:lnTo>
                    <a:pt x="0" y="1648810"/>
                  </a:lnTo>
                  <a:lnTo>
                    <a:pt x="558362" y="2029810"/>
                  </a:lnTo>
                  <a:lnTo>
                    <a:pt x="742293" y="2049517"/>
                  </a:lnTo>
                  <a:lnTo>
                    <a:pt x="821121" y="2029810"/>
                  </a:lnTo>
                  <a:close/>
                </a:path>
              </a:pathLst>
            </a:custGeom>
            <a:noFill/>
            <a:ln w="28575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15</xdr:col>
      <xdr:colOff>101974</xdr:colOff>
      <xdr:row>52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2676525"/>
          <a:ext cx="13007975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5SU8dcJaubzZoH9w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8"/>
  <sheetViews>
    <sheetView tabSelected="1" view="pageBreakPreview" zoomScaleNormal="100" zoomScaleSheetLayoutView="100" workbookViewId="0">
      <selection activeCell="K8" sqref="K8"/>
    </sheetView>
  </sheetViews>
  <sheetFormatPr defaultColWidth="9.28515625" defaultRowHeight="15.75"/>
  <cols>
    <col min="1" max="1" width="11.42578125" style="19" customWidth="1"/>
    <col min="2" max="2" width="12" style="19" customWidth="1"/>
    <col min="3" max="3" width="12.7109375" style="19" customWidth="1"/>
    <col min="4" max="4" width="14.28515625" style="19" customWidth="1"/>
    <col min="5" max="7" width="11.7109375" style="19" customWidth="1"/>
    <col min="8" max="8" width="12.42578125" style="19" customWidth="1"/>
    <col min="9" max="9" width="17.42578125" style="20" customWidth="1"/>
    <col min="10" max="10" width="11.42578125" style="20" customWidth="1"/>
    <col min="11" max="12" width="10.5703125" style="20" customWidth="1"/>
    <col min="13" max="13" width="11.7109375" style="20" customWidth="1"/>
    <col min="14" max="14" width="12.5703125" style="20" customWidth="1"/>
    <col min="15" max="15" width="9.7109375" style="20" customWidth="1"/>
    <col min="16" max="16" width="11.7109375" style="20" customWidth="1"/>
    <col min="17" max="247" width="9.28515625" style="20"/>
    <col min="248" max="248" width="8.7109375" style="20" customWidth="1"/>
    <col min="249" max="249" width="9.71093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7109375" style="20" customWidth="1"/>
    <col min="256" max="256" width="11.28515625" style="20" customWidth="1"/>
    <col min="257" max="257" width="2.7109375" style="20" customWidth="1"/>
    <col min="258" max="258" width="3.5703125" style="20" customWidth="1"/>
    <col min="259" max="503" width="9.28515625" style="20"/>
    <col min="504" max="504" width="8.7109375" style="20" customWidth="1"/>
    <col min="505" max="505" width="9.71093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7109375" style="20" customWidth="1"/>
    <col min="512" max="512" width="11.28515625" style="20" customWidth="1"/>
    <col min="513" max="513" width="2.7109375" style="20" customWidth="1"/>
    <col min="514" max="514" width="3.5703125" style="20" customWidth="1"/>
    <col min="515" max="759" width="9.28515625" style="20"/>
    <col min="760" max="760" width="8.7109375" style="20" customWidth="1"/>
    <col min="761" max="761" width="9.71093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7109375" style="20" customWidth="1"/>
    <col min="768" max="768" width="11.28515625" style="20" customWidth="1"/>
    <col min="769" max="769" width="2.7109375" style="20" customWidth="1"/>
    <col min="770" max="770" width="3.5703125" style="20" customWidth="1"/>
    <col min="771" max="1015" width="9.28515625" style="20"/>
    <col min="1016" max="1016" width="8.7109375" style="20" customWidth="1"/>
    <col min="1017" max="1017" width="9.71093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7109375" style="20" customWidth="1"/>
    <col min="1024" max="1024" width="11.28515625" style="20" customWidth="1"/>
    <col min="1025" max="1025" width="2.7109375" style="20" customWidth="1"/>
    <col min="1026" max="1026" width="3.5703125" style="20" customWidth="1"/>
    <col min="1027" max="1271" width="9.28515625" style="20"/>
    <col min="1272" max="1272" width="8.7109375" style="20" customWidth="1"/>
    <col min="1273" max="1273" width="9.71093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7109375" style="20" customWidth="1"/>
    <col min="1280" max="1280" width="11.28515625" style="20" customWidth="1"/>
    <col min="1281" max="1281" width="2.7109375" style="20" customWidth="1"/>
    <col min="1282" max="1282" width="3.5703125" style="20" customWidth="1"/>
    <col min="1283" max="1527" width="9.28515625" style="20"/>
    <col min="1528" max="1528" width="8.7109375" style="20" customWidth="1"/>
    <col min="1529" max="1529" width="9.71093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7109375" style="20" customWidth="1"/>
    <col min="1536" max="1536" width="11.28515625" style="20" customWidth="1"/>
    <col min="1537" max="1537" width="2.7109375" style="20" customWidth="1"/>
    <col min="1538" max="1538" width="3.5703125" style="20" customWidth="1"/>
    <col min="1539" max="1783" width="9.28515625" style="20"/>
    <col min="1784" max="1784" width="8.7109375" style="20" customWidth="1"/>
    <col min="1785" max="1785" width="9.71093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7109375" style="20" customWidth="1"/>
    <col min="1792" max="1792" width="11.28515625" style="20" customWidth="1"/>
    <col min="1793" max="1793" width="2.7109375" style="20" customWidth="1"/>
    <col min="1794" max="1794" width="3.5703125" style="20" customWidth="1"/>
    <col min="1795" max="2039" width="9.28515625" style="20"/>
    <col min="2040" max="2040" width="8.7109375" style="20" customWidth="1"/>
    <col min="2041" max="2041" width="9.71093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7109375" style="20" customWidth="1"/>
    <col min="2048" max="2048" width="11.28515625" style="20" customWidth="1"/>
    <col min="2049" max="2049" width="2.7109375" style="20" customWidth="1"/>
    <col min="2050" max="2050" width="3.5703125" style="20" customWidth="1"/>
    <col min="2051" max="2295" width="9.28515625" style="20"/>
    <col min="2296" max="2296" width="8.7109375" style="20" customWidth="1"/>
    <col min="2297" max="2297" width="9.71093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7109375" style="20" customWidth="1"/>
    <col min="2304" max="2304" width="11.28515625" style="20" customWidth="1"/>
    <col min="2305" max="2305" width="2.7109375" style="20" customWidth="1"/>
    <col min="2306" max="2306" width="3.5703125" style="20" customWidth="1"/>
    <col min="2307" max="2551" width="9.28515625" style="20"/>
    <col min="2552" max="2552" width="8.7109375" style="20" customWidth="1"/>
    <col min="2553" max="2553" width="9.71093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7109375" style="20" customWidth="1"/>
    <col min="2560" max="2560" width="11.28515625" style="20" customWidth="1"/>
    <col min="2561" max="2561" width="2.7109375" style="20" customWidth="1"/>
    <col min="2562" max="2562" width="3.5703125" style="20" customWidth="1"/>
    <col min="2563" max="2807" width="9.28515625" style="20"/>
    <col min="2808" max="2808" width="8.7109375" style="20" customWidth="1"/>
    <col min="2809" max="2809" width="9.71093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7109375" style="20" customWidth="1"/>
    <col min="2816" max="2816" width="11.28515625" style="20" customWidth="1"/>
    <col min="2817" max="2817" width="2.7109375" style="20" customWidth="1"/>
    <col min="2818" max="2818" width="3.5703125" style="20" customWidth="1"/>
    <col min="2819" max="3063" width="9.28515625" style="20"/>
    <col min="3064" max="3064" width="8.7109375" style="20" customWidth="1"/>
    <col min="3065" max="3065" width="9.71093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7109375" style="20" customWidth="1"/>
    <col min="3072" max="3072" width="11.28515625" style="20" customWidth="1"/>
    <col min="3073" max="3073" width="2.7109375" style="20" customWidth="1"/>
    <col min="3074" max="3074" width="3.5703125" style="20" customWidth="1"/>
    <col min="3075" max="3319" width="9.28515625" style="20"/>
    <col min="3320" max="3320" width="8.7109375" style="20" customWidth="1"/>
    <col min="3321" max="3321" width="9.71093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7109375" style="20" customWidth="1"/>
    <col min="3328" max="3328" width="11.28515625" style="20" customWidth="1"/>
    <col min="3329" max="3329" width="2.7109375" style="20" customWidth="1"/>
    <col min="3330" max="3330" width="3.5703125" style="20" customWidth="1"/>
    <col min="3331" max="3575" width="9.28515625" style="20"/>
    <col min="3576" max="3576" width="8.7109375" style="20" customWidth="1"/>
    <col min="3577" max="3577" width="9.71093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7109375" style="20" customWidth="1"/>
    <col min="3584" max="3584" width="11.28515625" style="20" customWidth="1"/>
    <col min="3585" max="3585" width="2.7109375" style="20" customWidth="1"/>
    <col min="3586" max="3586" width="3.5703125" style="20" customWidth="1"/>
    <col min="3587" max="3831" width="9.28515625" style="20"/>
    <col min="3832" max="3832" width="8.7109375" style="20" customWidth="1"/>
    <col min="3833" max="3833" width="9.71093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7109375" style="20" customWidth="1"/>
    <col min="3840" max="3840" width="11.28515625" style="20" customWidth="1"/>
    <col min="3841" max="3841" width="2.7109375" style="20" customWidth="1"/>
    <col min="3842" max="3842" width="3.5703125" style="20" customWidth="1"/>
    <col min="3843" max="4087" width="9.28515625" style="20"/>
    <col min="4088" max="4088" width="8.7109375" style="20" customWidth="1"/>
    <col min="4089" max="4089" width="9.71093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7109375" style="20" customWidth="1"/>
    <col min="4096" max="4096" width="11.28515625" style="20" customWidth="1"/>
    <col min="4097" max="4097" width="2.7109375" style="20" customWidth="1"/>
    <col min="4098" max="4098" width="3.5703125" style="20" customWidth="1"/>
    <col min="4099" max="4343" width="9.28515625" style="20"/>
    <col min="4344" max="4344" width="8.7109375" style="20" customWidth="1"/>
    <col min="4345" max="4345" width="9.71093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7109375" style="20" customWidth="1"/>
    <col min="4352" max="4352" width="11.28515625" style="20" customWidth="1"/>
    <col min="4353" max="4353" width="2.7109375" style="20" customWidth="1"/>
    <col min="4354" max="4354" width="3.5703125" style="20" customWidth="1"/>
    <col min="4355" max="4599" width="9.28515625" style="20"/>
    <col min="4600" max="4600" width="8.7109375" style="20" customWidth="1"/>
    <col min="4601" max="4601" width="9.71093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7109375" style="20" customWidth="1"/>
    <col min="4608" max="4608" width="11.28515625" style="20" customWidth="1"/>
    <col min="4609" max="4609" width="2.7109375" style="20" customWidth="1"/>
    <col min="4610" max="4610" width="3.5703125" style="20" customWidth="1"/>
    <col min="4611" max="4855" width="9.28515625" style="20"/>
    <col min="4856" max="4856" width="8.7109375" style="20" customWidth="1"/>
    <col min="4857" max="4857" width="9.71093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7109375" style="20" customWidth="1"/>
    <col min="4864" max="4864" width="11.28515625" style="20" customWidth="1"/>
    <col min="4865" max="4865" width="2.7109375" style="20" customWidth="1"/>
    <col min="4866" max="4866" width="3.5703125" style="20" customWidth="1"/>
    <col min="4867" max="5111" width="9.28515625" style="20"/>
    <col min="5112" max="5112" width="8.7109375" style="20" customWidth="1"/>
    <col min="5113" max="5113" width="9.71093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7109375" style="20" customWidth="1"/>
    <col min="5120" max="5120" width="11.28515625" style="20" customWidth="1"/>
    <col min="5121" max="5121" width="2.7109375" style="20" customWidth="1"/>
    <col min="5122" max="5122" width="3.5703125" style="20" customWidth="1"/>
    <col min="5123" max="5367" width="9.28515625" style="20"/>
    <col min="5368" max="5368" width="8.7109375" style="20" customWidth="1"/>
    <col min="5369" max="5369" width="9.71093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7109375" style="20" customWidth="1"/>
    <col min="5376" max="5376" width="11.28515625" style="20" customWidth="1"/>
    <col min="5377" max="5377" width="2.7109375" style="20" customWidth="1"/>
    <col min="5378" max="5378" width="3.5703125" style="20" customWidth="1"/>
    <col min="5379" max="5623" width="9.28515625" style="20"/>
    <col min="5624" max="5624" width="8.7109375" style="20" customWidth="1"/>
    <col min="5625" max="5625" width="9.71093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7109375" style="20" customWidth="1"/>
    <col min="5632" max="5632" width="11.28515625" style="20" customWidth="1"/>
    <col min="5633" max="5633" width="2.7109375" style="20" customWidth="1"/>
    <col min="5634" max="5634" width="3.5703125" style="20" customWidth="1"/>
    <col min="5635" max="5879" width="9.28515625" style="20"/>
    <col min="5880" max="5880" width="8.7109375" style="20" customWidth="1"/>
    <col min="5881" max="5881" width="9.71093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7109375" style="20" customWidth="1"/>
    <col min="5888" max="5888" width="11.28515625" style="20" customWidth="1"/>
    <col min="5889" max="5889" width="2.7109375" style="20" customWidth="1"/>
    <col min="5890" max="5890" width="3.5703125" style="20" customWidth="1"/>
    <col min="5891" max="6135" width="9.28515625" style="20"/>
    <col min="6136" max="6136" width="8.7109375" style="20" customWidth="1"/>
    <col min="6137" max="6137" width="9.71093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7109375" style="20" customWidth="1"/>
    <col min="6144" max="6144" width="11.28515625" style="20" customWidth="1"/>
    <col min="6145" max="6145" width="2.7109375" style="20" customWidth="1"/>
    <col min="6146" max="6146" width="3.5703125" style="20" customWidth="1"/>
    <col min="6147" max="6391" width="9.28515625" style="20"/>
    <col min="6392" max="6392" width="8.7109375" style="20" customWidth="1"/>
    <col min="6393" max="6393" width="9.71093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7109375" style="20" customWidth="1"/>
    <col min="6400" max="6400" width="11.28515625" style="20" customWidth="1"/>
    <col min="6401" max="6401" width="2.7109375" style="20" customWidth="1"/>
    <col min="6402" max="6402" width="3.5703125" style="20" customWidth="1"/>
    <col min="6403" max="6647" width="9.28515625" style="20"/>
    <col min="6648" max="6648" width="8.7109375" style="20" customWidth="1"/>
    <col min="6649" max="6649" width="9.71093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7109375" style="20" customWidth="1"/>
    <col min="6656" max="6656" width="11.28515625" style="20" customWidth="1"/>
    <col min="6657" max="6657" width="2.7109375" style="20" customWidth="1"/>
    <col min="6658" max="6658" width="3.5703125" style="20" customWidth="1"/>
    <col min="6659" max="6903" width="9.28515625" style="20"/>
    <col min="6904" max="6904" width="8.7109375" style="20" customWidth="1"/>
    <col min="6905" max="6905" width="9.71093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7109375" style="20" customWidth="1"/>
    <col min="6912" max="6912" width="11.28515625" style="20" customWidth="1"/>
    <col min="6913" max="6913" width="2.7109375" style="20" customWidth="1"/>
    <col min="6914" max="6914" width="3.5703125" style="20" customWidth="1"/>
    <col min="6915" max="7159" width="9.28515625" style="20"/>
    <col min="7160" max="7160" width="8.7109375" style="20" customWidth="1"/>
    <col min="7161" max="7161" width="9.71093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7109375" style="20" customWidth="1"/>
    <col min="7168" max="7168" width="11.28515625" style="20" customWidth="1"/>
    <col min="7169" max="7169" width="2.7109375" style="20" customWidth="1"/>
    <col min="7170" max="7170" width="3.5703125" style="20" customWidth="1"/>
    <col min="7171" max="7415" width="9.28515625" style="20"/>
    <col min="7416" max="7416" width="8.7109375" style="20" customWidth="1"/>
    <col min="7417" max="7417" width="9.71093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7109375" style="20" customWidth="1"/>
    <col min="7424" max="7424" width="11.28515625" style="20" customWidth="1"/>
    <col min="7425" max="7425" width="2.7109375" style="20" customWidth="1"/>
    <col min="7426" max="7426" width="3.5703125" style="20" customWidth="1"/>
    <col min="7427" max="7671" width="9.28515625" style="20"/>
    <col min="7672" max="7672" width="8.7109375" style="20" customWidth="1"/>
    <col min="7673" max="7673" width="9.71093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7109375" style="20" customWidth="1"/>
    <col min="7680" max="7680" width="11.28515625" style="20" customWidth="1"/>
    <col min="7681" max="7681" width="2.7109375" style="20" customWidth="1"/>
    <col min="7682" max="7682" width="3.5703125" style="20" customWidth="1"/>
    <col min="7683" max="7927" width="9.28515625" style="20"/>
    <col min="7928" max="7928" width="8.7109375" style="20" customWidth="1"/>
    <col min="7929" max="7929" width="9.71093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7109375" style="20" customWidth="1"/>
    <col min="7936" max="7936" width="11.28515625" style="20" customWidth="1"/>
    <col min="7937" max="7937" width="2.7109375" style="20" customWidth="1"/>
    <col min="7938" max="7938" width="3.5703125" style="20" customWidth="1"/>
    <col min="7939" max="8183" width="9.28515625" style="20"/>
    <col min="8184" max="8184" width="8.7109375" style="20" customWidth="1"/>
    <col min="8185" max="8185" width="9.71093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7109375" style="20" customWidth="1"/>
    <col min="8192" max="8192" width="11.28515625" style="20" customWidth="1"/>
    <col min="8193" max="8193" width="2.7109375" style="20" customWidth="1"/>
    <col min="8194" max="8194" width="3.5703125" style="20" customWidth="1"/>
    <col min="8195" max="8439" width="9.28515625" style="20"/>
    <col min="8440" max="8440" width="8.7109375" style="20" customWidth="1"/>
    <col min="8441" max="8441" width="9.71093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7109375" style="20" customWidth="1"/>
    <col min="8448" max="8448" width="11.28515625" style="20" customWidth="1"/>
    <col min="8449" max="8449" width="2.7109375" style="20" customWidth="1"/>
    <col min="8450" max="8450" width="3.5703125" style="20" customWidth="1"/>
    <col min="8451" max="8695" width="9.28515625" style="20"/>
    <col min="8696" max="8696" width="8.7109375" style="20" customWidth="1"/>
    <col min="8697" max="8697" width="9.71093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7109375" style="20" customWidth="1"/>
    <col min="8704" max="8704" width="11.28515625" style="20" customWidth="1"/>
    <col min="8705" max="8705" width="2.7109375" style="20" customWidth="1"/>
    <col min="8706" max="8706" width="3.5703125" style="20" customWidth="1"/>
    <col min="8707" max="8951" width="9.28515625" style="20"/>
    <col min="8952" max="8952" width="8.7109375" style="20" customWidth="1"/>
    <col min="8953" max="8953" width="9.71093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7109375" style="20" customWidth="1"/>
    <col min="8960" max="8960" width="11.28515625" style="20" customWidth="1"/>
    <col min="8961" max="8961" width="2.7109375" style="20" customWidth="1"/>
    <col min="8962" max="8962" width="3.5703125" style="20" customWidth="1"/>
    <col min="8963" max="9207" width="9.28515625" style="20"/>
    <col min="9208" max="9208" width="8.7109375" style="20" customWidth="1"/>
    <col min="9209" max="9209" width="9.71093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7109375" style="20" customWidth="1"/>
    <col min="9216" max="9216" width="11.28515625" style="20" customWidth="1"/>
    <col min="9217" max="9217" width="2.7109375" style="20" customWidth="1"/>
    <col min="9218" max="9218" width="3.5703125" style="20" customWidth="1"/>
    <col min="9219" max="9463" width="9.28515625" style="20"/>
    <col min="9464" max="9464" width="8.7109375" style="20" customWidth="1"/>
    <col min="9465" max="9465" width="9.71093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7109375" style="20" customWidth="1"/>
    <col min="9472" max="9472" width="11.28515625" style="20" customWidth="1"/>
    <col min="9473" max="9473" width="2.7109375" style="20" customWidth="1"/>
    <col min="9474" max="9474" width="3.5703125" style="20" customWidth="1"/>
    <col min="9475" max="9719" width="9.28515625" style="20"/>
    <col min="9720" max="9720" width="8.7109375" style="20" customWidth="1"/>
    <col min="9721" max="9721" width="9.71093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7109375" style="20" customWidth="1"/>
    <col min="9728" max="9728" width="11.28515625" style="20" customWidth="1"/>
    <col min="9729" max="9729" width="2.7109375" style="20" customWidth="1"/>
    <col min="9730" max="9730" width="3.5703125" style="20" customWidth="1"/>
    <col min="9731" max="9975" width="9.28515625" style="20"/>
    <col min="9976" max="9976" width="8.7109375" style="20" customWidth="1"/>
    <col min="9977" max="9977" width="9.71093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7109375" style="20" customWidth="1"/>
    <col min="9984" max="9984" width="11.28515625" style="20" customWidth="1"/>
    <col min="9985" max="9985" width="2.7109375" style="20" customWidth="1"/>
    <col min="9986" max="9986" width="3.5703125" style="20" customWidth="1"/>
    <col min="9987" max="10231" width="9.28515625" style="20"/>
    <col min="10232" max="10232" width="8.7109375" style="20" customWidth="1"/>
    <col min="10233" max="10233" width="9.71093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7109375" style="20" customWidth="1"/>
    <col min="10240" max="10240" width="11.28515625" style="20" customWidth="1"/>
    <col min="10241" max="10241" width="2.7109375" style="20" customWidth="1"/>
    <col min="10242" max="10242" width="3.5703125" style="20" customWidth="1"/>
    <col min="10243" max="10487" width="9.28515625" style="20"/>
    <col min="10488" max="10488" width="8.7109375" style="20" customWidth="1"/>
    <col min="10489" max="10489" width="9.71093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7109375" style="20" customWidth="1"/>
    <col min="10496" max="10496" width="11.28515625" style="20" customWidth="1"/>
    <col min="10497" max="10497" width="2.7109375" style="20" customWidth="1"/>
    <col min="10498" max="10498" width="3.5703125" style="20" customWidth="1"/>
    <col min="10499" max="10743" width="9.28515625" style="20"/>
    <col min="10744" max="10744" width="8.7109375" style="20" customWidth="1"/>
    <col min="10745" max="10745" width="9.71093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7109375" style="20" customWidth="1"/>
    <col min="10752" max="10752" width="11.28515625" style="20" customWidth="1"/>
    <col min="10753" max="10753" width="2.7109375" style="20" customWidth="1"/>
    <col min="10754" max="10754" width="3.5703125" style="20" customWidth="1"/>
    <col min="10755" max="10999" width="9.28515625" style="20"/>
    <col min="11000" max="11000" width="8.7109375" style="20" customWidth="1"/>
    <col min="11001" max="11001" width="9.71093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7109375" style="20" customWidth="1"/>
    <col min="11008" max="11008" width="11.28515625" style="20" customWidth="1"/>
    <col min="11009" max="11009" width="2.7109375" style="20" customWidth="1"/>
    <col min="11010" max="11010" width="3.5703125" style="20" customWidth="1"/>
    <col min="11011" max="11255" width="9.28515625" style="20"/>
    <col min="11256" max="11256" width="8.7109375" style="20" customWidth="1"/>
    <col min="11257" max="11257" width="9.71093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7109375" style="20" customWidth="1"/>
    <col min="11264" max="11264" width="11.28515625" style="20" customWidth="1"/>
    <col min="11265" max="11265" width="2.7109375" style="20" customWidth="1"/>
    <col min="11266" max="11266" width="3.5703125" style="20" customWidth="1"/>
    <col min="11267" max="11511" width="9.28515625" style="20"/>
    <col min="11512" max="11512" width="8.7109375" style="20" customWidth="1"/>
    <col min="11513" max="11513" width="9.71093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7109375" style="20" customWidth="1"/>
    <col min="11520" max="11520" width="11.28515625" style="20" customWidth="1"/>
    <col min="11521" max="11521" width="2.7109375" style="20" customWidth="1"/>
    <col min="11522" max="11522" width="3.5703125" style="20" customWidth="1"/>
    <col min="11523" max="11767" width="9.28515625" style="20"/>
    <col min="11768" max="11768" width="8.7109375" style="20" customWidth="1"/>
    <col min="11769" max="11769" width="9.71093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7109375" style="20" customWidth="1"/>
    <col min="11776" max="11776" width="11.28515625" style="20" customWidth="1"/>
    <col min="11777" max="11777" width="2.7109375" style="20" customWidth="1"/>
    <col min="11778" max="11778" width="3.5703125" style="20" customWidth="1"/>
    <col min="11779" max="12023" width="9.28515625" style="20"/>
    <col min="12024" max="12024" width="8.7109375" style="20" customWidth="1"/>
    <col min="12025" max="12025" width="9.71093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7109375" style="20" customWidth="1"/>
    <col min="12032" max="12032" width="11.28515625" style="20" customWidth="1"/>
    <col min="12033" max="12033" width="2.7109375" style="20" customWidth="1"/>
    <col min="12034" max="12034" width="3.5703125" style="20" customWidth="1"/>
    <col min="12035" max="12279" width="9.28515625" style="20"/>
    <col min="12280" max="12280" width="8.7109375" style="20" customWidth="1"/>
    <col min="12281" max="12281" width="9.71093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7109375" style="20" customWidth="1"/>
    <col min="12288" max="12288" width="11.28515625" style="20" customWidth="1"/>
    <col min="12289" max="12289" width="2.7109375" style="20" customWidth="1"/>
    <col min="12290" max="12290" width="3.5703125" style="20" customWidth="1"/>
    <col min="12291" max="12535" width="9.28515625" style="20"/>
    <col min="12536" max="12536" width="8.7109375" style="20" customWidth="1"/>
    <col min="12537" max="12537" width="9.71093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7109375" style="20" customWidth="1"/>
    <col min="12544" max="12544" width="11.28515625" style="20" customWidth="1"/>
    <col min="12545" max="12545" width="2.7109375" style="20" customWidth="1"/>
    <col min="12546" max="12546" width="3.5703125" style="20" customWidth="1"/>
    <col min="12547" max="12791" width="9.28515625" style="20"/>
    <col min="12792" max="12792" width="8.7109375" style="20" customWidth="1"/>
    <col min="12793" max="12793" width="9.71093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7109375" style="20" customWidth="1"/>
    <col min="12800" max="12800" width="11.28515625" style="20" customWidth="1"/>
    <col min="12801" max="12801" width="2.7109375" style="20" customWidth="1"/>
    <col min="12802" max="12802" width="3.5703125" style="20" customWidth="1"/>
    <col min="12803" max="13047" width="9.28515625" style="20"/>
    <col min="13048" max="13048" width="8.7109375" style="20" customWidth="1"/>
    <col min="13049" max="13049" width="9.71093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7109375" style="20" customWidth="1"/>
    <col min="13056" max="13056" width="11.28515625" style="20" customWidth="1"/>
    <col min="13057" max="13057" width="2.7109375" style="20" customWidth="1"/>
    <col min="13058" max="13058" width="3.5703125" style="20" customWidth="1"/>
    <col min="13059" max="13303" width="9.28515625" style="20"/>
    <col min="13304" max="13304" width="8.7109375" style="20" customWidth="1"/>
    <col min="13305" max="13305" width="9.71093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7109375" style="20" customWidth="1"/>
    <col min="13312" max="13312" width="11.28515625" style="20" customWidth="1"/>
    <col min="13313" max="13313" width="2.7109375" style="20" customWidth="1"/>
    <col min="13314" max="13314" width="3.5703125" style="20" customWidth="1"/>
    <col min="13315" max="13559" width="9.28515625" style="20"/>
    <col min="13560" max="13560" width="8.7109375" style="20" customWidth="1"/>
    <col min="13561" max="13561" width="9.71093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7109375" style="20" customWidth="1"/>
    <col min="13568" max="13568" width="11.28515625" style="20" customWidth="1"/>
    <col min="13569" max="13569" width="2.7109375" style="20" customWidth="1"/>
    <col min="13570" max="13570" width="3.5703125" style="20" customWidth="1"/>
    <col min="13571" max="13815" width="9.28515625" style="20"/>
    <col min="13816" max="13816" width="8.7109375" style="20" customWidth="1"/>
    <col min="13817" max="13817" width="9.71093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7109375" style="20" customWidth="1"/>
    <col min="13824" max="13824" width="11.28515625" style="20" customWidth="1"/>
    <col min="13825" max="13825" width="2.7109375" style="20" customWidth="1"/>
    <col min="13826" max="13826" width="3.5703125" style="20" customWidth="1"/>
    <col min="13827" max="14071" width="9.28515625" style="20"/>
    <col min="14072" max="14072" width="8.7109375" style="20" customWidth="1"/>
    <col min="14073" max="14073" width="9.71093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7109375" style="20" customWidth="1"/>
    <col min="14080" max="14080" width="11.28515625" style="20" customWidth="1"/>
    <col min="14081" max="14081" width="2.7109375" style="20" customWidth="1"/>
    <col min="14082" max="14082" width="3.5703125" style="20" customWidth="1"/>
    <col min="14083" max="14327" width="9.28515625" style="20"/>
    <col min="14328" max="14328" width="8.7109375" style="20" customWidth="1"/>
    <col min="14329" max="14329" width="9.71093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7109375" style="20" customWidth="1"/>
    <col min="14336" max="14336" width="11.28515625" style="20" customWidth="1"/>
    <col min="14337" max="14337" width="2.7109375" style="20" customWidth="1"/>
    <col min="14338" max="14338" width="3.5703125" style="20" customWidth="1"/>
    <col min="14339" max="14583" width="9.28515625" style="20"/>
    <col min="14584" max="14584" width="8.7109375" style="20" customWidth="1"/>
    <col min="14585" max="14585" width="9.71093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7109375" style="20" customWidth="1"/>
    <col min="14592" max="14592" width="11.28515625" style="20" customWidth="1"/>
    <col min="14593" max="14593" width="2.7109375" style="20" customWidth="1"/>
    <col min="14594" max="14594" width="3.5703125" style="20" customWidth="1"/>
    <col min="14595" max="14839" width="9.28515625" style="20"/>
    <col min="14840" max="14840" width="8.7109375" style="20" customWidth="1"/>
    <col min="14841" max="14841" width="9.71093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7109375" style="20" customWidth="1"/>
    <col min="14848" max="14848" width="11.28515625" style="20" customWidth="1"/>
    <col min="14849" max="14849" width="2.7109375" style="20" customWidth="1"/>
    <col min="14850" max="14850" width="3.5703125" style="20" customWidth="1"/>
    <col min="14851" max="15095" width="9.28515625" style="20"/>
    <col min="15096" max="15096" width="8.7109375" style="20" customWidth="1"/>
    <col min="15097" max="15097" width="9.71093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7109375" style="20" customWidth="1"/>
    <col min="15104" max="15104" width="11.28515625" style="20" customWidth="1"/>
    <col min="15105" max="15105" width="2.7109375" style="20" customWidth="1"/>
    <col min="15106" max="15106" width="3.5703125" style="20" customWidth="1"/>
    <col min="15107" max="15351" width="9.28515625" style="20"/>
    <col min="15352" max="15352" width="8.7109375" style="20" customWidth="1"/>
    <col min="15353" max="15353" width="9.71093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7109375" style="20" customWidth="1"/>
    <col min="15360" max="15360" width="11.28515625" style="20" customWidth="1"/>
    <col min="15361" max="15361" width="2.7109375" style="20" customWidth="1"/>
    <col min="15362" max="15362" width="3.5703125" style="20" customWidth="1"/>
    <col min="15363" max="15607" width="9.28515625" style="20"/>
    <col min="15608" max="15608" width="8.7109375" style="20" customWidth="1"/>
    <col min="15609" max="15609" width="9.71093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7109375" style="20" customWidth="1"/>
    <col min="15616" max="15616" width="11.28515625" style="20" customWidth="1"/>
    <col min="15617" max="15617" width="2.7109375" style="20" customWidth="1"/>
    <col min="15618" max="15618" width="3.5703125" style="20" customWidth="1"/>
    <col min="15619" max="15863" width="9.28515625" style="20"/>
    <col min="15864" max="15864" width="8.7109375" style="20" customWidth="1"/>
    <col min="15865" max="15865" width="9.71093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7109375" style="20" customWidth="1"/>
    <col min="15872" max="15872" width="11.28515625" style="20" customWidth="1"/>
    <col min="15873" max="15873" width="2.7109375" style="20" customWidth="1"/>
    <col min="15874" max="15874" width="3.5703125" style="20" customWidth="1"/>
    <col min="15875" max="16119" width="9.28515625" style="20"/>
    <col min="16120" max="16120" width="8.7109375" style="20" customWidth="1"/>
    <col min="16121" max="16121" width="9.71093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7109375" style="20" customWidth="1"/>
    <col min="16128" max="16128" width="11.28515625" style="20" customWidth="1"/>
    <col min="16129" max="16129" width="2.7109375" style="20" customWidth="1"/>
    <col min="16130" max="16130" width="3.5703125" style="20" customWidth="1"/>
    <col min="16131" max="16384" width="9.28515625" style="20"/>
  </cols>
  <sheetData>
    <row r="1" spans="1:8" ht="46.5" customHeight="1">
      <c r="A1" s="196" t="s">
        <v>0</v>
      </c>
      <c r="B1" s="196"/>
      <c r="C1" s="196"/>
      <c r="D1" s="196"/>
      <c r="E1" s="196"/>
      <c r="F1" s="196"/>
      <c r="G1" s="196"/>
      <c r="H1" s="196"/>
    </row>
    <row r="2" spans="1:8" ht="16.5" customHeight="1">
      <c r="A2" s="130" t="s">
        <v>1</v>
      </c>
      <c r="B2" s="130"/>
      <c r="C2" s="130"/>
      <c r="D2" s="130"/>
      <c r="E2" s="130"/>
      <c r="F2" s="130"/>
      <c r="G2" s="130"/>
      <c r="H2" s="130"/>
    </row>
    <row r="3" spans="1:8">
      <c r="A3" s="103" t="s">
        <v>2</v>
      </c>
      <c r="B3" s="103"/>
      <c r="C3" s="103"/>
      <c r="D3" s="103"/>
      <c r="E3" s="103" t="str">
        <f ca="1">TEXT(TODAY(),"DD/MM/YYYY")</f>
        <v>25/09/2025</v>
      </c>
      <c r="F3" s="103"/>
      <c r="G3" s="103"/>
      <c r="H3" s="103"/>
    </row>
    <row r="4" spans="1:8" ht="15" customHeight="1">
      <c r="A4" s="103" t="s">
        <v>3</v>
      </c>
      <c r="B4" s="103"/>
      <c r="C4" s="103"/>
      <c r="D4" s="103"/>
      <c r="E4" s="103" t="s">
        <v>4</v>
      </c>
      <c r="F4" s="103"/>
      <c r="G4" s="103"/>
      <c r="H4" s="103"/>
    </row>
    <row r="5" spans="1:8">
      <c r="A5" s="103" t="s">
        <v>5</v>
      </c>
      <c r="B5" s="103"/>
      <c r="C5" s="103"/>
      <c r="D5" s="103"/>
      <c r="E5" s="197">
        <v>45906</v>
      </c>
      <c r="F5" s="197"/>
      <c r="G5" s="197"/>
      <c r="H5" s="197"/>
    </row>
    <row r="6" spans="1:8" ht="16.5" customHeight="1">
      <c r="A6" s="103" t="s">
        <v>6</v>
      </c>
      <c r="B6" s="103"/>
      <c r="C6" s="103"/>
      <c r="D6" s="103"/>
      <c r="E6" s="103" t="s">
        <v>7</v>
      </c>
      <c r="F6" s="103"/>
      <c r="G6" s="103"/>
      <c r="H6" s="103"/>
    </row>
    <row r="7" spans="1:8" ht="15" customHeight="1">
      <c r="A7" s="103" t="s">
        <v>8</v>
      </c>
      <c r="B7" s="103"/>
      <c r="C7" s="103"/>
      <c r="D7" s="103"/>
      <c r="E7" s="103" t="s">
        <v>9</v>
      </c>
      <c r="F7" s="103"/>
      <c r="G7" s="103"/>
      <c r="H7" s="103"/>
    </row>
    <row r="8" spans="1:8">
      <c r="A8" s="103" t="s">
        <v>10</v>
      </c>
      <c r="B8" s="103"/>
      <c r="C8" s="103"/>
      <c r="D8" s="103"/>
      <c r="E8" s="148" t="s">
        <v>11</v>
      </c>
      <c r="F8" s="148"/>
      <c r="G8" s="148"/>
      <c r="H8" s="148"/>
    </row>
    <row r="9" spans="1:8">
      <c r="A9" s="103" t="s">
        <v>12</v>
      </c>
      <c r="B9" s="103"/>
      <c r="C9" s="103"/>
      <c r="D9" s="103"/>
      <c r="E9" s="179" t="s">
        <v>214</v>
      </c>
      <c r="F9" s="180"/>
      <c r="G9" s="180"/>
      <c r="H9" s="181"/>
    </row>
    <row r="10" spans="1:8">
      <c r="A10" s="103" t="s">
        <v>13</v>
      </c>
      <c r="B10" s="103"/>
      <c r="C10" s="103"/>
      <c r="D10" s="103"/>
      <c r="E10" s="103" t="s">
        <v>14</v>
      </c>
      <c r="F10" s="103"/>
      <c r="G10" s="103"/>
      <c r="H10" s="103"/>
    </row>
    <row r="11" spans="1:8">
      <c r="A11" s="103" t="s">
        <v>15</v>
      </c>
      <c r="B11" s="103"/>
      <c r="C11" s="103"/>
      <c r="D11" s="103"/>
      <c r="E11" s="154" t="s">
        <v>16</v>
      </c>
      <c r="F11" s="154"/>
      <c r="G11" s="154"/>
      <c r="H11" s="154"/>
    </row>
    <row r="12" spans="1:8" ht="32.25" customHeight="1">
      <c r="A12" s="103" t="s">
        <v>17</v>
      </c>
      <c r="B12" s="103"/>
      <c r="C12" s="103"/>
      <c r="D12" s="103"/>
      <c r="E12" s="154" t="s">
        <v>18</v>
      </c>
      <c r="F12" s="103"/>
      <c r="G12" s="103"/>
      <c r="H12" s="103"/>
    </row>
    <row r="13" spans="1:8" ht="63.75" customHeight="1">
      <c r="A13" s="154" t="s">
        <v>19</v>
      </c>
      <c r="B13" s="154"/>
      <c r="C13" s="154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Tharwani Majestic Towers - Phase I &amp; II, Old Survey No.4/2, 4/4, 25/6, 26/8, Plot No. 1 &amp; 2, New S.No. 4A/1, 4A/2, 4A/3, 4A/4, 4A/5, 4A/6, 4B/1, 4B/2, 25A/1, 25A/2, 26A, near Tharwani Miracle, Internal road, Barave, Kalyan (West), Kalyan, Thane - 421301.</v>
      </c>
      <c r="D13" s="154"/>
      <c r="E13" s="154"/>
      <c r="F13" s="154"/>
      <c r="G13" s="154"/>
      <c r="H13" s="154"/>
    </row>
    <row r="14" spans="1:8" ht="35.25" customHeight="1">
      <c r="A14" s="154" t="s">
        <v>226</v>
      </c>
      <c r="B14" s="154"/>
      <c r="C14" s="154" t="s">
        <v>227</v>
      </c>
      <c r="D14" s="154"/>
      <c r="E14" s="154"/>
      <c r="F14" s="154"/>
      <c r="G14" s="154"/>
      <c r="H14" s="154"/>
    </row>
    <row r="15" spans="1:8" ht="15.75" customHeight="1">
      <c r="A15" s="95" t="s">
        <v>20</v>
      </c>
      <c r="B15" s="95"/>
      <c r="C15" s="103" t="s">
        <v>21</v>
      </c>
      <c r="D15" s="103"/>
      <c r="E15" s="95" t="s">
        <v>22</v>
      </c>
      <c r="F15" s="95"/>
      <c r="G15" s="154" t="s">
        <v>23</v>
      </c>
      <c r="H15" s="154"/>
    </row>
    <row r="16" spans="1:8">
      <c r="A16" s="94" t="s">
        <v>24</v>
      </c>
      <c r="B16" s="94"/>
      <c r="C16" s="154" t="s">
        <v>25</v>
      </c>
      <c r="D16" s="154"/>
      <c r="E16" s="95" t="s">
        <v>26</v>
      </c>
      <c r="F16" s="95"/>
      <c r="G16" s="195" t="s">
        <v>27</v>
      </c>
      <c r="H16" s="195"/>
    </row>
    <row r="17" spans="1:8">
      <c r="A17" s="94" t="s">
        <v>28</v>
      </c>
      <c r="B17" s="94"/>
      <c r="C17" s="154" t="s">
        <v>29</v>
      </c>
      <c r="D17" s="154"/>
      <c r="E17" s="95" t="s">
        <v>30</v>
      </c>
      <c r="F17" s="95"/>
      <c r="G17" s="154">
        <v>421301</v>
      </c>
      <c r="H17" s="154"/>
    </row>
    <row r="18" spans="1:8" ht="32.25" customHeight="1">
      <c r="A18" s="94" t="s">
        <v>31</v>
      </c>
      <c r="B18" s="94"/>
      <c r="C18" s="154" t="s">
        <v>32</v>
      </c>
      <c r="D18" s="154"/>
      <c r="E18" s="95" t="s">
        <v>33</v>
      </c>
      <c r="F18" s="95"/>
      <c r="G18" s="154" t="s">
        <v>34</v>
      </c>
      <c r="H18" s="154"/>
    </row>
    <row r="19" spans="1:8" ht="15" customHeight="1">
      <c r="A19" s="95" t="s">
        <v>35</v>
      </c>
      <c r="B19" s="95"/>
      <c r="C19" s="95"/>
      <c r="D19" s="95"/>
      <c r="E19" s="103" t="s">
        <v>36</v>
      </c>
      <c r="F19" s="103"/>
      <c r="G19" s="103"/>
      <c r="H19" s="103"/>
    </row>
    <row r="20" spans="1:8" ht="18.75" customHeight="1">
      <c r="A20" s="95"/>
      <c r="B20" s="95"/>
      <c r="C20" s="95"/>
      <c r="D20" s="95"/>
      <c r="E20" s="103"/>
      <c r="F20" s="103"/>
      <c r="G20" s="103"/>
      <c r="H20" s="103"/>
    </row>
    <row r="21" spans="1:8" ht="15" customHeight="1">
      <c r="A21" s="95" t="s">
        <v>37</v>
      </c>
      <c r="B21" s="95"/>
      <c r="C21" s="95"/>
      <c r="D21" s="95"/>
      <c r="E21" s="154" t="s">
        <v>38</v>
      </c>
      <c r="F21" s="154"/>
      <c r="G21" s="154"/>
      <c r="H21" s="154"/>
    </row>
    <row r="22" spans="1:8" ht="15" customHeight="1">
      <c r="A22" s="94" t="s">
        <v>39</v>
      </c>
      <c r="B22" s="94"/>
      <c r="C22" s="94"/>
      <c r="D22" s="94"/>
      <c r="E22" s="154" t="str">
        <f>IF(AND(G16="Mumbai"),"Upper Class","Middle Class")</f>
        <v>Middle Class</v>
      </c>
      <c r="F22" s="154"/>
      <c r="G22" s="154"/>
      <c r="H22" s="154"/>
    </row>
    <row r="23" spans="1:8">
      <c r="A23" s="94" t="s">
        <v>40</v>
      </c>
      <c r="B23" s="94"/>
      <c r="C23" s="94"/>
      <c r="D23" s="94"/>
      <c r="E23" s="154" t="s">
        <v>41</v>
      </c>
      <c r="F23" s="154"/>
      <c r="G23" s="154"/>
      <c r="H23" s="154"/>
    </row>
    <row r="24" spans="1:8" ht="15.75" customHeight="1">
      <c r="A24" s="94" t="s">
        <v>42</v>
      </c>
      <c r="B24" s="94"/>
      <c r="C24" s="94"/>
      <c r="D24" s="94"/>
      <c r="E24" s="154" t="str">
        <f>IF(AND(G16="Mumbai"),"Developed","Developing")</f>
        <v>Developing</v>
      </c>
      <c r="F24" s="154"/>
      <c r="G24" s="154"/>
      <c r="H24" s="154"/>
    </row>
    <row r="25" spans="1:8">
      <c r="A25" s="94" t="s">
        <v>43</v>
      </c>
      <c r="B25" s="94"/>
      <c r="C25" s="94"/>
      <c r="D25" s="94"/>
      <c r="E25" s="154" t="s">
        <v>44</v>
      </c>
      <c r="F25" s="154"/>
      <c r="G25" s="154"/>
      <c r="H25" s="154"/>
    </row>
    <row r="26" spans="1:8" ht="15.75" customHeight="1">
      <c r="A26" s="94" t="s">
        <v>45</v>
      </c>
      <c r="B26" s="94"/>
      <c r="C26" s="94"/>
      <c r="D26" s="94"/>
      <c r="E26" s="154" t="s">
        <v>46</v>
      </c>
      <c r="F26" s="154"/>
      <c r="G26" s="154"/>
      <c r="H26" s="154"/>
    </row>
    <row r="27" spans="1:8" ht="15" customHeight="1">
      <c r="A27" s="94" t="s">
        <v>47</v>
      </c>
      <c r="B27" s="94"/>
      <c r="C27" s="94"/>
      <c r="D27" s="94"/>
      <c r="E27" s="154" t="s">
        <v>48</v>
      </c>
      <c r="F27" s="154"/>
      <c r="G27" s="154"/>
      <c r="H27" s="154"/>
    </row>
    <row r="28" spans="1:8" ht="15.75" customHeight="1">
      <c r="A28" s="94" t="s">
        <v>49</v>
      </c>
      <c r="B28" s="94"/>
      <c r="C28" s="94"/>
      <c r="D28" s="94"/>
      <c r="E28" s="154" t="s">
        <v>50</v>
      </c>
      <c r="F28" s="154"/>
      <c r="G28" s="154"/>
      <c r="H28" s="154"/>
    </row>
    <row r="29" spans="1:8" s="13" customFormat="1">
      <c r="A29" s="193" t="s">
        <v>51</v>
      </c>
      <c r="B29" s="193"/>
      <c r="C29" s="194" t="s">
        <v>52</v>
      </c>
      <c r="D29" s="194"/>
      <c r="E29" s="194"/>
      <c r="F29" s="194" t="s">
        <v>53</v>
      </c>
      <c r="G29" s="194"/>
      <c r="H29" s="194"/>
    </row>
    <row r="30" spans="1:8" s="13" customFormat="1">
      <c r="A30" s="185" t="s">
        <v>54</v>
      </c>
      <c r="B30" s="185" t="s">
        <v>55</v>
      </c>
      <c r="C30" s="186" t="s">
        <v>55</v>
      </c>
      <c r="D30" s="186"/>
      <c r="E30" s="186"/>
      <c r="F30" s="186" t="s">
        <v>56</v>
      </c>
      <c r="G30" s="186"/>
      <c r="H30" s="186"/>
    </row>
    <row r="31" spans="1:8">
      <c r="A31" s="185" t="s">
        <v>57</v>
      </c>
      <c r="B31" s="185" t="s">
        <v>55</v>
      </c>
      <c r="C31" s="186" t="s">
        <v>55</v>
      </c>
      <c r="D31" s="186"/>
      <c r="E31" s="186"/>
      <c r="F31" s="186" t="s">
        <v>58</v>
      </c>
      <c r="G31" s="186"/>
      <c r="H31" s="186"/>
    </row>
    <row r="32" spans="1:8" s="13" customFormat="1">
      <c r="A32" s="185" t="s">
        <v>59</v>
      </c>
      <c r="B32" s="185" t="s">
        <v>55</v>
      </c>
      <c r="C32" s="186" t="s">
        <v>55</v>
      </c>
      <c r="D32" s="186"/>
      <c r="E32" s="186"/>
      <c r="F32" s="186" t="s">
        <v>60</v>
      </c>
      <c r="G32" s="186"/>
      <c r="H32" s="186"/>
    </row>
    <row r="33" spans="1:8">
      <c r="A33" s="185" t="s">
        <v>61</v>
      </c>
      <c r="B33" s="185" t="s">
        <v>55</v>
      </c>
      <c r="C33" s="186" t="s">
        <v>55</v>
      </c>
      <c r="D33" s="186"/>
      <c r="E33" s="186"/>
      <c r="F33" s="186" t="s">
        <v>32</v>
      </c>
      <c r="G33" s="186"/>
      <c r="H33" s="186"/>
    </row>
    <row r="34" spans="1:8">
      <c r="A34" s="94" t="s">
        <v>62</v>
      </c>
      <c r="B34" s="94"/>
      <c r="C34" s="94"/>
      <c r="D34" s="94"/>
      <c r="E34" s="94"/>
      <c r="F34" s="94"/>
      <c r="G34" s="94"/>
      <c r="H34" s="94"/>
    </row>
    <row r="35" spans="1:8" ht="15.75" customHeight="1">
      <c r="A35" s="94" t="s">
        <v>63</v>
      </c>
      <c r="B35" s="94"/>
      <c r="C35" s="187" t="s">
        <v>64</v>
      </c>
      <c r="D35" s="188"/>
      <c r="E35" s="188"/>
      <c r="F35" s="188"/>
      <c r="G35" s="188"/>
      <c r="H35" s="189"/>
    </row>
    <row r="36" spans="1:8" ht="15.75" customHeight="1">
      <c r="A36" s="94" t="s">
        <v>65</v>
      </c>
      <c r="B36" s="94"/>
      <c r="C36" s="190" t="s">
        <v>66</v>
      </c>
      <c r="D36" s="191"/>
      <c r="E36" s="191"/>
      <c r="F36" s="191"/>
      <c r="G36" s="191"/>
      <c r="H36" s="192"/>
    </row>
    <row r="37" spans="1:8">
      <c r="A37" s="136" t="s">
        <v>67</v>
      </c>
      <c r="B37" s="136"/>
      <c r="C37" s="136"/>
      <c r="D37" s="136"/>
      <c r="E37" s="136"/>
      <c r="F37" s="136"/>
      <c r="G37" s="136"/>
      <c r="H37" s="136"/>
    </row>
    <row r="38" spans="1:8">
      <c r="A38" s="94" t="s">
        <v>68</v>
      </c>
      <c r="B38" s="94"/>
      <c r="C38" s="94"/>
      <c r="D38" s="94"/>
      <c r="E38" s="182">
        <v>7500</v>
      </c>
      <c r="F38" s="182"/>
      <c r="G38" s="182"/>
      <c r="H38" s="182"/>
    </row>
    <row r="39" spans="1:8">
      <c r="A39" s="94" t="s">
        <v>69</v>
      </c>
      <c r="B39" s="94"/>
      <c r="C39" s="94"/>
      <c r="D39" s="94"/>
      <c r="E39" s="183">
        <f>8250/E38</f>
        <v>1.1000000000000001</v>
      </c>
      <c r="F39" s="183"/>
      <c r="G39" s="183"/>
      <c r="H39" s="183"/>
    </row>
    <row r="40" spans="1:8">
      <c r="A40" s="94" t="s">
        <v>70</v>
      </c>
      <c r="B40" s="94"/>
      <c r="C40" s="94"/>
      <c r="D40" s="94"/>
      <c r="E40" s="183">
        <f>E42/E38-E39</f>
        <v>5.8849479999999996</v>
      </c>
      <c r="F40" s="183"/>
      <c r="G40" s="183"/>
      <c r="H40" s="183"/>
    </row>
    <row r="41" spans="1:8">
      <c r="A41" s="94" t="s">
        <v>71</v>
      </c>
      <c r="B41" s="94"/>
      <c r="C41" s="94"/>
      <c r="D41" s="94"/>
      <c r="E41" s="183">
        <f>E39+E40</f>
        <v>6.9849479999999993</v>
      </c>
      <c r="F41" s="183"/>
      <c r="G41" s="183"/>
      <c r="H41" s="183"/>
    </row>
    <row r="42" spans="1:8">
      <c r="A42" s="94" t="s">
        <v>72</v>
      </c>
      <c r="B42" s="94"/>
      <c r="C42" s="94"/>
      <c r="D42" s="94"/>
      <c r="E42" s="184">
        <v>52387.11</v>
      </c>
      <c r="F42" s="184"/>
      <c r="G42" s="184"/>
      <c r="H42" s="184"/>
    </row>
    <row r="43" spans="1:8">
      <c r="A43" s="103" t="s">
        <v>73</v>
      </c>
      <c r="B43" s="103"/>
      <c r="C43" s="103"/>
      <c r="D43" s="103"/>
      <c r="E43" s="103" t="s">
        <v>218</v>
      </c>
      <c r="F43" s="103"/>
      <c r="G43" s="103"/>
      <c r="H43" s="103"/>
    </row>
    <row r="44" spans="1:8">
      <c r="A44" s="148" t="s">
        <v>74</v>
      </c>
      <c r="B44" s="148"/>
      <c r="C44" s="148"/>
      <c r="D44" s="148"/>
      <c r="E44" s="148"/>
      <c r="F44" s="148"/>
      <c r="G44" s="148"/>
      <c r="H44" s="148"/>
    </row>
    <row r="45" spans="1:8" ht="33.75" customHeight="1">
      <c r="A45" s="177" t="s">
        <v>75</v>
      </c>
      <c r="B45" s="178"/>
      <c r="C45" s="179" t="s">
        <v>76</v>
      </c>
      <c r="D45" s="180"/>
      <c r="E45" s="180"/>
      <c r="F45" s="180"/>
      <c r="G45" s="180"/>
      <c r="H45" s="181"/>
    </row>
    <row r="46" spans="1:8" ht="32.25" customHeight="1">
      <c r="A46" s="166" t="s">
        <v>77</v>
      </c>
      <c r="B46" s="168"/>
      <c r="C46" s="166" t="s">
        <v>219</v>
      </c>
      <c r="D46" s="167"/>
      <c r="E46" s="168"/>
      <c r="F46" s="22" t="s">
        <v>78</v>
      </c>
      <c r="G46" s="169">
        <v>45694</v>
      </c>
      <c r="H46" s="170"/>
    </row>
    <row r="47" spans="1:8" ht="33" customHeight="1">
      <c r="A47" s="166" t="s">
        <v>79</v>
      </c>
      <c r="B47" s="168"/>
      <c r="C47" s="166" t="str">
        <f>C46</f>
        <v>KDMCC/RB/BP/2025/APL/00131</v>
      </c>
      <c r="D47" s="167"/>
      <c r="E47" s="168"/>
      <c r="F47" s="22" t="s">
        <v>78</v>
      </c>
      <c r="G47" s="169">
        <f>G46</f>
        <v>45694</v>
      </c>
      <c r="H47" s="170"/>
    </row>
    <row r="48" spans="1:8" s="14" customFormat="1" ht="15.75" customHeight="1">
      <c r="A48" s="113" t="s">
        <v>80</v>
      </c>
      <c r="B48" s="114"/>
      <c r="C48" s="166" t="s">
        <v>219</v>
      </c>
      <c r="D48" s="167"/>
      <c r="E48" s="168"/>
      <c r="F48" s="22" t="s">
        <v>78</v>
      </c>
      <c r="G48" s="169">
        <v>45694</v>
      </c>
      <c r="H48" s="170"/>
    </row>
    <row r="49" spans="1:14" s="14" customFormat="1" ht="33.75" customHeight="1">
      <c r="A49" s="115"/>
      <c r="B49" s="116"/>
      <c r="C49" s="166" t="s">
        <v>220</v>
      </c>
      <c r="D49" s="167"/>
      <c r="E49" s="167"/>
      <c r="F49" s="167"/>
      <c r="G49" s="167"/>
      <c r="H49" s="168"/>
    </row>
    <row r="50" spans="1:14">
      <c r="A50" s="171" t="s">
        <v>81</v>
      </c>
      <c r="B50" s="172"/>
      <c r="C50" s="171" t="s">
        <v>82</v>
      </c>
      <c r="D50" s="173"/>
      <c r="E50" s="172"/>
      <c r="F50" s="23" t="s">
        <v>78</v>
      </c>
      <c r="G50" s="174" t="s">
        <v>55</v>
      </c>
      <c r="H50" s="175"/>
    </row>
    <row r="51" spans="1:14">
      <c r="A51" s="176" t="s">
        <v>83</v>
      </c>
      <c r="B51" s="176"/>
      <c r="C51" s="176"/>
      <c r="D51" s="176"/>
      <c r="E51" s="176"/>
      <c r="F51" s="176"/>
      <c r="G51" s="176"/>
      <c r="H51" s="176"/>
    </row>
    <row r="52" spans="1:14">
      <c r="A52" s="154" t="s">
        <v>84</v>
      </c>
      <c r="B52" s="154"/>
      <c r="C52" s="154"/>
      <c r="D52" s="103">
        <f>E42</f>
        <v>52387.11</v>
      </c>
      <c r="E52" s="103"/>
      <c r="F52" s="103"/>
      <c r="G52" s="103"/>
      <c r="H52" s="103"/>
    </row>
    <row r="53" spans="1:14">
      <c r="A53" s="158" t="s">
        <v>85</v>
      </c>
      <c r="B53" s="159"/>
      <c r="C53" s="159"/>
      <c r="D53" s="103" t="s">
        <v>254</v>
      </c>
      <c r="E53" s="103"/>
      <c r="F53" s="103"/>
      <c r="G53" s="103"/>
      <c r="H53" s="103"/>
      <c r="I53" s="24"/>
    </row>
    <row r="54" spans="1:14" ht="50.25" customHeight="1">
      <c r="A54" s="86" t="s">
        <v>86</v>
      </c>
      <c r="B54" s="87"/>
      <c r="C54" s="160"/>
      <c r="D54" s="156" t="s">
        <v>228</v>
      </c>
      <c r="E54" s="161"/>
      <c r="F54" s="161"/>
      <c r="G54" s="161"/>
      <c r="H54" s="161"/>
    </row>
    <row r="55" spans="1:14" ht="31.5" customHeight="1">
      <c r="A55" s="86" t="s">
        <v>87</v>
      </c>
      <c r="B55" s="87"/>
      <c r="C55" s="87"/>
      <c r="D55" s="156" t="s">
        <v>88</v>
      </c>
      <c r="E55" s="161"/>
      <c r="F55" s="161"/>
      <c r="G55" s="161"/>
      <c r="H55" s="161"/>
      <c r="I55" s="20" t="s">
        <v>89</v>
      </c>
    </row>
    <row r="56" spans="1:14">
      <c r="A56" s="88"/>
      <c r="B56" s="89"/>
      <c r="C56" s="89"/>
      <c r="D56" s="88" t="s">
        <v>90</v>
      </c>
      <c r="E56" s="162"/>
      <c r="F56" s="162"/>
      <c r="G56" s="162"/>
      <c r="H56" s="163"/>
    </row>
    <row r="57" spans="1:14" ht="15.75" customHeight="1">
      <c r="A57" s="164" t="s">
        <v>91</v>
      </c>
      <c r="B57" s="164"/>
      <c r="C57" s="164"/>
      <c r="D57" s="165" t="s">
        <v>92</v>
      </c>
      <c r="E57" s="165"/>
      <c r="F57" s="165"/>
      <c r="G57" s="165"/>
      <c r="H57" s="165"/>
      <c r="N57" s="24"/>
    </row>
    <row r="58" spans="1:14" ht="15.75" customHeight="1">
      <c r="A58" s="164" t="s">
        <v>93</v>
      </c>
      <c r="B58" s="164"/>
      <c r="C58" s="164"/>
      <c r="D58" s="165" t="str">
        <f>(IF(G50="NA","60 Years After Completion",IF(G50&lt;&gt;"NA",""&amp;60-ROUNDDOWN((E3-G50)/360,0)&amp;" Years"," ")))</f>
        <v>60 Years After Completion</v>
      </c>
      <c r="E58" s="165"/>
      <c r="F58" s="165"/>
      <c r="G58" s="165"/>
      <c r="H58" s="165"/>
      <c r="N58" s="24"/>
    </row>
    <row r="59" spans="1:14" ht="15.75" customHeight="1">
      <c r="A59" s="94" t="s">
        <v>94</v>
      </c>
      <c r="B59" s="94"/>
      <c r="C59" s="94"/>
      <c r="D59" s="95" t="s">
        <v>44</v>
      </c>
      <c r="E59" s="95"/>
      <c r="F59" s="95"/>
      <c r="G59" s="95"/>
      <c r="H59" s="95"/>
      <c r="J59" s="25"/>
      <c r="K59" s="25"/>
    </row>
    <row r="60" spans="1:14">
      <c r="A60" s="94" t="s">
        <v>95</v>
      </c>
      <c r="B60" s="94"/>
      <c r="C60" s="94"/>
      <c r="D60" s="154" t="s">
        <v>96</v>
      </c>
      <c r="E60" s="95"/>
      <c r="F60" s="95"/>
      <c r="G60" s="95"/>
      <c r="H60" s="95"/>
    </row>
    <row r="61" spans="1:14">
      <c r="A61" s="95" t="s">
        <v>97</v>
      </c>
      <c r="B61" s="95"/>
      <c r="C61" s="95"/>
      <c r="D61" s="95" t="s">
        <v>55</v>
      </c>
      <c r="E61" s="95"/>
      <c r="F61" s="95"/>
      <c r="G61" s="95"/>
      <c r="H61" s="95"/>
      <c r="I61" s="26"/>
      <c r="J61" s="26"/>
      <c r="K61" s="26"/>
      <c r="L61" s="26"/>
      <c r="M61" s="26"/>
      <c r="N61" s="26"/>
    </row>
    <row r="62" spans="1:14" ht="15.75" customHeight="1">
      <c r="A62" s="155" t="s">
        <v>98</v>
      </c>
      <c r="B62" s="155"/>
      <c r="C62" s="155"/>
      <c r="D62" s="156" t="str">
        <f>(IF(G68&gt;95%,"Nothing",IF(G68&gt;0%,"Cement, Aggregate, Steel, etc",IF(G68=0%,"Work not yet Started"))))</f>
        <v>Cement, Aggregate, Steel, etc</v>
      </c>
      <c r="E62" s="156"/>
      <c r="F62" s="156"/>
      <c r="G62" s="156"/>
      <c r="H62" s="156"/>
      <c r="J62" s="25"/>
    </row>
    <row r="63" spans="1:14" ht="33.75" customHeight="1">
      <c r="A63" s="157" t="s">
        <v>99</v>
      </c>
      <c r="B63" s="157"/>
      <c r="C63" s="157"/>
      <c r="D63" s="156" t="str">
        <f>(IF(D62="Nothing","Yes",IF(D62="Cement, Aggregate, Steel, etc","Under Construction",IF(D62="Work not yet Started","Work not yet Started"))))</f>
        <v>Under Construction</v>
      </c>
      <c r="E63" s="156"/>
      <c r="F63" s="156" t="str">
        <f>(IF(D62="Nothing","Yes",IF(D62="Cement, Aggregate, Steel, etc","Under Construction",IF(D62="Work not yet Started","Work not yet Started"))))</f>
        <v>Under Construction</v>
      </c>
      <c r="G63" s="156"/>
      <c r="H63" s="156"/>
    </row>
    <row r="64" spans="1:14">
      <c r="A64" s="152" t="s">
        <v>100</v>
      </c>
      <c r="B64" s="153"/>
      <c r="C64" s="144" t="str">
        <f>D55</f>
        <v>Type A - G/St + 1st to 4th Podium + 1st to 31st + 32nd (Recreational) Floor</v>
      </c>
      <c r="D64" s="145"/>
      <c r="E64" s="145"/>
      <c r="F64" s="145"/>
      <c r="G64" s="145"/>
      <c r="H64" s="146"/>
      <c r="I64" s="27" t="str">
        <f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Excavation work Completed. Plinth work completed, RCC Slab Completed, Brickwork Completed, Internal Plaster Completed, External Plaster Completed, Flooring upto 26 Floor Completed, Painting upto 15 Floor Completed.</v>
      </c>
      <c r="J64" s="28"/>
    </row>
    <row r="65" spans="1:10">
      <c r="A65" s="29" t="s">
        <v>101</v>
      </c>
      <c r="B65" s="21">
        <v>0</v>
      </c>
      <c r="C65" s="21" t="s">
        <v>102</v>
      </c>
      <c r="D65" s="21">
        <v>1</v>
      </c>
      <c r="E65" s="21" t="s">
        <v>103</v>
      </c>
      <c r="F65" s="21">
        <v>4</v>
      </c>
      <c r="G65" s="21" t="s">
        <v>104</v>
      </c>
      <c r="H65" s="30">
        <v>32</v>
      </c>
      <c r="I65" s="25"/>
      <c r="J65" s="40"/>
    </row>
    <row r="66" spans="1:10" ht="49.5" customHeight="1">
      <c r="A66" s="147" t="s">
        <v>105</v>
      </c>
      <c r="B66" s="148"/>
      <c r="C66" s="149" t="str">
        <f>(IF($G$50="NA",I64,"All work Completed. OC Received."))</f>
        <v>Excavation work Completed. Plinth work completed, RCC Slab Completed, Brickwork Completed, Internal Plaster Completed, External Plaster Completed, Flooring upto 26 Floor Completed, Painting upto 15 Floor Completed.</v>
      </c>
      <c r="D66" s="149"/>
      <c r="E66" s="149"/>
      <c r="F66" s="149"/>
      <c r="G66" s="149"/>
      <c r="H66" s="150"/>
      <c r="I66" s="25" t="s">
        <v>106</v>
      </c>
      <c r="J66" s="40"/>
    </row>
    <row r="67" spans="1:10" ht="15.75" customHeight="1">
      <c r="A67" s="138" t="s">
        <v>107</v>
      </c>
      <c r="B67" s="139"/>
      <c r="C67" s="31" t="s">
        <v>108</v>
      </c>
      <c r="D67" s="31" t="s">
        <v>109</v>
      </c>
      <c r="E67" s="139" t="s">
        <v>110</v>
      </c>
      <c r="F67" s="139"/>
      <c r="G67" s="139" t="s">
        <v>111</v>
      </c>
      <c r="H67" s="151"/>
      <c r="I67" s="41" t="s">
        <v>112</v>
      </c>
      <c r="J67" s="42">
        <f>H65*25%</f>
        <v>8</v>
      </c>
    </row>
    <row r="68" spans="1:10">
      <c r="A68" s="138" t="s">
        <v>113</v>
      </c>
      <c r="B68" s="139"/>
      <c r="C68" s="31">
        <f>J69</f>
        <v>32</v>
      </c>
      <c r="D68" s="32">
        <f>((100/H65)*C68)/100</f>
        <v>1</v>
      </c>
      <c r="E68" s="104">
        <f>(((C69/H65*10)+(40/(D65+F65+H65)*C70)+(7.5/(H65)*C71)+(7.5/(H65)*C72)+(10/H65*C73)+(10/H65*C74)+(5/H65*C75)+(5/H65*C76)+(5/H65*C77))/100)</f>
        <v>0.85468750000000004</v>
      </c>
      <c r="F68" s="105"/>
      <c r="G68" s="104">
        <f>((((C68/H65)*20)+((C69/H65)*25)+(30/(H65+F65+D65)*C70)+(5/H65*C71)+(5/H65*C72)+(5/H65*C73)+(5/H65*C74)+(0/H65*C75)+(0/H65*C76)+(5/H65*C77))/100)</f>
        <v>0.94062500000000004</v>
      </c>
      <c r="H68" s="110"/>
      <c r="I68" s="41" t="s">
        <v>114</v>
      </c>
      <c r="J68" s="43">
        <f>H65*50%</f>
        <v>16</v>
      </c>
    </row>
    <row r="69" spans="1:10">
      <c r="A69" s="138" t="s">
        <v>115</v>
      </c>
      <c r="B69" s="139"/>
      <c r="C69" s="31">
        <f>J77</f>
        <v>32</v>
      </c>
      <c r="D69" s="32">
        <f>((100/H65)*C69)/100</f>
        <v>1</v>
      </c>
      <c r="E69" s="106"/>
      <c r="F69" s="107"/>
      <c r="G69" s="106"/>
      <c r="H69" s="111"/>
      <c r="I69" s="41" t="s">
        <v>116</v>
      </c>
      <c r="J69" s="43">
        <f>H65</f>
        <v>32</v>
      </c>
    </row>
    <row r="70" spans="1:10" ht="15.75" customHeight="1">
      <c r="A70" s="138" t="s">
        <v>117</v>
      </c>
      <c r="B70" s="139"/>
      <c r="C70" s="31">
        <f>F65+33</f>
        <v>37</v>
      </c>
      <c r="D70" s="32">
        <f>((100/(D65+F65+H65))*C70)/100</f>
        <v>1</v>
      </c>
      <c r="E70" s="106"/>
      <c r="F70" s="107"/>
      <c r="G70" s="106"/>
      <c r="H70" s="111"/>
      <c r="I70" s="41" t="s">
        <v>118</v>
      </c>
      <c r="J70" s="44">
        <f>(IF(B65&gt;1,(H65/(B65+2)),H65/4))</f>
        <v>8</v>
      </c>
    </row>
    <row r="71" spans="1:10" ht="15.75" customHeight="1">
      <c r="A71" s="138" t="s">
        <v>119</v>
      </c>
      <c r="B71" s="139" t="s">
        <v>120</v>
      </c>
      <c r="C71" s="31">
        <v>32</v>
      </c>
      <c r="D71" s="32">
        <f>((100/H65)*C71)/100</f>
        <v>1</v>
      </c>
      <c r="E71" s="106"/>
      <c r="F71" s="107"/>
      <c r="G71" s="106"/>
      <c r="H71" s="111"/>
      <c r="I71" s="41" t="s">
        <v>121</v>
      </c>
      <c r="J71" s="44">
        <f>(IF(B65&gt;1,(H65/(B65+2)+J70),H65/4+J70))</f>
        <v>16</v>
      </c>
    </row>
    <row r="72" spans="1:10" ht="15.75" customHeight="1">
      <c r="A72" s="138" t="s">
        <v>122</v>
      </c>
      <c r="B72" s="139" t="s">
        <v>120</v>
      </c>
      <c r="C72" s="31">
        <v>32</v>
      </c>
      <c r="D72" s="32">
        <f>((100/H65)*C72)/100</f>
        <v>1</v>
      </c>
      <c r="E72" s="106"/>
      <c r="F72" s="107"/>
      <c r="G72" s="106"/>
      <c r="H72" s="111"/>
      <c r="I72" s="41" t="s">
        <v>123</v>
      </c>
      <c r="J72" s="44">
        <f>(IF(B65&gt;1,(H65/(B65+2)+J71),0))</f>
        <v>0</v>
      </c>
    </row>
    <row r="73" spans="1:10" ht="15" customHeight="1">
      <c r="A73" s="138" t="s">
        <v>124</v>
      </c>
      <c r="B73" s="139" t="s">
        <v>125</v>
      </c>
      <c r="C73" s="31">
        <v>32</v>
      </c>
      <c r="D73" s="32">
        <f>((100/(H65))*C73)/100</f>
        <v>1</v>
      </c>
      <c r="E73" s="106"/>
      <c r="F73" s="107"/>
      <c r="G73" s="106"/>
      <c r="H73" s="111"/>
      <c r="I73" s="41" t="s">
        <v>126</v>
      </c>
      <c r="J73" s="44">
        <f>(IF(B65&gt;2,(H65/(B65+2)+J72),0))</f>
        <v>0</v>
      </c>
    </row>
    <row r="74" spans="1:10" ht="15.75" customHeight="1">
      <c r="A74" s="138" t="s">
        <v>127</v>
      </c>
      <c r="B74" s="139" t="s">
        <v>127</v>
      </c>
      <c r="C74" s="31">
        <v>26</v>
      </c>
      <c r="D74" s="32">
        <f>((100/H65)*C74)/100</f>
        <v>0.8125</v>
      </c>
      <c r="E74" s="106"/>
      <c r="F74" s="107"/>
      <c r="G74" s="106"/>
      <c r="H74" s="111"/>
      <c r="I74" s="41" t="s">
        <v>128</v>
      </c>
      <c r="J74" s="45">
        <f>(IF(B65&gt;3,(H65/(B65+2)+J73),0))</f>
        <v>0</v>
      </c>
    </row>
    <row r="75" spans="1:10" ht="15.75" customHeight="1">
      <c r="A75" s="138" t="s">
        <v>129</v>
      </c>
      <c r="B75" s="139"/>
      <c r="C75" s="31">
        <v>15</v>
      </c>
      <c r="D75" s="32">
        <f>((100/H65)*C75)/100</f>
        <v>0.46875</v>
      </c>
      <c r="E75" s="106"/>
      <c r="F75" s="107"/>
      <c r="G75" s="106"/>
      <c r="H75" s="111"/>
      <c r="I75" s="41" t="s">
        <v>130</v>
      </c>
      <c r="J75" s="44">
        <f>(IF(B65&gt;4,(H65/(B65+2)+J74),0))</f>
        <v>0</v>
      </c>
    </row>
    <row r="76" spans="1:10" ht="15.75" customHeight="1">
      <c r="A76" s="138" t="s">
        <v>131</v>
      </c>
      <c r="B76" s="139" t="s">
        <v>131</v>
      </c>
      <c r="C76" s="31">
        <v>0</v>
      </c>
      <c r="D76" s="32">
        <f>((100/(H65))*C76)/100</f>
        <v>0</v>
      </c>
      <c r="E76" s="106"/>
      <c r="F76" s="107"/>
      <c r="G76" s="106"/>
      <c r="H76" s="111"/>
      <c r="I76" s="41" t="s">
        <v>132</v>
      </c>
      <c r="J76" s="44">
        <f>(IF(B65=1,(H65/(B65+3)+J71),IF(B65=0,(H65/4+J71),IF(B65&gt;1,0))))</f>
        <v>24</v>
      </c>
    </row>
    <row r="77" spans="1:10">
      <c r="A77" s="140" t="s">
        <v>133</v>
      </c>
      <c r="B77" s="141"/>
      <c r="C77" s="33">
        <v>0</v>
      </c>
      <c r="D77" s="34">
        <f>((100/(H65))*C77)/100</f>
        <v>0</v>
      </c>
      <c r="E77" s="108"/>
      <c r="F77" s="109"/>
      <c r="G77" s="108"/>
      <c r="H77" s="112"/>
      <c r="I77" s="46" t="s">
        <v>134</v>
      </c>
      <c r="J77" s="47">
        <f>(IF(B65&gt;1.5,(H65/(B65+2)+J71+MAX(0,J72-J71)+MAX(0,J73-J72)+MAX(0,J74-J73)+MAX(0,J75-J74)+MAX(0,J76-J75)),IF(B65=1,(H65/(B65+3)+J76),IF(B65=0,H65/4+J76))))</f>
        <v>32</v>
      </c>
    </row>
    <row r="78" spans="1:10" ht="15.75" customHeight="1">
      <c r="A78" s="152" t="s">
        <v>100</v>
      </c>
      <c r="B78" s="153"/>
      <c r="C78" s="144" t="str">
        <f>D56</f>
        <v xml:space="preserve">Building/Type B - G/St + 1st to 4th Podium + 1st to 40th Floor
</v>
      </c>
      <c r="D78" s="145"/>
      <c r="E78" s="145"/>
      <c r="F78" s="145"/>
      <c r="G78" s="145"/>
      <c r="H78" s="146"/>
      <c r="I78" s="27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 Completed",IF(C84&gt;0,", RCC upto "&amp;C84&amp;" Slab Completed",""))&amp;(IF(C85=H79,", Brickwork Completed",IF(C85&gt;0,", Brickwork upto "&amp;C85&amp;" Floor Completed",""))&amp;(IF(C86=H79,", Internal Plaster Completed",IF(C86&gt;0,", Internal Plaster upto "&amp;C86&amp;" Floor Completed",""))&amp;(IF(C87=H79,", External Plaster Completed",IF(C87&gt;0,", External Plaster upto "&amp;C87&amp;" Floor Completed",""))&amp;(IF(C88=H79,", Flooring Completed",IF(C88&gt;0,", Flooring upto "&amp;C88&amp;" Floor Completed",""))&amp;(IF(C89=H79,", Painting Completed",IF(C89&gt;0,", Painting upto "&amp;C89&amp;" Floor Completed",""))&amp;(IF(C90&gt;0,", Finishing upto "&amp;C90&amp;" Floor Completed","")&amp;(IF(C84&gt;0.5,".",""))))))))))))))</f>
        <v>Excavation work Completed. Plinth work completed, RCC upto 32 Slab Completed, Brickwork upto 28 Floor Completed, Internal Plaster upto 20 Floor Completed, External Plaster upto 17 Floor Completed.</v>
      </c>
      <c r="J78" s="28"/>
    </row>
    <row r="79" spans="1:10">
      <c r="A79" s="29" t="s">
        <v>101</v>
      </c>
      <c r="B79" s="21">
        <v>0</v>
      </c>
      <c r="C79" s="21" t="s">
        <v>102</v>
      </c>
      <c r="D79" s="21">
        <v>1</v>
      </c>
      <c r="E79" s="21" t="s">
        <v>103</v>
      </c>
      <c r="F79" s="21">
        <v>4</v>
      </c>
      <c r="G79" s="21" t="s">
        <v>104</v>
      </c>
      <c r="H79" s="30">
        <f ca="1">--TRIM(RIGHT(SUBSTITUTE(LEFT(C78,_xlfn.AGGREGATE(16,6,FIND({0,1,2,3,4,5,6,7,8,9},C78,ROW(INDIRECT("1:"&amp;LEN(C78)))),1))," ",REPT(" ",LEN(C78))),LEN(C78)))</f>
        <v>40</v>
      </c>
      <c r="I79" s="25"/>
      <c r="J79" s="40"/>
    </row>
    <row r="80" spans="1:10" ht="49.9" customHeight="1">
      <c r="A80" s="147" t="s">
        <v>105</v>
      </c>
      <c r="B80" s="148"/>
      <c r="C80" s="149" t="str">
        <f ca="1">(IF($G$50="NA",I78,"All work Completed. OC Received."))</f>
        <v>Excavation work Completed. Plinth work completed, RCC upto 32 Slab Completed, Brickwork upto 28 Floor Completed, Internal Plaster upto 20 Floor Completed, External Plaster upto 17 Floor Completed.</v>
      </c>
      <c r="D80" s="149"/>
      <c r="E80" s="149"/>
      <c r="F80" s="149"/>
      <c r="G80" s="149"/>
      <c r="H80" s="150"/>
      <c r="I80" s="25" t="s">
        <v>106</v>
      </c>
      <c r="J80" s="40"/>
    </row>
    <row r="81" spans="1:12" ht="15.75" customHeight="1">
      <c r="A81" s="138" t="s">
        <v>107</v>
      </c>
      <c r="B81" s="139"/>
      <c r="C81" s="31" t="s">
        <v>108</v>
      </c>
      <c r="D81" s="31" t="s">
        <v>109</v>
      </c>
      <c r="E81" s="139" t="s">
        <v>110</v>
      </c>
      <c r="F81" s="139"/>
      <c r="G81" s="139" t="s">
        <v>111</v>
      </c>
      <c r="H81" s="151"/>
      <c r="I81" s="41" t="s">
        <v>112</v>
      </c>
      <c r="J81" s="42">
        <f ca="1">H79*25%</f>
        <v>10</v>
      </c>
    </row>
    <row r="82" spans="1:12">
      <c r="A82" s="138" t="s">
        <v>113</v>
      </c>
      <c r="B82" s="139"/>
      <c r="C82" s="31">
        <f ca="1">J83</f>
        <v>40</v>
      </c>
      <c r="D82" s="32">
        <f ca="1">((100/H79)*C82)/100</f>
        <v>1</v>
      </c>
      <c r="E82" s="104">
        <f ca="1">(((C83/H79*10)+(40/(D79+F79+H79)*C84)+(7.5/(H79)*C85)+(7.5/(H79)*C86)+(10/H79*C87)+(10/H79*C88)+(5/H79*C89)+(5/H79*C90)+(5/H79*C91))/100)</f>
        <v>0.51694444444444443</v>
      </c>
      <c r="F82" s="105"/>
      <c r="G82" s="104">
        <f ca="1">((((C82/H79)*20)+((C83/H79)*25)+(30/(H79+F79+D79)*C84)+(5/H79*C85)+(5/H79*C86)+(5/H79*C87)+(5/H79*C88)+(0/H79*C89)+(0/H79*C90)+(5/H79*C91))/100)</f>
        <v>0.74458333333333326</v>
      </c>
      <c r="H82" s="110"/>
      <c r="I82" s="41" t="s">
        <v>114</v>
      </c>
      <c r="J82" s="43">
        <f ca="1">H79*50%</f>
        <v>20</v>
      </c>
      <c r="L82" s="20">
        <f>0.86*22</f>
        <v>18.919999999999998</v>
      </c>
    </row>
    <row r="83" spans="1:12">
      <c r="A83" s="138" t="s">
        <v>115</v>
      </c>
      <c r="B83" s="139"/>
      <c r="C83" s="35">
        <f ca="1">J91</f>
        <v>40</v>
      </c>
      <c r="D83" s="32">
        <f ca="1">((100/H79)*C83)/100</f>
        <v>1</v>
      </c>
      <c r="E83" s="106"/>
      <c r="F83" s="107"/>
      <c r="G83" s="106"/>
      <c r="H83" s="111"/>
      <c r="I83" s="41" t="s">
        <v>116</v>
      </c>
      <c r="J83" s="43">
        <f ca="1">H79</f>
        <v>40</v>
      </c>
    </row>
    <row r="84" spans="1:12" ht="15.75" customHeight="1">
      <c r="A84" s="138" t="s">
        <v>117</v>
      </c>
      <c r="B84" s="139"/>
      <c r="C84" s="31">
        <v>32</v>
      </c>
      <c r="D84" s="32">
        <f ca="1">((100/(D79+F79+H79))*C84)/100</f>
        <v>0.71111111111111114</v>
      </c>
      <c r="E84" s="106"/>
      <c r="F84" s="107"/>
      <c r="G84" s="106"/>
      <c r="H84" s="111"/>
      <c r="I84" s="41" t="s">
        <v>118</v>
      </c>
      <c r="J84" s="44">
        <f ca="1">(IF(B79&gt;1,(H79/(B79+2)),H79/4))</f>
        <v>10</v>
      </c>
    </row>
    <row r="85" spans="1:12" ht="15.75" customHeight="1">
      <c r="A85" s="138" t="s">
        <v>119</v>
      </c>
      <c r="B85" s="139" t="s">
        <v>120</v>
      </c>
      <c r="C85" s="31">
        <v>28</v>
      </c>
      <c r="D85" s="32">
        <f ca="1">((100/H79)*C85)/100</f>
        <v>0.7</v>
      </c>
      <c r="E85" s="106"/>
      <c r="F85" s="107"/>
      <c r="G85" s="106"/>
      <c r="H85" s="111"/>
      <c r="I85" s="41" t="s">
        <v>121</v>
      </c>
      <c r="J85" s="44">
        <f ca="1">(IF(B79&gt;1,(H79/(B79+2)+J84),H79/4+J84))</f>
        <v>20</v>
      </c>
    </row>
    <row r="86" spans="1:12" ht="15.75" customHeight="1">
      <c r="A86" s="138" t="s">
        <v>122</v>
      </c>
      <c r="B86" s="139" t="s">
        <v>120</v>
      </c>
      <c r="C86" s="31">
        <v>20</v>
      </c>
      <c r="D86" s="32">
        <f ca="1">((100/H79)*C86)/100</f>
        <v>0.5</v>
      </c>
      <c r="E86" s="106"/>
      <c r="F86" s="107"/>
      <c r="G86" s="106"/>
      <c r="H86" s="111"/>
      <c r="I86" s="41" t="s">
        <v>123</v>
      </c>
      <c r="J86" s="44">
        <f>(IF(B79&gt;1,(H79/(B79+2)+J85),0))</f>
        <v>0</v>
      </c>
    </row>
    <row r="87" spans="1:12" ht="15" customHeight="1">
      <c r="A87" s="138" t="s">
        <v>124</v>
      </c>
      <c r="B87" s="139" t="s">
        <v>125</v>
      </c>
      <c r="C87" s="31">
        <v>17</v>
      </c>
      <c r="D87" s="32">
        <f ca="1">((100/(H79))*C87)/100</f>
        <v>0.42499999999999999</v>
      </c>
      <c r="E87" s="106"/>
      <c r="F87" s="107"/>
      <c r="G87" s="106"/>
      <c r="H87" s="111"/>
      <c r="I87" s="41" t="s">
        <v>126</v>
      </c>
      <c r="J87" s="44">
        <f>(IF(B79&gt;2,(H79/(B79+2)+J86),0))</f>
        <v>0</v>
      </c>
    </row>
    <row r="88" spans="1:12" ht="15.75" customHeight="1">
      <c r="A88" s="138" t="s">
        <v>127</v>
      </c>
      <c r="B88" s="139" t="s">
        <v>127</v>
      </c>
      <c r="C88" s="31">
        <v>0</v>
      </c>
      <c r="D88" s="32">
        <f ca="1">((100/H79)*C88)/100</f>
        <v>0</v>
      </c>
      <c r="E88" s="106"/>
      <c r="F88" s="107"/>
      <c r="G88" s="106"/>
      <c r="H88" s="111"/>
      <c r="I88" s="41" t="s">
        <v>128</v>
      </c>
      <c r="J88" s="45">
        <f>(IF(B79&gt;3,(H79/(B79+2)+J87),0))</f>
        <v>0</v>
      </c>
    </row>
    <row r="89" spans="1:12" ht="15.75" customHeight="1">
      <c r="A89" s="138" t="s">
        <v>129</v>
      </c>
      <c r="B89" s="139"/>
      <c r="C89" s="31">
        <v>0</v>
      </c>
      <c r="D89" s="32">
        <f ca="1">((100/H79)*C89)/100</f>
        <v>0</v>
      </c>
      <c r="E89" s="106"/>
      <c r="F89" s="107"/>
      <c r="G89" s="106"/>
      <c r="H89" s="111"/>
      <c r="I89" s="41" t="s">
        <v>130</v>
      </c>
      <c r="J89" s="44">
        <f>(IF(B79&gt;4,(H79/(B79+2)+J88),0))</f>
        <v>0</v>
      </c>
    </row>
    <row r="90" spans="1:12" ht="15.75" customHeight="1">
      <c r="A90" s="138" t="s">
        <v>131</v>
      </c>
      <c r="B90" s="139" t="s">
        <v>131</v>
      </c>
      <c r="C90" s="31">
        <v>0</v>
      </c>
      <c r="D90" s="32">
        <f ca="1">((100/(H79))*C90)/100</f>
        <v>0</v>
      </c>
      <c r="E90" s="106"/>
      <c r="F90" s="107"/>
      <c r="G90" s="106"/>
      <c r="H90" s="111"/>
      <c r="I90" s="41" t="s">
        <v>132</v>
      </c>
      <c r="J90" s="44">
        <f ca="1">(IF(B79=1,(H79/(B79+3)+J85),IF(B79=0,(H79/4+J85),IF(B79&gt;1,0))))</f>
        <v>30</v>
      </c>
    </row>
    <row r="91" spans="1:12">
      <c r="A91" s="140" t="s">
        <v>133</v>
      </c>
      <c r="B91" s="141"/>
      <c r="C91" s="33">
        <v>0</v>
      </c>
      <c r="D91" s="34">
        <f ca="1">((100/(H79))*C91)/100</f>
        <v>0</v>
      </c>
      <c r="E91" s="108"/>
      <c r="F91" s="109"/>
      <c r="G91" s="108"/>
      <c r="H91" s="112"/>
      <c r="I91" s="46" t="s">
        <v>134</v>
      </c>
      <c r="J91" s="47">
        <f ca="1">(IF(B79&gt;1.5,(H79/(B79+2)+J85+MAX(0,J86-J85)+MAX(0,J87-J86)+MAX(0,J88-J87)+MAX(0,J89-J88)+MAX(0,J90-J89)),IF(B79=1,(H79/(B79+3)+J90),IF(B79=0,H79/4+J90))))</f>
        <v>40</v>
      </c>
    </row>
    <row r="92" spans="1:12">
      <c r="A92" s="142" t="s">
        <v>135</v>
      </c>
      <c r="B92" s="142"/>
      <c r="C92" s="142"/>
      <c r="D92" s="142"/>
      <c r="E92" s="142"/>
      <c r="F92" s="143" t="s">
        <v>136</v>
      </c>
      <c r="G92" s="143"/>
      <c r="H92" s="143"/>
    </row>
    <row r="93" spans="1:12">
      <c r="A93" s="94" t="s">
        <v>137</v>
      </c>
      <c r="B93" s="94"/>
      <c r="C93" s="94"/>
      <c r="D93" s="94"/>
      <c r="E93" s="94"/>
      <c r="F93" s="135">
        <v>8250</v>
      </c>
      <c r="G93" s="135"/>
      <c r="H93" s="135"/>
      <c r="I93" s="20" t="s">
        <v>256</v>
      </c>
      <c r="J93" s="20" t="s">
        <v>258</v>
      </c>
      <c r="L93" s="20" t="s">
        <v>260</v>
      </c>
    </row>
    <row r="94" spans="1:12">
      <c r="A94" s="94" t="s">
        <v>138</v>
      </c>
      <c r="B94" s="94"/>
      <c r="C94" s="94"/>
      <c r="D94" s="94"/>
      <c r="E94" s="94"/>
      <c r="F94" s="135">
        <v>16000</v>
      </c>
      <c r="G94" s="135"/>
      <c r="H94" s="135"/>
      <c r="J94" s="20" t="s">
        <v>259</v>
      </c>
    </row>
    <row r="95" spans="1:12" hidden="1">
      <c r="A95" s="94" t="s">
        <v>139</v>
      </c>
      <c r="B95" s="94"/>
      <c r="C95" s="94"/>
      <c r="D95" s="94"/>
      <c r="E95" s="94"/>
      <c r="F95" s="135"/>
      <c r="G95" s="135"/>
      <c r="H95" s="135"/>
    </row>
    <row r="96" spans="1:12" s="15" customFormat="1" hidden="1">
      <c r="A96" s="94" t="s">
        <v>140</v>
      </c>
      <c r="B96" s="94"/>
      <c r="C96" s="94"/>
      <c r="D96" s="94"/>
      <c r="E96" s="94"/>
      <c r="F96" s="135"/>
      <c r="G96" s="135"/>
      <c r="H96" s="135"/>
    </row>
    <row r="97" spans="1:10" s="15" customFormat="1" hidden="1">
      <c r="A97" s="94" t="s">
        <v>141</v>
      </c>
      <c r="B97" s="94"/>
      <c r="C97" s="94"/>
      <c r="D97" s="94"/>
      <c r="E97" s="94"/>
      <c r="F97" s="135"/>
      <c r="G97" s="135"/>
      <c r="H97" s="135"/>
    </row>
    <row r="98" spans="1:10" s="15" customFormat="1" hidden="1">
      <c r="A98" s="94" t="s">
        <v>142</v>
      </c>
      <c r="B98" s="94"/>
      <c r="C98" s="94"/>
      <c r="D98" s="94"/>
      <c r="E98" s="94"/>
      <c r="F98" s="135"/>
      <c r="G98" s="135"/>
      <c r="H98" s="135"/>
    </row>
    <row r="99" spans="1:10" s="15" customFormat="1" hidden="1">
      <c r="A99" s="94" t="s">
        <v>143</v>
      </c>
      <c r="B99" s="94"/>
      <c r="C99" s="94"/>
      <c r="D99" s="94"/>
      <c r="E99" s="94"/>
      <c r="F99" s="135"/>
      <c r="G99" s="135"/>
      <c r="H99" s="135"/>
    </row>
    <row r="100" spans="1:10" s="15" customFormat="1" hidden="1">
      <c r="A100" s="94" t="s">
        <v>144</v>
      </c>
      <c r="B100" s="94"/>
      <c r="C100" s="94"/>
      <c r="D100" s="94"/>
      <c r="E100" s="94"/>
      <c r="F100" s="135"/>
      <c r="G100" s="135"/>
      <c r="H100" s="135"/>
    </row>
    <row r="101" spans="1:10" s="15" customFormat="1" hidden="1">
      <c r="A101" s="94" t="s">
        <v>145</v>
      </c>
      <c r="B101" s="94"/>
      <c r="C101" s="94"/>
      <c r="D101" s="94"/>
      <c r="E101" s="94"/>
      <c r="F101" s="135"/>
      <c r="G101" s="135"/>
      <c r="H101" s="135"/>
    </row>
    <row r="102" spans="1:10" s="15" customFormat="1" hidden="1">
      <c r="A102" s="94" t="s">
        <v>146</v>
      </c>
      <c r="B102" s="94"/>
      <c r="C102" s="94"/>
      <c r="D102" s="94"/>
      <c r="E102" s="94"/>
      <c r="F102" s="135"/>
      <c r="G102" s="135"/>
      <c r="H102" s="135"/>
    </row>
    <row r="103" spans="1:10" s="15" customFormat="1" hidden="1">
      <c r="A103" s="94" t="s">
        <v>147</v>
      </c>
      <c r="B103" s="94"/>
      <c r="C103" s="94"/>
      <c r="D103" s="94"/>
      <c r="E103" s="94"/>
      <c r="F103" s="135"/>
      <c r="G103" s="135"/>
      <c r="H103" s="135"/>
    </row>
    <row r="104" spans="1:10">
      <c r="A104" s="94" t="s">
        <v>148</v>
      </c>
      <c r="B104" s="94"/>
      <c r="C104" s="94"/>
      <c r="D104" s="94"/>
      <c r="E104" s="94"/>
      <c r="F104" s="135">
        <v>350000</v>
      </c>
      <c r="G104" s="135"/>
      <c r="H104" s="135"/>
      <c r="I104" s="20" t="s">
        <v>257</v>
      </c>
      <c r="J104" s="199">
        <v>45925</v>
      </c>
    </row>
    <row r="105" spans="1:10" s="16" customFormat="1">
      <c r="A105" s="136" t="s">
        <v>149</v>
      </c>
      <c r="B105" s="136"/>
      <c r="C105" s="136"/>
      <c r="D105" s="136"/>
      <c r="E105" s="136"/>
      <c r="F105" s="135">
        <f>F93*0.8</f>
        <v>6600</v>
      </c>
      <c r="G105" s="135"/>
      <c r="H105" s="135"/>
    </row>
    <row r="106" spans="1:10" s="17" customFormat="1" ht="15.75" customHeight="1">
      <c r="A106" s="73" t="s">
        <v>250</v>
      </c>
      <c r="B106" s="73"/>
      <c r="C106" s="73"/>
      <c r="D106" s="73"/>
      <c r="E106" s="73"/>
      <c r="F106" s="73"/>
      <c r="G106" s="73"/>
      <c r="H106" s="73"/>
    </row>
    <row r="107" spans="1:10" s="17" customFormat="1" ht="15.75" customHeight="1">
      <c r="A107" s="137" t="s">
        <v>150</v>
      </c>
      <c r="B107" s="137"/>
      <c r="C107" s="69" t="s">
        <v>151</v>
      </c>
      <c r="D107" s="69"/>
      <c r="E107" s="134" t="s">
        <v>152</v>
      </c>
      <c r="F107" s="134"/>
      <c r="G107" s="133" t="s">
        <v>153</v>
      </c>
      <c r="H107" s="133"/>
    </row>
    <row r="108" spans="1:10" s="17" customFormat="1">
      <c r="A108" s="67" t="s">
        <v>249</v>
      </c>
      <c r="B108" s="55" t="s">
        <v>251</v>
      </c>
      <c r="C108" s="64">
        <f>COUNT(D123:D127,D130:D138)</f>
        <v>14</v>
      </c>
      <c r="D108" s="64"/>
      <c r="E108" s="65">
        <f>SUM(D123:D127,D130:D138)</f>
        <v>4975.5104568000006</v>
      </c>
      <c r="F108" s="66"/>
      <c r="G108" s="65">
        <f>SUM(F123:F127,F130:F138)</f>
        <v>7960.8167308800003</v>
      </c>
      <c r="H108" s="66"/>
    </row>
    <row r="109" spans="1:10" s="17" customFormat="1">
      <c r="A109" s="68"/>
      <c r="B109" s="55" t="s">
        <v>225</v>
      </c>
      <c r="C109" s="64">
        <f>COUNT(D140)</f>
        <v>1</v>
      </c>
      <c r="D109" s="64"/>
      <c r="E109" s="65">
        <f>SUM(D140)</f>
        <v>6569.1077400000004</v>
      </c>
      <c r="F109" s="66"/>
      <c r="G109" s="65">
        <f>SUM(F140)</f>
        <v>10510.572384000001</v>
      </c>
      <c r="H109" s="66"/>
    </row>
    <row r="110" spans="1:10" s="17" customFormat="1">
      <c r="A110" s="71" t="s">
        <v>156</v>
      </c>
      <c r="B110" s="72"/>
      <c r="C110" s="69">
        <f>SUM(C108:D109)</f>
        <v>15</v>
      </c>
      <c r="D110" s="69"/>
      <c r="E110" s="70">
        <f t="shared" ref="E110" si="0">SUM(E108:F109)</f>
        <v>11544.618196800002</v>
      </c>
      <c r="F110" s="70"/>
      <c r="G110" s="70">
        <f t="shared" ref="G110" si="1">SUM(G108:H109)</f>
        <v>18471.389114880003</v>
      </c>
      <c r="H110" s="70"/>
    </row>
    <row r="111" spans="1:10" s="17" customFormat="1">
      <c r="A111" s="73" t="s">
        <v>252</v>
      </c>
      <c r="B111" s="73"/>
      <c r="C111" s="73"/>
      <c r="D111" s="73"/>
      <c r="E111" s="73"/>
      <c r="F111" s="73"/>
      <c r="G111" s="73"/>
      <c r="H111" s="73"/>
    </row>
    <row r="112" spans="1:10" s="17" customFormat="1" ht="15.75" customHeight="1">
      <c r="A112" s="133" t="s">
        <v>150</v>
      </c>
      <c r="B112" s="133"/>
      <c r="C112" s="69" t="s">
        <v>151</v>
      </c>
      <c r="D112" s="69"/>
      <c r="E112" s="134" t="s">
        <v>152</v>
      </c>
      <c r="F112" s="134"/>
      <c r="G112" s="133" t="s">
        <v>153</v>
      </c>
      <c r="H112" s="133"/>
    </row>
    <row r="113" spans="1:14" s="17" customFormat="1">
      <c r="A113" s="131" t="s">
        <v>155</v>
      </c>
      <c r="B113" s="131"/>
      <c r="C113" s="64">
        <f>COUNT(D164:D171)*25+COUNT(D173:D180)*6</f>
        <v>248</v>
      </c>
      <c r="D113" s="64"/>
      <c r="E113" s="65">
        <f>SUM(D164:D171)*25+SUM(D173:D180)*6</f>
        <v>181163.71727999998</v>
      </c>
      <c r="F113" s="65"/>
      <c r="G113" s="65">
        <f>SUM(F164:F171)*25+SUM(F173:F180)*6</f>
        <v>271745.57591999997</v>
      </c>
      <c r="H113" s="65"/>
    </row>
    <row r="114" spans="1:14" s="17" customFormat="1">
      <c r="A114" s="131" t="s">
        <v>154</v>
      </c>
      <c r="B114" s="131"/>
      <c r="C114" s="64">
        <f>COUNT(D186:D191)*29+COUNT(D193:D198)*7+COUNT(D200,D202:D205)+COUNT(D207:D208)</f>
        <v>223</v>
      </c>
      <c r="D114" s="64"/>
      <c r="E114" s="65">
        <f>SUM(D186:D191)*29+SUM(D193:D198)*7+SUM(D200,D202:D205)+SUM(D207:D208)</f>
        <v>254816.92547999998</v>
      </c>
      <c r="F114" s="65"/>
      <c r="G114" s="65">
        <f>SUM(F186:F191)*29+SUM(F193:F198)*7+SUM(F200,F202:F205)+SUM(F207:F208)</f>
        <v>382950.61271999992</v>
      </c>
      <c r="H114" s="65"/>
    </row>
    <row r="115" spans="1:14" s="17" customFormat="1">
      <c r="A115" s="73" t="s">
        <v>156</v>
      </c>
      <c r="B115" s="73"/>
      <c r="C115" s="69">
        <f>SUM(C113:D114)</f>
        <v>471</v>
      </c>
      <c r="D115" s="69"/>
      <c r="E115" s="132">
        <f>SUM(E113:F114)</f>
        <v>435980.64275999996</v>
      </c>
      <c r="F115" s="132"/>
      <c r="G115" s="132">
        <f>SUM(G113:H114)</f>
        <v>654696.18863999983</v>
      </c>
      <c r="H115" s="132"/>
    </row>
    <row r="116" spans="1:14" s="17" customFormat="1">
      <c r="A116" s="73" t="s">
        <v>253</v>
      </c>
      <c r="B116" s="73"/>
      <c r="C116" s="70">
        <f>C115+C110</f>
        <v>486</v>
      </c>
      <c r="D116" s="69"/>
      <c r="E116" s="70">
        <f>E115+E110</f>
        <v>447525.26095679996</v>
      </c>
      <c r="F116" s="69"/>
      <c r="G116" s="70">
        <f>G115+G110</f>
        <v>673167.57775487984</v>
      </c>
      <c r="H116" s="69"/>
    </row>
    <row r="117" spans="1:14" s="16" customFormat="1">
      <c r="A117" s="130" t="s">
        <v>157</v>
      </c>
      <c r="B117" s="130"/>
      <c r="C117" s="130"/>
      <c r="D117" s="130"/>
      <c r="E117" s="130"/>
      <c r="F117" s="130"/>
      <c r="G117" s="130"/>
      <c r="H117" s="130"/>
    </row>
    <row r="118" spans="1:14">
      <c r="A118" s="130" t="s">
        <v>158</v>
      </c>
      <c r="B118" s="130"/>
      <c r="C118" s="130"/>
      <c r="D118" s="130"/>
      <c r="E118" s="130"/>
      <c r="F118" s="130"/>
      <c r="G118" s="130"/>
      <c r="H118" s="130"/>
    </row>
    <row r="119" spans="1:14" ht="47.25" customHeight="1">
      <c r="A119" s="97" t="s">
        <v>159</v>
      </c>
      <c r="B119" s="97" t="s">
        <v>160</v>
      </c>
      <c r="C119" s="97" t="s">
        <v>161</v>
      </c>
      <c r="D119" s="97" t="s">
        <v>162</v>
      </c>
      <c r="E119" s="99" t="s">
        <v>163</v>
      </c>
      <c r="F119" s="37" t="s">
        <v>164</v>
      </c>
      <c r="G119" s="90" t="s">
        <v>165</v>
      </c>
      <c r="H119" s="91"/>
    </row>
    <row r="120" spans="1:14" s="18" customFormat="1">
      <c r="A120" s="98"/>
      <c r="B120" s="98"/>
      <c r="C120" s="98"/>
      <c r="D120" s="98"/>
      <c r="E120" s="100"/>
      <c r="F120" s="38">
        <v>0.6</v>
      </c>
      <c r="G120" s="92"/>
      <c r="H120" s="93"/>
    </row>
    <row r="121" spans="1:14" s="18" customFormat="1">
      <c r="A121" s="82" t="s">
        <v>154</v>
      </c>
      <c r="B121" s="83"/>
      <c r="C121" s="83"/>
      <c r="D121" s="83"/>
      <c r="E121" s="83"/>
      <c r="F121" s="83"/>
      <c r="G121" s="83"/>
      <c r="H121" s="84"/>
      <c r="I121" s="48"/>
    </row>
    <row r="122" spans="1:14" s="18" customFormat="1">
      <c r="A122" s="82" t="s">
        <v>222</v>
      </c>
      <c r="B122" s="83"/>
      <c r="C122" s="83"/>
      <c r="D122" s="83"/>
      <c r="E122" s="83"/>
      <c r="F122" s="83"/>
      <c r="G122" s="83"/>
      <c r="H122" s="84"/>
      <c r="J122" s="48"/>
    </row>
    <row r="123" spans="1:14" s="18" customFormat="1">
      <c r="A123" s="74">
        <v>1</v>
      </c>
      <c r="B123" s="75"/>
      <c r="C123" s="39" t="s">
        <v>166</v>
      </c>
      <c r="D123" s="39">
        <f>9.58*3.65*10.764</f>
        <v>376.38478799999996</v>
      </c>
      <c r="E123" s="39">
        <v>0</v>
      </c>
      <c r="F123" s="39">
        <f>(D123+E123)*(($F$120)+1)</f>
        <v>602.21566079999991</v>
      </c>
      <c r="G123" s="74" t="str">
        <f>A122</f>
        <v>Ground Floor For Commercial &amp; Parking</v>
      </c>
      <c r="H123" s="75"/>
      <c r="I123" s="48"/>
      <c r="L123" s="60"/>
      <c r="M123" s="60"/>
      <c r="N123" s="48"/>
    </row>
    <row r="124" spans="1:14" s="18" customFormat="1">
      <c r="A124" s="74">
        <f t="shared" ref="A124:A138" si="2">A123+1</f>
        <v>2</v>
      </c>
      <c r="B124" s="75"/>
      <c r="C124" s="39" t="s">
        <v>166</v>
      </c>
      <c r="D124" s="39">
        <f>11.79*4.35*10.764</f>
        <v>552.04788599999983</v>
      </c>
      <c r="E124" s="39">
        <v>0</v>
      </c>
      <c r="F124" s="39">
        <f t="shared" ref="F124:F126" si="3">(D124+E124)*(($F$120)+1)</f>
        <v>883.27661759999978</v>
      </c>
      <c r="G124" s="74" t="str">
        <f t="shared" ref="G124:G138" si="4">G123</f>
        <v>Ground Floor For Commercial &amp; Parking</v>
      </c>
      <c r="H124" s="75"/>
      <c r="I124" s="48"/>
      <c r="L124" s="60"/>
      <c r="M124" s="60"/>
      <c r="N124" s="48"/>
    </row>
    <row r="125" spans="1:14" s="18" customFormat="1">
      <c r="A125" s="74">
        <f t="shared" si="2"/>
        <v>3</v>
      </c>
      <c r="B125" s="75"/>
      <c r="C125" s="39" t="s">
        <v>166</v>
      </c>
      <c r="D125" s="39">
        <f>12.78*3.2*10.764</f>
        <v>440.204544</v>
      </c>
      <c r="E125" s="39">
        <v>0</v>
      </c>
      <c r="F125" s="39">
        <f t="shared" si="3"/>
        <v>704.32727040000009</v>
      </c>
      <c r="G125" s="74" t="str">
        <f t="shared" si="4"/>
        <v>Ground Floor For Commercial &amp; Parking</v>
      </c>
      <c r="H125" s="75"/>
      <c r="I125" s="48"/>
      <c r="L125" s="60"/>
      <c r="M125" s="60"/>
      <c r="N125" s="48"/>
    </row>
    <row r="126" spans="1:14" s="18" customFormat="1">
      <c r="A126" s="74">
        <f t="shared" si="2"/>
        <v>4</v>
      </c>
      <c r="B126" s="75"/>
      <c r="C126" s="39" t="s">
        <v>166</v>
      </c>
      <c r="D126" s="39">
        <f>9.83*2.45*10.764</f>
        <v>259.23479399999997</v>
      </c>
      <c r="E126" s="39">
        <v>0</v>
      </c>
      <c r="F126" s="39">
        <f t="shared" si="3"/>
        <v>414.77567039999997</v>
      </c>
      <c r="G126" s="74" t="str">
        <f t="shared" si="4"/>
        <v>Ground Floor For Commercial &amp; Parking</v>
      </c>
      <c r="H126" s="75"/>
      <c r="I126" s="48"/>
      <c r="L126" s="60"/>
      <c r="M126" s="60"/>
      <c r="N126" s="48"/>
    </row>
    <row r="127" spans="1:14" s="18" customFormat="1">
      <c r="A127" s="74">
        <f t="shared" si="2"/>
        <v>5</v>
      </c>
      <c r="B127" s="75"/>
      <c r="C127" s="39" t="s">
        <v>166</v>
      </c>
      <c r="D127" s="39">
        <f>10*3.35*10.764</f>
        <v>360.59399999999999</v>
      </c>
      <c r="E127" s="39">
        <v>0</v>
      </c>
      <c r="F127" s="39">
        <f t="shared" ref="F127:F132" si="5">(D127+E127)*(($F$120)+1)</f>
        <v>576.95040000000006</v>
      </c>
      <c r="G127" s="74" t="str">
        <f t="shared" si="4"/>
        <v>Ground Floor For Commercial &amp; Parking</v>
      </c>
      <c r="H127" s="75"/>
      <c r="I127" s="48"/>
      <c r="L127" s="60"/>
      <c r="M127" s="60"/>
      <c r="N127" s="48"/>
    </row>
    <row r="128" spans="1:14" s="18" customFormat="1" hidden="1">
      <c r="A128" s="74">
        <f t="shared" si="2"/>
        <v>6</v>
      </c>
      <c r="B128" s="75"/>
      <c r="C128" s="56" t="s">
        <v>166</v>
      </c>
      <c r="D128" s="39">
        <f>11.55*3.35*10.764</f>
        <v>416.48606999999998</v>
      </c>
      <c r="E128" s="39">
        <v>0</v>
      </c>
      <c r="F128" s="39">
        <f t="shared" si="5"/>
        <v>666.37771199999997</v>
      </c>
      <c r="G128" s="74" t="str">
        <f t="shared" si="4"/>
        <v>Ground Floor For Commercial &amp; Parking</v>
      </c>
      <c r="H128" s="75"/>
      <c r="I128" s="48" t="s">
        <v>221</v>
      </c>
      <c r="L128" s="60"/>
      <c r="M128" s="60"/>
      <c r="N128" s="48"/>
    </row>
    <row r="129" spans="1:14" s="18" customFormat="1" hidden="1">
      <c r="A129" s="74">
        <f t="shared" si="2"/>
        <v>7</v>
      </c>
      <c r="B129" s="75"/>
      <c r="C129" s="56" t="s">
        <v>166</v>
      </c>
      <c r="D129" s="39">
        <f>10.4*2.91*10.764</f>
        <v>325.76169600000003</v>
      </c>
      <c r="E129" s="39">
        <v>0</v>
      </c>
      <c r="F129" s="39">
        <f t="shared" si="5"/>
        <v>521.21871360000011</v>
      </c>
      <c r="G129" s="74" t="str">
        <f t="shared" si="4"/>
        <v>Ground Floor For Commercial &amp; Parking</v>
      </c>
      <c r="H129" s="75"/>
      <c r="I129" s="48"/>
      <c r="L129" s="60"/>
      <c r="M129" s="60"/>
      <c r="N129" s="48"/>
    </row>
    <row r="130" spans="1:14" s="18" customFormat="1">
      <c r="A130" s="74">
        <f t="shared" si="2"/>
        <v>8</v>
      </c>
      <c r="B130" s="75"/>
      <c r="C130" s="39" t="s">
        <v>166</v>
      </c>
      <c r="D130" s="39">
        <f>7.66*3.2*10.764</f>
        <v>263.84716800000001</v>
      </c>
      <c r="E130" s="39">
        <v>0</v>
      </c>
      <c r="F130" s="39">
        <f t="shared" si="5"/>
        <v>422.15546880000005</v>
      </c>
      <c r="G130" s="74" t="str">
        <f t="shared" si="4"/>
        <v>Ground Floor For Commercial &amp; Parking</v>
      </c>
      <c r="H130" s="75"/>
      <c r="I130" s="48"/>
      <c r="L130" s="60"/>
      <c r="M130" s="60"/>
      <c r="N130" s="48"/>
    </row>
    <row r="131" spans="1:14" s="18" customFormat="1">
      <c r="A131" s="74">
        <f t="shared" si="2"/>
        <v>9</v>
      </c>
      <c r="B131" s="75"/>
      <c r="C131" s="39" t="s">
        <v>166</v>
      </c>
      <c r="D131" s="39">
        <f>6.82*5.61*0.5*10.764</f>
        <v>205.91639640000002</v>
      </c>
      <c r="E131" s="39">
        <v>0</v>
      </c>
      <c r="F131" s="39">
        <f t="shared" si="5"/>
        <v>329.46623424000006</v>
      </c>
      <c r="G131" s="74" t="str">
        <f t="shared" si="4"/>
        <v>Ground Floor For Commercial &amp; Parking</v>
      </c>
      <c r="H131" s="75"/>
      <c r="I131" s="48"/>
      <c r="L131" s="60"/>
      <c r="M131" s="60"/>
      <c r="N131" s="48"/>
    </row>
    <row r="132" spans="1:14" s="18" customFormat="1">
      <c r="A132" s="74">
        <f t="shared" si="2"/>
        <v>10</v>
      </c>
      <c r="B132" s="75"/>
      <c r="C132" s="39" t="s">
        <v>166</v>
      </c>
      <c r="D132" s="39">
        <f>3.05*9.35*10.764</f>
        <v>306.96236999999996</v>
      </c>
      <c r="E132" s="39">
        <v>0</v>
      </c>
      <c r="F132" s="39">
        <f t="shared" si="5"/>
        <v>491.13979199999994</v>
      </c>
      <c r="G132" s="74" t="str">
        <f t="shared" si="4"/>
        <v>Ground Floor For Commercial &amp; Parking</v>
      </c>
      <c r="H132" s="75"/>
      <c r="I132" s="48"/>
      <c r="L132" s="60"/>
      <c r="M132" s="60"/>
      <c r="N132" s="48"/>
    </row>
    <row r="133" spans="1:14" s="18" customFormat="1">
      <c r="A133" s="74">
        <f t="shared" si="2"/>
        <v>11</v>
      </c>
      <c r="B133" s="75"/>
      <c r="C133" s="39" t="s">
        <v>166</v>
      </c>
      <c r="D133" s="39">
        <f>2.4*8.49*10.764</f>
        <v>219.32726400000001</v>
      </c>
      <c r="E133" s="39">
        <v>0</v>
      </c>
      <c r="F133" s="39">
        <f t="shared" ref="F133:F135" si="6">(D133+E133)*(($F$120)+1)</f>
        <v>350.92362240000006</v>
      </c>
      <c r="G133" s="74" t="str">
        <f t="shared" si="4"/>
        <v>Ground Floor For Commercial &amp; Parking</v>
      </c>
      <c r="H133" s="75"/>
      <c r="I133" s="48"/>
      <c r="L133" s="60"/>
      <c r="M133" s="60"/>
      <c r="N133" s="48"/>
    </row>
    <row r="134" spans="1:14" s="18" customFormat="1">
      <c r="A134" s="74">
        <f t="shared" si="2"/>
        <v>12</v>
      </c>
      <c r="B134" s="75"/>
      <c r="C134" s="39" t="s">
        <v>166</v>
      </c>
      <c r="D134" s="39">
        <f>3.4*8.54*10.764</f>
        <v>312.54350399999998</v>
      </c>
      <c r="E134" s="39">
        <v>0</v>
      </c>
      <c r="F134" s="39">
        <f t="shared" si="6"/>
        <v>500.0696064</v>
      </c>
      <c r="G134" s="74" t="str">
        <f t="shared" si="4"/>
        <v>Ground Floor For Commercial &amp; Parking</v>
      </c>
      <c r="H134" s="75"/>
      <c r="I134" s="48"/>
      <c r="J134" s="58">
        <f>10.764</f>
        <v>10.763999999999999</v>
      </c>
      <c r="L134" s="60"/>
      <c r="M134" s="60"/>
      <c r="N134" s="48"/>
    </row>
    <row r="135" spans="1:14" s="18" customFormat="1">
      <c r="A135" s="74">
        <f t="shared" si="2"/>
        <v>13</v>
      </c>
      <c r="B135" s="75"/>
      <c r="C135" s="39" t="s">
        <v>166</v>
      </c>
      <c r="D135" s="39">
        <f>3.3*8.58*10.764</f>
        <v>304.77189599999997</v>
      </c>
      <c r="E135" s="39">
        <v>0</v>
      </c>
      <c r="F135" s="39">
        <f t="shared" si="6"/>
        <v>487.63503359999999</v>
      </c>
      <c r="G135" s="74" t="str">
        <f t="shared" si="4"/>
        <v>Ground Floor For Commercial &amp; Parking</v>
      </c>
      <c r="H135" s="75"/>
      <c r="I135" s="48"/>
      <c r="L135" s="60"/>
      <c r="M135" s="60"/>
      <c r="N135" s="48"/>
    </row>
    <row r="136" spans="1:14" s="18" customFormat="1">
      <c r="A136" s="74">
        <f t="shared" si="2"/>
        <v>14</v>
      </c>
      <c r="B136" s="75"/>
      <c r="C136" s="39" t="s">
        <v>166</v>
      </c>
      <c r="D136" s="39">
        <f>2.45*8.63*10.764</f>
        <v>227.58863400000001</v>
      </c>
      <c r="E136" s="39">
        <v>0</v>
      </c>
      <c r="F136" s="39">
        <f t="shared" ref="F136:F138" si="7">(D136+E136)*(($F$120)+1)</f>
        <v>364.14181440000004</v>
      </c>
      <c r="G136" s="74" t="str">
        <f t="shared" si="4"/>
        <v>Ground Floor For Commercial &amp; Parking</v>
      </c>
      <c r="H136" s="75"/>
      <c r="I136" s="48"/>
      <c r="L136" s="60"/>
      <c r="M136" s="60"/>
      <c r="N136" s="48"/>
    </row>
    <row r="137" spans="1:14" s="18" customFormat="1">
      <c r="A137" s="74">
        <f t="shared" si="2"/>
        <v>15</v>
      </c>
      <c r="B137" s="75"/>
      <c r="C137" s="39" t="s">
        <v>166</v>
      </c>
      <c r="D137" s="39">
        <f>8.38*9.32*10.764</f>
        <v>840.68562240000006</v>
      </c>
      <c r="E137" s="39">
        <v>0</v>
      </c>
      <c r="F137" s="39">
        <f t="shared" si="7"/>
        <v>1345.0969958400001</v>
      </c>
      <c r="G137" s="74" t="str">
        <f t="shared" si="4"/>
        <v>Ground Floor For Commercial &amp; Parking</v>
      </c>
      <c r="H137" s="75"/>
      <c r="I137" s="48"/>
      <c r="L137" s="60"/>
      <c r="M137" s="60"/>
      <c r="N137" s="48"/>
    </row>
    <row r="138" spans="1:14" s="18" customFormat="1">
      <c r="A138" s="74">
        <f t="shared" si="2"/>
        <v>16</v>
      </c>
      <c r="B138" s="75"/>
      <c r="C138" s="39" t="s">
        <v>166</v>
      </c>
      <c r="D138" s="39">
        <f>5.85*4.85*10.764</f>
        <v>305.40158999999994</v>
      </c>
      <c r="E138" s="39">
        <v>0</v>
      </c>
      <c r="F138" s="39">
        <f t="shared" si="7"/>
        <v>488.64254399999993</v>
      </c>
      <c r="G138" s="74" t="str">
        <f t="shared" si="4"/>
        <v>Ground Floor For Commercial &amp; Parking</v>
      </c>
      <c r="H138" s="75"/>
      <c r="I138" s="48"/>
      <c r="L138" s="60"/>
      <c r="M138" s="60"/>
      <c r="N138" s="48"/>
    </row>
    <row r="139" spans="1:14" s="54" customFormat="1">
      <c r="A139" s="127" t="s">
        <v>224</v>
      </c>
      <c r="B139" s="128"/>
      <c r="C139" s="128"/>
      <c r="D139" s="128"/>
      <c r="E139" s="128"/>
      <c r="F139" s="128"/>
      <c r="G139" s="128"/>
      <c r="H139" s="129"/>
      <c r="J139" s="48"/>
    </row>
    <row r="140" spans="1:14" s="54" customFormat="1" ht="47.25">
      <c r="A140" s="74">
        <v>1</v>
      </c>
      <c r="B140" s="75"/>
      <c r="C140" s="53" t="s">
        <v>229</v>
      </c>
      <c r="D140" s="58">
        <f>((8.5*4.5+2.58+3.2*3.9+3.6*2.4+2.8*3.9+3.7*1.4+12.3*10.2+13.26+2.1*3.2+13.6*6+5.55+1.5*1.65+3.8*3.6+1.8*2.8)+(8.5*4.5+2.58+12.7*8.75+9.625+2.1*1.6+12.2*7.65+10.32+9.86))*(10.764)</f>
        <v>6569.1077400000004</v>
      </c>
      <c r="E140" s="53">
        <v>0</v>
      </c>
      <c r="F140" s="53">
        <f>(D140+E140)*(($F$120)+1)</f>
        <v>10510.572384000001</v>
      </c>
      <c r="G140" s="74" t="str">
        <f>A139</f>
        <v>1st Floor For Commercial &amp; Parking</v>
      </c>
      <c r="H140" s="75"/>
      <c r="I140" s="48"/>
      <c r="L140" s="60"/>
      <c r="M140" s="60"/>
      <c r="N140" s="48"/>
    </row>
    <row r="141" spans="1:14" s="54" customFormat="1">
      <c r="A141" s="82" t="s">
        <v>223</v>
      </c>
      <c r="B141" s="83"/>
      <c r="C141" s="83"/>
      <c r="D141" s="83"/>
      <c r="E141" s="83"/>
      <c r="F141" s="83"/>
      <c r="G141" s="83"/>
      <c r="H141" s="84"/>
      <c r="J141" s="48"/>
    </row>
    <row r="142" spans="1:14" s="18" customFormat="1" hidden="1">
      <c r="A142" s="82" t="s">
        <v>167</v>
      </c>
      <c r="B142" s="83"/>
      <c r="C142" s="83"/>
      <c r="D142" s="83"/>
      <c r="E142" s="83"/>
      <c r="F142" s="83"/>
      <c r="G142" s="83"/>
      <c r="H142" s="84"/>
      <c r="J142" s="48"/>
    </row>
    <row r="143" spans="1:14" s="18" customFormat="1" hidden="1">
      <c r="A143" s="74">
        <v>101</v>
      </c>
      <c r="B143" s="75"/>
      <c r="C143" s="39" t="s">
        <v>166</v>
      </c>
      <c r="D143" s="39">
        <f>10.8*3*10.764</f>
        <v>348.75360000000006</v>
      </c>
      <c r="E143" s="39">
        <v>0</v>
      </c>
      <c r="F143" s="39">
        <f>(D143+E143)*(($F$120)+1)</f>
        <v>558.00576000000012</v>
      </c>
      <c r="G143" s="74" t="str">
        <f>A142</f>
        <v>1st Floor</v>
      </c>
      <c r="H143" s="75"/>
      <c r="I143" s="48"/>
      <c r="L143" s="60"/>
      <c r="M143" s="60"/>
      <c r="N143" s="48"/>
    </row>
    <row r="144" spans="1:14" s="18" customFormat="1" hidden="1">
      <c r="A144" s="74">
        <f t="shared" ref="A144:A154" si="8">A143+1</f>
        <v>102</v>
      </c>
      <c r="B144" s="75"/>
      <c r="C144" s="39" t="s">
        <v>166</v>
      </c>
      <c r="D144" s="39">
        <f>9.76*2.45*10.764</f>
        <v>257.38876800000003</v>
      </c>
      <c r="E144" s="39">
        <v>0</v>
      </c>
      <c r="F144" s="39">
        <f t="shared" ref="F144:F154" si="9">(D144+E144)*(($F$120)+1)</f>
        <v>411.82202880000006</v>
      </c>
      <c r="G144" s="74" t="str">
        <f t="shared" ref="G144:G154" si="10">G143</f>
        <v>1st Floor</v>
      </c>
      <c r="H144" s="75"/>
      <c r="I144" s="48"/>
      <c r="L144" s="60"/>
      <c r="M144" s="60"/>
      <c r="N144" s="48"/>
    </row>
    <row r="145" spans="1:14" s="18" customFormat="1" hidden="1">
      <c r="A145" s="74">
        <f t="shared" si="8"/>
        <v>103</v>
      </c>
      <c r="B145" s="75"/>
      <c r="C145" s="39" t="s">
        <v>166</v>
      </c>
      <c r="D145" s="39">
        <f>10*3.2*10.764</f>
        <v>344.44799999999998</v>
      </c>
      <c r="E145" s="39">
        <v>0</v>
      </c>
      <c r="F145" s="39">
        <f t="shared" si="9"/>
        <v>551.11680000000001</v>
      </c>
      <c r="G145" s="74" t="str">
        <f t="shared" si="10"/>
        <v>1st Floor</v>
      </c>
      <c r="H145" s="75"/>
      <c r="I145" s="48"/>
      <c r="L145" s="60"/>
      <c r="M145" s="60"/>
      <c r="N145" s="48"/>
    </row>
    <row r="146" spans="1:14" s="18" customFormat="1" hidden="1">
      <c r="A146" s="74">
        <f t="shared" si="8"/>
        <v>104</v>
      </c>
      <c r="B146" s="75"/>
      <c r="C146" s="39" t="s">
        <v>166</v>
      </c>
      <c r="D146" s="39">
        <f>11.55*3.2*10.764</f>
        <v>397.83743999999996</v>
      </c>
      <c r="E146" s="39">
        <v>0</v>
      </c>
      <c r="F146" s="39">
        <f t="shared" si="9"/>
        <v>636.53990399999998</v>
      </c>
      <c r="G146" s="74" t="str">
        <f t="shared" si="10"/>
        <v>1st Floor</v>
      </c>
      <c r="H146" s="75"/>
      <c r="I146" s="48"/>
      <c r="L146" s="60"/>
      <c r="M146" s="60"/>
      <c r="N146" s="48"/>
    </row>
    <row r="147" spans="1:14" s="18" customFormat="1" hidden="1">
      <c r="A147" s="74">
        <f t="shared" si="8"/>
        <v>105</v>
      </c>
      <c r="B147" s="75"/>
      <c r="C147" s="39" t="s">
        <v>166</v>
      </c>
      <c r="D147" s="39">
        <f>10.34*2.91*10.764</f>
        <v>323.88230160000001</v>
      </c>
      <c r="E147" s="39">
        <v>0</v>
      </c>
      <c r="F147" s="39">
        <f t="shared" si="9"/>
        <v>518.21168255999999</v>
      </c>
      <c r="G147" s="74" t="str">
        <f t="shared" si="10"/>
        <v>1st Floor</v>
      </c>
      <c r="H147" s="75"/>
      <c r="I147" s="48"/>
      <c r="L147" s="60"/>
      <c r="M147" s="60"/>
      <c r="N147" s="48"/>
    </row>
    <row r="148" spans="1:14" s="18" customFormat="1" hidden="1">
      <c r="A148" s="74">
        <f t="shared" si="8"/>
        <v>106</v>
      </c>
      <c r="B148" s="75"/>
      <c r="C148" s="39" t="s">
        <v>166</v>
      </c>
      <c r="D148" s="39">
        <f>11.3*9.22*0.5*10.764</f>
        <v>560.72905200000002</v>
      </c>
      <c r="E148" s="39">
        <v>0</v>
      </c>
      <c r="F148" s="39">
        <f t="shared" si="9"/>
        <v>897.16648320000013</v>
      </c>
      <c r="G148" s="74" t="str">
        <f t="shared" si="10"/>
        <v>1st Floor</v>
      </c>
      <c r="H148" s="75"/>
      <c r="I148" s="48"/>
      <c r="L148" s="60"/>
      <c r="M148" s="60"/>
      <c r="N148" s="48"/>
    </row>
    <row r="149" spans="1:14" s="18" customFormat="1" hidden="1">
      <c r="A149" s="74">
        <f t="shared" si="8"/>
        <v>107</v>
      </c>
      <c r="B149" s="75"/>
      <c r="C149" s="39" t="s">
        <v>166</v>
      </c>
      <c r="D149" s="39">
        <f>2.37*9.24*10.764</f>
        <v>235.71868319999999</v>
      </c>
      <c r="E149" s="39">
        <v>0</v>
      </c>
      <c r="F149" s="39">
        <f t="shared" si="9"/>
        <v>377.14989312</v>
      </c>
      <c r="G149" s="74" t="str">
        <f t="shared" si="10"/>
        <v>1st Floor</v>
      </c>
      <c r="H149" s="75"/>
      <c r="I149" s="48"/>
      <c r="L149" s="60"/>
      <c r="M149" s="60"/>
      <c r="N149" s="48"/>
    </row>
    <row r="150" spans="1:14" s="18" customFormat="1" hidden="1">
      <c r="A150" s="74">
        <f t="shared" si="8"/>
        <v>108</v>
      </c>
      <c r="B150" s="75"/>
      <c r="C150" s="39" t="s">
        <v>166</v>
      </c>
      <c r="D150" s="39">
        <f>3.4*8.4*10.764</f>
        <v>307.41983999999997</v>
      </c>
      <c r="E150" s="39">
        <v>0</v>
      </c>
      <c r="F150" s="39">
        <f t="shared" si="9"/>
        <v>491.87174399999998</v>
      </c>
      <c r="G150" s="74" t="str">
        <f t="shared" si="10"/>
        <v>1st Floor</v>
      </c>
      <c r="H150" s="75"/>
      <c r="I150" s="48"/>
      <c r="L150" s="60"/>
      <c r="M150" s="60"/>
      <c r="N150" s="48"/>
    </row>
    <row r="151" spans="1:14" s="18" customFormat="1" hidden="1">
      <c r="A151" s="74">
        <f t="shared" si="8"/>
        <v>109</v>
      </c>
      <c r="B151" s="75"/>
      <c r="C151" s="39" t="s">
        <v>166</v>
      </c>
      <c r="D151" s="39">
        <f>3.15*8.45*10.764</f>
        <v>286.51076999999992</v>
      </c>
      <c r="E151" s="39">
        <v>0</v>
      </c>
      <c r="F151" s="39">
        <f t="shared" si="9"/>
        <v>458.4172319999999</v>
      </c>
      <c r="G151" s="74" t="str">
        <f t="shared" si="10"/>
        <v>1st Floor</v>
      </c>
      <c r="H151" s="75"/>
      <c r="I151" s="48"/>
      <c r="L151" s="60"/>
      <c r="M151" s="60"/>
      <c r="N151" s="48"/>
    </row>
    <row r="152" spans="1:14" s="18" customFormat="1" hidden="1">
      <c r="A152" s="74">
        <f t="shared" si="8"/>
        <v>110</v>
      </c>
      <c r="B152" s="75"/>
      <c r="C152" s="39" t="s">
        <v>166</v>
      </c>
      <c r="D152" s="39">
        <f>2.45*9.25*10.764</f>
        <v>243.93915000000001</v>
      </c>
      <c r="E152" s="39">
        <v>0</v>
      </c>
      <c r="F152" s="39">
        <f t="shared" si="9"/>
        <v>390.30264000000005</v>
      </c>
      <c r="G152" s="74" t="str">
        <f t="shared" si="10"/>
        <v>1st Floor</v>
      </c>
      <c r="H152" s="75"/>
      <c r="I152" s="48"/>
      <c r="L152" s="60"/>
      <c r="M152" s="60"/>
      <c r="N152" s="48"/>
    </row>
    <row r="153" spans="1:14" s="18" customFormat="1" hidden="1">
      <c r="A153" s="74">
        <f t="shared" si="8"/>
        <v>111</v>
      </c>
      <c r="B153" s="75"/>
      <c r="C153" s="39" t="s">
        <v>166</v>
      </c>
      <c r="D153" s="39">
        <f>3*9.3*10.764</f>
        <v>300.31560000000002</v>
      </c>
      <c r="E153" s="39">
        <v>0</v>
      </c>
      <c r="F153" s="39">
        <f t="shared" si="9"/>
        <v>480.50496000000004</v>
      </c>
      <c r="G153" s="74" t="str">
        <f t="shared" si="10"/>
        <v>1st Floor</v>
      </c>
      <c r="H153" s="75"/>
      <c r="I153" s="48"/>
      <c r="L153" s="60"/>
      <c r="M153" s="60"/>
      <c r="N153" s="48"/>
    </row>
    <row r="154" spans="1:14" s="18" customFormat="1" hidden="1">
      <c r="A154" s="74">
        <f t="shared" si="8"/>
        <v>112</v>
      </c>
      <c r="B154" s="75"/>
      <c r="C154" s="39" t="s">
        <v>166</v>
      </c>
      <c r="D154" s="39">
        <f>5.25*9.48*10.764</f>
        <v>535.72428000000002</v>
      </c>
      <c r="E154" s="39">
        <v>0</v>
      </c>
      <c r="F154" s="39">
        <f t="shared" si="9"/>
        <v>857.15884800000003</v>
      </c>
      <c r="G154" s="74" t="str">
        <f t="shared" si="10"/>
        <v>1st Floor</v>
      </c>
      <c r="H154" s="75"/>
      <c r="I154" s="48"/>
      <c r="L154" s="60"/>
      <c r="M154" s="60"/>
      <c r="N154" s="48"/>
    </row>
    <row r="155" spans="1:14" s="18" customFormat="1">
      <c r="A155" s="74"/>
      <c r="B155" s="101"/>
      <c r="C155" s="101"/>
      <c r="D155" s="101"/>
      <c r="E155" s="101"/>
      <c r="F155" s="101"/>
      <c r="G155" s="101"/>
      <c r="H155" s="75"/>
      <c r="I155" s="48"/>
      <c r="N155" s="48"/>
    </row>
    <row r="156" spans="1:14" ht="47.25" customHeight="1">
      <c r="A156" s="90" t="s">
        <v>168</v>
      </c>
      <c r="B156" s="90" t="s">
        <v>169</v>
      </c>
      <c r="C156" s="97" t="s">
        <v>161</v>
      </c>
      <c r="D156" s="97" t="s">
        <v>162</v>
      </c>
      <c r="E156" s="99" t="s">
        <v>170</v>
      </c>
      <c r="F156" s="37" t="s">
        <v>164</v>
      </c>
      <c r="G156" s="90" t="s">
        <v>165</v>
      </c>
      <c r="H156" s="91"/>
      <c r="I156" s="48"/>
    </row>
    <row r="157" spans="1:14" s="18" customFormat="1">
      <c r="A157" s="92"/>
      <c r="B157" s="92"/>
      <c r="C157" s="98"/>
      <c r="D157" s="98"/>
      <c r="E157" s="100"/>
      <c r="F157" s="38">
        <v>0.5</v>
      </c>
      <c r="G157" s="92"/>
      <c r="H157" s="93"/>
      <c r="I157" s="48"/>
    </row>
    <row r="158" spans="1:14" s="18" customFormat="1">
      <c r="A158" s="82" t="s">
        <v>171</v>
      </c>
      <c r="B158" s="83"/>
      <c r="C158" s="83"/>
      <c r="D158" s="83"/>
      <c r="E158" s="83"/>
      <c r="F158" s="83"/>
      <c r="G158" s="83"/>
      <c r="H158" s="84"/>
      <c r="I158" s="48"/>
    </row>
    <row r="159" spans="1:14" s="18" customFormat="1">
      <c r="A159" s="82" t="s">
        <v>230</v>
      </c>
      <c r="B159" s="83"/>
      <c r="C159" s="83"/>
      <c r="D159" s="83"/>
      <c r="E159" s="83"/>
      <c r="F159" s="83"/>
      <c r="G159" s="83"/>
      <c r="H159" s="84"/>
      <c r="J159" s="48"/>
    </row>
    <row r="160" spans="1:14" s="18" customFormat="1" hidden="1">
      <c r="A160" s="82" t="s">
        <v>172</v>
      </c>
      <c r="B160" s="83"/>
      <c r="C160" s="83"/>
      <c r="D160" s="83"/>
      <c r="E160" s="83"/>
      <c r="F160" s="83"/>
      <c r="G160" s="83"/>
      <c r="H160" s="84"/>
      <c r="J160" s="48"/>
    </row>
    <row r="161" spans="1:10" s="18" customFormat="1" hidden="1">
      <c r="A161" s="82" t="s">
        <v>173</v>
      </c>
      <c r="B161" s="83"/>
      <c r="C161" s="83"/>
      <c r="D161" s="83"/>
      <c r="E161" s="83"/>
      <c r="F161" s="83"/>
      <c r="G161" s="83"/>
      <c r="H161" s="84"/>
      <c r="J161" s="48"/>
    </row>
    <row r="162" spans="1:10" s="18" customFormat="1" ht="15.75" customHeight="1">
      <c r="A162" s="82" t="s">
        <v>231</v>
      </c>
      <c r="B162" s="83"/>
      <c r="C162" s="83"/>
      <c r="D162" s="83"/>
      <c r="E162" s="83"/>
      <c r="F162" s="83"/>
      <c r="G162" s="83"/>
      <c r="H162" s="84"/>
      <c r="J162" s="48"/>
    </row>
    <row r="163" spans="1:10" s="54" customFormat="1" ht="33.75" customHeight="1">
      <c r="A163" s="82" t="s">
        <v>233</v>
      </c>
      <c r="B163" s="83"/>
      <c r="C163" s="83"/>
      <c r="D163" s="83"/>
      <c r="E163" s="83"/>
      <c r="F163" s="83"/>
      <c r="G163" s="83"/>
      <c r="H163" s="84"/>
      <c r="I163" s="48"/>
    </row>
    <row r="164" spans="1:10" s="54" customFormat="1" ht="15.75" customHeight="1">
      <c r="A164" s="74">
        <v>1</v>
      </c>
      <c r="B164" s="75"/>
      <c r="C164" s="53" t="s">
        <v>175</v>
      </c>
      <c r="D164" s="53">
        <f>(62.42+3.15*1.8)*10.764</f>
        <v>732.92075999999997</v>
      </c>
      <c r="E164" s="53">
        <v>0</v>
      </c>
      <c r="F164" s="53">
        <f t="shared" ref="F164:F171" si="11">D164*(($F$157)+1)+(IF(E164&lt;101,E164,IF(E164&lt;201,E164/2,IF(E164&lt;=301,E164/3,E164/4))))</f>
        <v>1099.38114</v>
      </c>
      <c r="G164" s="76" t="str">
        <f>A163</f>
        <v>1st, 3rd to 6th, 8th to 11th, 13th to 16th, 18th to 21st, 23rd to 26th &amp;
 28th to 31st Floor For Residential</v>
      </c>
      <c r="H164" s="77"/>
      <c r="I164" s="48"/>
      <c r="J164" s="54">
        <f>3.15*1.8</f>
        <v>5.67</v>
      </c>
    </row>
    <row r="165" spans="1:10" s="54" customFormat="1">
      <c r="A165" s="74">
        <f>A164+1</f>
        <v>2</v>
      </c>
      <c r="B165" s="75"/>
      <c r="C165" s="53" t="s">
        <v>175</v>
      </c>
      <c r="D165" s="53">
        <f>(61.79+3.15*1.8)*10.764</f>
        <v>726.13943999999992</v>
      </c>
      <c r="E165" s="53">
        <v>0</v>
      </c>
      <c r="F165" s="53">
        <f t="shared" si="11"/>
        <v>1089.2091599999999</v>
      </c>
      <c r="G165" s="78"/>
      <c r="H165" s="79"/>
      <c r="I165" s="48"/>
    </row>
    <row r="166" spans="1:10" s="54" customFormat="1">
      <c r="A166" s="74">
        <f>A165+1</f>
        <v>3</v>
      </c>
      <c r="B166" s="75"/>
      <c r="C166" s="53" t="s">
        <v>175</v>
      </c>
      <c r="D166" s="53">
        <f>(61.86+3.15*1.8)*10.764</f>
        <v>726.89292</v>
      </c>
      <c r="E166" s="53">
        <v>0</v>
      </c>
      <c r="F166" s="53">
        <f t="shared" si="11"/>
        <v>1090.3393799999999</v>
      </c>
      <c r="G166" s="78"/>
      <c r="H166" s="79"/>
      <c r="I166" s="48"/>
    </row>
    <row r="167" spans="1:10" s="54" customFormat="1">
      <c r="A167" s="74">
        <f t="shared" ref="A167:A171" si="12">A166+1</f>
        <v>4</v>
      </c>
      <c r="B167" s="75"/>
      <c r="C167" s="53" t="s">
        <v>175</v>
      </c>
      <c r="D167" s="53">
        <f>(62.31+3.15*1.8)*10.764</f>
        <v>731.73671999999999</v>
      </c>
      <c r="E167" s="53">
        <v>0</v>
      </c>
      <c r="F167" s="53">
        <f t="shared" si="11"/>
        <v>1097.60508</v>
      </c>
      <c r="G167" s="78"/>
      <c r="H167" s="79"/>
      <c r="I167" s="48"/>
    </row>
    <row r="168" spans="1:10" s="54" customFormat="1">
      <c r="A168" s="74">
        <f t="shared" si="12"/>
        <v>5</v>
      </c>
      <c r="B168" s="75"/>
      <c r="C168" s="53" t="s">
        <v>175</v>
      </c>
      <c r="D168" s="53">
        <f>(62.25+3.15*1.8)*10.764</f>
        <v>731.09087999999997</v>
      </c>
      <c r="E168" s="53">
        <v>0</v>
      </c>
      <c r="F168" s="53">
        <f t="shared" si="11"/>
        <v>1096.6363200000001</v>
      </c>
      <c r="G168" s="78"/>
      <c r="H168" s="79"/>
      <c r="I168" s="48">
        <f>8500000/F168</f>
        <v>7750.9743613087694</v>
      </c>
    </row>
    <row r="169" spans="1:10" s="54" customFormat="1">
      <c r="A169" s="74">
        <f t="shared" si="12"/>
        <v>6</v>
      </c>
      <c r="B169" s="75"/>
      <c r="C169" s="53" t="s">
        <v>175</v>
      </c>
      <c r="D169" s="53">
        <f>(62.25+3.15*1.8)*10.764</f>
        <v>731.09087999999997</v>
      </c>
      <c r="E169" s="53">
        <v>0</v>
      </c>
      <c r="F169" s="53">
        <f t="shared" si="11"/>
        <v>1096.6363200000001</v>
      </c>
      <c r="G169" s="78"/>
      <c r="H169" s="79"/>
      <c r="I169" s="48"/>
    </row>
    <row r="170" spans="1:10" s="54" customFormat="1">
      <c r="A170" s="74">
        <f t="shared" si="12"/>
        <v>7</v>
      </c>
      <c r="B170" s="75"/>
      <c r="C170" s="53" t="s">
        <v>175</v>
      </c>
      <c r="D170" s="53">
        <f>(62.25+3.15*1.8)*10.764</f>
        <v>731.09087999999997</v>
      </c>
      <c r="E170" s="53">
        <v>0</v>
      </c>
      <c r="F170" s="53">
        <f t="shared" si="11"/>
        <v>1096.6363200000001</v>
      </c>
      <c r="G170" s="78"/>
      <c r="H170" s="79"/>
      <c r="I170" s="48"/>
    </row>
    <row r="171" spans="1:10" s="54" customFormat="1">
      <c r="A171" s="74">
        <f t="shared" si="12"/>
        <v>8</v>
      </c>
      <c r="B171" s="75"/>
      <c r="C171" s="53" t="s">
        <v>175</v>
      </c>
      <c r="D171" s="53">
        <f>(62.43+3.15*1.8)*10.764</f>
        <v>733.02839999999992</v>
      </c>
      <c r="E171" s="53">
        <v>0</v>
      </c>
      <c r="F171" s="53">
        <f t="shared" si="11"/>
        <v>1099.5425999999998</v>
      </c>
      <c r="G171" s="80"/>
      <c r="H171" s="81"/>
      <c r="I171" s="48"/>
    </row>
    <row r="172" spans="1:10" s="18" customFormat="1">
      <c r="A172" s="82" t="s">
        <v>232</v>
      </c>
      <c r="B172" s="83"/>
      <c r="C172" s="83"/>
      <c r="D172" s="83"/>
      <c r="E172" s="83"/>
      <c r="F172" s="83"/>
      <c r="G172" s="83"/>
      <c r="H172" s="84"/>
      <c r="I172" s="48"/>
    </row>
    <row r="173" spans="1:10" s="18" customFormat="1" ht="15.75" customHeight="1">
      <c r="A173" s="74">
        <v>1</v>
      </c>
      <c r="B173" s="75"/>
      <c r="C173" s="39" t="s">
        <v>175</v>
      </c>
      <c r="D173" s="39">
        <f>(62.42+3.15*1.8)*10.764</f>
        <v>732.92075999999997</v>
      </c>
      <c r="E173" s="39">
        <v>0</v>
      </c>
      <c r="F173" s="39">
        <f t="shared" ref="F173:F180" si="13">D173*(($F$157)+1)+(IF(E173&lt;101,E173,IF(E173&lt;201,E173/2,IF(E173&lt;=301,E173/3,E173/4))))</f>
        <v>1099.38114</v>
      </c>
      <c r="G173" s="76" t="str">
        <f>A172</f>
        <v>2nd, 7th, 12th, 17th, 22nd &amp; 27th Floor (Refuge Area at Mid-Landing)</v>
      </c>
      <c r="H173" s="77"/>
      <c r="I173" s="48"/>
      <c r="J173" s="18">
        <f>3.15*1.8</f>
        <v>5.67</v>
      </c>
    </row>
    <row r="174" spans="1:10" s="18" customFormat="1">
      <c r="A174" s="74">
        <f>A173+1</f>
        <v>2</v>
      </c>
      <c r="B174" s="75"/>
      <c r="C174" s="39" t="s">
        <v>175</v>
      </c>
      <c r="D174" s="39">
        <f>(61.79+3.15*1.8)*10.764</f>
        <v>726.13943999999992</v>
      </c>
      <c r="E174" s="39">
        <v>0</v>
      </c>
      <c r="F174" s="39">
        <f t="shared" si="13"/>
        <v>1089.2091599999999</v>
      </c>
      <c r="G174" s="78"/>
      <c r="H174" s="79"/>
      <c r="I174" s="48"/>
    </row>
    <row r="175" spans="1:10" s="18" customFormat="1">
      <c r="A175" s="74">
        <f t="shared" ref="A175:A180" si="14">A174+1</f>
        <v>3</v>
      </c>
      <c r="B175" s="75"/>
      <c r="C175" s="39" t="s">
        <v>175</v>
      </c>
      <c r="D175" s="39">
        <f>(61.86+3.15*1.8)*10.764</f>
        <v>726.89292</v>
      </c>
      <c r="E175" s="39">
        <v>0</v>
      </c>
      <c r="F175" s="39">
        <f t="shared" si="13"/>
        <v>1090.3393799999999</v>
      </c>
      <c r="G175" s="78"/>
      <c r="H175" s="79"/>
      <c r="I175" s="48"/>
    </row>
    <row r="176" spans="1:10" s="18" customFormat="1">
      <c r="A176" s="74">
        <f t="shared" si="14"/>
        <v>4</v>
      </c>
      <c r="B176" s="75"/>
      <c r="C176" s="39" t="s">
        <v>175</v>
      </c>
      <c r="D176" s="39">
        <f>(62.31+3.15*1.8)*10.764</f>
        <v>731.73671999999999</v>
      </c>
      <c r="E176" s="39">
        <v>0</v>
      </c>
      <c r="F176" s="39">
        <f t="shared" si="13"/>
        <v>1097.60508</v>
      </c>
      <c r="G176" s="78"/>
      <c r="H176" s="79"/>
      <c r="I176" s="48"/>
    </row>
    <row r="177" spans="1:10" s="18" customFormat="1">
      <c r="A177" s="74">
        <f t="shared" si="14"/>
        <v>5</v>
      </c>
      <c r="B177" s="75"/>
      <c r="C177" s="39" t="s">
        <v>175</v>
      </c>
      <c r="D177" s="39">
        <f>(62.25+3.15*1.8)*10.764</f>
        <v>731.09087999999997</v>
      </c>
      <c r="E177" s="39">
        <v>0</v>
      </c>
      <c r="F177" s="39">
        <f t="shared" si="13"/>
        <v>1096.6363200000001</v>
      </c>
      <c r="G177" s="78"/>
      <c r="H177" s="79"/>
      <c r="I177" s="48"/>
    </row>
    <row r="178" spans="1:10" s="18" customFormat="1">
      <c r="A178" s="74">
        <f t="shared" si="14"/>
        <v>6</v>
      </c>
      <c r="B178" s="75"/>
      <c r="C178" s="39" t="s">
        <v>175</v>
      </c>
      <c r="D178" s="39">
        <f>(62.25+3.15*1.8)*10.764</f>
        <v>731.09087999999997</v>
      </c>
      <c r="E178" s="39">
        <v>0</v>
      </c>
      <c r="F178" s="39">
        <f t="shared" si="13"/>
        <v>1096.6363200000001</v>
      </c>
      <c r="G178" s="78"/>
      <c r="H178" s="79"/>
      <c r="I178" s="48"/>
    </row>
    <row r="179" spans="1:10" s="18" customFormat="1">
      <c r="A179" s="74">
        <f t="shared" si="14"/>
        <v>7</v>
      </c>
      <c r="B179" s="75"/>
      <c r="C179" s="39" t="s">
        <v>175</v>
      </c>
      <c r="D179" s="39">
        <f>(62.25+3.15*1.8)*10.764</f>
        <v>731.09087999999997</v>
      </c>
      <c r="E179" s="39">
        <v>0</v>
      </c>
      <c r="F179" s="39">
        <f t="shared" si="13"/>
        <v>1096.6363200000001</v>
      </c>
      <c r="G179" s="78"/>
      <c r="H179" s="79"/>
      <c r="I179" s="48"/>
    </row>
    <row r="180" spans="1:10" s="18" customFormat="1">
      <c r="A180" s="74">
        <f t="shared" si="14"/>
        <v>8</v>
      </c>
      <c r="B180" s="75"/>
      <c r="C180" s="39" t="s">
        <v>175</v>
      </c>
      <c r="D180" s="39">
        <f>(62.43+3.15*1.8)*10.764</f>
        <v>733.02839999999992</v>
      </c>
      <c r="E180" s="39">
        <v>0</v>
      </c>
      <c r="F180" s="39">
        <f t="shared" si="13"/>
        <v>1099.5425999999998</v>
      </c>
      <c r="G180" s="80"/>
      <c r="H180" s="81"/>
      <c r="I180" s="48"/>
    </row>
    <row r="181" spans="1:10" s="54" customFormat="1">
      <c r="A181" s="82" t="s">
        <v>237</v>
      </c>
      <c r="B181" s="83"/>
      <c r="C181" s="83"/>
      <c r="D181" s="83"/>
      <c r="E181" s="83"/>
      <c r="F181" s="83"/>
      <c r="G181" s="83"/>
      <c r="H181" s="84"/>
      <c r="I181" s="48"/>
    </row>
    <row r="182" spans="1:10" s="18" customFormat="1">
      <c r="A182" s="82" t="s">
        <v>154</v>
      </c>
      <c r="B182" s="83"/>
      <c r="C182" s="83"/>
      <c r="D182" s="83"/>
      <c r="E182" s="83"/>
      <c r="F182" s="83"/>
      <c r="G182" s="83"/>
      <c r="H182" s="84"/>
      <c r="I182" s="48"/>
    </row>
    <row r="183" spans="1:10" s="18" customFormat="1">
      <c r="A183" s="82" t="s">
        <v>174</v>
      </c>
      <c r="B183" s="83"/>
      <c r="C183" s="83"/>
      <c r="D183" s="83"/>
      <c r="E183" s="83"/>
      <c r="F183" s="83"/>
      <c r="G183" s="83"/>
      <c r="H183" s="84"/>
      <c r="J183" s="48"/>
    </row>
    <row r="184" spans="1:10" s="18" customFormat="1" ht="15.75" customHeight="1">
      <c r="A184" s="82" t="s">
        <v>231</v>
      </c>
      <c r="B184" s="83"/>
      <c r="C184" s="83"/>
      <c r="D184" s="83"/>
      <c r="E184" s="83"/>
      <c r="F184" s="83"/>
      <c r="G184" s="83"/>
      <c r="H184" s="84"/>
      <c r="J184" s="48"/>
    </row>
    <row r="185" spans="1:10" s="18" customFormat="1" ht="36.75" customHeight="1">
      <c r="A185" s="82" t="s">
        <v>244</v>
      </c>
      <c r="B185" s="83"/>
      <c r="C185" s="83"/>
      <c r="D185" s="83"/>
      <c r="E185" s="83"/>
      <c r="F185" s="83"/>
      <c r="G185" s="83"/>
      <c r="H185" s="84"/>
      <c r="I185" s="48"/>
    </row>
    <row r="186" spans="1:10" s="18" customFormat="1" ht="15.75" customHeight="1">
      <c r="A186" s="74">
        <v>1</v>
      </c>
      <c r="B186" s="75"/>
      <c r="C186" s="39" t="s">
        <v>176</v>
      </c>
      <c r="D186" s="39">
        <f>(96.6+6.7)*10.764</f>
        <v>1111.9212</v>
      </c>
      <c r="E186" s="39">
        <v>0</v>
      </c>
      <c r="F186" s="39">
        <f t="shared" ref="F186:F191" si="15">D186*(($F$157)+1)+(IF(E186&lt;101,E186,IF(E186&lt;201,E186/2,IF(E186&lt;=301,E186/3,E186/4))))</f>
        <v>1667.8818000000001</v>
      </c>
      <c r="G186" s="76" t="str">
        <f>A185</f>
        <v>1st, 3rd to 6th, 8th to 11th, 13th to 16th, 18th to 21st, 23rd to 26th,
 28th to 31st, 33rd to 36th Floor For Residential</v>
      </c>
      <c r="H186" s="77"/>
      <c r="I186" s="48"/>
    </row>
    <row r="187" spans="1:10" s="18" customFormat="1">
      <c r="A187" s="74">
        <f>A186+1</f>
        <v>2</v>
      </c>
      <c r="B187" s="75"/>
      <c r="C187" s="39" t="s">
        <v>176</v>
      </c>
      <c r="D187" s="39">
        <f>(99.16+6.7)*10.764</f>
        <v>1139.47704</v>
      </c>
      <c r="E187" s="39">
        <v>0</v>
      </c>
      <c r="F187" s="39">
        <f t="shared" si="15"/>
        <v>1709.2155600000001</v>
      </c>
      <c r="G187" s="78"/>
      <c r="H187" s="79"/>
      <c r="I187" s="48"/>
    </row>
    <row r="188" spans="1:10" s="18" customFormat="1">
      <c r="A188" s="74">
        <f t="shared" ref="A188:A191" si="16">A187+1</f>
        <v>3</v>
      </c>
      <c r="B188" s="75"/>
      <c r="C188" s="39" t="s">
        <v>176</v>
      </c>
      <c r="D188" s="53">
        <f>(90.77+6.68)*10.764</f>
        <v>1048.9517999999998</v>
      </c>
      <c r="E188" s="39">
        <v>0</v>
      </c>
      <c r="F188" s="39">
        <f t="shared" si="15"/>
        <v>1573.4276999999997</v>
      </c>
      <c r="G188" s="78"/>
      <c r="H188" s="79"/>
      <c r="I188" s="48">
        <f>13200000/F188</f>
        <v>8389.3273265749685</v>
      </c>
    </row>
    <row r="189" spans="1:10" s="18" customFormat="1">
      <c r="A189" s="74">
        <f t="shared" si="16"/>
        <v>4</v>
      </c>
      <c r="B189" s="75"/>
      <c r="C189" s="39" t="s">
        <v>176</v>
      </c>
      <c r="D189" s="53">
        <f>(92.13+6.6)*10.764</f>
        <v>1062.7297199999998</v>
      </c>
      <c r="E189" s="39">
        <v>0</v>
      </c>
      <c r="F189" s="39">
        <f t="shared" si="15"/>
        <v>1594.0945799999997</v>
      </c>
      <c r="G189" s="78"/>
      <c r="H189" s="79"/>
      <c r="I189" s="48"/>
    </row>
    <row r="190" spans="1:10" s="18" customFormat="1">
      <c r="A190" s="74">
        <f t="shared" si="16"/>
        <v>5</v>
      </c>
      <c r="B190" s="75"/>
      <c r="C190" s="39" t="s">
        <v>176</v>
      </c>
      <c r="D190" s="53">
        <f>(96.07+6.6)*10.764</f>
        <v>1105.1398799999997</v>
      </c>
      <c r="E190" s="39">
        <v>0</v>
      </c>
      <c r="F190" s="39">
        <f t="shared" si="15"/>
        <v>1657.7098199999996</v>
      </c>
      <c r="G190" s="78"/>
      <c r="H190" s="79"/>
      <c r="I190" s="48"/>
      <c r="J190" s="18">
        <f>3.3*2</f>
        <v>6.6</v>
      </c>
    </row>
    <row r="191" spans="1:10" s="18" customFormat="1">
      <c r="A191" s="74">
        <f t="shared" si="16"/>
        <v>6</v>
      </c>
      <c r="B191" s="75"/>
      <c r="C191" s="39" t="s">
        <v>176</v>
      </c>
      <c r="D191" s="53">
        <f>(94.07+6.7)*10.764</f>
        <v>1084.6882799999998</v>
      </c>
      <c r="E191" s="39">
        <v>0</v>
      </c>
      <c r="F191" s="39">
        <f t="shared" si="15"/>
        <v>1627.0324199999998</v>
      </c>
      <c r="G191" s="80"/>
      <c r="H191" s="81"/>
      <c r="I191" s="48">
        <f>5.42*3.35+3.6*1.5+3.65*2.45+4.3*3.05+0.9*1.15+2.45*1.35+3.65*3.05+3.95*3.05+1.35*2.45+2.45*1.35+0.9*3.3+3.5*1.5</f>
        <v>87.972000000000008</v>
      </c>
      <c r="J191" s="57">
        <f>2*3.35</f>
        <v>6.7</v>
      </c>
    </row>
    <row r="192" spans="1:10" s="54" customFormat="1">
      <c r="A192" s="82" t="s">
        <v>243</v>
      </c>
      <c r="B192" s="83"/>
      <c r="C192" s="83"/>
      <c r="D192" s="83"/>
      <c r="E192" s="83"/>
      <c r="F192" s="83"/>
      <c r="G192" s="83"/>
      <c r="H192" s="84"/>
      <c r="I192" s="48"/>
    </row>
    <row r="193" spans="1:10" s="54" customFormat="1" ht="15.75" customHeight="1">
      <c r="A193" s="74">
        <v>1</v>
      </c>
      <c r="B193" s="75"/>
      <c r="C193" s="53" t="s">
        <v>176</v>
      </c>
      <c r="D193" s="53">
        <f>(96.6+6.7)*10.764</f>
        <v>1111.9212</v>
      </c>
      <c r="E193" s="53">
        <v>0</v>
      </c>
      <c r="F193" s="53">
        <f t="shared" ref="F193:F198" si="17">D193*(($F$157)+1)+(IF(E193&lt;101,E193,IF(E193&lt;201,E193/2,IF(E193&lt;=301,E193/3,E193/4))))</f>
        <v>1667.8818000000001</v>
      </c>
      <c r="G193" s="76" t="str">
        <f>A192</f>
        <v>2nd, 7th, 12th, 17th, 22nd, 27th &amp; 37th Floor (Refuge Area at Mid-Landing)</v>
      </c>
      <c r="H193" s="77"/>
      <c r="I193" s="48"/>
    </row>
    <row r="194" spans="1:10" s="54" customFormat="1">
      <c r="A194" s="74">
        <f>A193+1</f>
        <v>2</v>
      </c>
      <c r="B194" s="75"/>
      <c r="C194" s="53" t="s">
        <v>176</v>
      </c>
      <c r="D194" s="53">
        <f>(99.16+6.7)*10.764</f>
        <v>1139.47704</v>
      </c>
      <c r="E194" s="53">
        <v>0</v>
      </c>
      <c r="F194" s="53">
        <f t="shared" si="17"/>
        <v>1709.2155600000001</v>
      </c>
      <c r="G194" s="78"/>
      <c r="H194" s="79"/>
      <c r="I194" s="48"/>
    </row>
    <row r="195" spans="1:10" s="54" customFormat="1">
      <c r="A195" s="74">
        <f t="shared" ref="A195:A198" si="18">A194+1</f>
        <v>3</v>
      </c>
      <c r="B195" s="75"/>
      <c r="C195" s="53" t="s">
        <v>176</v>
      </c>
      <c r="D195" s="53">
        <f>(90.77+6.68)*10.764</f>
        <v>1048.9517999999998</v>
      </c>
      <c r="E195" s="53">
        <v>0</v>
      </c>
      <c r="F195" s="53">
        <f t="shared" si="17"/>
        <v>1573.4276999999997</v>
      </c>
      <c r="G195" s="78"/>
      <c r="H195" s="79"/>
      <c r="I195" s="48"/>
    </row>
    <row r="196" spans="1:10" s="54" customFormat="1">
      <c r="A196" s="74">
        <f t="shared" si="18"/>
        <v>4</v>
      </c>
      <c r="B196" s="75"/>
      <c r="C196" s="53" t="s">
        <v>176</v>
      </c>
      <c r="D196" s="53">
        <f>(92.13+6.6)*10.764</f>
        <v>1062.7297199999998</v>
      </c>
      <c r="E196" s="53">
        <v>0</v>
      </c>
      <c r="F196" s="53">
        <f t="shared" si="17"/>
        <v>1594.0945799999997</v>
      </c>
      <c r="G196" s="78"/>
      <c r="H196" s="79"/>
      <c r="I196" s="48"/>
    </row>
    <row r="197" spans="1:10" s="54" customFormat="1">
      <c r="A197" s="74">
        <f t="shared" si="18"/>
        <v>5</v>
      </c>
      <c r="B197" s="75"/>
      <c r="C197" s="53" t="s">
        <v>176</v>
      </c>
      <c r="D197" s="53">
        <f>(96.07+6.6)*10.764</f>
        <v>1105.1398799999997</v>
      </c>
      <c r="E197" s="53">
        <v>0</v>
      </c>
      <c r="F197" s="53">
        <f t="shared" si="17"/>
        <v>1657.7098199999996</v>
      </c>
      <c r="G197" s="78"/>
      <c r="H197" s="79"/>
      <c r="I197" s="48"/>
      <c r="J197" s="54">
        <f>3.3*2</f>
        <v>6.6</v>
      </c>
    </row>
    <row r="198" spans="1:10" s="54" customFormat="1">
      <c r="A198" s="74">
        <f t="shared" si="18"/>
        <v>6</v>
      </c>
      <c r="B198" s="75"/>
      <c r="C198" s="53" t="s">
        <v>176</v>
      </c>
      <c r="D198" s="53">
        <f>(94.07+6.7)*10.764</f>
        <v>1084.6882799999998</v>
      </c>
      <c r="E198" s="53">
        <v>0</v>
      </c>
      <c r="F198" s="53">
        <f t="shared" si="17"/>
        <v>1627.0324199999998</v>
      </c>
      <c r="G198" s="80"/>
      <c r="H198" s="81"/>
      <c r="I198" s="48">
        <f>5.42*3.35+3.6*1.5+3.65*2.45+4.3*3.05+0.9*1.15+2.45*1.35+3.65*3.05+3.95*3.05+1.35*2.45+2.45*1.35+0.9*3.3+3.5*1.5</f>
        <v>87.972000000000008</v>
      </c>
      <c r="J198" s="57">
        <f>2*3.35</f>
        <v>6.7</v>
      </c>
    </row>
    <row r="199" spans="1:10" s="54" customFormat="1">
      <c r="A199" s="82" t="s">
        <v>234</v>
      </c>
      <c r="B199" s="83"/>
      <c r="C199" s="83"/>
      <c r="D199" s="83"/>
      <c r="E199" s="83"/>
      <c r="F199" s="83"/>
      <c r="G199" s="83"/>
      <c r="H199" s="84"/>
      <c r="I199" s="48"/>
    </row>
    <row r="200" spans="1:10" s="54" customFormat="1" ht="15.75" customHeight="1">
      <c r="A200" s="74">
        <v>1</v>
      </c>
      <c r="B200" s="75"/>
      <c r="C200" s="53" t="s">
        <v>176</v>
      </c>
      <c r="D200" s="53">
        <f>(96.6+6.7)*10.764</f>
        <v>1111.9212</v>
      </c>
      <c r="E200" s="53">
        <v>0</v>
      </c>
      <c r="F200" s="53">
        <f t="shared" ref="F200:F205" si="19">D200*(($F$157)+1)+(IF(E200&lt;101,E200,IF(E200&lt;201,E200/2,IF(E200&lt;=301,E200/3,E200/4))))</f>
        <v>1667.8818000000001</v>
      </c>
      <c r="G200" s="76" t="str">
        <f>A199</f>
        <v>32nd Floor For Residential &amp; Recreational Area (Refuge Area at Mid-Landing)</v>
      </c>
      <c r="H200" s="77"/>
      <c r="I200" s="48">
        <f>3.35*5.2+2.6*3.9+2.45*3.65+3.05*3.65+3.05*4.3+3.65*3.8+1.5*2.45+2.6*1.3+1.35*2.75+0.9*4.3+1*1.6</f>
        <v>90.857500000000002</v>
      </c>
    </row>
    <row r="201" spans="1:10" s="54" customFormat="1">
      <c r="A201" s="74">
        <f>A200+1</f>
        <v>2</v>
      </c>
      <c r="B201" s="75"/>
      <c r="C201" s="53" t="s">
        <v>235</v>
      </c>
      <c r="D201" s="74" t="s">
        <v>236</v>
      </c>
      <c r="E201" s="101"/>
      <c r="F201" s="75"/>
      <c r="G201" s="78"/>
      <c r="H201" s="79"/>
      <c r="I201" s="48"/>
    </row>
    <row r="202" spans="1:10" s="54" customFormat="1">
      <c r="A202" s="74">
        <f t="shared" ref="A202:A205" si="20">A201+1</f>
        <v>3</v>
      </c>
      <c r="B202" s="75"/>
      <c r="C202" s="53" t="s">
        <v>176</v>
      </c>
      <c r="D202" s="53">
        <f>(90.77+6.68)*10.764</f>
        <v>1048.9517999999998</v>
      </c>
      <c r="E202" s="53">
        <v>0</v>
      </c>
      <c r="F202" s="53">
        <f t="shared" si="19"/>
        <v>1573.4276999999997</v>
      </c>
      <c r="G202" s="78"/>
      <c r="H202" s="79"/>
      <c r="I202" s="48"/>
    </row>
    <row r="203" spans="1:10" s="54" customFormat="1">
      <c r="A203" s="74">
        <f t="shared" si="20"/>
        <v>4</v>
      </c>
      <c r="B203" s="75"/>
      <c r="C203" s="53" t="s">
        <v>176</v>
      </c>
      <c r="D203" s="53">
        <f>(92.13+6.6)*10.764</f>
        <v>1062.7297199999998</v>
      </c>
      <c r="E203" s="53">
        <v>0</v>
      </c>
      <c r="F203" s="53">
        <f t="shared" si="19"/>
        <v>1594.0945799999997</v>
      </c>
      <c r="G203" s="78"/>
      <c r="H203" s="79"/>
      <c r="I203" s="48"/>
    </row>
    <row r="204" spans="1:10" s="54" customFormat="1">
      <c r="A204" s="74">
        <f t="shared" si="20"/>
        <v>5</v>
      </c>
      <c r="B204" s="75"/>
      <c r="C204" s="53" t="s">
        <v>176</v>
      </c>
      <c r="D204" s="53">
        <f>(96.07+6.6)*10.764</f>
        <v>1105.1398799999997</v>
      </c>
      <c r="E204" s="53">
        <v>0</v>
      </c>
      <c r="F204" s="53">
        <f t="shared" si="19"/>
        <v>1657.7098199999996</v>
      </c>
      <c r="G204" s="78"/>
      <c r="H204" s="79"/>
      <c r="I204" s="48"/>
      <c r="J204" s="57"/>
    </row>
    <row r="205" spans="1:10" s="54" customFormat="1">
      <c r="A205" s="74">
        <f t="shared" si="20"/>
        <v>6</v>
      </c>
      <c r="B205" s="75"/>
      <c r="C205" s="53" t="s">
        <v>176</v>
      </c>
      <c r="D205" s="53">
        <f>(94.07+6.7)*10.764</f>
        <v>1084.6882799999998</v>
      </c>
      <c r="E205" s="53">
        <v>0</v>
      </c>
      <c r="F205" s="53">
        <f t="shared" si="19"/>
        <v>1627.0324199999998</v>
      </c>
      <c r="G205" s="80"/>
      <c r="H205" s="81"/>
      <c r="I205" s="48"/>
      <c r="J205" s="57"/>
    </row>
    <row r="206" spans="1:10" s="54" customFormat="1">
      <c r="A206" s="82" t="s">
        <v>238</v>
      </c>
      <c r="B206" s="83"/>
      <c r="C206" s="83"/>
      <c r="D206" s="83"/>
      <c r="E206" s="83"/>
      <c r="F206" s="83"/>
      <c r="G206" s="83"/>
      <c r="H206" s="84"/>
      <c r="I206" s="48"/>
    </row>
    <row r="207" spans="1:10" s="54" customFormat="1" ht="47.25">
      <c r="A207" s="74" t="s">
        <v>239</v>
      </c>
      <c r="B207" s="75"/>
      <c r="C207" s="53" t="s">
        <v>242</v>
      </c>
      <c r="D207" s="53">
        <f>(432.4)*10.764</f>
        <v>4654.3535999999995</v>
      </c>
      <c r="E207" s="53">
        <f>105.15*10.764</f>
        <v>1131.8345999999999</v>
      </c>
      <c r="F207" s="53">
        <f>D207*(($F$157)+1)+(IF(E207&lt;101,E207,IF(E207&lt;201,E207/2,IF(E207&lt;=301,E207/3,E207/4))))</f>
        <v>7264.4890499999992</v>
      </c>
      <c r="G207" s="76" t="str">
        <f>A206</f>
        <v>38th Floor For Residential</v>
      </c>
      <c r="H207" s="77"/>
      <c r="I207" s="48"/>
    </row>
    <row r="208" spans="1:10" s="54" customFormat="1" ht="47.25">
      <c r="A208" s="74" t="s">
        <v>240</v>
      </c>
      <c r="B208" s="75"/>
      <c r="C208" s="53" t="s">
        <v>241</v>
      </c>
      <c r="D208" s="53">
        <f>(821.67)*10.764</f>
        <v>8844.4558799999995</v>
      </c>
      <c r="E208" s="53">
        <f>164.35*10.764</f>
        <v>1769.0633999999998</v>
      </c>
      <c r="F208" s="53">
        <f>D208*(($F$157)+1)+(IF(E208&lt;101,E208,IF(E208&lt;201,E208/2,IF(E208&lt;=301,E208/3,E208/4))))</f>
        <v>13708.949669999998</v>
      </c>
      <c r="G208" s="80"/>
      <c r="H208" s="81"/>
      <c r="I208" s="48"/>
    </row>
    <row r="209" spans="1:14" s="54" customFormat="1">
      <c r="A209" s="102" t="s">
        <v>245</v>
      </c>
      <c r="B209" s="102"/>
      <c r="C209" s="102"/>
      <c r="D209" s="102"/>
      <c r="E209" s="102"/>
      <c r="F209" s="102"/>
      <c r="G209" s="102"/>
      <c r="H209" s="102"/>
      <c r="I209" s="48"/>
      <c r="L209" s="60"/>
      <c r="M209" s="60"/>
    </row>
    <row r="210" spans="1:14" s="18" customFormat="1" hidden="1">
      <c r="A210" s="102" t="s">
        <v>177</v>
      </c>
      <c r="B210" s="102"/>
      <c r="C210" s="102"/>
      <c r="D210" s="102"/>
      <c r="E210" s="102"/>
      <c r="F210" s="102"/>
      <c r="G210" s="102"/>
      <c r="H210" s="102"/>
      <c r="I210" s="48"/>
      <c r="L210" s="60"/>
      <c r="M210" s="60"/>
    </row>
    <row r="211" spans="1:14" s="18" customFormat="1" hidden="1">
      <c r="A211" s="123">
        <f>LEFT(A210,SUM(LEN(A210)-LEN(SUBSTITUTE(A210,{"0","1","2","3","4","5","6","7","8","9"},""))))*100+1</f>
        <v>301</v>
      </c>
      <c r="B211" s="123"/>
      <c r="C211" s="39" t="s">
        <v>176</v>
      </c>
      <c r="D211" s="39">
        <f>(97.76+6.7)*10.764</f>
        <v>1124.40744</v>
      </c>
      <c r="E211" s="39">
        <v>0</v>
      </c>
      <c r="F211" s="39">
        <f t="shared" ref="F211:F212" si="21">D211*(($F$157)+1)+(IF(E211&lt;101,E211,IF(E211&lt;201,E211/2,IF(E211&lt;=301,E211/3,E211/4))))</f>
        <v>1686.6111599999999</v>
      </c>
      <c r="G211" s="76" t="str">
        <f>A210</f>
        <v>3rd Floor</v>
      </c>
      <c r="H211" s="77"/>
      <c r="I211" s="48"/>
      <c r="N211" s="48"/>
    </row>
    <row r="212" spans="1:14" s="18" customFormat="1" hidden="1">
      <c r="A212" s="123">
        <f>A211+1</f>
        <v>302</v>
      </c>
      <c r="B212" s="123"/>
      <c r="C212" s="39" t="s">
        <v>176</v>
      </c>
      <c r="D212" s="39">
        <f>(99.69+6.7)*10.764</f>
        <v>1145.1819599999999</v>
      </c>
      <c r="E212" s="39">
        <v>0</v>
      </c>
      <c r="F212" s="39">
        <f t="shared" si="21"/>
        <v>1717.7729399999998</v>
      </c>
      <c r="G212" s="78"/>
      <c r="H212" s="79"/>
      <c r="I212" s="48"/>
      <c r="N212" s="48"/>
    </row>
    <row r="213" spans="1:14" s="18" customFormat="1" hidden="1">
      <c r="A213" s="123">
        <f>A212+1</f>
        <v>303</v>
      </c>
      <c r="B213" s="123"/>
      <c r="C213" s="76" t="s">
        <v>178</v>
      </c>
      <c r="D213" s="124"/>
      <c r="E213" s="124"/>
      <c r="F213" s="77"/>
      <c r="G213" s="78"/>
      <c r="H213" s="79"/>
      <c r="I213" s="48"/>
      <c r="N213" s="48"/>
    </row>
    <row r="214" spans="1:14" s="18" customFormat="1" hidden="1">
      <c r="A214" s="123">
        <f>A213+1</f>
        <v>304</v>
      </c>
      <c r="B214" s="123"/>
      <c r="C214" s="78"/>
      <c r="D214" s="125"/>
      <c r="E214" s="125"/>
      <c r="F214" s="79"/>
      <c r="G214" s="78"/>
      <c r="H214" s="79"/>
      <c r="I214" s="48"/>
      <c r="N214" s="48"/>
    </row>
    <row r="215" spans="1:14" s="18" customFormat="1" hidden="1">
      <c r="A215" s="123">
        <f>A214+1</f>
        <v>305</v>
      </c>
      <c r="B215" s="123"/>
      <c r="C215" s="80"/>
      <c r="D215" s="126"/>
      <c r="E215" s="126"/>
      <c r="F215" s="81"/>
      <c r="G215" s="78"/>
      <c r="H215" s="79"/>
      <c r="I215" s="48"/>
      <c r="N215" s="48"/>
    </row>
    <row r="216" spans="1:14" s="18" customFormat="1" hidden="1">
      <c r="A216" s="123">
        <f>A215+1</f>
        <v>306</v>
      </c>
      <c r="B216" s="123"/>
      <c r="C216" s="39" t="s">
        <v>179</v>
      </c>
      <c r="D216" s="39">
        <f>(54.77+6.7)*10.764</f>
        <v>661.66308000000004</v>
      </c>
      <c r="E216" s="39">
        <v>0</v>
      </c>
      <c r="F216" s="39">
        <f>D216*(($F$157)+1)+(IF(E216&lt;101,E216,IF(E216&lt;201,E216/2,IF(E216&lt;=301,E216/3,E216/4))))</f>
        <v>992.49462000000005</v>
      </c>
      <c r="G216" s="80"/>
      <c r="H216" s="81"/>
      <c r="I216" s="48"/>
      <c r="N216" s="48"/>
    </row>
    <row r="217" spans="1:14" s="17" customFormat="1">
      <c r="A217" s="118" t="s">
        <v>180</v>
      </c>
      <c r="B217" s="118"/>
      <c r="C217" s="118"/>
      <c r="D217" s="118"/>
      <c r="E217" s="118"/>
      <c r="F217" s="118"/>
      <c r="G217" s="118"/>
      <c r="H217" s="118"/>
    </row>
    <row r="218" spans="1:14" s="17" customFormat="1" ht="32.25" customHeight="1">
      <c r="A218" s="49" t="s">
        <v>181</v>
      </c>
      <c r="B218" s="61" t="s">
        <v>217</v>
      </c>
      <c r="C218" s="62"/>
      <c r="D218" s="62"/>
      <c r="E218" s="62"/>
      <c r="F218" s="62"/>
      <c r="G218" s="62"/>
      <c r="H218" s="63"/>
    </row>
    <row r="219" spans="1:14" s="17" customFormat="1">
      <c r="A219" s="49" t="s">
        <v>181</v>
      </c>
      <c r="B219" s="61" t="str">
        <f>(IF(F156="Saleable area Loading :","We have considered Saleable area of Flats as per our Calculation.","We considered Saleable area of Flat as per Builder area Sheet."))</f>
        <v>We have considered Saleable area of Flats as per our Calculation.</v>
      </c>
      <c r="C219" s="62"/>
      <c r="D219" s="62"/>
      <c r="E219" s="62"/>
      <c r="F219" s="62"/>
      <c r="G219" s="62"/>
      <c r="H219" s="63"/>
    </row>
    <row r="220" spans="1:14" s="17" customFormat="1">
      <c r="A220" s="49" t="s">
        <v>181</v>
      </c>
      <c r="B220" s="61" t="str">
        <f>(IF(F119="Saleable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20" s="62"/>
      <c r="D220" s="62"/>
      <c r="E220" s="62"/>
      <c r="F220" s="62"/>
      <c r="G220" s="62"/>
      <c r="H220" s="63"/>
    </row>
    <row r="221" spans="1:14" s="17" customFormat="1">
      <c r="A221" s="36" t="s">
        <v>181</v>
      </c>
      <c r="B221" s="119" t="s">
        <v>182</v>
      </c>
      <c r="C221" s="120"/>
      <c r="D221" s="120"/>
      <c r="E221" s="120"/>
      <c r="F221" s="120"/>
      <c r="G221" s="120"/>
      <c r="H221" s="121"/>
      <c r="I221" s="17" t="s">
        <v>213</v>
      </c>
    </row>
    <row r="222" spans="1:14" s="17" customFormat="1">
      <c r="A222" s="36" t="s">
        <v>181</v>
      </c>
      <c r="B222" s="119" t="s">
        <v>246</v>
      </c>
      <c r="C222" s="120"/>
      <c r="D222" s="120"/>
      <c r="E222" s="120"/>
      <c r="F222" s="120"/>
      <c r="G222" s="120"/>
      <c r="H222" s="121"/>
    </row>
    <row r="223" spans="1:14" s="17" customFormat="1">
      <c r="A223" s="36" t="s">
        <v>181</v>
      </c>
      <c r="B223" s="119" t="s">
        <v>183</v>
      </c>
      <c r="C223" s="120"/>
      <c r="D223" s="120"/>
      <c r="E223" s="120"/>
      <c r="F223" s="120"/>
      <c r="G223" s="120"/>
      <c r="H223" s="121"/>
    </row>
    <row r="224" spans="1:14" s="17" customFormat="1">
      <c r="A224" s="36" t="s">
        <v>181</v>
      </c>
      <c r="B224" s="119" t="s">
        <v>184</v>
      </c>
      <c r="C224" s="120"/>
      <c r="D224" s="120"/>
      <c r="E224" s="120"/>
      <c r="F224" s="120"/>
      <c r="G224" s="120"/>
      <c r="H224" s="121"/>
    </row>
    <row r="225" spans="1:8" s="17" customFormat="1" ht="31.5" customHeight="1">
      <c r="A225" s="36" t="s">
        <v>181</v>
      </c>
      <c r="B225" s="119" t="s">
        <v>185</v>
      </c>
      <c r="C225" s="120"/>
      <c r="D225" s="120"/>
      <c r="E225" s="120"/>
      <c r="F225" s="120"/>
      <c r="G225" s="120"/>
      <c r="H225" s="121"/>
    </row>
    <row r="226" spans="1:8" s="17" customFormat="1">
      <c r="A226" s="36" t="s">
        <v>181</v>
      </c>
      <c r="B226" s="61" t="s">
        <v>186</v>
      </c>
      <c r="C226" s="62"/>
      <c r="D226" s="62"/>
      <c r="E226" s="62"/>
      <c r="F226" s="62"/>
      <c r="G226" s="62"/>
      <c r="H226" s="63"/>
    </row>
    <row r="227" spans="1:8" s="17" customFormat="1">
      <c r="A227" s="36" t="s">
        <v>181</v>
      </c>
      <c r="B227" s="61" t="s">
        <v>187</v>
      </c>
      <c r="C227" s="62"/>
      <c r="D227" s="62"/>
      <c r="E227" s="62"/>
      <c r="F227" s="62"/>
      <c r="G227" s="62"/>
      <c r="H227" s="63"/>
    </row>
    <row r="228" spans="1:8" s="17" customFormat="1" ht="34.15" hidden="1" customHeight="1">
      <c r="A228" s="55" t="s">
        <v>181</v>
      </c>
      <c r="B228" s="61" t="s">
        <v>188</v>
      </c>
      <c r="C228" s="62"/>
      <c r="D228" s="62"/>
      <c r="E228" s="62"/>
      <c r="F228" s="62"/>
      <c r="G228" s="62"/>
      <c r="H228" s="63"/>
    </row>
    <row r="229" spans="1:8" s="17" customFormat="1">
      <c r="A229" s="55" t="s">
        <v>181</v>
      </c>
      <c r="B229" s="61" t="s">
        <v>247</v>
      </c>
      <c r="C229" s="62"/>
      <c r="D229" s="62"/>
      <c r="E229" s="62"/>
      <c r="F229" s="62"/>
      <c r="G229" s="62"/>
      <c r="H229" s="63"/>
    </row>
    <row r="230" spans="1:8" s="17" customFormat="1">
      <c r="A230" s="59" t="s">
        <v>181</v>
      </c>
      <c r="B230" s="61" t="s">
        <v>248</v>
      </c>
      <c r="C230" s="62"/>
      <c r="D230" s="62"/>
      <c r="E230" s="62"/>
      <c r="F230" s="62"/>
      <c r="G230" s="62"/>
      <c r="H230" s="63"/>
    </row>
    <row r="231" spans="1:8" s="17" customFormat="1">
      <c r="A231" s="200" t="s">
        <v>181</v>
      </c>
      <c r="B231" s="201" t="s">
        <v>261</v>
      </c>
      <c r="C231" s="202"/>
      <c r="D231" s="202"/>
      <c r="E231" s="202"/>
      <c r="F231" s="202"/>
      <c r="G231" s="202"/>
      <c r="H231" s="203"/>
    </row>
    <row r="232" spans="1:8">
      <c r="A232" s="122" t="s">
        <v>189</v>
      </c>
      <c r="B232" s="122"/>
      <c r="C232" s="122"/>
      <c r="D232" s="122"/>
      <c r="E232" s="122"/>
      <c r="F232" s="122"/>
      <c r="G232" s="122"/>
      <c r="H232" s="122"/>
    </row>
    <row r="233" spans="1:8">
      <c r="A233" s="94" t="s">
        <v>190</v>
      </c>
      <c r="B233" s="94"/>
      <c r="C233" s="94"/>
      <c r="D233" s="94"/>
      <c r="E233" s="94"/>
      <c r="F233" s="94"/>
      <c r="G233" s="94"/>
      <c r="H233" s="94"/>
    </row>
    <row r="234" spans="1:8" ht="15.75" customHeight="1">
      <c r="A234" s="117" t="s">
        <v>191</v>
      </c>
      <c r="B234" s="117"/>
      <c r="C234" s="117"/>
      <c r="D234" s="117"/>
      <c r="E234" s="117"/>
      <c r="F234" s="117"/>
      <c r="G234" s="117"/>
      <c r="H234" s="117"/>
    </row>
    <row r="235" spans="1:8">
      <c r="A235" s="94" t="s">
        <v>192</v>
      </c>
      <c r="B235" s="94"/>
      <c r="C235" s="94"/>
      <c r="D235" s="94"/>
      <c r="E235" s="94"/>
      <c r="F235" s="94"/>
      <c r="G235" s="94"/>
      <c r="H235" s="94"/>
    </row>
    <row r="236" spans="1:8">
      <c r="A236" s="94" t="s">
        <v>193</v>
      </c>
      <c r="B236" s="94"/>
      <c r="C236" s="94"/>
      <c r="D236" s="94"/>
      <c r="E236" s="94"/>
      <c r="F236" s="94"/>
      <c r="G236" s="94"/>
      <c r="H236" s="94"/>
    </row>
    <row r="237" spans="1:8">
      <c r="A237" s="94" t="s">
        <v>194</v>
      </c>
      <c r="B237" s="94"/>
      <c r="C237" s="94"/>
      <c r="D237" s="94"/>
      <c r="E237" s="94"/>
      <c r="F237" s="94"/>
      <c r="G237" s="94"/>
      <c r="H237" s="94"/>
    </row>
    <row r="238" spans="1:8">
      <c r="A238" s="95" t="s">
        <v>195</v>
      </c>
      <c r="B238" s="95"/>
      <c r="C238" s="95"/>
      <c r="D238" s="95"/>
      <c r="E238" s="95"/>
      <c r="F238" s="95"/>
      <c r="G238" s="95"/>
      <c r="H238" s="95"/>
    </row>
    <row r="239" spans="1:8" ht="15.75" customHeight="1">
      <c r="A239" s="96" t="s">
        <v>196</v>
      </c>
      <c r="B239" s="96"/>
      <c r="C239" s="96" t="s">
        <v>216</v>
      </c>
      <c r="D239" s="96"/>
      <c r="E239" s="96" t="s">
        <v>197</v>
      </c>
      <c r="F239" s="96"/>
      <c r="G239" s="96" t="s">
        <v>215</v>
      </c>
      <c r="H239" s="96"/>
    </row>
    <row r="240" spans="1:8">
      <c r="A240" s="85" t="s">
        <v>198</v>
      </c>
      <c r="B240" s="85"/>
      <c r="C240" s="85"/>
      <c r="D240" s="85"/>
      <c r="E240" s="85"/>
      <c r="F240" s="85"/>
      <c r="G240" s="85"/>
      <c r="H240" s="85"/>
    </row>
    <row r="241" spans="1:8">
      <c r="A241" s="85"/>
      <c r="B241" s="85"/>
      <c r="C241" s="85"/>
      <c r="D241" s="85"/>
      <c r="E241" s="85"/>
      <c r="F241" s="85"/>
      <c r="G241" s="85"/>
      <c r="H241" s="85"/>
    </row>
    <row r="242" spans="1:8">
      <c r="A242" s="85"/>
      <c r="B242" s="85"/>
      <c r="C242" s="85"/>
      <c r="D242" s="85"/>
      <c r="E242" s="85"/>
      <c r="F242" s="85"/>
      <c r="G242" s="85"/>
      <c r="H242" s="85"/>
    </row>
    <row r="243" spans="1:8">
      <c r="A243" s="85"/>
      <c r="B243" s="85"/>
      <c r="C243" s="85"/>
      <c r="D243" s="85"/>
      <c r="E243" s="85"/>
      <c r="F243" s="85"/>
      <c r="G243" s="85"/>
      <c r="H243" s="85"/>
    </row>
    <row r="244" spans="1:8">
      <c r="A244" s="50" t="s">
        <v>199</v>
      </c>
      <c r="B244" s="51"/>
      <c r="C244" s="51"/>
      <c r="D244" s="50" t="str">
        <f>E8</f>
        <v>Tharwani Majestic Towers - Phase I &amp; II</v>
      </c>
      <c r="F244" s="51"/>
      <c r="G244" s="51"/>
      <c r="H244" s="51"/>
    </row>
    <row r="245" spans="1:8">
      <c r="A245" s="51"/>
      <c r="B245" s="51"/>
      <c r="C245" s="51"/>
      <c r="D245" s="51"/>
      <c r="E245" s="51"/>
      <c r="F245" s="51"/>
      <c r="G245" s="51"/>
      <c r="H245" s="51"/>
    </row>
    <row r="246" spans="1:8">
      <c r="A246" s="51"/>
      <c r="B246" s="51"/>
      <c r="C246" s="51"/>
      <c r="D246" s="51"/>
      <c r="E246" s="51"/>
      <c r="F246" s="51"/>
      <c r="G246" s="51"/>
      <c r="H246" s="51"/>
    </row>
    <row r="247" spans="1:8" ht="15" customHeight="1"/>
    <row r="286" spans="1:1">
      <c r="A286" s="52" t="s">
        <v>255</v>
      </c>
    </row>
    <row r="318" hidden="1"/>
    <row r="319" hidden="1"/>
    <row r="320" hidden="1"/>
    <row r="321" spans="1:1" hidden="1"/>
    <row r="322" spans="1:1" hidden="1"/>
    <row r="328" spans="1:1">
      <c r="A328" s="52" t="s">
        <v>200</v>
      </c>
    </row>
  </sheetData>
  <mergeCells count="440"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B13"/>
    <mergeCell ref="C13:H13"/>
    <mergeCell ref="A14:B14"/>
    <mergeCell ref="C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21:D21"/>
    <mergeCell ref="E21:H21"/>
    <mergeCell ref="A22:D22"/>
    <mergeCell ref="E22:H22"/>
    <mergeCell ref="A23:D23"/>
    <mergeCell ref="E23:H23"/>
    <mergeCell ref="A24:D24"/>
    <mergeCell ref="E24:H24"/>
    <mergeCell ref="A25:D25"/>
    <mergeCell ref="E25:H25"/>
    <mergeCell ref="A26:D26"/>
    <mergeCell ref="E26:H26"/>
    <mergeCell ref="A27:D27"/>
    <mergeCell ref="E27:H27"/>
    <mergeCell ref="A28:D28"/>
    <mergeCell ref="E28:H28"/>
    <mergeCell ref="A29:B29"/>
    <mergeCell ref="C29:E29"/>
    <mergeCell ref="F29:H29"/>
    <mergeCell ref="A30:B30"/>
    <mergeCell ref="C30:E30"/>
    <mergeCell ref="F30:H30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34:H34"/>
    <mergeCell ref="A35:B35"/>
    <mergeCell ref="C35:H35"/>
    <mergeCell ref="A36:B36"/>
    <mergeCell ref="C36:H36"/>
    <mergeCell ref="A37:H37"/>
    <mergeCell ref="A38:D38"/>
    <mergeCell ref="E38:H38"/>
    <mergeCell ref="A39:D39"/>
    <mergeCell ref="E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H44"/>
    <mergeCell ref="A45:B45"/>
    <mergeCell ref="C45:H45"/>
    <mergeCell ref="A46:B46"/>
    <mergeCell ref="C46:E46"/>
    <mergeCell ref="G46:H46"/>
    <mergeCell ref="A47:B47"/>
    <mergeCell ref="C47:E47"/>
    <mergeCell ref="G47:H47"/>
    <mergeCell ref="C48:E48"/>
    <mergeCell ref="G48:H48"/>
    <mergeCell ref="C49:H49"/>
    <mergeCell ref="A50:B50"/>
    <mergeCell ref="C50:E50"/>
    <mergeCell ref="G50:H50"/>
    <mergeCell ref="A51:H51"/>
    <mergeCell ref="A52:C52"/>
    <mergeCell ref="D52:H52"/>
    <mergeCell ref="A53:C53"/>
    <mergeCell ref="D53:H53"/>
    <mergeCell ref="A54:C54"/>
    <mergeCell ref="D54:H54"/>
    <mergeCell ref="D55:H55"/>
    <mergeCell ref="D56:H56"/>
    <mergeCell ref="A57:C57"/>
    <mergeCell ref="D57:H57"/>
    <mergeCell ref="A58:C58"/>
    <mergeCell ref="D58:H58"/>
    <mergeCell ref="A59:C59"/>
    <mergeCell ref="D59:H59"/>
    <mergeCell ref="A60:C60"/>
    <mergeCell ref="D60:H60"/>
    <mergeCell ref="A61:C61"/>
    <mergeCell ref="D61:H61"/>
    <mergeCell ref="A62:C62"/>
    <mergeCell ref="D62:H62"/>
    <mergeCell ref="A63:C63"/>
    <mergeCell ref="D63:H63"/>
    <mergeCell ref="A64:B64"/>
    <mergeCell ref="C64:H64"/>
    <mergeCell ref="A66:B66"/>
    <mergeCell ref="C66:H66"/>
    <mergeCell ref="A67:B67"/>
    <mergeCell ref="E67:F67"/>
    <mergeCell ref="G67:H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C78:H78"/>
    <mergeCell ref="A80:B80"/>
    <mergeCell ref="C80:H80"/>
    <mergeCell ref="A81:B81"/>
    <mergeCell ref="E81:F81"/>
    <mergeCell ref="G81:H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E92"/>
    <mergeCell ref="F92:H92"/>
    <mergeCell ref="E82:F91"/>
    <mergeCell ref="G82:H91"/>
    <mergeCell ref="A93:E93"/>
    <mergeCell ref="F93:H93"/>
    <mergeCell ref="A94:E94"/>
    <mergeCell ref="F94:H94"/>
    <mergeCell ref="A95:E95"/>
    <mergeCell ref="F95:H95"/>
    <mergeCell ref="A96:E96"/>
    <mergeCell ref="F96:H96"/>
    <mergeCell ref="A97:E97"/>
    <mergeCell ref="F97:H97"/>
    <mergeCell ref="A98:E98"/>
    <mergeCell ref="F98:H98"/>
    <mergeCell ref="A99:E99"/>
    <mergeCell ref="F99:H99"/>
    <mergeCell ref="A100:E100"/>
    <mergeCell ref="F100:H100"/>
    <mergeCell ref="A101:E101"/>
    <mergeCell ref="F101:H101"/>
    <mergeCell ref="A102:E102"/>
    <mergeCell ref="F102:H102"/>
    <mergeCell ref="C109:D109"/>
    <mergeCell ref="E109:F109"/>
    <mergeCell ref="G109:H109"/>
    <mergeCell ref="A111:H111"/>
    <mergeCell ref="A112:B112"/>
    <mergeCell ref="C112:D112"/>
    <mergeCell ref="E112:F112"/>
    <mergeCell ref="G112:H112"/>
    <mergeCell ref="A103:E103"/>
    <mergeCell ref="F103:H103"/>
    <mergeCell ref="A104:E104"/>
    <mergeCell ref="F104:H104"/>
    <mergeCell ref="A105:E105"/>
    <mergeCell ref="F105:H105"/>
    <mergeCell ref="A106:H106"/>
    <mergeCell ref="A107:B107"/>
    <mergeCell ref="C107:D107"/>
    <mergeCell ref="E107:F107"/>
    <mergeCell ref="G107:H107"/>
    <mergeCell ref="A113:B113"/>
    <mergeCell ref="C113:D113"/>
    <mergeCell ref="E113:F113"/>
    <mergeCell ref="G113:H113"/>
    <mergeCell ref="A114:B114"/>
    <mergeCell ref="C114:D114"/>
    <mergeCell ref="E114:F114"/>
    <mergeCell ref="G114:H114"/>
    <mergeCell ref="A115:B115"/>
    <mergeCell ref="C115:D115"/>
    <mergeCell ref="E115:F115"/>
    <mergeCell ref="G115:H115"/>
    <mergeCell ref="A117:H117"/>
    <mergeCell ref="A118:H118"/>
    <mergeCell ref="A121:H121"/>
    <mergeCell ref="A122:H122"/>
    <mergeCell ref="A123:B123"/>
    <mergeCell ref="G123:H123"/>
    <mergeCell ref="L123:M123"/>
    <mergeCell ref="A124:B124"/>
    <mergeCell ref="G124:H124"/>
    <mergeCell ref="L124:M124"/>
    <mergeCell ref="G119:H120"/>
    <mergeCell ref="A125:B125"/>
    <mergeCell ref="G125:H125"/>
    <mergeCell ref="L125:M125"/>
    <mergeCell ref="A126:B126"/>
    <mergeCell ref="G126:H126"/>
    <mergeCell ref="L126:M126"/>
    <mergeCell ref="A127:B127"/>
    <mergeCell ref="G127:H127"/>
    <mergeCell ref="L127:M127"/>
    <mergeCell ref="A128:B128"/>
    <mergeCell ref="G128:H128"/>
    <mergeCell ref="L128:M128"/>
    <mergeCell ref="A129:B129"/>
    <mergeCell ref="G129:H129"/>
    <mergeCell ref="L129:M129"/>
    <mergeCell ref="A130:B130"/>
    <mergeCell ref="G130:H130"/>
    <mergeCell ref="L130:M130"/>
    <mergeCell ref="A131:B131"/>
    <mergeCell ref="G131:H131"/>
    <mergeCell ref="L131:M131"/>
    <mergeCell ref="A132:B132"/>
    <mergeCell ref="G132:H132"/>
    <mergeCell ref="L132:M132"/>
    <mergeCell ref="A133:B133"/>
    <mergeCell ref="G133:H133"/>
    <mergeCell ref="L133:M133"/>
    <mergeCell ref="A134:B134"/>
    <mergeCell ref="G134:H134"/>
    <mergeCell ref="L134:M134"/>
    <mergeCell ref="A135:B135"/>
    <mergeCell ref="G135:H135"/>
    <mergeCell ref="L135:M135"/>
    <mergeCell ref="A136:B136"/>
    <mergeCell ref="G136:H136"/>
    <mergeCell ref="L136:M136"/>
    <mergeCell ref="A137:B137"/>
    <mergeCell ref="G137:H137"/>
    <mergeCell ref="L137:M137"/>
    <mergeCell ref="A138:B138"/>
    <mergeCell ref="G138:H138"/>
    <mergeCell ref="L138:M138"/>
    <mergeCell ref="A142:H142"/>
    <mergeCell ref="A143:B143"/>
    <mergeCell ref="G143:H143"/>
    <mergeCell ref="L143:M143"/>
    <mergeCell ref="A139:H139"/>
    <mergeCell ref="A140:B140"/>
    <mergeCell ref="G140:H140"/>
    <mergeCell ref="L140:M140"/>
    <mergeCell ref="A141:H141"/>
    <mergeCell ref="A144:B144"/>
    <mergeCell ref="G144:H144"/>
    <mergeCell ref="L144:M144"/>
    <mergeCell ref="A145:B145"/>
    <mergeCell ref="G145:H145"/>
    <mergeCell ref="L145:M145"/>
    <mergeCell ref="A146:B146"/>
    <mergeCell ref="G146:H146"/>
    <mergeCell ref="L146:M146"/>
    <mergeCell ref="A147:B147"/>
    <mergeCell ref="G147:H147"/>
    <mergeCell ref="L147:M147"/>
    <mergeCell ref="A148:B148"/>
    <mergeCell ref="G148:H148"/>
    <mergeCell ref="L148:M148"/>
    <mergeCell ref="A149:B149"/>
    <mergeCell ref="G149:H149"/>
    <mergeCell ref="L149:M149"/>
    <mergeCell ref="A150:B150"/>
    <mergeCell ref="G150:H150"/>
    <mergeCell ref="L150:M150"/>
    <mergeCell ref="A151:B151"/>
    <mergeCell ref="G151:H151"/>
    <mergeCell ref="L151:M151"/>
    <mergeCell ref="A152:B152"/>
    <mergeCell ref="G152:H152"/>
    <mergeCell ref="L152:M152"/>
    <mergeCell ref="A153:B153"/>
    <mergeCell ref="G153:H153"/>
    <mergeCell ref="L153:M153"/>
    <mergeCell ref="A154:B154"/>
    <mergeCell ref="G154:H154"/>
    <mergeCell ref="L154:M154"/>
    <mergeCell ref="A155:H155"/>
    <mergeCell ref="A158:H158"/>
    <mergeCell ref="A159:H159"/>
    <mergeCell ref="E156:E157"/>
    <mergeCell ref="A174:B174"/>
    <mergeCell ref="A175:B175"/>
    <mergeCell ref="A163:H163"/>
    <mergeCell ref="A164:B164"/>
    <mergeCell ref="A165:B165"/>
    <mergeCell ref="A166:B166"/>
    <mergeCell ref="A167:B167"/>
    <mergeCell ref="A168:B168"/>
    <mergeCell ref="A169:B169"/>
    <mergeCell ref="A170:B170"/>
    <mergeCell ref="L210:M210"/>
    <mergeCell ref="A211:B211"/>
    <mergeCell ref="A182:H182"/>
    <mergeCell ref="A183:H183"/>
    <mergeCell ref="A184:H184"/>
    <mergeCell ref="A185:H185"/>
    <mergeCell ref="A186:B186"/>
    <mergeCell ref="A187:B187"/>
    <mergeCell ref="A188:B188"/>
    <mergeCell ref="G211:H216"/>
    <mergeCell ref="A206:H206"/>
    <mergeCell ref="A207:B207"/>
    <mergeCell ref="A208:B208"/>
    <mergeCell ref="G207:H208"/>
    <mergeCell ref="A209:H209"/>
    <mergeCell ref="C213:F215"/>
    <mergeCell ref="A212:B212"/>
    <mergeCell ref="A213:B213"/>
    <mergeCell ref="A214:B214"/>
    <mergeCell ref="A215:B215"/>
    <mergeCell ref="A216:B216"/>
    <mergeCell ref="A189:B189"/>
    <mergeCell ref="A190:B190"/>
    <mergeCell ref="A191:B191"/>
    <mergeCell ref="A233:H233"/>
    <mergeCell ref="A234:H234"/>
    <mergeCell ref="A235:H235"/>
    <mergeCell ref="A217:H217"/>
    <mergeCell ref="B218:H218"/>
    <mergeCell ref="B219:H219"/>
    <mergeCell ref="B220:H220"/>
    <mergeCell ref="B221:H221"/>
    <mergeCell ref="B222:H222"/>
    <mergeCell ref="B223:H223"/>
    <mergeCell ref="B224:H224"/>
    <mergeCell ref="B225:H225"/>
    <mergeCell ref="B226:H226"/>
    <mergeCell ref="B227:H227"/>
    <mergeCell ref="B231:H231"/>
    <mergeCell ref="A232:H232"/>
    <mergeCell ref="B230:H230"/>
    <mergeCell ref="A210:H210"/>
    <mergeCell ref="A176:B176"/>
    <mergeCell ref="A177:B177"/>
    <mergeCell ref="A178:B178"/>
    <mergeCell ref="A179:B179"/>
    <mergeCell ref="A180:B180"/>
    <mergeCell ref="A160:H160"/>
    <mergeCell ref="A161:H161"/>
    <mergeCell ref="A19:D20"/>
    <mergeCell ref="E19:H20"/>
    <mergeCell ref="E68:F77"/>
    <mergeCell ref="G68:H77"/>
    <mergeCell ref="A48:B49"/>
    <mergeCell ref="A192:H192"/>
    <mergeCell ref="A193:B193"/>
    <mergeCell ref="G193:H198"/>
    <mergeCell ref="A194:B194"/>
    <mergeCell ref="A195:B195"/>
    <mergeCell ref="A196:B196"/>
    <mergeCell ref="A197:B197"/>
    <mergeCell ref="A198:B198"/>
    <mergeCell ref="A162:H162"/>
    <mergeCell ref="A172:H172"/>
    <mergeCell ref="A173:B173"/>
    <mergeCell ref="A240:H243"/>
    <mergeCell ref="A55:C56"/>
    <mergeCell ref="G156:H157"/>
    <mergeCell ref="A236:H236"/>
    <mergeCell ref="A237:H237"/>
    <mergeCell ref="A238:H238"/>
    <mergeCell ref="A239:B239"/>
    <mergeCell ref="C239:D239"/>
    <mergeCell ref="E239:F239"/>
    <mergeCell ref="G239:H239"/>
    <mergeCell ref="A119:A120"/>
    <mergeCell ref="A156:A157"/>
    <mergeCell ref="B119:B120"/>
    <mergeCell ref="B156:B157"/>
    <mergeCell ref="C119:C120"/>
    <mergeCell ref="C156:C157"/>
    <mergeCell ref="D119:D120"/>
    <mergeCell ref="D156:D157"/>
    <mergeCell ref="E119:E120"/>
    <mergeCell ref="A203:B203"/>
    <mergeCell ref="A204:B204"/>
    <mergeCell ref="A205:B205"/>
    <mergeCell ref="D201:F201"/>
    <mergeCell ref="A181:H181"/>
    <mergeCell ref="L209:M209"/>
    <mergeCell ref="B228:H228"/>
    <mergeCell ref="B229:H229"/>
    <mergeCell ref="C108:D108"/>
    <mergeCell ref="E108:F108"/>
    <mergeCell ref="G108:H108"/>
    <mergeCell ref="A108:A109"/>
    <mergeCell ref="C110:D110"/>
    <mergeCell ref="E110:F110"/>
    <mergeCell ref="G110:H110"/>
    <mergeCell ref="A110:B110"/>
    <mergeCell ref="A116:B116"/>
    <mergeCell ref="C116:D116"/>
    <mergeCell ref="E116:F116"/>
    <mergeCell ref="G116:H116"/>
    <mergeCell ref="A171:B171"/>
    <mergeCell ref="G173:H180"/>
    <mergeCell ref="G164:H171"/>
    <mergeCell ref="G186:H191"/>
    <mergeCell ref="A199:H199"/>
    <mergeCell ref="A200:B200"/>
    <mergeCell ref="G200:H205"/>
    <mergeCell ref="A201:B201"/>
    <mergeCell ref="A202:B202"/>
  </mergeCells>
  <dataValidations disablePrompts="1" count="1">
    <dataValidation type="list" allowBlank="1" showInputMessage="1" showErrorMessage="1" sqref="G239:H239">
      <formula1>"Kunal Kadam,Pranita Mhatre,Shruti Fule,Pooja Kawale,Gaurav Panchal,Shruti Tathare, Hitakshi Mhatre, Sachin Sawant"</formula1>
    </dataValidation>
  </dataValidations>
  <hyperlinks>
    <hyperlink ref="C36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63" max="16383" man="1"/>
    <brk id="110" max="7" man="1"/>
    <brk id="205" max="7" man="1"/>
    <brk id="243" max="16383" man="1"/>
    <brk id="285" max="7" man="1"/>
    <brk id="32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5" sqref="B15"/>
    </sheetView>
  </sheetViews>
  <sheetFormatPr defaultColWidth="8.7109375" defaultRowHeight="15"/>
  <cols>
    <col min="1" max="1" width="8.7109375" style="1"/>
    <col min="2" max="2" width="22.28515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198" t="s">
        <v>201</v>
      </c>
      <c r="C3" s="198"/>
      <c r="D3" s="198"/>
      <c r="E3" s="198"/>
      <c r="F3" s="198"/>
      <c r="G3" s="198"/>
      <c r="H3" s="198"/>
    </row>
    <row r="4" spans="1:9">
      <c r="A4" s="2"/>
      <c r="B4" s="3" t="s">
        <v>202</v>
      </c>
      <c r="C4" s="3" t="s">
        <v>203</v>
      </c>
      <c r="D4" s="3" t="s">
        <v>204</v>
      </c>
      <c r="E4" s="3" t="s">
        <v>205</v>
      </c>
      <c r="F4" s="3" t="s">
        <v>206</v>
      </c>
      <c r="G4" s="3" t="s">
        <v>207</v>
      </c>
      <c r="H4" s="3" t="s">
        <v>208</v>
      </c>
    </row>
    <row r="5" spans="1:9" ht="15" customHeight="1">
      <c r="A5" s="2"/>
      <c r="B5" s="4" t="s">
        <v>209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209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209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209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209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210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210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211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212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2025-09-25T13:09:47Z</cp:lastPrinted>
  <dcterms:created xsi:type="dcterms:W3CDTF">2019-07-16T09:29:00Z</dcterms:created>
  <dcterms:modified xsi:type="dcterms:W3CDTF">2025-09-25T13:09:51Z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32F9D4BE6D43484D8ABBB6EAACF94C0C_12</vt:lpwstr>
  </property>
  <property fmtid="{D5CDD505-2E9C-101B-9397-08002B2CF9AE}" pid="3" name="KSOProductBuildVer">
    <vt:lpwstr>1033-12.2.0.20326</vt:lpwstr>
  </property>
</Properties>
</file>