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05-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Report!$A$1:$H$576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C74" i="1"/>
  <c r="D451" i="1" l="1"/>
  <c r="F451" i="1" s="1"/>
  <c r="I450" i="1"/>
  <c r="D445" i="1"/>
  <c r="D439" i="1"/>
  <c r="F439" i="1" s="1"/>
  <c r="D432" i="1"/>
  <c r="F432" i="1" s="1"/>
  <c r="D431" i="1"/>
  <c r="F431" i="1" s="1"/>
  <c r="D430" i="1"/>
  <c r="F430" i="1" s="1"/>
  <c r="D426" i="1"/>
  <c r="F426" i="1" s="1"/>
  <c r="D425" i="1"/>
  <c r="F425" i="1" s="1"/>
  <c r="D424" i="1"/>
  <c r="F424" i="1" s="1"/>
  <c r="D423" i="1"/>
  <c r="F423" i="1" s="1"/>
  <c r="G422" i="1"/>
  <c r="D417" i="1"/>
  <c r="F417" i="1" s="1"/>
  <c r="D416" i="1"/>
  <c r="F416" i="1" s="1"/>
  <c r="D411" i="1"/>
  <c r="F411" i="1" s="1"/>
  <c r="D420" i="1"/>
  <c r="F420" i="1" s="1"/>
  <c r="D419" i="1"/>
  <c r="F419" i="1" s="1"/>
  <c r="D418" i="1"/>
  <c r="F418" i="1" s="1"/>
  <c r="G416" i="1"/>
  <c r="D398" i="1"/>
  <c r="F398" i="1" s="1"/>
  <c r="D403" i="1"/>
  <c r="F403" i="1" s="1"/>
  <c r="D402" i="1"/>
  <c r="F402" i="1" s="1"/>
  <c r="D401" i="1"/>
  <c r="F401" i="1" s="1"/>
  <c r="D400" i="1"/>
  <c r="F400" i="1" s="1"/>
  <c r="D399" i="1"/>
  <c r="F399" i="1" s="1"/>
  <c r="G398" i="1"/>
  <c r="D405" i="1"/>
  <c r="F405" i="1" s="1"/>
  <c r="D409" i="1"/>
  <c r="F409" i="1" s="1"/>
  <c r="D408" i="1"/>
  <c r="F408" i="1" s="1"/>
  <c r="D407" i="1"/>
  <c r="F407" i="1" s="1"/>
  <c r="D406" i="1"/>
  <c r="F406" i="1" s="1"/>
  <c r="G405" i="1"/>
  <c r="D414" i="1"/>
  <c r="F414" i="1" s="1"/>
  <c r="I414" i="1" s="1"/>
  <c r="D413" i="1"/>
  <c r="F413" i="1" s="1"/>
  <c r="I413" i="1" s="1"/>
  <c r="D412" i="1"/>
  <c r="F412" i="1" s="1"/>
  <c r="G411" i="1"/>
  <c r="G392" i="1"/>
  <c r="D393" i="1"/>
  <c r="F393" i="1" s="1"/>
  <c r="D392" i="1"/>
  <c r="F392" i="1" s="1"/>
  <c r="D396" i="1"/>
  <c r="F396" i="1" s="1"/>
  <c r="I396" i="1" s="1"/>
  <c r="D395" i="1"/>
  <c r="F395" i="1" s="1"/>
  <c r="I395" i="1" s="1"/>
  <c r="D394" i="1"/>
  <c r="F394" i="1" s="1"/>
  <c r="D390" i="1"/>
  <c r="F390" i="1" s="1"/>
  <c r="D389" i="1"/>
  <c r="F389" i="1" s="1"/>
  <c r="D387" i="1"/>
  <c r="F387" i="1" s="1"/>
  <c r="G386" i="1"/>
  <c r="D386" i="1"/>
  <c r="F386" i="1" s="1"/>
  <c r="D370" i="1"/>
  <c r="F370" i="1" s="1"/>
  <c r="D369" i="1"/>
  <c r="F369" i="1" s="1"/>
  <c r="D368" i="1"/>
  <c r="F368" i="1" s="1"/>
  <c r="D367" i="1"/>
  <c r="F367" i="1" s="1"/>
  <c r="G366" i="1"/>
  <c r="D366" i="1"/>
  <c r="F366" i="1" s="1"/>
  <c r="D364" i="1"/>
  <c r="F364" i="1" s="1"/>
  <c r="D363" i="1"/>
  <c r="F363" i="1" s="1"/>
  <c r="D362" i="1"/>
  <c r="F362" i="1" s="1"/>
  <c r="D361" i="1"/>
  <c r="F361" i="1" s="1"/>
  <c r="D360" i="1"/>
  <c r="F360" i="1" s="1"/>
  <c r="G359" i="1"/>
  <c r="D359" i="1"/>
  <c r="F359" i="1" s="1"/>
  <c r="D357" i="1"/>
  <c r="F357" i="1" s="1"/>
  <c r="D356" i="1"/>
  <c r="F356" i="1" s="1"/>
  <c r="D355" i="1"/>
  <c r="F355" i="1" s="1"/>
  <c r="D354" i="1"/>
  <c r="F354" i="1" s="1"/>
  <c r="D353" i="1"/>
  <c r="F353" i="1" s="1"/>
  <c r="G352" i="1"/>
  <c r="D352" i="1"/>
  <c r="F352" i="1" s="1"/>
  <c r="D350" i="1"/>
  <c r="F350" i="1" s="1"/>
  <c r="D349" i="1"/>
  <c r="F349" i="1" s="1"/>
  <c r="D348" i="1"/>
  <c r="F348" i="1" s="1"/>
  <c r="D347" i="1"/>
  <c r="F347" i="1" s="1"/>
  <c r="G346" i="1"/>
  <c r="D346" i="1"/>
  <c r="F346" i="1" s="1"/>
  <c r="D337" i="1"/>
  <c r="F337" i="1" s="1"/>
  <c r="D336" i="1"/>
  <c r="F336" i="1" s="1"/>
  <c r="D335" i="1"/>
  <c r="F335" i="1" s="1"/>
  <c r="D334" i="1"/>
  <c r="F334" i="1" s="1"/>
  <c r="D333" i="1"/>
  <c r="F333" i="1" s="1"/>
  <c r="G332" i="1"/>
  <c r="D332" i="1"/>
  <c r="F332" i="1" s="1"/>
  <c r="D267" i="1"/>
  <c r="F267" i="1" s="1"/>
  <c r="D266" i="1"/>
  <c r="F266" i="1" s="1"/>
  <c r="D265" i="1"/>
  <c r="F265" i="1" s="1"/>
  <c r="D264" i="1"/>
  <c r="F264" i="1" s="1"/>
  <c r="G263" i="1"/>
  <c r="D263" i="1"/>
  <c r="F263" i="1" s="1"/>
  <c r="D269" i="1"/>
  <c r="F269" i="1" s="1"/>
  <c r="D273" i="1"/>
  <c r="F273" i="1" s="1"/>
  <c r="D272" i="1"/>
  <c r="F272" i="1" s="1"/>
  <c r="D271" i="1"/>
  <c r="F271" i="1" s="1"/>
  <c r="D270" i="1"/>
  <c r="F270" i="1" s="1"/>
  <c r="G269" i="1"/>
  <c r="D245" i="1"/>
  <c r="D244" i="1"/>
  <c r="G237" i="1"/>
  <c r="D238" i="1"/>
  <c r="F238" i="1" s="1"/>
  <c r="D237" i="1"/>
  <c r="F237" i="1" s="1"/>
  <c r="D231" i="1"/>
  <c r="F231" i="1" s="1"/>
  <c r="D235" i="1"/>
  <c r="F235" i="1" s="1"/>
  <c r="D234" i="1"/>
  <c r="F234" i="1" s="1"/>
  <c r="D232" i="1"/>
  <c r="F232" i="1" s="1"/>
  <c r="G230" i="1"/>
  <c r="D230" i="1"/>
  <c r="F230" i="1" s="1"/>
  <c r="D228" i="1"/>
  <c r="F228" i="1" s="1"/>
  <c r="D227" i="1"/>
  <c r="F227" i="1" s="1"/>
  <c r="D226" i="1"/>
  <c r="F226" i="1" s="1"/>
  <c r="D225" i="1"/>
  <c r="F225" i="1" s="1"/>
  <c r="D224" i="1"/>
  <c r="F224" i="1" s="1"/>
  <c r="G223" i="1"/>
  <c r="D223" i="1"/>
  <c r="F223" i="1" s="1"/>
  <c r="D220" i="1"/>
  <c r="F220" i="1" s="1"/>
  <c r="D219" i="1"/>
  <c r="F219" i="1" s="1"/>
  <c r="D217" i="1"/>
  <c r="F217" i="1" s="1"/>
  <c r="D221" i="1"/>
  <c r="F221" i="1" s="1"/>
  <c r="D218" i="1"/>
  <c r="F218" i="1" s="1"/>
  <c r="G216" i="1"/>
  <c r="D216" i="1"/>
  <c r="F216" i="1" s="1"/>
  <c r="D213" i="1"/>
  <c r="D208" i="1"/>
  <c r="F208" i="1" s="1"/>
  <c r="D207" i="1"/>
  <c r="F207" i="1" s="1"/>
  <c r="D206" i="1"/>
  <c r="F206" i="1" s="1"/>
  <c r="D205" i="1"/>
  <c r="F205" i="1" s="1"/>
  <c r="G204" i="1"/>
  <c r="D204" i="1"/>
  <c r="F204" i="1" s="1"/>
  <c r="D188" i="1"/>
  <c r="F188" i="1" s="1"/>
  <c r="D187" i="1"/>
  <c r="F187" i="1" s="1"/>
  <c r="D186" i="1"/>
  <c r="F186" i="1" s="1"/>
  <c r="D185" i="1"/>
  <c r="F185" i="1" s="1"/>
  <c r="D184" i="1"/>
  <c r="F184" i="1" s="1"/>
  <c r="G183" i="1"/>
  <c r="D183" i="1"/>
  <c r="F183" i="1" s="1"/>
  <c r="D191" i="1"/>
  <c r="F191" i="1" s="1"/>
  <c r="D195" i="1"/>
  <c r="F195" i="1" s="1"/>
  <c r="D194" i="1"/>
  <c r="F194" i="1" s="1"/>
  <c r="D193" i="1"/>
  <c r="F193" i="1" s="1"/>
  <c r="D192" i="1"/>
  <c r="F192" i="1" s="1"/>
  <c r="G190" i="1"/>
  <c r="D190" i="1"/>
  <c r="F190" i="1" s="1"/>
  <c r="D181" i="1"/>
  <c r="F181" i="1" s="1"/>
  <c r="D180" i="1"/>
  <c r="F180" i="1" s="1"/>
  <c r="D178" i="1"/>
  <c r="F178" i="1" s="1"/>
  <c r="D177" i="1"/>
  <c r="F177" i="1" s="1"/>
  <c r="G176" i="1"/>
  <c r="D176" i="1"/>
  <c r="F176" i="1" s="1"/>
  <c r="G162" i="1"/>
  <c r="D163" i="1"/>
  <c r="F163" i="1" s="1"/>
  <c r="D162" i="1"/>
  <c r="F162" i="1" s="1"/>
  <c r="D167" i="1"/>
  <c r="F167" i="1" s="1"/>
  <c r="D166" i="1"/>
  <c r="F166" i="1" s="1"/>
  <c r="I166" i="1" s="1"/>
  <c r="D165" i="1"/>
  <c r="F165" i="1" s="1"/>
  <c r="I165" i="1" s="1"/>
  <c r="D164" i="1"/>
  <c r="F164" i="1" s="1"/>
  <c r="D127" i="1"/>
  <c r="C7" i="4" l="1"/>
  <c r="C6" i="4"/>
  <c r="C5" i="4"/>
  <c r="C4" i="4"/>
  <c r="C3" i="4"/>
  <c r="C2" i="4"/>
  <c r="F11" i="5"/>
  <c r="G11" i="5" s="1"/>
  <c r="F10" i="5"/>
  <c r="G10" i="5" s="1"/>
  <c r="F9" i="5"/>
  <c r="G9" i="5" s="1"/>
  <c r="F8" i="5"/>
  <c r="G8" i="5" s="1"/>
  <c r="F7" i="5"/>
  <c r="G7" i="5" s="1"/>
  <c r="F6" i="5"/>
  <c r="G6" i="5" s="1"/>
  <c r="F5" i="5"/>
  <c r="G5" i="5" s="1"/>
  <c r="D491" i="1"/>
  <c r="B465" i="1"/>
  <c r="D462" i="1"/>
  <c r="F462" i="1" s="1"/>
  <c r="D461" i="1"/>
  <c r="F461" i="1" s="1"/>
  <c r="D460" i="1"/>
  <c r="F460" i="1" s="1"/>
  <c r="G459" i="1"/>
  <c r="D459" i="1"/>
  <c r="F459" i="1" s="1"/>
  <c r="D457" i="1"/>
  <c r="F457" i="1" s="1"/>
  <c r="D456" i="1"/>
  <c r="F456" i="1" s="1"/>
  <c r="D455" i="1"/>
  <c r="F455" i="1" s="1"/>
  <c r="G454" i="1"/>
  <c r="D454" i="1"/>
  <c r="F454" i="1" s="1"/>
  <c r="D452" i="1"/>
  <c r="F452" i="1" s="1"/>
  <c r="D450" i="1"/>
  <c r="F450" i="1" s="1"/>
  <c r="D449" i="1"/>
  <c r="F449" i="1" s="1"/>
  <c r="G448" i="1"/>
  <c r="D448" i="1"/>
  <c r="F448" i="1" s="1"/>
  <c r="D446" i="1"/>
  <c r="F446" i="1" s="1"/>
  <c r="F445" i="1"/>
  <c r="D443" i="1"/>
  <c r="F443" i="1" s="1"/>
  <c r="G442" i="1"/>
  <c r="D442" i="1"/>
  <c r="F442" i="1" s="1"/>
  <c r="D440" i="1"/>
  <c r="F440" i="1" s="1"/>
  <c r="D438" i="1"/>
  <c r="F438" i="1" s="1"/>
  <c r="D437" i="1"/>
  <c r="F437" i="1" s="1"/>
  <c r="D436" i="1"/>
  <c r="F436" i="1" s="1"/>
  <c r="G435" i="1"/>
  <c r="D435" i="1"/>
  <c r="F435" i="1" s="1"/>
  <c r="D433" i="1"/>
  <c r="F433" i="1" s="1"/>
  <c r="D429" i="1"/>
  <c r="F429" i="1" s="1"/>
  <c r="G428" i="1"/>
  <c r="D428" i="1"/>
  <c r="F428" i="1" s="1"/>
  <c r="D384" i="1"/>
  <c r="F384" i="1" s="1"/>
  <c r="D383" i="1"/>
  <c r="F383" i="1" s="1"/>
  <c r="D382" i="1"/>
  <c r="F382" i="1" s="1"/>
  <c r="D381" i="1"/>
  <c r="F381" i="1" s="1"/>
  <c r="D380" i="1"/>
  <c r="F380" i="1" s="1"/>
  <c r="G379" i="1"/>
  <c r="D379" i="1"/>
  <c r="F379" i="1" s="1"/>
  <c r="D377" i="1"/>
  <c r="F377" i="1" s="1"/>
  <c r="D376" i="1"/>
  <c r="F376" i="1" s="1"/>
  <c r="D375" i="1"/>
  <c r="F375" i="1" s="1"/>
  <c r="D374" i="1"/>
  <c r="F374" i="1" s="1"/>
  <c r="D373" i="1"/>
  <c r="F373" i="1" s="1"/>
  <c r="G372" i="1"/>
  <c r="D372" i="1"/>
  <c r="F372" i="1" s="1"/>
  <c r="D344" i="1"/>
  <c r="F344" i="1" s="1"/>
  <c r="D343" i="1"/>
  <c r="F343" i="1" s="1"/>
  <c r="D342" i="1"/>
  <c r="F342" i="1" s="1"/>
  <c r="D341" i="1"/>
  <c r="F341" i="1" s="1"/>
  <c r="D340" i="1"/>
  <c r="F340" i="1" s="1"/>
  <c r="G339" i="1"/>
  <c r="D339" i="1"/>
  <c r="F339" i="1" s="1"/>
  <c r="D330" i="1"/>
  <c r="F330" i="1" s="1"/>
  <c r="D329" i="1"/>
  <c r="F329" i="1" s="1"/>
  <c r="D328" i="1"/>
  <c r="F328" i="1" s="1"/>
  <c r="D327" i="1"/>
  <c r="F327" i="1" s="1"/>
  <c r="G326" i="1"/>
  <c r="D326" i="1"/>
  <c r="F326" i="1" s="1"/>
  <c r="D324" i="1"/>
  <c r="F324" i="1" s="1"/>
  <c r="D323" i="1"/>
  <c r="F323" i="1" s="1"/>
  <c r="D322" i="1"/>
  <c r="F322" i="1" s="1"/>
  <c r="G320" i="1"/>
  <c r="D318" i="1"/>
  <c r="F318" i="1" s="1"/>
  <c r="D317" i="1"/>
  <c r="F317" i="1" s="1"/>
  <c r="D316" i="1"/>
  <c r="F316" i="1" s="1"/>
  <c r="G314" i="1"/>
  <c r="D312" i="1"/>
  <c r="F312" i="1" s="1"/>
  <c r="D311" i="1"/>
  <c r="F311" i="1" s="1"/>
  <c r="G308" i="1"/>
  <c r="D306" i="1"/>
  <c r="D305" i="1"/>
  <c r="F305" i="1" s="1"/>
  <c r="G302" i="1"/>
  <c r="I300" i="1"/>
  <c r="D300" i="1"/>
  <c r="F300" i="1" s="1"/>
  <c r="L299" i="1"/>
  <c r="I299" i="1"/>
  <c r="K299" i="1" s="1"/>
  <c r="D299" i="1"/>
  <c r="G296" i="1"/>
  <c r="D289" i="1"/>
  <c r="F289" i="1" s="1"/>
  <c r="I289" i="1" s="1"/>
  <c r="D288" i="1"/>
  <c r="F288" i="1" s="1"/>
  <c r="I288" i="1" s="1"/>
  <c r="I286" i="1"/>
  <c r="G286" i="1"/>
  <c r="D286" i="1"/>
  <c r="F286" i="1" s="1"/>
  <c r="D284" i="1"/>
  <c r="F284" i="1" s="1"/>
  <c r="I284" i="1" s="1"/>
  <c r="D283" i="1"/>
  <c r="F283" i="1" s="1"/>
  <c r="I283" i="1" s="1"/>
  <c r="D282" i="1"/>
  <c r="F282" i="1" s="1"/>
  <c r="I281" i="1"/>
  <c r="G281" i="1"/>
  <c r="D281" i="1"/>
  <c r="F281" i="1" s="1"/>
  <c r="D279" i="1"/>
  <c r="F279" i="1" s="1"/>
  <c r="D278" i="1"/>
  <c r="F278" i="1" s="1"/>
  <c r="D276" i="1"/>
  <c r="F276" i="1" s="1"/>
  <c r="G275" i="1"/>
  <c r="D275" i="1"/>
  <c r="F275" i="1" s="1"/>
  <c r="D261" i="1"/>
  <c r="F261" i="1" s="1"/>
  <c r="D260" i="1"/>
  <c r="F260" i="1" s="1"/>
  <c r="D258" i="1"/>
  <c r="F258" i="1" s="1"/>
  <c r="D257" i="1"/>
  <c r="F257" i="1" s="1"/>
  <c r="G256" i="1"/>
  <c r="D256" i="1"/>
  <c r="F256" i="1" s="1"/>
  <c r="D254" i="1"/>
  <c r="F254" i="1" s="1"/>
  <c r="I254" i="1" s="1"/>
  <c r="D253" i="1"/>
  <c r="F253" i="1" s="1"/>
  <c r="I253" i="1" s="1"/>
  <c r="D252" i="1"/>
  <c r="F252" i="1" s="1"/>
  <c r="I251" i="1"/>
  <c r="G251" i="1"/>
  <c r="D251" i="1"/>
  <c r="F251" i="1" s="1"/>
  <c r="D248" i="1"/>
  <c r="F248" i="1" s="1"/>
  <c r="D247" i="1"/>
  <c r="F247" i="1" s="1"/>
  <c r="D246" i="1"/>
  <c r="F246" i="1" s="1"/>
  <c r="F245" i="1"/>
  <c r="G244" i="1"/>
  <c r="F244" i="1"/>
  <c r="D242" i="1"/>
  <c r="F242" i="1" s="1"/>
  <c r="D241" i="1"/>
  <c r="F241" i="1" s="1"/>
  <c r="I241" i="1" s="1"/>
  <c r="D240" i="1"/>
  <c r="F240" i="1" s="1"/>
  <c r="I240" i="1" s="1"/>
  <c r="D239" i="1"/>
  <c r="F239" i="1" s="1"/>
  <c r="D202" i="1"/>
  <c r="F202" i="1" s="1"/>
  <c r="D201" i="1"/>
  <c r="F201" i="1" s="1"/>
  <c r="D199" i="1"/>
  <c r="F199" i="1" s="1"/>
  <c r="D198" i="1"/>
  <c r="F198" i="1" s="1"/>
  <c r="G197" i="1"/>
  <c r="D197" i="1"/>
  <c r="F197" i="1" s="1"/>
  <c r="D214" i="1"/>
  <c r="F214" i="1" s="1"/>
  <c r="F213" i="1"/>
  <c r="D212" i="1"/>
  <c r="F212" i="1" s="1"/>
  <c r="D211" i="1"/>
  <c r="F211" i="1" s="1"/>
  <c r="G210" i="1"/>
  <c r="D210" i="1"/>
  <c r="F210" i="1" s="1"/>
  <c r="D174" i="1"/>
  <c r="F174" i="1" s="1"/>
  <c r="D173" i="1"/>
  <c r="F173" i="1" s="1"/>
  <c r="D172" i="1"/>
  <c r="F172" i="1" s="1"/>
  <c r="D171" i="1"/>
  <c r="F171" i="1" s="1"/>
  <c r="D170" i="1"/>
  <c r="F170" i="1" s="1"/>
  <c r="G169" i="1"/>
  <c r="D169" i="1"/>
  <c r="F169" i="1" s="1"/>
  <c r="D160" i="1"/>
  <c r="F160" i="1" s="1"/>
  <c r="D159" i="1"/>
  <c r="F159" i="1" s="1"/>
  <c r="D158" i="1"/>
  <c r="F158" i="1" s="1"/>
  <c r="G156" i="1"/>
  <c r="D156" i="1"/>
  <c r="F156" i="1" s="1"/>
  <c r="D154" i="1"/>
  <c r="F154" i="1" s="1"/>
  <c r="D153" i="1"/>
  <c r="F153" i="1" s="1"/>
  <c r="D152" i="1"/>
  <c r="F152" i="1" s="1"/>
  <c r="G149" i="1"/>
  <c r="D147" i="1"/>
  <c r="F147" i="1" s="1"/>
  <c r="D146" i="1"/>
  <c r="F146" i="1" s="1"/>
  <c r="I145" i="1"/>
  <c r="D145" i="1"/>
  <c r="F145" i="1" s="1"/>
  <c r="G142" i="1"/>
  <c r="D140" i="1"/>
  <c r="F140" i="1" s="1"/>
  <c r="D139" i="1"/>
  <c r="F139" i="1" s="1"/>
  <c r="G136" i="1"/>
  <c r="D134" i="1"/>
  <c r="D133" i="1"/>
  <c r="F133" i="1" s="1"/>
  <c r="G130" i="1"/>
  <c r="I128" i="1"/>
  <c r="D128" i="1"/>
  <c r="F128" i="1" s="1"/>
  <c r="L127" i="1"/>
  <c r="I127" i="1"/>
  <c r="K127" i="1" s="1"/>
  <c r="F127" i="1"/>
  <c r="F126" i="1"/>
  <c r="G124" i="1"/>
  <c r="F108" i="1"/>
  <c r="J93" i="1"/>
  <c r="J92" i="1"/>
  <c r="J91" i="1"/>
  <c r="J90" i="1"/>
  <c r="C81" i="1"/>
  <c r="J79" i="1"/>
  <c r="J78" i="1"/>
  <c r="J77" i="1"/>
  <c r="J76" i="1"/>
  <c r="C67" i="1"/>
  <c r="D61" i="1"/>
  <c r="D55" i="1"/>
  <c r="G47" i="1"/>
  <c r="E40" i="1"/>
  <c r="E41" i="1" s="1"/>
  <c r="E27" i="1"/>
  <c r="E24" i="1"/>
  <c r="E22" i="1"/>
  <c r="C13" i="1"/>
  <c r="E7" i="1"/>
  <c r="E3" i="1"/>
  <c r="H82" i="1"/>
  <c r="H68" i="1"/>
  <c r="G12" i="5" l="1"/>
  <c r="C112" i="1"/>
  <c r="E112" i="1"/>
  <c r="C111" i="1"/>
  <c r="C113" i="1" s="1"/>
  <c r="E111" i="1"/>
  <c r="F299" i="1"/>
  <c r="J73" i="1"/>
  <c r="J74" i="1" s="1"/>
  <c r="J71" i="1"/>
  <c r="D79" i="1"/>
  <c r="D77" i="1"/>
  <c r="D75" i="1"/>
  <c r="D73" i="1"/>
  <c r="J70" i="1"/>
  <c r="J72" i="1"/>
  <c r="C71" i="1" s="1"/>
  <c r="G71" i="1" s="1"/>
  <c r="D65" i="1" s="1"/>
  <c r="D76" i="1"/>
  <c r="D72" i="1"/>
  <c r="D80" i="1"/>
  <c r="D74" i="1"/>
  <c r="D78" i="1"/>
  <c r="E71" i="1"/>
  <c r="J87" i="1"/>
  <c r="J88" i="1" s="1"/>
  <c r="J89" i="1" s="1"/>
  <c r="J94" i="1" s="1"/>
  <c r="J85" i="1"/>
  <c r="D93" i="1"/>
  <c r="D91" i="1"/>
  <c r="D89" i="1"/>
  <c r="D87" i="1"/>
  <c r="J84" i="1"/>
  <c r="D90" i="1"/>
  <c r="D86" i="1"/>
  <c r="J86" i="1"/>
  <c r="C85" i="1" s="1"/>
  <c r="G85" i="1" s="1"/>
  <c r="D92" i="1"/>
  <c r="E85" i="1"/>
  <c r="D94" i="1"/>
  <c r="D88" i="1"/>
  <c r="F134" i="1"/>
  <c r="G111" i="1" s="1"/>
  <c r="F306" i="1"/>
  <c r="G112" i="1" l="1"/>
  <c r="G113" i="1" s="1"/>
  <c r="E113" i="1"/>
  <c r="D71" i="1"/>
  <c r="J75" i="1"/>
  <c r="J80" i="1" s="1"/>
  <c r="D66" i="1"/>
  <c r="F66" i="1"/>
  <c r="D85" i="1"/>
  <c r="I81" i="1" s="1"/>
  <c r="C83" i="1" s="1"/>
  <c r="I67" i="1" l="1"/>
  <c r="C69" i="1" s="1"/>
</calcChain>
</file>

<file path=xl/sharedStrings.xml><?xml version="1.0" encoding="utf-8"?>
<sst xmlns="http://schemas.openxmlformats.org/spreadsheetml/2006/main" count="934" uniqueCount="345">
  <si>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</si>
  <si>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</si>
  <si>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</si>
  <si>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</si>
  <si>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</si>
  <si>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</si>
  <si>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</si>
  <si>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</si>
  <si>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</si>
  <si>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</si>
  <si>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</si>
  <si>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</si>
  <si>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</si>
  <si>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</si>
  <si>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</si>
  <si>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</si>
  <si>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</si>
  <si>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</si>
  <si>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</si>
  <si>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</si>
  <si>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</si>
  <si>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</si>
  <si>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</si>
  <si>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</si>
  <si>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</si>
  <si>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</si>
  <si>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</si>
  <si>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</si>
  <si>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</si>
  <si>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</si>
  <si>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</si>
  <si>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</si>
  <si>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</si>
  <si>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</si>
  <si>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</si>
  <si>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</si>
  <si>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</si>
  <si>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</si>
  <si>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</si>
  <si>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</si>
  <si>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</si>
  <si>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</si>
  <si>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</si>
  <si>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</si>
  <si>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</si>
  <si>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</si>
  <si>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</si>
  <si>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</si>
  <si>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</si>
  <si>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</si>
  <si>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</si>
  <si>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</si>
  <si>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</si>
  <si>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</si>
  <si>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</si>
  <si>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</si>
  <si>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</si>
  <si>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</si>
  <si>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</si>
  <si>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</si>
  <si>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</si>
  <si>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</si>
  <si>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</si>
  <si>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</si>
  <si>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</si>
  <si>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</si>
  <si>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</si>
  <si>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</si>
  <si>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</si>
  <si>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</si>
  <si>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</si>
  <si>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</si>
  <si>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</si>
  <si>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</si>
  <si>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</si>
  <si>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</si>
  <si>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</si>
  <si>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</si>
  <si>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</si>
  <si>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</si>
  <si>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</si>
  <si>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</si>
  <si>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</si>
  <si>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</si>
  <si>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</si>
  <si>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</si>
  <si>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</si>
  <si>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</si>
  <si>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</si>
  <si>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</si>
  <si>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</si>
  <si>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</si>
  <si>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</si>
  <si>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</si>
  <si>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</si>
  <si>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</si>
  <si>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</si>
  <si>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</si>
  <si>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</si>
  <si>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</si>
  <si>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</si>
  <si>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</si>
  <si>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</si>
  <si>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</si>
  <si>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</si>
  <si>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</si>
  <si>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</si>
  <si>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</si>
  <si>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</si>
  <si>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</si>
  <si>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</si>
  <si>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</si>
  <si>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</si>
  <si>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</si>
  <si>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</si>
  <si>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</si>
  <si>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</si>
  <si>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</si>
  <si>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</si>
  <si>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</si>
  <si>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</si>
  <si>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</si>
  <si>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</si>
  <si>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</si>
  <si>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</si>
  <si>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</si>
  <si>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</si>
  <si>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</si>
  <si>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</si>
  <si>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</si>
  <si>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</si>
  <si>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</si>
  <si>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</si>
  <si>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</si>
  <si>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</si>
  <si>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</si>
  <si>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</si>
  <si>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</si>
  <si>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</si>
  <si>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</si>
  <si>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</si>
  <si>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</si>
  <si>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</si>
  <si>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</si>
  <si>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</si>
  <si>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</si>
  <si>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</si>
  <si>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</si>
  <si>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</si>
  <si>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</si>
  <si>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</si>
  <si>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</si>
  <si>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</si>
  <si>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</si>
  <si>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</si>
  <si>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</si>
  <si>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</si>
  <si>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</si>
  <si>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</si>
  <si>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of the Office Per Sq. Ft. (on Saleable area)</t>
  </si>
  <si>
    <t>Recommended rate should be considered as all inclusive rate if other charges are not mentioned. (Excluding GST &amp; other government Taxes)</t>
  </si>
  <si>
    <t xml:space="preserve">Commencement-CC No
Valid Up to: </t>
  </si>
  <si>
    <t>Recommended rate of the Shop Per Sq. Ft. (on Saleable area)</t>
  </si>
  <si>
    <t>Recommended rate of the Flat Per Sq. Ft. (on Saleable area)</t>
  </si>
  <si>
    <t>Axis Sanpada</t>
  </si>
  <si>
    <t>M/s.Raymond Limited</t>
  </si>
  <si>
    <t>Mr. Mayur Parte - 7700023042</t>
  </si>
  <si>
    <t>Survey No</t>
  </si>
  <si>
    <t>112(pt), 126B/2(pt), 126B/3(pt)</t>
  </si>
  <si>
    <t>Village</t>
  </si>
  <si>
    <t>Panchpakhadi</t>
  </si>
  <si>
    <t>Pokharan Road No.1</t>
  </si>
  <si>
    <t>Thane</t>
  </si>
  <si>
    <t>Smt. Sunitidevi Singhania school</t>
  </si>
  <si>
    <t>Smt. Sunitidevi Singhania School</t>
  </si>
  <si>
    <t>Open Plot</t>
  </si>
  <si>
    <t>Thane West</t>
  </si>
  <si>
    <t>4.5 KM from Thane Railway Station</t>
  </si>
  <si>
    <t xml:space="preserve">Thane Municipal Corporation (TMC)
</t>
  </si>
  <si>
    <t>1st &amp; 2nd Basement Floor for Parking</t>
  </si>
  <si>
    <t>Ground Floor For Parking &amp; Amenities</t>
  </si>
  <si>
    <t>1st Podium Floor For Parking &amp; Amenities</t>
  </si>
  <si>
    <t>2nd &amp; 3rd Podium Floor For Parking</t>
  </si>
  <si>
    <t>Parking Area</t>
  </si>
  <si>
    <t>Society Office</t>
  </si>
  <si>
    <t>3BHK</t>
  </si>
  <si>
    <t>5th Podium Floor For Residential, Parking &amp; Amenities</t>
  </si>
  <si>
    <t>4th Podium Floor For Residential, Parking &amp; Amenities</t>
  </si>
  <si>
    <t xml:space="preserve">6th Podium Floor For Residential, Parking </t>
  </si>
  <si>
    <t>4P01</t>
  </si>
  <si>
    <t>4P02</t>
  </si>
  <si>
    <t>4P03</t>
  </si>
  <si>
    <t>4P04</t>
  </si>
  <si>
    <t>4P05</t>
  </si>
  <si>
    <t>5P01</t>
  </si>
  <si>
    <t>5P02</t>
  </si>
  <si>
    <t>5P03</t>
  </si>
  <si>
    <t>5P04</t>
  </si>
  <si>
    <t>5P05</t>
  </si>
  <si>
    <t>6P01</t>
  </si>
  <si>
    <t>6P02</t>
  </si>
  <si>
    <t>6P03</t>
  </si>
  <si>
    <t>6P04</t>
  </si>
  <si>
    <t>6P05</t>
  </si>
  <si>
    <t>S01</t>
  </si>
  <si>
    <t>S02</t>
  </si>
  <si>
    <t>S03</t>
  </si>
  <si>
    <t>S04</t>
  </si>
  <si>
    <t>S05</t>
  </si>
  <si>
    <t>Amenities</t>
  </si>
  <si>
    <t>Refuge Area</t>
  </si>
  <si>
    <t>S06</t>
  </si>
  <si>
    <t>4BHK</t>
  </si>
  <si>
    <t>Salon</t>
  </si>
  <si>
    <t>Steam, Sauna &amp; Jacuzzi</t>
  </si>
  <si>
    <t>Power Gym</t>
  </si>
  <si>
    <t>1st Floor For Residential &amp; Amenities</t>
  </si>
  <si>
    <t>Double Height</t>
  </si>
  <si>
    <t>2nd Floor For Residential</t>
  </si>
  <si>
    <t>101,…., 3101</t>
  </si>
  <si>
    <t>102,…., 3102</t>
  </si>
  <si>
    <t>103,…., 3103</t>
  </si>
  <si>
    <t>104,…., 3104</t>
  </si>
  <si>
    <t>105,…., 3105</t>
  </si>
  <si>
    <t>106,…., 3106</t>
  </si>
  <si>
    <t>301,…., 3101</t>
  </si>
  <si>
    <t>302,…., 3102</t>
  </si>
  <si>
    <t>303,…., 3103</t>
  </si>
  <si>
    <t>304,…., 3104</t>
  </si>
  <si>
    <t>305,…., 3105</t>
  </si>
  <si>
    <t>306,…., 3106</t>
  </si>
  <si>
    <t>501,…., 2901</t>
  </si>
  <si>
    <t>502,…., 2902</t>
  </si>
  <si>
    <t>503,…., 2903</t>
  </si>
  <si>
    <t>504,…., 2904</t>
  </si>
  <si>
    <t>505,…., 2905</t>
  </si>
  <si>
    <t>506,…., 2906</t>
  </si>
  <si>
    <t>Stilt / Podium Top Floor For Residential, Amenities &amp; Refuge Area</t>
  </si>
  <si>
    <t>Approved Plans, CC</t>
  </si>
  <si>
    <t>We considered Gross carpet area = Net carpet + Deck Area + Utility Area.</t>
  </si>
  <si>
    <t>3bhk</t>
  </si>
  <si>
    <t>4bhk</t>
  </si>
  <si>
    <t>The Address by GS Tower A &amp; B</t>
  </si>
  <si>
    <t>Tower A = P51700031762
Tower B = P51700045829</t>
  </si>
  <si>
    <t>Wing A &amp; B</t>
  </si>
  <si>
    <t>Total</t>
  </si>
  <si>
    <t>Tower A</t>
  </si>
  <si>
    <t>Tower B</t>
  </si>
  <si>
    <t>Residential Area Details : Flats</t>
  </si>
  <si>
    <t>Tower A (A Wing)</t>
  </si>
  <si>
    <t>5BHK</t>
  </si>
  <si>
    <t>34th Floor (Part Refuge Area)</t>
  </si>
  <si>
    <t>6BHK Duplex With 33rd Floor</t>
  </si>
  <si>
    <t>29th &amp; 39th Floor (Part Refuge Area)</t>
  </si>
  <si>
    <t>41st &amp; 43rd Floor</t>
  </si>
  <si>
    <t>44th Floor (Part Refuge Area)</t>
  </si>
  <si>
    <t>49th Floor (Part Refuge Area)</t>
  </si>
  <si>
    <t>50th Floor</t>
  </si>
  <si>
    <t>6BHK Duplex with 51st Floor</t>
  </si>
  <si>
    <t>7BHK Duplex with 51st Floor</t>
  </si>
  <si>
    <t>51st Floor</t>
  </si>
  <si>
    <t>6BHK Duplex with 50th Floor</t>
  </si>
  <si>
    <t>7BHK Duplex with 50th Floor</t>
  </si>
  <si>
    <t>Tower B (B Wing)</t>
  </si>
  <si>
    <t>1st Floor For Residential &amp; Club House</t>
  </si>
  <si>
    <t>Guest Room Zone</t>
  </si>
  <si>
    <t>2nd Floor</t>
  </si>
  <si>
    <t>We have updated revised approved plan &amp; C.C of Tower A &amp; B (on 25/07/2022).</t>
  </si>
  <si>
    <t>2 Wings</t>
  </si>
  <si>
    <t>Vitrified tiles flooring, Kitchen Platform, Decorative Entrance etc.</t>
  </si>
  <si>
    <t>On Site, we meet Mr.Chinmay Haldankar (8097538887).</t>
  </si>
  <si>
    <t>Project old Name was West One Park Tower A1.</t>
  </si>
  <si>
    <t>Valid Up To: Wing B = 26th to 51st Floor</t>
  </si>
  <si>
    <t>TMCB/RB/2022/APL/00016</t>
  </si>
  <si>
    <t>TMCB/RB/2022/APL/00016
Approved up to: Wing B = 26th to 51st Floor</t>
  </si>
  <si>
    <t>Wing A = Basement 1 &amp; 2 + Ground + 1st to 6th Podium + Stilt/Podium top + 1st to 51st Floor
Wing B = Basement 1 &amp; 2 + Ground + 1st to 6th Podium + Stilt/Podium top + 1st to 51st Floor</t>
  </si>
  <si>
    <t>Tower A (Wing A) = Basement 1 &amp; 2 + Ground + 1st to 6th Podium + Stilt/Podium top + 1st to 51st Floor</t>
  </si>
  <si>
    <t>Tower B (Wing B) = Basement 1 &amp; 2 + Ground + 1st to 6th Podium + Stilt/Podium top + 1st to 51st Floor</t>
  </si>
  <si>
    <t>32nd, 36th &amp; 40th Floor</t>
  </si>
  <si>
    <t>43rd Floor</t>
  </si>
  <si>
    <t>6BHK Duplex with 44th floor</t>
  </si>
  <si>
    <t>4BHK Duplex with 43rd floor</t>
  </si>
  <si>
    <t>6BHK Duplex with 43rd floor</t>
  </si>
  <si>
    <t>48th Floor</t>
  </si>
  <si>
    <t>6BHK Duplex with 49th floor</t>
  </si>
  <si>
    <t>49th Floor</t>
  </si>
  <si>
    <t>6BHK Duplex with 51st floor</t>
  </si>
  <si>
    <t>7BHK Duplex with 51st floor</t>
  </si>
  <si>
    <t>6BHK Duplex with 50th floor</t>
  </si>
  <si>
    <t>4BHK Duplex with 50th floor</t>
  </si>
  <si>
    <t>6BHK Duplex with 48th floor</t>
  </si>
  <si>
    <t>4BHK Duplex with 48th floor</t>
  </si>
  <si>
    <t>15000 to 16000</t>
  </si>
  <si>
    <t>Sanket</t>
  </si>
  <si>
    <t>on Call with sachin sir</t>
  </si>
  <si>
    <t>Location Link</t>
  </si>
  <si>
    <t>https://goo.gl/maps/gkRpm96Ej86pCTu86?coh=178572&amp;entry=tt</t>
  </si>
  <si>
    <t>S04/0120/18TMC/TD-DP/TPS/4388/23</t>
  </si>
  <si>
    <t>S04/0120/18TMC/TD-DP/TPS/4388/23
Approved up to: Wing A = Basement 1 &amp; 2 + Ground + 1st to 6th Podium + Stilt/Podium top + 1st to 51st Floor Wing B = Basement 1 &amp; 2 + Ground + 1st to 6th Podium + Stilt/Podium top + 1st to 51st Floor</t>
  </si>
  <si>
    <t>3rd Floor</t>
  </si>
  <si>
    <t>5th &amp; 25th Floor (Part Refuge Area)</t>
  </si>
  <si>
    <t>6th, 8th, 27th, 31st &amp; 38th Floor</t>
  </si>
  <si>
    <t>2BHK</t>
  </si>
  <si>
    <t xml:space="preserve"> 10th, 15th &amp; 20th Floor (Part Refuge Area)</t>
  </si>
  <si>
    <t>9th &amp; 13th Floor</t>
  </si>
  <si>
    <t>17th &amp; 40th Floor</t>
  </si>
  <si>
    <t>16th &amp; 42nd Floor</t>
  </si>
  <si>
    <t>19th Floor</t>
  </si>
  <si>
    <t>21st, 32nd &amp; 36th Floor</t>
  </si>
  <si>
    <t xml:space="preserve"> 33rd Floor</t>
  </si>
  <si>
    <t>6BHK
(Duplex With 34th Floor)</t>
  </si>
  <si>
    <t>45th Floor</t>
  </si>
  <si>
    <t>5.5BHK</t>
  </si>
  <si>
    <t xml:space="preserve"> 6th to 8th, 11th, 12th, 16th, 22nd, 24th, 26th, 30th, 31st, 37th, 38th, 41st, 46th &amp; 47th Floor</t>
  </si>
  <si>
    <t>4th, 14th, 19th, 28th, 23rd &amp; 45th Floor</t>
  </si>
  <si>
    <t>5th Floor (Part Refuge Area)</t>
  </si>
  <si>
    <t>9th, 13th, 17th, 32nd, 36th &amp; 40th Floor</t>
  </si>
  <si>
    <t>21st Floor</t>
  </si>
  <si>
    <t>10th, 15th, 29th &amp; 39th Floor (Part Refuge Area)</t>
  </si>
  <si>
    <t>20th Floor (Part Refuge Area)</t>
  </si>
  <si>
    <t>18th Floor</t>
  </si>
  <si>
    <t>27th Floor</t>
  </si>
  <si>
    <t>25th Floor (Part Refuge Area)</t>
  </si>
  <si>
    <t>23rd Floor</t>
  </si>
  <si>
    <t>5BHK Duplex with 35th floor</t>
  </si>
  <si>
    <t>35th Floor</t>
  </si>
  <si>
    <t>5BHK Duplex with 34th floor</t>
  </si>
  <si>
    <t>48th Floor (Part Refuge Area)</t>
  </si>
  <si>
    <t>We have updated revised approved plan (on 22/06/2023).</t>
  </si>
  <si>
    <t>4th, 7th, 11th, 12th, 14th, 18th, 22nd, 23rd, 24th, 26th, 28th, 30th, 35th, 37th, 46th &amp; 47th Floor</t>
  </si>
  <si>
    <t>Flats - 564</t>
  </si>
  <si>
    <t xml:space="preserve">Office No. 1031, Wing J, Akshar Business Park, Plot No. 03 Sector 25, Near APMC Market,
Vashi, Navi Mumbai, Maharashtra 400703 TEL: 022-46090378/79/80                                                                                                                           E mail : vsjcapf@gmail.com. Web site : www.vsjadon.com </t>
  </si>
  <si>
    <t>Recommended Rates of the Property have been revised on 23/10/2023.</t>
  </si>
  <si>
    <t>16000 to 16500</t>
  </si>
  <si>
    <t>Nikhil</t>
  </si>
  <si>
    <t>Ajay Songare</t>
  </si>
  <si>
    <t>Latitude,Longitude</t>
  </si>
  <si>
    <t>19.214764,72.966438</t>
  </si>
  <si>
    <t>S04/0120/18TMC/TDD/4388/23</t>
  </si>
  <si>
    <r>
      <rPr>
        <b/>
        <sz val="12"/>
        <rFont val="Times New Roman"/>
        <family val="1"/>
      </rPr>
      <t>Wing A</t>
    </r>
    <r>
      <rPr>
        <sz val="12"/>
        <rFont val="Times New Roman"/>
        <family val="1"/>
      </rPr>
      <t xml:space="preserve"> = Basement 1 &amp; 2 + Ground + 1st to 6th Podium + Stilt/Podium top + 1st to 28th Floor + Service Floor + 29th to 51st Floor
</t>
    </r>
    <r>
      <rPr>
        <b/>
        <sz val="12"/>
        <rFont val="Times New Roman"/>
        <family val="1"/>
      </rPr>
      <t>Wing B</t>
    </r>
    <r>
      <rPr>
        <sz val="12"/>
        <rFont val="Times New Roman"/>
        <family val="1"/>
      </rPr>
      <t xml:space="preserve"> = Basement 1 &amp; 2 + Ground + 1st to 6th Podium + Stilt/Podium top + 1st to 28th Floor + Service Floor + 29th to 51st Floor</t>
    </r>
  </si>
  <si>
    <t>We have updated revised C.C of Tower A (on 20/06/2024).</t>
  </si>
  <si>
    <t>We have updated revised approved plan of Tower B (26th to 51st Floor) (on 06/02/2023).</t>
  </si>
  <si>
    <t>Construction work is in process. Internal visit was not allowed.
Photographs are taken from road.</t>
  </si>
  <si>
    <t>As per RERA - Tower A = 31/12/2026
                         Tower B = 31/03/2028</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</si>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</sst>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dd\/mm\/yyyy"/>
    <numFmt numFmtId="168" formatCode="_ * #,##0_ ;_ * \-#,##0_ ;_ * &quot;-&quot;??_ ;_ @_ "/>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2"/>
      <name val="Times New Roman"/>
      <family val="1"/>
    </font>
    <font>
      <sz val="11"/>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7">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8" fillId="0" borderId="0" xfId="1" applyFont="1" applyProtection="1">
      <protection locked="0"/>
    </xf>
    <xf numFmtId="0" fontId="8" fillId="0" borderId="0" xfId="1" applyFont="1" applyProtection="1">
      <protection hidden="1"/>
    </xf>
    <xf numFmtId="0" fontId="6" fillId="0" borderId="0" xfId="4" applyFont="1"/>
    <xf numFmtId="0" fontId="6" fillId="0" borderId="0" xfId="4"/>
    <xf numFmtId="0" fontId="2" fillId="0" borderId="0" xfId="5"/>
    <xf numFmtId="0" fontId="10" fillId="0" borderId="1" xfId="5" applyFont="1" applyBorder="1" applyAlignment="1">
      <alignment horizontal="center" vertical="top" wrapText="1"/>
    </xf>
    <xf numFmtId="0" fontId="19"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8" fillId="0" borderId="1" xfId="5" applyNumberFormat="1" applyFont="1" applyBorder="1" applyAlignment="1">
      <alignment horizontal="center" vertical="center"/>
    </xf>
    <xf numFmtId="0" fontId="2" fillId="0" borderId="1" xfId="5" applyFont="1" applyBorder="1" applyAlignment="1">
      <alignment horizontal="center" vertical="center"/>
    </xf>
    <xf numFmtId="0" fontId="6" fillId="0" borderId="1" xfId="4" applyFont="1" applyBorder="1" applyAlignment="1">
      <alignment horizontal="center" vertical="center"/>
    </xf>
    <xf numFmtId="9" fontId="9" fillId="0" borderId="18" xfId="8" applyFont="1" applyFill="1" applyBorder="1" applyAlignment="1" applyProtection="1">
      <alignment horizontal="center" vertical="top" wrapText="1"/>
      <protection locked="0"/>
    </xf>
    <xf numFmtId="1" fontId="8"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Font="1" applyAlignment="1">
      <alignment horizontal="center" vertical="center"/>
    </xf>
    <xf numFmtId="14" fontId="8" fillId="0" borderId="0" xfId="1" applyNumberFormat="1" applyFont="1"/>
    <xf numFmtId="1" fontId="8" fillId="0" borderId="0" xfId="1" applyNumberFormat="1" applyFont="1"/>
    <xf numFmtId="0" fontId="8" fillId="0" borderId="0" xfId="1" applyNumberFormat="1" applyFont="1"/>
    <xf numFmtId="0" fontId="8" fillId="0" borderId="0" xfId="1" applyFont="1" applyAlignment="1">
      <alignment horizontal="center" vertical="center"/>
    </xf>
    <xf numFmtId="0" fontId="13" fillId="0" borderId="3"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23" fillId="0" borderId="0" xfId="1" applyFont="1"/>
    <xf numFmtId="0" fontId="8" fillId="0" borderId="0" xfId="1" applyFont="1" applyAlignment="1">
      <alignment horizontal="center" vertical="center"/>
    </xf>
    <xf numFmtId="0" fontId="13" fillId="0" borderId="10" xfId="1" applyFont="1" applyFill="1" applyBorder="1" applyProtection="1">
      <protection hidden="1"/>
    </xf>
    <xf numFmtId="0" fontId="13" fillId="0" borderId="11" xfId="1" applyFont="1" applyBorder="1" applyProtection="1">
      <protection hidden="1"/>
    </xf>
    <xf numFmtId="0" fontId="13" fillId="0" borderId="0" xfId="1" applyFont="1" applyFill="1" applyBorder="1" applyProtection="1">
      <protection hidden="1"/>
    </xf>
    <xf numFmtId="0" fontId="13" fillId="0" borderId="12" xfId="1" applyFont="1" applyBorder="1" applyProtection="1">
      <protection hidden="1"/>
    </xf>
    <xf numFmtId="0" fontId="15" fillId="0" borderId="0" xfId="0" applyFont="1" applyFill="1" applyBorder="1" applyProtection="1">
      <protection hidden="1"/>
    </xf>
    <xf numFmtId="0" fontId="13" fillId="0" borderId="12" xfId="1" applyFont="1" applyBorder="1"/>
    <xf numFmtId="0" fontId="15" fillId="0" borderId="12" xfId="0" applyNumberFormat="1" applyFont="1" applyBorder="1" applyProtection="1">
      <protection hidden="1"/>
    </xf>
    <xf numFmtId="1" fontId="25" fillId="0" borderId="12" xfId="0" applyNumberFormat="1" applyFont="1" applyBorder="1"/>
    <xf numFmtId="1" fontId="25" fillId="0" borderId="12" xfId="0" applyNumberFormat="1" applyFont="1" applyBorder="1" applyAlignment="1">
      <alignment horizontal="right"/>
    </xf>
    <xf numFmtId="0" fontId="15" fillId="0" borderId="13" xfId="0" applyFont="1" applyFill="1" applyBorder="1" applyProtection="1">
      <protection hidden="1"/>
    </xf>
    <xf numFmtId="1" fontId="25" fillId="0" borderId="14" xfId="0" applyNumberFormat="1" applyFont="1" applyBorder="1"/>
    <xf numFmtId="0" fontId="1" fillId="0" borderId="1" xfId="5" applyFont="1" applyBorder="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1" fontId="9" fillId="0" borderId="2" xfId="1" applyNumberFormat="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left" vertical="top"/>
      <protection locked="0"/>
    </xf>
    <xf numFmtId="1" fontId="7" fillId="0" borderId="1" xfId="0"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center" vertical="top"/>
      <protection locked="0"/>
    </xf>
    <xf numFmtId="0" fontId="8" fillId="0" borderId="0" xfId="1" applyFont="1" applyAlignment="1">
      <alignment horizontal="center" vertical="center"/>
    </xf>
    <xf numFmtId="0" fontId="13" fillId="0" borderId="1" xfId="1" applyFont="1" applyFill="1" applyBorder="1" applyAlignment="1" applyProtection="1">
      <alignment vertical="top"/>
      <protection locked="0"/>
    </xf>
    <xf numFmtId="0" fontId="13" fillId="0" borderId="1" xfId="1" applyFont="1" applyFill="1" applyBorder="1" applyAlignment="1" applyProtection="1">
      <alignment horizontal="center" wrapText="1"/>
      <protection locked="0"/>
    </xf>
    <xf numFmtId="9" fontId="13" fillId="0" borderId="1" xfId="1" applyNumberFormat="1" applyFont="1" applyFill="1" applyBorder="1" applyAlignment="1" applyProtection="1">
      <alignment horizontal="center" vertical="center" wrapText="1"/>
      <protection hidden="1"/>
    </xf>
    <xf numFmtId="1" fontId="13" fillId="0" borderId="1" xfId="1" applyNumberFormat="1" applyFont="1" applyFill="1" applyBorder="1" applyAlignment="1" applyProtection="1">
      <alignment horizontal="center" wrapText="1"/>
      <protection locked="0"/>
    </xf>
    <xf numFmtId="0" fontId="13" fillId="0" borderId="6" xfId="1" applyFont="1" applyFill="1" applyBorder="1" applyAlignment="1" applyProtection="1">
      <alignment horizontal="center" wrapText="1"/>
      <protection locked="0"/>
    </xf>
    <xf numFmtId="9" fontId="13" fillId="0" borderId="6" xfId="1" applyNumberFormat="1" applyFont="1" applyFill="1" applyBorder="1" applyAlignment="1" applyProtection="1">
      <alignment horizontal="center" vertical="center" wrapText="1"/>
      <protection hidden="1"/>
    </xf>
    <xf numFmtId="0" fontId="9" fillId="0" borderId="0" xfId="1" applyFont="1" applyFill="1" applyBorder="1" applyAlignment="1" applyProtection="1">
      <alignment vertical="top"/>
      <protection locked="0"/>
    </xf>
    <xf numFmtId="0" fontId="9" fillId="0" borderId="0" xfId="1" applyFont="1" applyFill="1" applyBorder="1" applyAlignment="1" applyProtection="1">
      <alignment vertical="top" wrapText="1"/>
      <protection locked="0"/>
    </xf>
    <xf numFmtId="0" fontId="8" fillId="0" borderId="0" xfId="1" applyFont="1" applyFill="1" applyProtection="1">
      <protection locked="0"/>
    </xf>
    <xf numFmtId="0" fontId="11" fillId="0" borderId="0" xfId="1" applyFont="1" applyFill="1" applyProtection="1">
      <protection locked="0"/>
    </xf>
    <xf numFmtId="0" fontId="11" fillId="0" borderId="0" xfId="0" applyFont="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0" fontId="13" fillId="0" borderId="1" xfId="1" applyFont="1" applyFill="1" applyBorder="1" applyAlignment="1" applyProtection="1">
      <alignment horizontal="left" vertical="top"/>
      <protection locked="0"/>
    </xf>
    <xf numFmtId="1" fontId="7"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0" fontId="8" fillId="0" borderId="0" xfId="1" applyFont="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0" applyNumberFormat="1" applyFont="1" applyFill="1" applyBorder="1" applyAlignment="1" applyProtection="1">
      <alignment horizontal="center" vertical="center" wrapText="1"/>
      <protection locked="0"/>
    </xf>
    <xf numFmtId="0" fontId="8" fillId="2" borderId="0" xfId="1" applyFont="1" applyFill="1"/>
    <xf numFmtId="14" fontId="8" fillId="2" borderId="0" xfId="1" applyNumberFormat="1" applyFont="1" applyFill="1"/>
    <xf numFmtId="1" fontId="7"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0" fontId="8" fillId="3" borderId="0" xfId="1" applyFont="1" applyFill="1"/>
    <xf numFmtId="14" fontId="8" fillId="3" borderId="0" xfId="1" applyNumberFormat="1" applyFont="1" applyFill="1"/>
    <xf numFmtId="1" fontId="7" fillId="0" borderId="1" xfId="0" applyNumberFormat="1" applyFont="1" applyFill="1" applyBorder="1" applyAlignment="1" applyProtection="1">
      <alignment horizontal="center" vertical="center" wrapText="1"/>
      <protection locked="0"/>
    </xf>
    <xf numFmtId="0" fontId="27" fillId="0" borderId="0" xfId="1" applyFont="1"/>
    <xf numFmtId="1" fontId="7"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top"/>
      <protection locked="0"/>
    </xf>
    <xf numFmtId="1" fontId="9" fillId="0" borderId="8" xfId="0" applyNumberFormat="1" applyFont="1" applyFill="1" applyBorder="1" applyAlignment="1" applyProtection="1">
      <alignment vertical="top" wrapText="1"/>
      <protection locked="0"/>
    </xf>
    <xf numFmtId="1" fontId="9" fillId="0" borderId="23" xfId="0" applyNumberFormat="1" applyFont="1" applyFill="1" applyBorder="1" applyAlignment="1" applyProtection="1">
      <alignment vertical="top" wrapText="1"/>
      <protection locked="0"/>
    </xf>
    <xf numFmtId="1" fontId="9" fillId="0" borderId="9" xfId="0" applyNumberFormat="1" applyFont="1" applyFill="1" applyBorder="1" applyAlignment="1" applyProtection="1">
      <alignment vertical="top" wrapText="1"/>
      <protection locked="0"/>
    </xf>
    <xf numFmtId="0" fontId="7" fillId="0" borderId="1" xfId="1" applyFont="1" applyFill="1" applyBorder="1" applyAlignment="1" applyProtection="1">
      <alignment horizontal="left" vertical="top"/>
      <protection locked="0"/>
    </xf>
    <xf numFmtId="1" fontId="9" fillId="0" borderId="8" xfId="1" applyNumberFormat="1" applyFont="1" applyFill="1" applyBorder="1" applyAlignment="1" applyProtection="1">
      <alignment horizontal="center" vertical="center" wrapText="1"/>
      <protection locked="0"/>
    </xf>
    <xf numFmtId="1" fontId="9" fillId="0" borderId="23" xfId="1" applyNumberFormat="1" applyFont="1" applyFill="1" applyBorder="1" applyAlignment="1" applyProtection="1">
      <alignment horizontal="center" vertical="center" wrapText="1"/>
      <protection locked="0"/>
    </xf>
    <xf numFmtId="1" fontId="9" fillId="0" borderId="9"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 fontId="7" fillId="0" borderId="19" xfId="1" applyNumberFormat="1" applyFont="1" applyFill="1" applyBorder="1" applyAlignment="1" applyProtection="1">
      <alignment horizontal="center" vertical="center" wrapText="1"/>
      <protection locked="0"/>
    </xf>
    <xf numFmtId="1" fontId="7" fillId="0" borderId="20" xfId="1" applyNumberFormat="1" applyFont="1" applyFill="1" applyBorder="1" applyAlignment="1" applyProtection="1">
      <alignment horizontal="center" vertical="center" wrapText="1"/>
      <protection locked="0"/>
    </xf>
    <xf numFmtId="1" fontId="7" fillId="0" borderId="28" xfId="1" applyNumberFormat="1" applyFont="1" applyFill="1" applyBorder="1" applyAlignment="1" applyProtection="1">
      <alignment horizontal="center" vertical="center" wrapText="1"/>
      <protection locked="0"/>
    </xf>
    <xf numFmtId="1" fontId="7" fillId="0" borderId="29" xfId="1" applyNumberFormat="1" applyFont="1" applyFill="1" applyBorder="1" applyAlignment="1" applyProtection="1">
      <alignment horizontal="center" vertical="center" wrapText="1"/>
      <protection locked="0"/>
    </xf>
    <xf numFmtId="1" fontId="7" fillId="0" borderId="21" xfId="1" applyNumberFormat="1" applyFont="1" applyFill="1" applyBorder="1" applyAlignment="1" applyProtection="1">
      <alignment horizontal="center" vertical="center" wrapText="1"/>
      <protection locked="0"/>
    </xf>
    <xf numFmtId="1" fontId="7" fillId="0" borderId="22" xfId="1" applyNumberFormat="1" applyFont="1" applyFill="1" applyBorder="1" applyAlignment="1" applyProtection="1">
      <alignment horizontal="center" vertical="center" wrapText="1"/>
      <protection locked="0"/>
    </xf>
    <xf numFmtId="1" fontId="7" fillId="0" borderId="8" xfId="1" applyNumberFormat="1" applyFont="1" applyFill="1" applyBorder="1" applyAlignment="1" applyProtection="1">
      <alignment horizontal="center" vertical="center" wrapText="1"/>
      <protection locked="0"/>
    </xf>
    <xf numFmtId="1" fontId="7" fillId="0" borderId="23" xfId="1" applyNumberFormat="1" applyFont="1" applyFill="1" applyBorder="1" applyAlignment="1" applyProtection="1">
      <alignment horizontal="center" vertical="center" wrapText="1"/>
      <protection locked="0"/>
    </xf>
    <xf numFmtId="1" fontId="7" fillId="0" borderId="9" xfId="1" applyNumberFormat="1" applyFont="1" applyFill="1" applyBorder="1" applyAlignment="1" applyProtection="1">
      <alignment horizontal="center" vertical="center" wrapText="1"/>
      <protection locked="0"/>
    </xf>
    <xf numFmtId="1" fontId="14" fillId="0" borderId="8" xfId="0" applyNumberFormat="1" applyFont="1" applyFill="1" applyBorder="1" applyAlignment="1" applyProtection="1">
      <alignment vertical="top" wrapText="1"/>
      <protection locked="0"/>
    </xf>
    <xf numFmtId="1" fontId="14" fillId="0" borderId="23" xfId="0" applyNumberFormat="1" applyFont="1" applyFill="1" applyBorder="1" applyAlignment="1" applyProtection="1">
      <alignment vertical="top" wrapText="1"/>
      <protection locked="0"/>
    </xf>
    <xf numFmtId="1" fontId="14" fillId="0" borderId="9" xfId="0" applyNumberFormat="1" applyFont="1" applyFill="1" applyBorder="1" applyAlignment="1" applyProtection="1">
      <alignment vertical="top" wrapText="1"/>
      <protection locked="0"/>
    </xf>
    <xf numFmtId="0" fontId="24"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167" fontId="13" fillId="0" borderId="1" xfId="1" applyNumberFormat="1" applyFont="1" applyFill="1" applyBorder="1" applyAlignment="1" applyProtection="1">
      <alignment horizontal="left" vertical="top" wrapText="1"/>
      <protection locked="0"/>
    </xf>
    <xf numFmtId="0" fontId="13" fillId="0" borderId="8" xfId="1" applyFont="1" applyFill="1" applyBorder="1" applyAlignment="1" applyProtection="1">
      <alignment horizontal="left" vertical="top" wrapText="1"/>
      <protection locked="0"/>
    </xf>
    <xf numFmtId="0" fontId="13" fillId="0" borderId="23" xfId="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1" fontId="9" fillId="0" borderId="1" xfId="1" applyNumberFormat="1" applyFont="1" applyFill="1" applyBorder="1" applyAlignment="1" applyProtection="1">
      <alignment horizontal="center" vertical="center" wrapText="1"/>
      <protection locked="0"/>
    </xf>
    <xf numFmtId="0" fontId="8" fillId="0" borderId="0" xfId="1" applyFont="1" applyAlignment="1">
      <alignment horizontal="center" vertical="center"/>
    </xf>
    <xf numFmtId="0" fontId="13" fillId="0" borderId="19"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protection locked="0"/>
    </xf>
    <xf numFmtId="0" fontId="13" fillId="0" borderId="20"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20" xfId="1" applyFont="1" applyFill="1" applyBorder="1" applyAlignment="1" applyProtection="1">
      <alignment horizontal="left" vertical="top" wrapText="1"/>
      <protection locked="0"/>
    </xf>
    <xf numFmtId="0" fontId="13" fillId="0" borderId="21" xfId="1" applyFont="1" applyFill="1" applyBorder="1" applyAlignment="1" applyProtection="1">
      <alignment horizontal="left" vertical="top" wrapText="1"/>
      <protection locked="0"/>
    </xf>
    <xf numFmtId="0" fontId="13" fillId="0" borderId="27" xfId="1" applyFont="1" applyFill="1" applyBorder="1" applyAlignment="1" applyProtection="1">
      <alignment horizontal="left" vertical="top" wrapText="1"/>
      <protection locked="0"/>
    </xf>
    <xf numFmtId="0" fontId="13" fillId="0" borderId="22" xfId="1" applyFont="1" applyFill="1" applyBorder="1" applyAlignment="1" applyProtection="1">
      <alignment horizontal="left" vertical="top" wrapText="1"/>
      <protection locked="0"/>
    </xf>
    <xf numFmtId="0" fontId="14" fillId="0" borderId="24"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4" fillId="0" borderId="15" xfId="1" applyFont="1" applyFill="1" applyBorder="1" applyAlignment="1" applyProtection="1">
      <alignment horizontal="left" vertical="top" wrapText="1"/>
      <protection locked="0"/>
    </xf>
    <xf numFmtId="0" fontId="14" fillId="0" borderId="16" xfId="1" applyFont="1" applyFill="1" applyBorder="1" applyAlignment="1" applyProtection="1">
      <alignment horizontal="left" vertical="top" wrapText="1"/>
      <protection locked="0"/>
    </xf>
    <xf numFmtId="0" fontId="14" fillId="0" borderId="25" xfId="1" applyFont="1" applyFill="1" applyBorder="1" applyAlignment="1" applyProtection="1">
      <alignment horizontal="left" vertical="top" wrapText="1"/>
      <protection locked="0"/>
    </xf>
    <xf numFmtId="0" fontId="14" fillId="0" borderId="3"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wrapText="1"/>
      <protection locked="0"/>
    </xf>
    <xf numFmtId="0" fontId="13" fillId="0" borderId="3"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7" fillId="0" borderId="1" xfId="1" applyFont="1" applyFill="1" applyBorder="1" applyAlignment="1" applyProtection="1">
      <alignment horizontal="left" vertical="top" wrapText="1"/>
      <protection locked="0"/>
    </xf>
    <xf numFmtId="9" fontId="13" fillId="0" borderId="1" xfId="1" applyNumberFormat="1" applyFont="1" applyFill="1" applyBorder="1" applyAlignment="1" applyProtection="1">
      <alignment horizontal="center" vertical="center" wrapText="1"/>
      <protection hidden="1"/>
    </xf>
    <xf numFmtId="9" fontId="13" fillId="0" borderId="6" xfId="1" applyNumberFormat="1" applyFont="1" applyFill="1" applyBorder="1" applyAlignment="1" applyProtection="1">
      <alignment horizontal="center" vertical="center" wrapText="1"/>
      <protection hidden="1"/>
    </xf>
    <xf numFmtId="9" fontId="13" fillId="0" borderId="4" xfId="1" applyNumberFormat="1" applyFont="1" applyFill="1" applyBorder="1" applyAlignment="1" applyProtection="1">
      <alignment horizontal="center" vertical="center" wrapText="1"/>
      <protection hidden="1"/>
    </xf>
    <xf numFmtId="9" fontId="13" fillId="0" borderId="7" xfId="1" applyNumberFormat="1" applyFont="1" applyFill="1" applyBorder="1" applyAlignment="1" applyProtection="1">
      <alignment horizontal="center" vertical="center" wrapText="1"/>
      <protection hidden="1"/>
    </xf>
    <xf numFmtId="0" fontId="13" fillId="0" borderId="5" xfId="1" applyFont="1" applyFill="1" applyBorder="1" applyAlignment="1" applyProtection="1">
      <alignment horizontal="center" vertical="top" wrapText="1"/>
      <protection locked="0"/>
    </xf>
    <xf numFmtId="0" fontId="13" fillId="0" borderId="6" xfId="1" applyFont="1" applyFill="1" applyBorder="1" applyAlignment="1" applyProtection="1">
      <alignment horizontal="center" vertical="top" wrapText="1"/>
      <protection locked="0"/>
    </xf>
    <xf numFmtId="0" fontId="7" fillId="0" borderId="1" xfId="1" applyFont="1" applyFill="1" applyBorder="1" applyAlignment="1" applyProtection="1">
      <alignment vertical="top"/>
      <protection locked="0"/>
    </xf>
    <xf numFmtId="1" fontId="9" fillId="0" borderId="1" xfId="0" applyNumberFormat="1" applyFont="1" applyFill="1" applyBorder="1" applyAlignment="1" applyProtection="1">
      <alignment horizontal="center" vertical="top" wrapText="1"/>
      <protection locked="0"/>
    </xf>
    <xf numFmtId="1" fontId="9" fillId="0" borderId="2" xfId="1" applyNumberFormat="1" applyFont="1" applyFill="1" applyBorder="1" applyAlignment="1" applyProtection="1">
      <alignment horizontal="center" vertical="top" wrapText="1"/>
      <protection locked="0"/>
    </xf>
    <xf numFmtId="1" fontId="9" fillId="0" borderId="18" xfId="1" applyNumberFormat="1" applyFont="1" applyFill="1" applyBorder="1" applyAlignment="1" applyProtection="1">
      <alignment horizontal="center" vertical="top" wrapText="1"/>
      <protection locked="0"/>
    </xf>
    <xf numFmtId="1" fontId="5" fillId="0" borderId="2" xfId="1" applyNumberFormat="1" applyFont="1" applyFill="1" applyBorder="1" applyAlignment="1" applyProtection="1">
      <alignment horizontal="center" vertical="top" wrapText="1"/>
      <protection locked="0"/>
    </xf>
    <xf numFmtId="1" fontId="5" fillId="0" borderId="18" xfId="1" applyNumberFormat="1" applyFont="1" applyFill="1" applyBorder="1" applyAlignment="1" applyProtection="1">
      <alignment horizontal="center" vertical="top" wrapText="1"/>
      <protection locked="0"/>
    </xf>
    <xf numFmtId="1" fontId="9" fillId="0" borderId="19" xfId="1" applyNumberFormat="1" applyFont="1" applyFill="1" applyBorder="1" applyAlignment="1" applyProtection="1">
      <alignment horizontal="center" vertical="top" wrapText="1"/>
      <protection locked="0"/>
    </xf>
    <xf numFmtId="1" fontId="9" fillId="0" borderId="20" xfId="1" applyNumberFormat="1" applyFont="1" applyFill="1" applyBorder="1" applyAlignment="1" applyProtection="1">
      <alignment horizontal="center" vertical="top" wrapText="1"/>
      <protection locked="0"/>
    </xf>
    <xf numFmtId="1" fontId="9" fillId="0" borderId="21" xfId="1" applyNumberFormat="1" applyFont="1" applyFill="1" applyBorder="1" applyAlignment="1" applyProtection="1">
      <alignment horizontal="center" vertical="top" wrapText="1"/>
      <protection locked="0"/>
    </xf>
    <xf numFmtId="1" fontId="9" fillId="0" borderId="22" xfId="1" applyNumberFormat="1" applyFont="1" applyFill="1" applyBorder="1" applyAlignment="1" applyProtection="1">
      <alignment horizontal="center" vertical="top" wrapText="1"/>
      <protection locked="0"/>
    </xf>
    <xf numFmtId="168" fontId="13" fillId="0" borderId="1" xfId="9" applyNumberFormat="1" applyFont="1" applyFill="1" applyBorder="1" applyAlignment="1" applyProtection="1">
      <alignment horizontal="left" vertical="top"/>
      <protection locked="0"/>
    </xf>
    <xf numFmtId="0" fontId="9" fillId="0" borderId="1" xfId="1" applyFont="1" applyFill="1" applyBorder="1" applyAlignment="1" applyProtection="1">
      <alignment horizontal="left" vertical="top"/>
      <protection locked="0"/>
    </xf>
    <xf numFmtId="0" fontId="11" fillId="0" borderId="1" xfId="0" applyFont="1" applyFill="1" applyBorder="1" applyAlignment="1" applyProtection="1">
      <alignment horizontal="center" vertical="center"/>
      <protection locked="0"/>
    </xf>
    <xf numFmtId="0" fontId="13" fillId="0" borderId="4" xfId="1" applyFont="1" applyFill="1" applyBorder="1" applyAlignment="1" applyProtection="1">
      <alignment horizontal="center" vertical="top" wrapText="1"/>
      <protection locked="0"/>
    </xf>
    <xf numFmtId="0" fontId="9" fillId="0" borderId="1" xfId="1" applyFont="1" applyFill="1" applyBorder="1" applyAlignment="1" applyProtection="1">
      <alignment vertical="top"/>
      <protection locked="0"/>
    </xf>
    <xf numFmtId="0" fontId="13" fillId="0" borderId="2" xfId="1" applyFont="1" applyFill="1" applyBorder="1" applyAlignment="1" applyProtection="1">
      <alignment horizontal="left" vertical="top" wrapText="1"/>
      <protection locked="0"/>
    </xf>
    <xf numFmtId="0" fontId="11" fillId="0" borderId="1" xfId="0" applyFont="1" applyFill="1" applyBorder="1" applyAlignment="1" applyProtection="1">
      <alignment horizontal="center" vertical="top" wrapText="1"/>
      <protection locked="0"/>
    </xf>
    <xf numFmtId="0" fontId="9" fillId="0" borderId="1" xfId="1" applyFont="1" applyFill="1" applyBorder="1" applyAlignment="1" applyProtection="1">
      <alignment horizontal="center" vertical="top"/>
      <protection locked="0"/>
    </xf>
    <xf numFmtId="1" fontId="9" fillId="0" borderId="19" xfId="1" applyNumberFormat="1" applyFont="1" applyFill="1" applyBorder="1" applyAlignment="1" applyProtection="1">
      <alignment horizontal="center" vertical="center" wrapText="1"/>
      <protection locked="0"/>
    </xf>
    <xf numFmtId="1" fontId="9" fillId="0" borderId="20" xfId="1" applyNumberFormat="1" applyFont="1" applyFill="1" applyBorder="1" applyAlignment="1" applyProtection="1">
      <alignment horizontal="center" vertical="center" wrapText="1"/>
      <protection locked="0"/>
    </xf>
    <xf numFmtId="1" fontId="9" fillId="0" borderId="28" xfId="1" applyNumberFormat="1" applyFont="1" applyFill="1" applyBorder="1" applyAlignment="1" applyProtection="1">
      <alignment horizontal="center" vertical="center" wrapText="1"/>
      <protection locked="0"/>
    </xf>
    <xf numFmtId="1" fontId="9" fillId="0" borderId="29" xfId="1" applyNumberFormat="1" applyFont="1" applyFill="1" applyBorder="1" applyAlignment="1" applyProtection="1">
      <alignment horizontal="center" vertical="center" wrapText="1"/>
      <protection locked="0"/>
    </xf>
    <xf numFmtId="1" fontId="9" fillId="0" borderId="21" xfId="1" applyNumberFormat="1" applyFont="1" applyFill="1" applyBorder="1" applyAlignment="1" applyProtection="1">
      <alignment horizontal="center" vertical="center" wrapText="1"/>
      <protection locked="0"/>
    </xf>
    <xf numFmtId="1" fontId="9" fillId="0" borderId="22" xfId="1"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top" wrapText="1"/>
      <protection locked="0"/>
    </xf>
    <xf numFmtId="0" fontId="15" fillId="0" borderId="1" xfId="1" applyFont="1" applyFill="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center" wrapText="1"/>
      <protection locked="0"/>
    </xf>
    <xf numFmtId="167" fontId="7" fillId="0" borderId="1" xfId="1" applyNumberFormat="1" applyFont="1" applyFill="1" applyBorder="1" applyAlignment="1" applyProtection="1">
      <alignment horizontal="left" vertical="top"/>
      <protection locked="0"/>
    </xf>
    <xf numFmtId="0" fontId="13" fillId="0" borderId="1" xfId="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left"/>
      <protection locked="0"/>
    </xf>
    <xf numFmtId="0" fontId="13" fillId="0" borderId="1" xfId="1" applyFont="1" applyFill="1" applyBorder="1" applyAlignment="1" applyProtection="1">
      <alignment horizontal="center"/>
      <protection locked="0"/>
    </xf>
    <xf numFmtId="0" fontId="14" fillId="0" borderId="1" xfId="1" applyFont="1" applyFill="1" applyBorder="1" applyAlignment="1" applyProtection="1">
      <alignment horizontal="center" vertical="top"/>
      <protection locked="0"/>
    </xf>
    <xf numFmtId="0" fontId="14" fillId="0" borderId="1" xfId="1" applyFont="1" applyFill="1" applyBorder="1" applyAlignment="1" applyProtection="1">
      <alignment horizontal="center"/>
      <protection locked="0"/>
    </xf>
    <xf numFmtId="1" fontId="8" fillId="0" borderId="1" xfId="0" applyNumberFormat="1"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left" vertical="top" wrapText="1"/>
      <protection locked="0"/>
    </xf>
    <xf numFmtId="164" fontId="7" fillId="0" borderId="1" xfId="1" applyNumberFormat="1" applyFont="1" applyFill="1" applyBorder="1" applyAlignment="1" applyProtection="1">
      <alignment horizontal="left" vertical="top"/>
      <protection locked="0"/>
    </xf>
    <xf numFmtId="2" fontId="7" fillId="0" borderId="1" xfId="1" applyNumberFormat="1" applyFont="1" applyFill="1" applyBorder="1" applyAlignment="1" applyProtection="1">
      <alignment horizontal="left" vertical="top"/>
      <protection locked="0"/>
    </xf>
    <xf numFmtId="0" fontId="7" fillId="0" borderId="8" xfId="1" applyFont="1" applyFill="1" applyBorder="1" applyAlignment="1" applyProtection="1">
      <alignment horizontal="left" vertical="top" wrapText="1"/>
      <protection locked="0"/>
    </xf>
    <xf numFmtId="0" fontId="7" fillId="0" borderId="9" xfId="1" applyFont="1" applyFill="1" applyBorder="1" applyAlignment="1" applyProtection="1">
      <alignment horizontal="left" vertical="top" wrapText="1"/>
      <protection locked="0"/>
    </xf>
    <xf numFmtId="0" fontId="14" fillId="0" borderId="8" xfId="1" applyFont="1" applyFill="1" applyBorder="1" applyAlignment="1" applyProtection="1">
      <alignment horizontal="left" vertical="top" wrapText="1"/>
      <protection locked="0"/>
    </xf>
    <xf numFmtId="0" fontId="14" fillId="0" borderId="2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2" fontId="7" fillId="0" borderId="1" xfId="1"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center"/>
      <protection locked="0"/>
    </xf>
    <xf numFmtId="0" fontId="9" fillId="0" borderId="1" xfId="1" applyFont="1" applyFill="1" applyBorder="1" applyAlignment="1" applyProtection="1">
      <alignment horizontal="left" vertical="top" wrapText="1"/>
      <protection locked="0"/>
    </xf>
    <xf numFmtId="0" fontId="13" fillId="0" borderId="2" xfId="1" applyFont="1" applyFill="1" applyBorder="1" applyAlignment="1" applyProtection="1">
      <alignment horizontal="left" vertical="top"/>
      <protection locked="0"/>
    </xf>
    <xf numFmtId="167" fontId="14" fillId="0" borderId="1" xfId="1" applyNumberFormat="1" applyFont="1" applyFill="1" applyBorder="1" applyAlignment="1" applyProtection="1">
      <alignment horizontal="left" vertical="top" wrapText="1"/>
      <protection locked="0"/>
    </xf>
    <xf numFmtId="1" fontId="11" fillId="0" borderId="1" xfId="0" applyNumberFormat="1" applyFont="1" applyFill="1" applyBorder="1" applyAlignment="1" applyProtection="1">
      <alignment horizontal="center" vertical="top" wrapText="1"/>
      <protection locked="0"/>
    </xf>
    <xf numFmtId="0" fontId="10" fillId="0" borderId="1" xfId="5" applyFont="1" applyBorder="1" applyAlignment="1">
      <alignment horizontal="left"/>
    </xf>
    <xf numFmtId="0" fontId="11" fillId="0" borderId="1" xfId="1" applyFont="1" applyFill="1" applyBorder="1" applyAlignment="1" applyProtection="1">
      <alignment horizontal="left"/>
      <protection locked="0"/>
    </xf>
    <xf numFmtId="0" fontId="26" fillId="0" borderId="1" xfId="10" applyFill="1" applyBorder="1" applyAlignment="1" applyProtection="1">
      <alignment horizontal="left"/>
      <protection locked="0"/>
    </xf>
    <xf numFmtId="0" fontId="8" fillId="0" borderId="1" xfId="1" applyFont="1" applyFill="1" applyBorder="1" applyAlignment="1" applyProtection="1">
      <alignment horizontal="left"/>
      <protection locked="0"/>
    </xf>
    <xf numFmtId="0" fontId="13" fillId="0" borderId="30" xfId="1" applyFont="1" applyFill="1" applyBorder="1" applyAlignment="1" applyProtection="1">
      <alignment horizontal="center" vertical="top" wrapText="1"/>
      <protection locked="0"/>
    </xf>
    <xf numFmtId="0" fontId="13" fillId="0" borderId="2" xfId="1" applyFont="1" applyFill="1" applyBorder="1" applyAlignment="1" applyProtection="1">
      <alignment horizontal="center" vertical="top" wrapText="1"/>
      <protection locked="0"/>
    </xf>
    <xf numFmtId="0" fontId="13" fillId="0" borderId="2" xfId="1" applyFont="1" applyFill="1" applyBorder="1" applyAlignment="1" applyProtection="1">
      <alignment horizontal="center" wrapText="1"/>
      <protection locked="0"/>
    </xf>
    <xf numFmtId="9" fontId="13" fillId="0" borderId="2" xfId="1" applyNumberFormat="1" applyFont="1" applyFill="1" applyBorder="1" applyAlignment="1" applyProtection="1">
      <alignment horizontal="center" vertical="center" wrapText="1"/>
      <protection hidden="1"/>
    </xf>
    <xf numFmtId="9" fontId="13" fillId="0" borderId="2" xfId="1" applyNumberFormat="1" applyFont="1" applyFill="1" applyBorder="1" applyAlignment="1" applyProtection="1">
      <alignment horizontal="center" vertical="center" wrapText="1"/>
      <protection hidden="1"/>
    </xf>
    <xf numFmtId="9" fontId="13" fillId="0" borderId="31" xfId="1" applyNumberFormat="1" applyFont="1" applyFill="1" applyBorder="1" applyAlignment="1" applyProtection="1">
      <alignment horizontal="center" vertical="center" wrapText="1"/>
      <protection hidden="1"/>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601756</xdr:colOff>
      <xdr:row>554</xdr:row>
      <xdr:rowOff>26337</xdr:rowOff>
    </xdr:from>
    <xdr:to>
      <xdr:col>6</xdr:col>
      <xdr:colOff>280225</xdr:colOff>
      <xdr:row>572</xdr:row>
      <xdr:rowOff>25888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19785" y="81549131"/>
          <a:ext cx="4149616" cy="3630256"/>
        </a:xfrm>
        <a:prstGeom prst="rect">
          <a:avLst/>
        </a:prstGeom>
        <a:ln>
          <a:solidFill>
            <a:schemeClr val="tx1"/>
          </a:solidFill>
        </a:ln>
      </xdr:spPr>
    </xdr:pic>
    <xdr:clientData/>
  </xdr:twoCellAnchor>
  <xdr:twoCellAnchor editAs="oneCell">
    <xdr:from>
      <xdr:col>1</xdr:col>
      <xdr:colOff>600075</xdr:colOff>
      <xdr:row>535</xdr:row>
      <xdr:rowOff>22414</xdr:rowOff>
    </xdr:from>
    <xdr:to>
      <xdr:col>6</xdr:col>
      <xdr:colOff>278544</xdr:colOff>
      <xdr:row>553</xdr:row>
      <xdr:rowOff>22830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18104" y="77712796"/>
          <a:ext cx="4149616" cy="3631122"/>
        </a:xfrm>
        <a:prstGeom prst="rect">
          <a:avLst/>
        </a:prstGeom>
        <a:ln>
          <a:solidFill>
            <a:schemeClr val="tx1"/>
          </a:solidFill>
        </a:ln>
      </xdr:spPr>
    </xdr:pic>
    <xdr:clientData/>
  </xdr:twoCellAnchor>
  <xdr:twoCellAnchor>
    <xdr:from>
      <xdr:col>8</xdr:col>
      <xdr:colOff>848239</xdr:colOff>
      <xdr:row>493</xdr:row>
      <xdr:rowOff>44173</xdr:rowOff>
    </xdr:from>
    <xdr:to>
      <xdr:col>10</xdr:col>
      <xdr:colOff>321431</xdr:colOff>
      <xdr:row>495</xdr:row>
      <xdr:rowOff>176868</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372864" y="107838598"/>
          <a:ext cx="1397242" cy="5232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800" b="1">
              <a:solidFill>
                <a:srgbClr val="FF0000"/>
              </a:solidFill>
            </a:rPr>
            <a:t>Tower A</a:t>
          </a:r>
        </a:p>
      </xdr:txBody>
    </xdr:sp>
    <xdr:clientData/>
  </xdr:twoCellAnchor>
  <xdr:twoCellAnchor>
    <xdr:from>
      <xdr:col>9</xdr:col>
      <xdr:colOff>535057</xdr:colOff>
      <xdr:row>490</xdr:row>
      <xdr:rowOff>60424</xdr:rowOff>
    </xdr:from>
    <xdr:to>
      <xdr:col>11</xdr:col>
      <xdr:colOff>363694</xdr:colOff>
      <xdr:row>492</xdr:row>
      <xdr:rowOff>183594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8221732" y="107254774"/>
          <a:ext cx="1381212" cy="5232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800" b="1">
              <a:solidFill>
                <a:srgbClr val="FF0000"/>
              </a:solidFill>
            </a:rPr>
            <a:t>Tower B</a:t>
          </a:r>
        </a:p>
      </xdr:txBody>
    </xdr:sp>
    <xdr:clientData/>
  </xdr:twoCellAnchor>
  <xdr:twoCellAnchor>
    <xdr:from>
      <xdr:col>8</xdr:col>
      <xdr:colOff>497370</xdr:colOff>
      <xdr:row>494</xdr:row>
      <xdr:rowOff>55080</xdr:rowOff>
    </xdr:from>
    <xdr:to>
      <xdr:col>15</xdr:col>
      <xdr:colOff>555611</xdr:colOff>
      <xdr:row>527</xdr:row>
      <xdr:rowOff>16534</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7349020" y="106976380"/>
          <a:ext cx="6008191" cy="6457504"/>
          <a:chOff x="402790" y="182879"/>
          <a:chExt cx="5907005" cy="6525421"/>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577411" y="4188300"/>
            <a:ext cx="5391925" cy="2520000"/>
            <a:chOff x="577411" y="4188300"/>
            <a:chExt cx="5391925" cy="2520000"/>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81305" y="4188300"/>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77411" y="4188300"/>
              <a:ext cx="3356889" cy="252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00000000-0008-0000-0000-000016000000}"/>
              </a:ext>
            </a:extLst>
          </xdr:cNvPr>
          <xdr:cNvGrpSpPr/>
        </xdr:nvGrpSpPr>
        <xdr:grpSpPr>
          <a:xfrm>
            <a:off x="402790" y="182879"/>
            <a:ext cx="5907005" cy="3844006"/>
            <a:chOff x="402790" y="182879"/>
            <a:chExt cx="5907005" cy="3844006"/>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02790" y="182880"/>
              <a:ext cx="2880000" cy="3844005"/>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29795" y="182879"/>
              <a:ext cx="2880000" cy="3844005"/>
            </a:xfrm>
            <a:prstGeom prst="rect">
              <a:avLst/>
            </a:prstGeom>
            <a:ln>
              <a:solidFill>
                <a:schemeClr val="tx1"/>
              </a:solidFill>
            </a:ln>
          </xdr:spPr>
        </xdr:pic>
        <xdr:sp macro="" textlink="">
          <xdr:nvSpPr>
            <xdr:cNvPr id="25" name="TextBox 6">
              <a:extLst>
                <a:ext uri="{FF2B5EF4-FFF2-40B4-BE49-F238E27FC236}">
                  <a16:creationId xmlns:a16="http://schemas.microsoft.com/office/drawing/2014/main" id="{00000000-0008-0000-0000-000019000000}"/>
                </a:ext>
              </a:extLst>
            </xdr:cNvPr>
            <xdr:cNvSpPr txBox="1"/>
          </xdr:nvSpPr>
          <xdr:spPr>
            <a:xfrm>
              <a:off x="967229" y="18287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26" name="TextBox 7">
              <a:extLst>
                <a:ext uri="{FF2B5EF4-FFF2-40B4-BE49-F238E27FC236}">
                  <a16:creationId xmlns:a16="http://schemas.microsoft.com/office/drawing/2014/main" id="{00000000-0008-0000-0000-00001A000000}"/>
                </a:ext>
              </a:extLst>
            </xdr:cNvPr>
            <xdr:cNvSpPr txBox="1"/>
          </xdr:nvSpPr>
          <xdr:spPr>
            <a:xfrm>
              <a:off x="5093775" y="187845"/>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clientData/>
  </xdr:twoCellAnchor>
  <xdr:twoCellAnchor editAs="oneCell">
    <xdr:from>
      <xdr:col>8</xdr:col>
      <xdr:colOff>200026</xdr:colOff>
      <xdr:row>65</xdr:row>
      <xdr:rowOff>400050</xdr:rowOff>
    </xdr:from>
    <xdr:to>
      <xdr:col>12</xdr:col>
      <xdr:colOff>11129</xdr:colOff>
      <xdr:row>79</xdr:row>
      <xdr:rowOff>158300</xdr:rowOff>
    </xdr:to>
    <xdr:pic>
      <xdr:nvPicPr>
        <xdr:cNvPr id="4" name="Picture 3">
          <a:extLst>
            <a:ext uri="{FF2B5EF4-FFF2-40B4-BE49-F238E27FC236}">
              <a16:creationId xmlns:a16="http://schemas.microsoft.com/office/drawing/2014/main" id="{D55A5FDF-303B-4EEB-B526-07E06F9703C1}"/>
            </a:ext>
          </a:extLst>
        </xdr:cNvPr>
        <xdr:cNvPicPr>
          <a:picLocks noChangeAspect="1"/>
        </xdr:cNvPicPr>
      </xdr:nvPicPr>
      <xdr:blipFill>
        <a:blip xmlns:r="http://schemas.openxmlformats.org/officeDocument/2006/relationships" r:embed="rId7"/>
        <a:stretch>
          <a:fillRect/>
        </a:stretch>
      </xdr:blipFill>
      <xdr:spPr>
        <a:xfrm>
          <a:off x="6734176" y="17640300"/>
          <a:ext cx="3221053" cy="3600000"/>
        </a:xfrm>
        <a:prstGeom prst="rect">
          <a:avLst/>
        </a:prstGeom>
      </xdr:spPr>
    </xdr:pic>
    <xdr:clientData/>
  </xdr:twoCellAnchor>
  <xdr:twoCellAnchor editAs="oneCell">
    <xdr:from>
      <xdr:col>8</xdr:col>
      <xdr:colOff>200025</xdr:colOff>
      <xdr:row>80</xdr:row>
      <xdr:rowOff>304800</xdr:rowOff>
    </xdr:from>
    <xdr:to>
      <xdr:col>11</xdr:col>
      <xdr:colOff>373577</xdr:colOff>
      <xdr:row>95</xdr:row>
      <xdr:rowOff>56700</xdr:rowOff>
    </xdr:to>
    <xdr:pic>
      <xdr:nvPicPr>
        <xdr:cNvPr id="5" name="Picture 4">
          <a:extLst>
            <a:ext uri="{FF2B5EF4-FFF2-40B4-BE49-F238E27FC236}">
              <a16:creationId xmlns:a16="http://schemas.microsoft.com/office/drawing/2014/main" id="{02CC1CF8-638D-4A1F-8D16-4F4455833BB2}"/>
            </a:ext>
          </a:extLst>
        </xdr:cNvPr>
        <xdr:cNvPicPr>
          <a:picLocks noChangeAspect="1"/>
        </xdr:cNvPicPr>
      </xdr:nvPicPr>
      <xdr:blipFill>
        <a:blip xmlns:r="http://schemas.openxmlformats.org/officeDocument/2006/relationships" r:embed="rId8"/>
        <a:stretch>
          <a:fillRect/>
        </a:stretch>
      </xdr:blipFill>
      <xdr:spPr>
        <a:xfrm>
          <a:off x="6734175" y="21431250"/>
          <a:ext cx="2878652" cy="3600000"/>
        </a:xfrm>
        <a:prstGeom prst="rect">
          <a:avLst/>
        </a:prstGeom>
      </xdr:spPr>
    </xdr:pic>
    <xdr:clientData/>
  </xdr:twoCellAnchor>
  <xdr:twoCellAnchor>
    <xdr:from>
      <xdr:col>0</xdr:col>
      <xdr:colOff>342900</xdr:colOff>
      <xdr:row>491</xdr:row>
      <xdr:rowOff>158750</xdr:rowOff>
    </xdr:from>
    <xdr:to>
      <xdr:col>7</xdr:col>
      <xdr:colOff>442142</xdr:colOff>
      <xdr:row>523</xdr:row>
      <xdr:rowOff>132676</xdr:rowOff>
    </xdr:to>
    <xdr:grpSp>
      <xdr:nvGrpSpPr>
        <xdr:cNvPr id="6" name="Group 5"/>
        <xdr:cNvGrpSpPr/>
      </xdr:nvGrpSpPr>
      <xdr:grpSpPr>
        <a:xfrm>
          <a:off x="342900" y="106495850"/>
          <a:ext cx="6080942" cy="6266776"/>
          <a:chOff x="342900" y="106495850"/>
          <a:chExt cx="6080942" cy="6266776"/>
        </a:xfrm>
      </xdr:grpSpPr>
      <xdr:pic>
        <xdr:nvPicPr>
          <xdr:cNvPr id="33" name="Picture 3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983028" y="110602626"/>
            <a:ext cx="161831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2900" y="106495850"/>
            <a:ext cx="2966907" cy="39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58567" y="110602626"/>
            <a:ext cx="2877333"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456935" y="10649585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459441</xdr:colOff>
      <xdr:row>34</xdr:row>
      <xdr:rowOff>45742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6858000" cy="3855742"/>
        </a:xfrm>
        <a:prstGeom prst="rect">
          <a:avLst/>
        </a:prstGeom>
      </xdr:spPr>
    </xdr:pic>
    <xdr:clientData/>
  </xdr:twoCellAnchor>
  <xdr:twoCellAnchor editAs="oneCell">
    <xdr:from>
      <xdr:col>6</xdr:col>
      <xdr:colOff>611841</xdr:colOff>
      <xdr:row>14</xdr:row>
      <xdr:rowOff>0</xdr:rowOff>
    </xdr:from>
    <xdr:to>
      <xdr:col>16</xdr:col>
      <xdr:colOff>376518</xdr:colOff>
      <xdr:row>34</xdr:row>
      <xdr:rowOff>45742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593106" y="2678206"/>
          <a:ext cx="6858000" cy="3855742"/>
        </a:xfrm>
        <a:prstGeom prst="rect">
          <a:avLst/>
        </a:prstGeom>
      </xdr:spPr>
    </xdr:pic>
    <xdr:clientData/>
  </xdr:twoCellAnchor>
  <xdr:twoCellAnchor editAs="oneCell">
    <xdr:from>
      <xdr:col>1</xdr:col>
      <xdr:colOff>0</xdr:colOff>
      <xdr:row>34</xdr:row>
      <xdr:rowOff>182336</xdr:rowOff>
    </xdr:from>
    <xdr:to>
      <xdr:col>6</xdr:col>
      <xdr:colOff>459441</xdr:colOff>
      <xdr:row>55</xdr:row>
      <xdr:rowOff>37578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6" y="6670542"/>
          <a:ext cx="6858000" cy="3855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kRpm96Ej86pCTu8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576"/>
  <sheetViews>
    <sheetView tabSelected="1" view="pageBreakPreview" zoomScaleNormal="100" zoomScaleSheetLayoutView="100" zoomScalePageLayoutView="85" workbookViewId="0">
      <selection activeCell="E9" sqref="E9:H9"/>
    </sheetView>
  </sheetViews>
  <sheetFormatPr defaultColWidth="9.26953125" defaultRowHeight="15.5" x14ac:dyDescent="0.35"/>
  <cols>
    <col min="1" max="1" width="11.453125" style="8" customWidth="1"/>
    <col min="2" max="2" width="12" style="8" customWidth="1"/>
    <col min="3" max="3" width="12.7265625" style="8" customWidth="1"/>
    <col min="4" max="4" width="14.26953125" style="8" customWidth="1"/>
    <col min="5" max="7" width="11.7265625" style="8" customWidth="1"/>
    <col min="8" max="8" width="12.453125" style="8" customWidth="1"/>
    <col min="9" max="9" width="17.453125" style="3" customWidth="1"/>
    <col min="10" max="10" width="11.453125" style="3" customWidth="1"/>
    <col min="11" max="11" width="11.7265625" style="3" bestFit="1" customWidth="1"/>
    <col min="12" max="12" width="10.54296875" style="3" customWidth="1"/>
    <col min="13" max="13" width="11.7265625" style="3" customWidth="1"/>
    <col min="14" max="14" width="12.54296875" style="3" customWidth="1"/>
    <col min="15" max="15" width="9.7265625" style="3" customWidth="1"/>
    <col min="16" max="16" width="11.7265625" style="3" customWidth="1"/>
    <col min="17" max="247" width="9.26953125" style="3"/>
    <col min="248" max="248" width="8.7265625" style="3" customWidth="1"/>
    <col min="249" max="249" width="9.7265625" style="3" customWidth="1"/>
    <col min="250" max="250" width="14.453125" style="3" customWidth="1"/>
    <col min="251" max="251" width="7.26953125" style="3" customWidth="1"/>
    <col min="252" max="252" width="5.54296875" style="3" customWidth="1"/>
    <col min="253" max="253" width="9" style="3" customWidth="1"/>
    <col min="254" max="255" width="9.7265625" style="3" customWidth="1"/>
    <col min="256" max="256" width="11.26953125" style="3" customWidth="1"/>
    <col min="257" max="257" width="2.7265625" style="3" customWidth="1"/>
    <col min="258" max="258" width="3.54296875" style="3" customWidth="1"/>
    <col min="259" max="503" width="9.26953125" style="3"/>
    <col min="504" max="504" width="8.7265625" style="3" customWidth="1"/>
    <col min="505" max="505" width="9.7265625" style="3" customWidth="1"/>
    <col min="506" max="506" width="14.453125" style="3" customWidth="1"/>
    <col min="507" max="507" width="7.26953125" style="3" customWidth="1"/>
    <col min="508" max="508" width="5.54296875" style="3" customWidth="1"/>
    <col min="509" max="509" width="9" style="3" customWidth="1"/>
    <col min="510" max="511" width="9.7265625" style="3" customWidth="1"/>
    <col min="512" max="512" width="11.26953125" style="3" customWidth="1"/>
    <col min="513" max="513" width="2.7265625" style="3" customWidth="1"/>
    <col min="514" max="514" width="3.54296875" style="3" customWidth="1"/>
    <col min="515" max="759" width="9.26953125" style="3"/>
    <col min="760" max="760" width="8.7265625" style="3" customWidth="1"/>
    <col min="761" max="761" width="9.7265625" style="3" customWidth="1"/>
    <col min="762" max="762" width="14.453125" style="3" customWidth="1"/>
    <col min="763" max="763" width="7.26953125" style="3" customWidth="1"/>
    <col min="764" max="764" width="5.54296875" style="3" customWidth="1"/>
    <col min="765" max="765" width="9" style="3" customWidth="1"/>
    <col min="766" max="767" width="9.7265625" style="3" customWidth="1"/>
    <col min="768" max="768" width="11.26953125" style="3" customWidth="1"/>
    <col min="769" max="769" width="2.7265625" style="3" customWidth="1"/>
    <col min="770" max="770" width="3.54296875" style="3" customWidth="1"/>
    <col min="771" max="1015" width="9.26953125" style="3"/>
    <col min="1016" max="1016" width="8.7265625" style="3" customWidth="1"/>
    <col min="1017" max="1017" width="9.7265625" style="3" customWidth="1"/>
    <col min="1018" max="1018" width="14.453125" style="3" customWidth="1"/>
    <col min="1019" max="1019" width="7.26953125" style="3" customWidth="1"/>
    <col min="1020" max="1020" width="5.54296875" style="3" customWidth="1"/>
    <col min="1021" max="1021" width="9" style="3" customWidth="1"/>
    <col min="1022" max="1023" width="9.7265625" style="3" customWidth="1"/>
    <col min="1024" max="1024" width="11.26953125" style="3" customWidth="1"/>
    <col min="1025" max="1025" width="2.7265625" style="3" customWidth="1"/>
    <col min="1026" max="1026" width="3.54296875" style="3" customWidth="1"/>
    <col min="1027" max="1271" width="9.26953125" style="3"/>
    <col min="1272" max="1272" width="8.7265625" style="3" customWidth="1"/>
    <col min="1273" max="1273" width="9.7265625" style="3" customWidth="1"/>
    <col min="1274" max="1274" width="14.453125" style="3" customWidth="1"/>
    <col min="1275" max="1275" width="7.26953125" style="3" customWidth="1"/>
    <col min="1276" max="1276" width="5.54296875" style="3" customWidth="1"/>
    <col min="1277" max="1277" width="9" style="3" customWidth="1"/>
    <col min="1278" max="1279" width="9.7265625" style="3" customWidth="1"/>
    <col min="1280" max="1280" width="11.26953125" style="3" customWidth="1"/>
    <col min="1281" max="1281" width="2.7265625" style="3" customWidth="1"/>
    <col min="1282" max="1282" width="3.54296875" style="3" customWidth="1"/>
    <col min="1283" max="1527" width="9.26953125" style="3"/>
    <col min="1528" max="1528" width="8.7265625" style="3" customWidth="1"/>
    <col min="1529" max="1529" width="9.7265625" style="3" customWidth="1"/>
    <col min="1530" max="1530" width="14.453125" style="3" customWidth="1"/>
    <col min="1531" max="1531" width="7.26953125" style="3" customWidth="1"/>
    <col min="1532" max="1532" width="5.54296875" style="3" customWidth="1"/>
    <col min="1533" max="1533" width="9" style="3" customWidth="1"/>
    <col min="1534" max="1535" width="9.7265625" style="3" customWidth="1"/>
    <col min="1536" max="1536" width="11.26953125" style="3" customWidth="1"/>
    <col min="1537" max="1537" width="2.7265625" style="3" customWidth="1"/>
    <col min="1538" max="1538" width="3.54296875" style="3" customWidth="1"/>
    <col min="1539" max="1783" width="9.26953125" style="3"/>
    <col min="1784" max="1784" width="8.7265625" style="3" customWidth="1"/>
    <col min="1785" max="1785" width="9.7265625" style="3" customWidth="1"/>
    <col min="1786" max="1786" width="14.453125" style="3" customWidth="1"/>
    <col min="1787" max="1787" width="7.26953125" style="3" customWidth="1"/>
    <col min="1788" max="1788" width="5.54296875" style="3" customWidth="1"/>
    <col min="1789" max="1789" width="9" style="3" customWidth="1"/>
    <col min="1790" max="1791" width="9.7265625" style="3" customWidth="1"/>
    <col min="1792" max="1792" width="11.26953125" style="3" customWidth="1"/>
    <col min="1793" max="1793" width="2.7265625" style="3" customWidth="1"/>
    <col min="1794" max="1794" width="3.54296875" style="3" customWidth="1"/>
    <col min="1795" max="2039" width="9.26953125" style="3"/>
    <col min="2040" max="2040" width="8.7265625" style="3" customWidth="1"/>
    <col min="2041" max="2041" width="9.7265625" style="3" customWidth="1"/>
    <col min="2042" max="2042" width="14.453125" style="3" customWidth="1"/>
    <col min="2043" max="2043" width="7.26953125" style="3" customWidth="1"/>
    <col min="2044" max="2044" width="5.54296875" style="3" customWidth="1"/>
    <col min="2045" max="2045" width="9" style="3" customWidth="1"/>
    <col min="2046" max="2047" width="9.7265625" style="3" customWidth="1"/>
    <col min="2048" max="2048" width="11.26953125" style="3" customWidth="1"/>
    <col min="2049" max="2049" width="2.7265625" style="3" customWidth="1"/>
    <col min="2050" max="2050" width="3.54296875" style="3" customWidth="1"/>
    <col min="2051" max="2295" width="9.26953125" style="3"/>
    <col min="2296" max="2296" width="8.7265625" style="3" customWidth="1"/>
    <col min="2297" max="2297" width="9.7265625" style="3" customWidth="1"/>
    <col min="2298" max="2298" width="14.453125" style="3" customWidth="1"/>
    <col min="2299" max="2299" width="7.26953125" style="3" customWidth="1"/>
    <col min="2300" max="2300" width="5.54296875" style="3" customWidth="1"/>
    <col min="2301" max="2301" width="9" style="3" customWidth="1"/>
    <col min="2302" max="2303" width="9.7265625" style="3" customWidth="1"/>
    <col min="2304" max="2304" width="11.26953125" style="3" customWidth="1"/>
    <col min="2305" max="2305" width="2.7265625" style="3" customWidth="1"/>
    <col min="2306" max="2306" width="3.54296875" style="3" customWidth="1"/>
    <col min="2307" max="2551" width="9.26953125" style="3"/>
    <col min="2552" max="2552" width="8.7265625" style="3" customWidth="1"/>
    <col min="2553" max="2553" width="9.7265625" style="3" customWidth="1"/>
    <col min="2554" max="2554" width="14.453125" style="3" customWidth="1"/>
    <col min="2555" max="2555" width="7.26953125" style="3" customWidth="1"/>
    <col min="2556" max="2556" width="5.54296875" style="3" customWidth="1"/>
    <col min="2557" max="2557" width="9" style="3" customWidth="1"/>
    <col min="2558" max="2559" width="9.7265625" style="3" customWidth="1"/>
    <col min="2560" max="2560" width="11.26953125" style="3" customWidth="1"/>
    <col min="2561" max="2561" width="2.7265625" style="3" customWidth="1"/>
    <col min="2562" max="2562" width="3.54296875" style="3" customWidth="1"/>
    <col min="2563" max="2807" width="9.26953125" style="3"/>
    <col min="2808" max="2808" width="8.7265625" style="3" customWidth="1"/>
    <col min="2809" max="2809" width="9.7265625" style="3" customWidth="1"/>
    <col min="2810" max="2810" width="14.453125" style="3" customWidth="1"/>
    <col min="2811" max="2811" width="7.26953125" style="3" customWidth="1"/>
    <col min="2812" max="2812" width="5.54296875" style="3" customWidth="1"/>
    <col min="2813" max="2813" width="9" style="3" customWidth="1"/>
    <col min="2814" max="2815" width="9.7265625" style="3" customWidth="1"/>
    <col min="2816" max="2816" width="11.26953125" style="3" customWidth="1"/>
    <col min="2817" max="2817" width="2.7265625" style="3" customWidth="1"/>
    <col min="2818" max="2818" width="3.54296875" style="3" customWidth="1"/>
    <col min="2819" max="3063" width="9.26953125" style="3"/>
    <col min="3064" max="3064" width="8.7265625" style="3" customWidth="1"/>
    <col min="3065" max="3065" width="9.7265625" style="3" customWidth="1"/>
    <col min="3066" max="3066" width="14.453125" style="3" customWidth="1"/>
    <col min="3067" max="3067" width="7.26953125" style="3" customWidth="1"/>
    <col min="3068" max="3068" width="5.54296875" style="3" customWidth="1"/>
    <col min="3069" max="3069" width="9" style="3" customWidth="1"/>
    <col min="3070" max="3071" width="9.7265625" style="3" customWidth="1"/>
    <col min="3072" max="3072" width="11.26953125" style="3" customWidth="1"/>
    <col min="3073" max="3073" width="2.7265625" style="3" customWidth="1"/>
    <col min="3074" max="3074" width="3.54296875" style="3" customWidth="1"/>
    <col min="3075" max="3319" width="9.26953125" style="3"/>
    <col min="3320" max="3320" width="8.7265625" style="3" customWidth="1"/>
    <col min="3321" max="3321" width="9.7265625" style="3" customWidth="1"/>
    <col min="3322" max="3322" width="14.453125" style="3" customWidth="1"/>
    <col min="3323" max="3323" width="7.26953125" style="3" customWidth="1"/>
    <col min="3324" max="3324" width="5.54296875" style="3" customWidth="1"/>
    <col min="3325" max="3325" width="9" style="3" customWidth="1"/>
    <col min="3326" max="3327" width="9.7265625" style="3" customWidth="1"/>
    <col min="3328" max="3328" width="11.26953125" style="3" customWidth="1"/>
    <col min="3329" max="3329" width="2.7265625" style="3" customWidth="1"/>
    <col min="3330" max="3330" width="3.54296875" style="3" customWidth="1"/>
    <col min="3331" max="3575" width="9.26953125" style="3"/>
    <col min="3576" max="3576" width="8.7265625" style="3" customWidth="1"/>
    <col min="3577" max="3577" width="9.7265625" style="3" customWidth="1"/>
    <col min="3578" max="3578" width="14.453125" style="3" customWidth="1"/>
    <col min="3579" max="3579" width="7.26953125" style="3" customWidth="1"/>
    <col min="3580" max="3580" width="5.54296875" style="3" customWidth="1"/>
    <col min="3581" max="3581" width="9" style="3" customWidth="1"/>
    <col min="3582" max="3583" width="9.7265625" style="3" customWidth="1"/>
    <col min="3584" max="3584" width="11.26953125" style="3" customWidth="1"/>
    <col min="3585" max="3585" width="2.7265625" style="3" customWidth="1"/>
    <col min="3586" max="3586" width="3.54296875" style="3" customWidth="1"/>
    <col min="3587" max="3831" width="9.26953125" style="3"/>
    <col min="3832" max="3832" width="8.7265625" style="3" customWidth="1"/>
    <col min="3833" max="3833" width="9.7265625" style="3" customWidth="1"/>
    <col min="3834" max="3834" width="14.453125" style="3" customWidth="1"/>
    <col min="3835" max="3835" width="7.26953125" style="3" customWidth="1"/>
    <col min="3836" max="3836" width="5.54296875" style="3" customWidth="1"/>
    <col min="3837" max="3837" width="9" style="3" customWidth="1"/>
    <col min="3838" max="3839" width="9.7265625" style="3" customWidth="1"/>
    <col min="3840" max="3840" width="11.26953125" style="3" customWidth="1"/>
    <col min="3841" max="3841" width="2.7265625" style="3" customWidth="1"/>
    <col min="3842" max="3842" width="3.54296875" style="3" customWidth="1"/>
    <col min="3843" max="4087" width="9.26953125" style="3"/>
    <col min="4088" max="4088" width="8.7265625" style="3" customWidth="1"/>
    <col min="4089" max="4089" width="9.7265625" style="3" customWidth="1"/>
    <col min="4090" max="4090" width="14.453125" style="3" customWidth="1"/>
    <col min="4091" max="4091" width="7.26953125" style="3" customWidth="1"/>
    <col min="4092" max="4092" width="5.54296875" style="3" customWidth="1"/>
    <col min="4093" max="4093" width="9" style="3" customWidth="1"/>
    <col min="4094" max="4095" width="9.7265625" style="3" customWidth="1"/>
    <col min="4096" max="4096" width="11.26953125" style="3" customWidth="1"/>
    <col min="4097" max="4097" width="2.7265625" style="3" customWidth="1"/>
    <col min="4098" max="4098" width="3.54296875" style="3" customWidth="1"/>
    <col min="4099" max="4343" width="9.26953125" style="3"/>
    <col min="4344" max="4344" width="8.7265625" style="3" customWidth="1"/>
    <col min="4345" max="4345" width="9.7265625" style="3" customWidth="1"/>
    <col min="4346" max="4346" width="14.453125" style="3" customWidth="1"/>
    <col min="4347" max="4347" width="7.26953125" style="3" customWidth="1"/>
    <col min="4348" max="4348" width="5.54296875" style="3" customWidth="1"/>
    <col min="4349" max="4349" width="9" style="3" customWidth="1"/>
    <col min="4350" max="4351" width="9.7265625" style="3" customWidth="1"/>
    <col min="4352" max="4352" width="11.26953125" style="3" customWidth="1"/>
    <col min="4353" max="4353" width="2.7265625" style="3" customWidth="1"/>
    <col min="4354" max="4354" width="3.54296875" style="3" customWidth="1"/>
    <col min="4355" max="4599" width="9.26953125" style="3"/>
    <col min="4600" max="4600" width="8.7265625" style="3" customWidth="1"/>
    <col min="4601" max="4601" width="9.7265625" style="3" customWidth="1"/>
    <col min="4602" max="4602" width="14.453125" style="3" customWidth="1"/>
    <col min="4603" max="4603" width="7.26953125" style="3" customWidth="1"/>
    <col min="4604" max="4604" width="5.54296875" style="3" customWidth="1"/>
    <col min="4605" max="4605" width="9" style="3" customWidth="1"/>
    <col min="4606" max="4607" width="9.7265625" style="3" customWidth="1"/>
    <col min="4608" max="4608" width="11.26953125" style="3" customWidth="1"/>
    <col min="4609" max="4609" width="2.7265625" style="3" customWidth="1"/>
    <col min="4610" max="4610" width="3.54296875" style="3" customWidth="1"/>
    <col min="4611" max="4855" width="9.26953125" style="3"/>
    <col min="4856" max="4856" width="8.7265625" style="3" customWidth="1"/>
    <col min="4857" max="4857" width="9.7265625" style="3" customWidth="1"/>
    <col min="4858" max="4858" width="14.453125" style="3" customWidth="1"/>
    <col min="4859" max="4859" width="7.26953125" style="3" customWidth="1"/>
    <col min="4860" max="4860" width="5.54296875" style="3" customWidth="1"/>
    <col min="4861" max="4861" width="9" style="3" customWidth="1"/>
    <col min="4862" max="4863" width="9.7265625" style="3" customWidth="1"/>
    <col min="4864" max="4864" width="11.26953125" style="3" customWidth="1"/>
    <col min="4865" max="4865" width="2.7265625" style="3" customWidth="1"/>
    <col min="4866" max="4866" width="3.54296875" style="3" customWidth="1"/>
    <col min="4867" max="5111" width="9.26953125" style="3"/>
    <col min="5112" max="5112" width="8.7265625" style="3" customWidth="1"/>
    <col min="5113" max="5113" width="9.7265625" style="3" customWidth="1"/>
    <col min="5114" max="5114" width="14.453125" style="3" customWidth="1"/>
    <col min="5115" max="5115" width="7.26953125" style="3" customWidth="1"/>
    <col min="5116" max="5116" width="5.54296875" style="3" customWidth="1"/>
    <col min="5117" max="5117" width="9" style="3" customWidth="1"/>
    <col min="5118" max="5119" width="9.7265625" style="3" customWidth="1"/>
    <col min="5120" max="5120" width="11.26953125" style="3" customWidth="1"/>
    <col min="5121" max="5121" width="2.7265625" style="3" customWidth="1"/>
    <col min="5122" max="5122" width="3.54296875" style="3" customWidth="1"/>
    <col min="5123" max="5367" width="9.26953125" style="3"/>
    <col min="5368" max="5368" width="8.7265625" style="3" customWidth="1"/>
    <col min="5369" max="5369" width="9.7265625" style="3" customWidth="1"/>
    <col min="5370" max="5370" width="14.453125" style="3" customWidth="1"/>
    <col min="5371" max="5371" width="7.26953125" style="3" customWidth="1"/>
    <col min="5372" max="5372" width="5.54296875" style="3" customWidth="1"/>
    <col min="5373" max="5373" width="9" style="3" customWidth="1"/>
    <col min="5374" max="5375" width="9.7265625" style="3" customWidth="1"/>
    <col min="5376" max="5376" width="11.26953125" style="3" customWidth="1"/>
    <col min="5377" max="5377" width="2.7265625" style="3" customWidth="1"/>
    <col min="5378" max="5378" width="3.54296875" style="3" customWidth="1"/>
    <col min="5379" max="5623" width="9.26953125" style="3"/>
    <col min="5624" max="5624" width="8.7265625" style="3" customWidth="1"/>
    <col min="5625" max="5625" width="9.7265625" style="3" customWidth="1"/>
    <col min="5626" max="5626" width="14.453125" style="3" customWidth="1"/>
    <col min="5627" max="5627" width="7.26953125" style="3" customWidth="1"/>
    <col min="5628" max="5628" width="5.54296875" style="3" customWidth="1"/>
    <col min="5629" max="5629" width="9" style="3" customWidth="1"/>
    <col min="5630" max="5631" width="9.7265625" style="3" customWidth="1"/>
    <col min="5632" max="5632" width="11.26953125" style="3" customWidth="1"/>
    <col min="5633" max="5633" width="2.7265625" style="3" customWidth="1"/>
    <col min="5634" max="5634" width="3.54296875" style="3" customWidth="1"/>
    <col min="5635" max="5879" width="9.26953125" style="3"/>
    <col min="5880" max="5880" width="8.7265625" style="3" customWidth="1"/>
    <col min="5881" max="5881" width="9.7265625" style="3" customWidth="1"/>
    <col min="5882" max="5882" width="14.453125" style="3" customWidth="1"/>
    <col min="5883" max="5883" width="7.26953125" style="3" customWidth="1"/>
    <col min="5884" max="5884" width="5.54296875" style="3" customWidth="1"/>
    <col min="5885" max="5885" width="9" style="3" customWidth="1"/>
    <col min="5886" max="5887" width="9.7265625" style="3" customWidth="1"/>
    <col min="5888" max="5888" width="11.26953125" style="3" customWidth="1"/>
    <col min="5889" max="5889" width="2.7265625" style="3" customWidth="1"/>
    <col min="5890" max="5890" width="3.54296875" style="3" customWidth="1"/>
    <col min="5891" max="6135" width="9.26953125" style="3"/>
    <col min="6136" max="6136" width="8.7265625" style="3" customWidth="1"/>
    <col min="6137" max="6137" width="9.7265625" style="3" customWidth="1"/>
    <col min="6138" max="6138" width="14.453125" style="3" customWidth="1"/>
    <col min="6139" max="6139" width="7.26953125" style="3" customWidth="1"/>
    <col min="6140" max="6140" width="5.54296875" style="3" customWidth="1"/>
    <col min="6141" max="6141" width="9" style="3" customWidth="1"/>
    <col min="6142" max="6143" width="9.7265625" style="3" customWidth="1"/>
    <col min="6144" max="6144" width="11.26953125" style="3" customWidth="1"/>
    <col min="6145" max="6145" width="2.7265625" style="3" customWidth="1"/>
    <col min="6146" max="6146" width="3.54296875" style="3" customWidth="1"/>
    <col min="6147" max="6391" width="9.26953125" style="3"/>
    <col min="6392" max="6392" width="8.7265625" style="3" customWidth="1"/>
    <col min="6393" max="6393" width="9.7265625" style="3" customWidth="1"/>
    <col min="6394" max="6394" width="14.453125" style="3" customWidth="1"/>
    <col min="6395" max="6395" width="7.26953125" style="3" customWidth="1"/>
    <col min="6396" max="6396" width="5.54296875" style="3" customWidth="1"/>
    <col min="6397" max="6397" width="9" style="3" customWidth="1"/>
    <col min="6398" max="6399" width="9.7265625" style="3" customWidth="1"/>
    <col min="6400" max="6400" width="11.26953125" style="3" customWidth="1"/>
    <col min="6401" max="6401" width="2.7265625" style="3" customWidth="1"/>
    <col min="6402" max="6402" width="3.54296875" style="3" customWidth="1"/>
    <col min="6403" max="6647" width="9.26953125" style="3"/>
    <col min="6648" max="6648" width="8.7265625" style="3" customWidth="1"/>
    <col min="6649" max="6649" width="9.7265625" style="3" customWidth="1"/>
    <col min="6650" max="6650" width="14.453125" style="3" customWidth="1"/>
    <col min="6651" max="6651" width="7.26953125" style="3" customWidth="1"/>
    <col min="6652" max="6652" width="5.54296875" style="3" customWidth="1"/>
    <col min="6653" max="6653" width="9" style="3" customWidth="1"/>
    <col min="6654" max="6655" width="9.7265625" style="3" customWidth="1"/>
    <col min="6656" max="6656" width="11.26953125" style="3" customWidth="1"/>
    <col min="6657" max="6657" width="2.7265625" style="3" customWidth="1"/>
    <col min="6658" max="6658" width="3.54296875" style="3" customWidth="1"/>
    <col min="6659" max="6903" width="9.26953125" style="3"/>
    <col min="6904" max="6904" width="8.7265625" style="3" customWidth="1"/>
    <col min="6905" max="6905" width="9.7265625" style="3" customWidth="1"/>
    <col min="6906" max="6906" width="14.453125" style="3" customWidth="1"/>
    <col min="6907" max="6907" width="7.26953125" style="3" customWidth="1"/>
    <col min="6908" max="6908" width="5.54296875" style="3" customWidth="1"/>
    <col min="6909" max="6909" width="9" style="3" customWidth="1"/>
    <col min="6910" max="6911" width="9.7265625" style="3" customWidth="1"/>
    <col min="6912" max="6912" width="11.26953125" style="3" customWidth="1"/>
    <col min="6913" max="6913" width="2.7265625" style="3" customWidth="1"/>
    <col min="6914" max="6914" width="3.54296875" style="3" customWidth="1"/>
    <col min="6915" max="7159" width="9.26953125" style="3"/>
    <col min="7160" max="7160" width="8.7265625" style="3" customWidth="1"/>
    <col min="7161" max="7161" width="9.7265625" style="3" customWidth="1"/>
    <col min="7162" max="7162" width="14.453125" style="3" customWidth="1"/>
    <col min="7163" max="7163" width="7.26953125" style="3" customWidth="1"/>
    <col min="7164" max="7164" width="5.54296875" style="3" customWidth="1"/>
    <col min="7165" max="7165" width="9" style="3" customWidth="1"/>
    <col min="7166" max="7167" width="9.7265625" style="3" customWidth="1"/>
    <col min="7168" max="7168" width="11.26953125" style="3" customWidth="1"/>
    <col min="7169" max="7169" width="2.7265625" style="3" customWidth="1"/>
    <col min="7170" max="7170" width="3.54296875" style="3" customWidth="1"/>
    <col min="7171" max="7415" width="9.26953125" style="3"/>
    <col min="7416" max="7416" width="8.7265625" style="3" customWidth="1"/>
    <col min="7417" max="7417" width="9.7265625" style="3" customWidth="1"/>
    <col min="7418" max="7418" width="14.453125" style="3" customWidth="1"/>
    <col min="7419" max="7419" width="7.26953125" style="3" customWidth="1"/>
    <col min="7420" max="7420" width="5.54296875" style="3" customWidth="1"/>
    <col min="7421" max="7421" width="9" style="3" customWidth="1"/>
    <col min="7422" max="7423" width="9.7265625" style="3" customWidth="1"/>
    <col min="7424" max="7424" width="11.26953125" style="3" customWidth="1"/>
    <col min="7425" max="7425" width="2.7265625" style="3" customWidth="1"/>
    <col min="7426" max="7426" width="3.54296875" style="3" customWidth="1"/>
    <col min="7427" max="7671" width="9.26953125" style="3"/>
    <col min="7672" max="7672" width="8.7265625" style="3" customWidth="1"/>
    <col min="7673" max="7673" width="9.7265625" style="3" customWidth="1"/>
    <col min="7674" max="7674" width="14.453125" style="3" customWidth="1"/>
    <col min="7675" max="7675" width="7.26953125" style="3" customWidth="1"/>
    <col min="7676" max="7676" width="5.54296875" style="3" customWidth="1"/>
    <col min="7677" max="7677" width="9" style="3" customWidth="1"/>
    <col min="7678" max="7679" width="9.7265625" style="3" customWidth="1"/>
    <col min="7680" max="7680" width="11.26953125" style="3" customWidth="1"/>
    <col min="7681" max="7681" width="2.7265625" style="3" customWidth="1"/>
    <col min="7682" max="7682" width="3.54296875" style="3" customWidth="1"/>
    <col min="7683" max="7927" width="9.26953125" style="3"/>
    <col min="7928" max="7928" width="8.7265625" style="3" customWidth="1"/>
    <col min="7929" max="7929" width="9.7265625" style="3" customWidth="1"/>
    <col min="7930" max="7930" width="14.453125" style="3" customWidth="1"/>
    <col min="7931" max="7931" width="7.26953125" style="3" customWidth="1"/>
    <col min="7932" max="7932" width="5.54296875" style="3" customWidth="1"/>
    <col min="7933" max="7933" width="9" style="3" customWidth="1"/>
    <col min="7934" max="7935" width="9.7265625" style="3" customWidth="1"/>
    <col min="7936" max="7936" width="11.26953125" style="3" customWidth="1"/>
    <col min="7937" max="7937" width="2.7265625" style="3" customWidth="1"/>
    <col min="7938" max="7938" width="3.54296875" style="3" customWidth="1"/>
    <col min="7939" max="8183" width="9.26953125" style="3"/>
    <col min="8184" max="8184" width="8.7265625" style="3" customWidth="1"/>
    <col min="8185" max="8185" width="9.7265625" style="3" customWidth="1"/>
    <col min="8186" max="8186" width="14.453125" style="3" customWidth="1"/>
    <col min="8187" max="8187" width="7.26953125" style="3" customWidth="1"/>
    <col min="8188" max="8188" width="5.54296875" style="3" customWidth="1"/>
    <col min="8189" max="8189" width="9" style="3" customWidth="1"/>
    <col min="8190" max="8191" width="9.7265625" style="3" customWidth="1"/>
    <col min="8192" max="8192" width="11.26953125" style="3" customWidth="1"/>
    <col min="8193" max="8193" width="2.7265625" style="3" customWidth="1"/>
    <col min="8194" max="8194" width="3.54296875" style="3" customWidth="1"/>
    <col min="8195" max="8439" width="9.26953125" style="3"/>
    <col min="8440" max="8440" width="8.7265625" style="3" customWidth="1"/>
    <col min="8441" max="8441" width="9.7265625" style="3" customWidth="1"/>
    <col min="8442" max="8442" width="14.453125" style="3" customWidth="1"/>
    <col min="8443" max="8443" width="7.26953125" style="3" customWidth="1"/>
    <col min="8444" max="8444" width="5.54296875" style="3" customWidth="1"/>
    <col min="8445" max="8445" width="9" style="3" customWidth="1"/>
    <col min="8446" max="8447" width="9.7265625" style="3" customWidth="1"/>
    <col min="8448" max="8448" width="11.26953125" style="3" customWidth="1"/>
    <col min="8449" max="8449" width="2.7265625" style="3" customWidth="1"/>
    <col min="8450" max="8450" width="3.54296875" style="3" customWidth="1"/>
    <col min="8451" max="8695" width="9.26953125" style="3"/>
    <col min="8696" max="8696" width="8.7265625" style="3" customWidth="1"/>
    <col min="8697" max="8697" width="9.7265625" style="3" customWidth="1"/>
    <col min="8698" max="8698" width="14.453125" style="3" customWidth="1"/>
    <col min="8699" max="8699" width="7.26953125" style="3" customWidth="1"/>
    <col min="8700" max="8700" width="5.54296875" style="3" customWidth="1"/>
    <col min="8701" max="8701" width="9" style="3" customWidth="1"/>
    <col min="8702" max="8703" width="9.7265625" style="3" customWidth="1"/>
    <col min="8704" max="8704" width="11.26953125" style="3" customWidth="1"/>
    <col min="8705" max="8705" width="2.7265625" style="3" customWidth="1"/>
    <col min="8706" max="8706" width="3.54296875" style="3" customWidth="1"/>
    <col min="8707" max="8951" width="9.26953125" style="3"/>
    <col min="8952" max="8952" width="8.7265625" style="3" customWidth="1"/>
    <col min="8953" max="8953" width="9.7265625" style="3" customWidth="1"/>
    <col min="8954" max="8954" width="14.453125" style="3" customWidth="1"/>
    <col min="8955" max="8955" width="7.26953125" style="3" customWidth="1"/>
    <col min="8956" max="8956" width="5.54296875" style="3" customWidth="1"/>
    <col min="8957" max="8957" width="9" style="3" customWidth="1"/>
    <col min="8958" max="8959" width="9.7265625" style="3" customWidth="1"/>
    <col min="8960" max="8960" width="11.26953125" style="3" customWidth="1"/>
    <col min="8961" max="8961" width="2.7265625" style="3" customWidth="1"/>
    <col min="8962" max="8962" width="3.54296875" style="3" customWidth="1"/>
    <col min="8963" max="9207" width="9.26953125" style="3"/>
    <col min="9208" max="9208" width="8.7265625" style="3" customWidth="1"/>
    <col min="9209" max="9209" width="9.7265625" style="3" customWidth="1"/>
    <col min="9210" max="9210" width="14.453125" style="3" customWidth="1"/>
    <col min="9211" max="9211" width="7.26953125" style="3" customWidth="1"/>
    <col min="9212" max="9212" width="5.54296875" style="3" customWidth="1"/>
    <col min="9213" max="9213" width="9" style="3" customWidth="1"/>
    <col min="9214" max="9215" width="9.7265625" style="3" customWidth="1"/>
    <col min="9216" max="9216" width="11.26953125" style="3" customWidth="1"/>
    <col min="9217" max="9217" width="2.7265625" style="3" customWidth="1"/>
    <col min="9218" max="9218" width="3.54296875" style="3" customWidth="1"/>
    <col min="9219" max="9463" width="9.26953125" style="3"/>
    <col min="9464" max="9464" width="8.7265625" style="3" customWidth="1"/>
    <col min="9465" max="9465" width="9.7265625" style="3" customWidth="1"/>
    <col min="9466" max="9466" width="14.453125" style="3" customWidth="1"/>
    <col min="9467" max="9467" width="7.26953125" style="3" customWidth="1"/>
    <col min="9468" max="9468" width="5.54296875" style="3" customWidth="1"/>
    <col min="9469" max="9469" width="9" style="3" customWidth="1"/>
    <col min="9470" max="9471" width="9.7265625" style="3" customWidth="1"/>
    <col min="9472" max="9472" width="11.26953125" style="3" customWidth="1"/>
    <col min="9473" max="9473" width="2.7265625" style="3" customWidth="1"/>
    <col min="9474" max="9474" width="3.54296875" style="3" customWidth="1"/>
    <col min="9475" max="9719" width="9.26953125" style="3"/>
    <col min="9720" max="9720" width="8.7265625" style="3" customWidth="1"/>
    <col min="9721" max="9721" width="9.7265625" style="3" customWidth="1"/>
    <col min="9722" max="9722" width="14.453125" style="3" customWidth="1"/>
    <col min="9723" max="9723" width="7.26953125" style="3" customWidth="1"/>
    <col min="9724" max="9724" width="5.54296875" style="3" customWidth="1"/>
    <col min="9725" max="9725" width="9" style="3" customWidth="1"/>
    <col min="9726" max="9727" width="9.7265625" style="3" customWidth="1"/>
    <col min="9728" max="9728" width="11.26953125" style="3" customWidth="1"/>
    <col min="9729" max="9729" width="2.7265625" style="3" customWidth="1"/>
    <col min="9730" max="9730" width="3.54296875" style="3" customWidth="1"/>
    <col min="9731" max="9975" width="9.26953125" style="3"/>
    <col min="9976" max="9976" width="8.7265625" style="3" customWidth="1"/>
    <col min="9977" max="9977" width="9.7265625" style="3" customWidth="1"/>
    <col min="9978" max="9978" width="14.453125" style="3" customWidth="1"/>
    <col min="9979" max="9979" width="7.26953125" style="3" customWidth="1"/>
    <col min="9980" max="9980" width="5.54296875" style="3" customWidth="1"/>
    <col min="9981" max="9981" width="9" style="3" customWidth="1"/>
    <col min="9982" max="9983" width="9.7265625" style="3" customWidth="1"/>
    <col min="9984" max="9984" width="11.26953125" style="3" customWidth="1"/>
    <col min="9985" max="9985" width="2.7265625" style="3" customWidth="1"/>
    <col min="9986" max="9986" width="3.54296875" style="3" customWidth="1"/>
    <col min="9987" max="10231" width="9.26953125" style="3"/>
    <col min="10232" max="10232" width="8.7265625" style="3" customWidth="1"/>
    <col min="10233" max="10233" width="9.7265625" style="3" customWidth="1"/>
    <col min="10234" max="10234" width="14.453125" style="3" customWidth="1"/>
    <col min="10235" max="10235" width="7.26953125" style="3" customWidth="1"/>
    <col min="10236" max="10236" width="5.54296875" style="3" customWidth="1"/>
    <col min="10237" max="10237" width="9" style="3" customWidth="1"/>
    <col min="10238" max="10239" width="9.7265625" style="3" customWidth="1"/>
    <col min="10240" max="10240" width="11.26953125" style="3" customWidth="1"/>
    <col min="10241" max="10241" width="2.7265625" style="3" customWidth="1"/>
    <col min="10242" max="10242" width="3.54296875" style="3" customWidth="1"/>
    <col min="10243" max="10487" width="9.26953125" style="3"/>
    <col min="10488" max="10488" width="8.7265625" style="3" customWidth="1"/>
    <col min="10489" max="10489" width="9.7265625" style="3" customWidth="1"/>
    <col min="10490" max="10490" width="14.453125" style="3" customWidth="1"/>
    <col min="10491" max="10491" width="7.26953125" style="3" customWidth="1"/>
    <col min="10492" max="10492" width="5.54296875" style="3" customWidth="1"/>
    <col min="10493" max="10493" width="9" style="3" customWidth="1"/>
    <col min="10494" max="10495" width="9.7265625" style="3" customWidth="1"/>
    <col min="10496" max="10496" width="11.26953125" style="3" customWidth="1"/>
    <col min="10497" max="10497" width="2.7265625" style="3" customWidth="1"/>
    <col min="10498" max="10498" width="3.54296875" style="3" customWidth="1"/>
    <col min="10499" max="10743" width="9.26953125" style="3"/>
    <col min="10744" max="10744" width="8.7265625" style="3" customWidth="1"/>
    <col min="10745" max="10745" width="9.7265625" style="3" customWidth="1"/>
    <col min="10746" max="10746" width="14.453125" style="3" customWidth="1"/>
    <col min="10747" max="10747" width="7.26953125" style="3" customWidth="1"/>
    <col min="10748" max="10748" width="5.54296875" style="3" customWidth="1"/>
    <col min="10749" max="10749" width="9" style="3" customWidth="1"/>
    <col min="10750" max="10751" width="9.7265625" style="3" customWidth="1"/>
    <col min="10752" max="10752" width="11.26953125" style="3" customWidth="1"/>
    <col min="10753" max="10753" width="2.7265625" style="3" customWidth="1"/>
    <col min="10754" max="10754" width="3.54296875" style="3" customWidth="1"/>
    <col min="10755" max="10999" width="9.26953125" style="3"/>
    <col min="11000" max="11000" width="8.7265625" style="3" customWidth="1"/>
    <col min="11001" max="11001" width="9.7265625" style="3" customWidth="1"/>
    <col min="11002" max="11002" width="14.453125" style="3" customWidth="1"/>
    <col min="11003" max="11003" width="7.26953125" style="3" customWidth="1"/>
    <col min="11004" max="11004" width="5.54296875" style="3" customWidth="1"/>
    <col min="11005" max="11005" width="9" style="3" customWidth="1"/>
    <col min="11006" max="11007" width="9.7265625" style="3" customWidth="1"/>
    <col min="11008" max="11008" width="11.26953125" style="3" customWidth="1"/>
    <col min="11009" max="11009" width="2.7265625" style="3" customWidth="1"/>
    <col min="11010" max="11010" width="3.54296875" style="3" customWidth="1"/>
    <col min="11011" max="11255" width="9.26953125" style="3"/>
    <col min="11256" max="11256" width="8.7265625" style="3" customWidth="1"/>
    <col min="11257" max="11257" width="9.7265625" style="3" customWidth="1"/>
    <col min="11258" max="11258" width="14.453125" style="3" customWidth="1"/>
    <col min="11259" max="11259" width="7.26953125" style="3" customWidth="1"/>
    <col min="11260" max="11260" width="5.54296875" style="3" customWidth="1"/>
    <col min="11261" max="11261" width="9" style="3" customWidth="1"/>
    <col min="11262" max="11263" width="9.7265625" style="3" customWidth="1"/>
    <col min="11264" max="11264" width="11.26953125" style="3" customWidth="1"/>
    <col min="11265" max="11265" width="2.7265625" style="3" customWidth="1"/>
    <col min="11266" max="11266" width="3.54296875" style="3" customWidth="1"/>
    <col min="11267" max="11511" width="9.26953125" style="3"/>
    <col min="11512" max="11512" width="8.7265625" style="3" customWidth="1"/>
    <col min="11513" max="11513" width="9.7265625" style="3" customWidth="1"/>
    <col min="11514" max="11514" width="14.453125" style="3" customWidth="1"/>
    <col min="11515" max="11515" width="7.26953125" style="3" customWidth="1"/>
    <col min="11516" max="11516" width="5.54296875" style="3" customWidth="1"/>
    <col min="11517" max="11517" width="9" style="3" customWidth="1"/>
    <col min="11518" max="11519" width="9.7265625" style="3" customWidth="1"/>
    <col min="11520" max="11520" width="11.26953125" style="3" customWidth="1"/>
    <col min="11521" max="11521" width="2.7265625" style="3" customWidth="1"/>
    <col min="11522" max="11522" width="3.54296875" style="3" customWidth="1"/>
    <col min="11523" max="11767" width="9.26953125" style="3"/>
    <col min="11768" max="11768" width="8.7265625" style="3" customWidth="1"/>
    <col min="11769" max="11769" width="9.7265625" style="3" customWidth="1"/>
    <col min="11770" max="11770" width="14.453125" style="3" customWidth="1"/>
    <col min="11771" max="11771" width="7.26953125" style="3" customWidth="1"/>
    <col min="11772" max="11772" width="5.54296875" style="3" customWidth="1"/>
    <col min="11773" max="11773" width="9" style="3" customWidth="1"/>
    <col min="11774" max="11775" width="9.7265625" style="3" customWidth="1"/>
    <col min="11776" max="11776" width="11.26953125" style="3" customWidth="1"/>
    <col min="11777" max="11777" width="2.7265625" style="3" customWidth="1"/>
    <col min="11778" max="11778" width="3.54296875" style="3" customWidth="1"/>
    <col min="11779" max="12023" width="9.26953125" style="3"/>
    <col min="12024" max="12024" width="8.7265625" style="3" customWidth="1"/>
    <col min="12025" max="12025" width="9.7265625" style="3" customWidth="1"/>
    <col min="12026" max="12026" width="14.453125" style="3" customWidth="1"/>
    <col min="12027" max="12027" width="7.26953125" style="3" customWidth="1"/>
    <col min="12028" max="12028" width="5.54296875" style="3" customWidth="1"/>
    <col min="12029" max="12029" width="9" style="3" customWidth="1"/>
    <col min="12030" max="12031" width="9.7265625" style="3" customWidth="1"/>
    <col min="12032" max="12032" width="11.26953125" style="3" customWidth="1"/>
    <col min="12033" max="12033" width="2.7265625" style="3" customWidth="1"/>
    <col min="12034" max="12034" width="3.54296875" style="3" customWidth="1"/>
    <col min="12035" max="12279" width="9.26953125" style="3"/>
    <col min="12280" max="12280" width="8.7265625" style="3" customWidth="1"/>
    <col min="12281" max="12281" width="9.7265625" style="3" customWidth="1"/>
    <col min="12282" max="12282" width="14.453125" style="3" customWidth="1"/>
    <col min="12283" max="12283" width="7.26953125" style="3" customWidth="1"/>
    <col min="12284" max="12284" width="5.54296875" style="3" customWidth="1"/>
    <col min="12285" max="12285" width="9" style="3" customWidth="1"/>
    <col min="12286" max="12287" width="9.7265625" style="3" customWidth="1"/>
    <col min="12288" max="12288" width="11.26953125" style="3" customWidth="1"/>
    <col min="12289" max="12289" width="2.7265625" style="3" customWidth="1"/>
    <col min="12290" max="12290" width="3.54296875" style="3" customWidth="1"/>
    <col min="12291" max="12535" width="9.26953125" style="3"/>
    <col min="12536" max="12536" width="8.7265625" style="3" customWidth="1"/>
    <col min="12537" max="12537" width="9.7265625" style="3" customWidth="1"/>
    <col min="12538" max="12538" width="14.453125" style="3" customWidth="1"/>
    <col min="12539" max="12539" width="7.26953125" style="3" customWidth="1"/>
    <col min="12540" max="12540" width="5.54296875" style="3" customWidth="1"/>
    <col min="12541" max="12541" width="9" style="3" customWidth="1"/>
    <col min="12542" max="12543" width="9.7265625" style="3" customWidth="1"/>
    <col min="12544" max="12544" width="11.26953125" style="3" customWidth="1"/>
    <col min="12545" max="12545" width="2.7265625" style="3" customWidth="1"/>
    <col min="12546" max="12546" width="3.54296875" style="3" customWidth="1"/>
    <col min="12547" max="12791" width="9.26953125" style="3"/>
    <col min="12792" max="12792" width="8.7265625" style="3" customWidth="1"/>
    <col min="12793" max="12793" width="9.7265625" style="3" customWidth="1"/>
    <col min="12794" max="12794" width="14.453125" style="3" customWidth="1"/>
    <col min="12795" max="12795" width="7.26953125" style="3" customWidth="1"/>
    <col min="12796" max="12796" width="5.54296875" style="3" customWidth="1"/>
    <col min="12797" max="12797" width="9" style="3" customWidth="1"/>
    <col min="12798" max="12799" width="9.7265625" style="3" customWidth="1"/>
    <col min="12800" max="12800" width="11.26953125" style="3" customWidth="1"/>
    <col min="12801" max="12801" width="2.7265625" style="3" customWidth="1"/>
    <col min="12802" max="12802" width="3.54296875" style="3" customWidth="1"/>
    <col min="12803" max="13047" width="9.26953125" style="3"/>
    <col min="13048" max="13048" width="8.7265625" style="3" customWidth="1"/>
    <col min="13049" max="13049" width="9.7265625" style="3" customWidth="1"/>
    <col min="13050" max="13050" width="14.453125" style="3" customWidth="1"/>
    <col min="13051" max="13051" width="7.26953125" style="3" customWidth="1"/>
    <col min="13052" max="13052" width="5.54296875" style="3" customWidth="1"/>
    <col min="13053" max="13053" width="9" style="3" customWidth="1"/>
    <col min="13054" max="13055" width="9.7265625" style="3" customWidth="1"/>
    <col min="13056" max="13056" width="11.26953125" style="3" customWidth="1"/>
    <col min="13057" max="13057" width="2.7265625" style="3" customWidth="1"/>
    <col min="13058" max="13058" width="3.54296875" style="3" customWidth="1"/>
    <col min="13059" max="13303" width="9.26953125" style="3"/>
    <col min="13304" max="13304" width="8.7265625" style="3" customWidth="1"/>
    <col min="13305" max="13305" width="9.7265625" style="3" customWidth="1"/>
    <col min="13306" max="13306" width="14.453125" style="3" customWidth="1"/>
    <col min="13307" max="13307" width="7.26953125" style="3" customWidth="1"/>
    <col min="13308" max="13308" width="5.54296875" style="3" customWidth="1"/>
    <col min="13309" max="13309" width="9" style="3" customWidth="1"/>
    <col min="13310" max="13311" width="9.7265625" style="3" customWidth="1"/>
    <col min="13312" max="13312" width="11.26953125" style="3" customWidth="1"/>
    <col min="13313" max="13313" width="2.7265625" style="3" customWidth="1"/>
    <col min="13314" max="13314" width="3.54296875" style="3" customWidth="1"/>
    <col min="13315" max="13559" width="9.26953125" style="3"/>
    <col min="13560" max="13560" width="8.7265625" style="3" customWidth="1"/>
    <col min="13561" max="13561" width="9.7265625" style="3" customWidth="1"/>
    <col min="13562" max="13562" width="14.453125" style="3" customWidth="1"/>
    <col min="13563" max="13563" width="7.26953125" style="3" customWidth="1"/>
    <col min="13564" max="13564" width="5.54296875" style="3" customWidth="1"/>
    <col min="13565" max="13565" width="9" style="3" customWidth="1"/>
    <col min="13566" max="13567" width="9.7265625" style="3" customWidth="1"/>
    <col min="13568" max="13568" width="11.26953125" style="3" customWidth="1"/>
    <col min="13569" max="13569" width="2.7265625" style="3" customWidth="1"/>
    <col min="13570" max="13570" width="3.54296875" style="3" customWidth="1"/>
    <col min="13571" max="13815" width="9.26953125" style="3"/>
    <col min="13816" max="13816" width="8.7265625" style="3" customWidth="1"/>
    <col min="13817" max="13817" width="9.7265625" style="3" customWidth="1"/>
    <col min="13818" max="13818" width="14.453125" style="3" customWidth="1"/>
    <col min="13819" max="13819" width="7.26953125" style="3" customWidth="1"/>
    <col min="13820" max="13820" width="5.54296875" style="3" customWidth="1"/>
    <col min="13821" max="13821" width="9" style="3" customWidth="1"/>
    <col min="13822" max="13823" width="9.7265625" style="3" customWidth="1"/>
    <col min="13824" max="13824" width="11.26953125" style="3" customWidth="1"/>
    <col min="13825" max="13825" width="2.7265625" style="3" customWidth="1"/>
    <col min="13826" max="13826" width="3.54296875" style="3" customWidth="1"/>
    <col min="13827" max="14071" width="9.26953125" style="3"/>
    <col min="14072" max="14072" width="8.7265625" style="3" customWidth="1"/>
    <col min="14073" max="14073" width="9.7265625" style="3" customWidth="1"/>
    <col min="14074" max="14074" width="14.453125" style="3" customWidth="1"/>
    <col min="14075" max="14075" width="7.26953125" style="3" customWidth="1"/>
    <col min="14076" max="14076" width="5.54296875" style="3" customWidth="1"/>
    <col min="14077" max="14077" width="9" style="3" customWidth="1"/>
    <col min="14078" max="14079" width="9.7265625" style="3" customWidth="1"/>
    <col min="14080" max="14080" width="11.26953125" style="3" customWidth="1"/>
    <col min="14081" max="14081" width="2.7265625" style="3" customWidth="1"/>
    <col min="14082" max="14082" width="3.54296875" style="3" customWidth="1"/>
    <col min="14083" max="14327" width="9.26953125" style="3"/>
    <col min="14328" max="14328" width="8.7265625" style="3" customWidth="1"/>
    <col min="14329" max="14329" width="9.7265625" style="3" customWidth="1"/>
    <col min="14330" max="14330" width="14.453125" style="3" customWidth="1"/>
    <col min="14331" max="14331" width="7.26953125" style="3" customWidth="1"/>
    <col min="14332" max="14332" width="5.54296875" style="3" customWidth="1"/>
    <col min="14333" max="14333" width="9" style="3" customWidth="1"/>
    <col min="14334" max="14335" width="9.7265625" style="3" customWidth="1"/>
    <col min="14336" max="14336" width="11.26953125" style="3" customWidth="1"/>
    <col min="14337" max="14337" width="2.7265625" style="3" customWidth="1"/>
    <col min="14338" max="14338" width="3.54296875" style="3" customWidth="1"/>
    <col min="14339" max="14583" width="9.26953125" style="3"/>
    <col min="14584" max="14584" width="8.7265625" style="3" customWidth="1"/>
    <col min="14585" max="14585" width="9.7265625" style="3" customWidth="1"/>
    <col min="14586" max="14586" width="14.453125" style="3" customWidth="1"/>
    <col min="14587" max="14587" width="7.26953125" style="3" customWidth="1"/>
    <col min="14588" max="14588" width="5.54296875" style="3" customWidth="1"/>
    <col min="14589" max="14589" width="9" style="3" customWidth="1"/>
    <col min="14590" max="14591" width="9.7265625" style="3" customWidth="1"/>
    <col min="14592" max="14592" width="11.26953125" style="3" customWidth="1"/>
    <col min="14593" max="14593" width="2.7265625" style="3" customWidth="1"/>
    <col min="14594" max="14594" width="3.54296875" style="3" customWidth="1"/>
    <col min="14595" max="14839" width="9.26953125" style="3"/>
    <col min="14840" max="14840" width="8.7265625" style="3" customWidth="1"/>
    <col min="14841" max="14841" width="9.7265625" style="3" customWidth="1"/>
    <col min="14842" max="14842" width="14.453125" style="3" customWidth="1"/>
    <col min="14843" max="14843" width="7.26953125" style="3" customWidth="1"/>
    <col min="14844" max="14844" width="5.54296875" style="3" customWidth="1"/>
    <col min="14845" max="14845" width="9" style="3" customWidth="1"/>
    <col min="14846" max="14847" width="9.7265625" style="3" customWidth="1"/>
    <col min="14848" max="14848" width="11.26953125" style="3" customWidth="1"/>
    <col min="14849" max="14849" width="2.7265625" style="3" customWidth="1"/>
    <col min="14850" max="14850" width="3.54296875" style="3" customWidth="1"/>
    <col min="14851" max="15095" width="9.26953125" style="3"/>
    <col min="15096" max="15096" width="8.7265625" style="3" customWidth="1"/>
    <col min="15097" max="15097" width="9.7265625" style="3" customWidth="1"/>
    <col min="15098" max="15098" width="14.453125" style="3" customWidth="1"/>
    <col min="15099" max="15099" width="7.26953125" style="3" customWidth="1"/>
    <col min="15100" max="15100" width="5.54296875" style="3" customWidth="1"/>
    <col min="15101" max="15101" width="9" style="3" customWidth="1"/>
    <col min="15102" max="15103" width="9.7265625" style="3" customWidth="1"/>
    <col min="15104" max="15104" width="11.26953125" style="3" customWidth="1"/>
    <col min="15105" max="15105" width="2.7265625" style="3" customWidth="1"/>
    <col min="15106" max="15106" width="3.54296875" style="3" customWidth="1"/>
    <col min="15107" max="15351" width="9.26953125" style="3"/>
    <col min="15352" max="15352" width="8.7265625" style="3" customWidth="1"/>
    <col min="15353" max="15353" width="9.7265625" style="3" customWidth="1"/>
    <col min="15354" max="15354" width="14.453125" style="3" customWidth="1"/>
    <col min="15355" max="15355" width="7.26953125" style="3" customWidth="1"/>
    <col min="15356" max="15356" width="5.54296875" style="3" customWidth="1"/>
    <col min="15357" max="15357" width="9" style="3" customWidth="1"/>
    <col min="15358" max="15359" width="9.7265625" style="3" customWidth="1"/>
    <col min="15360" max="15360" width="11.26953125" style="3" customWidth="1"/>
    <col min="15361" max="15361" width="2.7265625" style="3" customWidth="1"/>
    <col min="15362" max="15362" width="3.54296875" style="3" customWidth="1"/>
    <col min="15363" max="15607" width="9.26953125" style="3"/>
    <col min="15608" max="15608" width="8.7265625" style="3" customWidth="1"/>
    <col min="15609" max="15609" width="9.7265625" style="3" customWidth="1"/>
    <col min="15610" max="15610" width="14.453125" style="3" customWidth="1"/>
    <col min="15611" max="15611" width="7.26953125" style="3" customWidth="1"/>
    <col min="15612" max="15612" width="5.54296875" style="3" customWidth="1"/>
    <col min="15613" max="15613" width="9" style="3" customWidth="1"/>
    <col min="15614" max="15615" width="9.7265625" style="3" customWidth="1"/>
    <col min="15616" max="15616" width="11.26953125" style="3" customWidth="1"/>
    <col min="15617" max="15617" width="2.7265625" style="3" customWidth="1"/>
    <col min="15618" max="15618" width="3.54296875" style="3" customWidth="1"/>
    <col min="15619" max="15863" width="9.26953125" style="3"/>
    <col min="15864" max="15864" width="8.7265625" style="3" customWidth="1"/>
    <col min="15865" max="15865" width="9.7265625" style="3" customWidth="1"/>
    <col min="15866" max="15866" width="14.453125" style="3" customWidth="1"/>
    <col min="15867" max="15867" width="7.26953125" style="3" customWidth="1"/>
    <col min="15868" max="15868" width="5.54296875" style="3" customWidth="1"/>
    <col min="15869" max="15869" width="9" style="3" customWidth="1"/>
    <col min="15870" max="15871" width="9.7265625" style="3" customWidth="1"/>
    <col min="15872" max="15872" width="11.26953125" style="3" customWidth="1"/>
    <col min="15873" max="15873" width="2.7265625" style="3" customWidth="1"/>
    <col min="15874" max="15874" width="3.54296875" style="3" customWidth="1"/>
    <col min="15875" max="16119" width="9.26953125" style="3"/>
    <col min="16120" max="16120" width="8.7265625" style="3" customWidth="1"/>
    <col min="16121" max="16121" width="9.7265625" style="3" customWidth="1"/>
    <col min="16122" max="16122" width="14.453125" style="3" customWidth="1"/>
    <col min="16123" max="16123" width="7.26953125" style="3" customWidth="1"/>
    <col min="16124" max="16124" width="5.54296875" style="3" customWidth="1"/>
    <col min="16125" max="16125" width="9" style="3" customWidth="1"/>
    <col min="16126" max="16127" width="9.7265625" style="3" customWidth="1"/>
    <col min="16128" max="16128" width="11.26953125" style="3" customWidth="1"/>
    <col min="16129" max="16129" width="2.7265625" style="3" customWidth="1"/>
    <col min="16130" max="16130" width="3.54296875" style="3" customWidth="1"/>
    <col min="16131" max="16384" width="9.26953125" style="3"/>
  </cols>
  <sheetData>
    <row r="1" spans="1:13" ht="46.5" customHeight="1" x14ac:dyDescent="0.35">
      <c r="A1" s="174" t="s">
        <v>331</v>
      </c>
      <c r="B1" s="174"/>
      <c r="C1" s="174"/>
      <c r="D1" s="174"/>
      <c r="E1" s="174"/>
      <c r="F1" s="174"/>
      <c r="G1" s="174"/>
      <c r="H1" s="174"/>
    </row>
    <row r="2" spans="1:13" ht="16.5" customHeight="1" x14ac:dyDescent="0.35">
      <c r="A2" s="162" t="s">
        <v>0</v>
      </c>
      <c r="B2" s="162"/>
      <c r="C2" s="162"/>
      <c r="D2" s="162"/>
      <c r="E2" s="162"/>
      <c r="F2" s="162"/>
      <c r="G2" s="162"/>
      <c r="H2" s="162"/>
    </row>
    <row r="3" spans="1:13" x14ac:dyDescent="0.35">
      <c r="A3" s="93" t="s">
        <v>1</v>
      </c>
      <c r="B3" s="93"/>
      <c r="C3" s="93"/>
      <c r="D3" s="93"/>
      <c r="E3" s="175" t="str">
        <f ca="1">TEXT(TODAY(),"DD/MM/YYYY")</f>
        <v>05/09/2025</v>
      </c>
      <c r="F3" s="175"/>
      <c r="G3" s="175"/>
      <c r="H3" s="175"/>
    </row>
    <row r="4" spans="1:13" ht="15" customHeight="1" x14ac:dyDescent="0.35">
      <c r="A4" s="93" t="s">
        <v>2</v>
      </c>
      <c r="B4" s="93"/>
      <c r="C4" s="93"/>
      <c r="D4" s="93"/>
      <c r="E4" s="176" t="s">
        <v>164</v>
      </c>
      <c r="F4" s="176"/>
      <c r="G4" s="176"/>
      <c r="H4" s="176"/>
    </row>
    <row r="5" spans="1:13" x14ac:dyDescent="0.35">
      <c r="A5" s="93" t="s">
        <v>3</v>
      </c>
      <c r="B5" s="93"/>
      <c r="C5" s="93"/>
      <c r="D5" s="93"/>
      <c r="E5" s="175">
        <v>45904</v>
      </c>
      <c r="F5" s="175"/>
      <c r="G5" s="175"/>
      <c r="H5" s="175"/>
    </row>
    <row r="6" spans="1:13" ht="16.5" customHeight="1" x14ac:dyDescent="0.35">
      <c r="A6" s="93" t="s">
        <v>4</v>
      </c>
      <c r="B6" s="93"/>
      <c r="C6" s="93"/>
      <c r="D6" s="93"/>
      <c r="E6" s="138" t="s">
        <v>165</v>
      </c>
      <c r="F6" s="138"/>
      <c r="G6" s="138"/>
      <c r="H6" s="138"/>
    </row>
    <row r="7" spans="1:13" ht="15" customHeight="1" x14ac:dyDescent="0.35">
      <c r="A7" s="93" t="s">
        <v>5</v>
      </c>
      <c r="B7" s="93"/>
      <c r="C7" s="93"/>
      <c r="D7" s="93"/>
      <c r="E7" s="138" t="str">
        <f>E6</f>
        <v>M/s.Raymond Limited</v>
      </c>
      <c r="F7" s="138"/>
      <c r="G7" s="138"/>
      <c r="H7" s="138"/>
    </row>
    <row r="8" spans="1:13" x14ac:dyDescent="0.35">
      <c r="A8" s="93" t="s">
        <v>6</v>
      </c>
      <c r="B8" s="93"/>
      <c r="C8" s="93"/>
      <c r="D8" s="93"/>
      <c r="E8" s="156" t="s">
        <v>242</v>
      </c>
      <c r="F8" s="156"/>
      <c r="G8" s="156"/>
      <c r="H8" s="156"/>
      <c r="I8" s="87"/>
      <c r="J8" s="87"/>
      <c r="K8" s="87"/>
      <c r="L8" s="87"/>
      <c r="M8" s="87"/>
    </row>
    <row r="9" spans="1:13" x14ac:dyDescent="0.35">
      <c r="A9" s="93" t="s">
        <v>127</v>
      </c>
      <c r="B9" s="93"/>
      <c r="C9" s="93"/>
      <c r="D9" s="93"/>
      <c r="E9" s="93" t="s">
        <v>166</v>
      </c>
      <c r="F9" s="93"/>
      <c r="G9" s="93"/>
      <c r="H9" s="93"/>
    </row>
    <row r="10" spans="1:13" x14ac:dyDescent="0.35">
      <c r="A10" s="112" t="s">
        <v>7</v>
      </c>
      <c r="B10" s="112"/>
      <c r="C10" s="112"/>
      <c r="D10" s="112"/>
      <c r="E10" s="112" t="s">
        <v>244</v>
      </c>
      <c r="F10" s="112"/>
      <c r="G10" s="112"/>
      <c r="H10" s="112"/>
    </row>
    <row r="11" spans="1:13" x14ac:dyDescent="0.35">
      <c r="A11" s="93" t="s">
        <v>8</v>
      </c>
      <c r="B11" s="93"/>
      <c r="C11" s="93"/>
      <c r="D11" s="93"/>
      <c r="E11" s="111" t="s">
        <v>238</v>
      </c>
      <c r="F11" s="111"/>
      <c r="G11" s="111"/>
      <c r="H11" s="111"/>
    </row>
    <row r="12" spans="1:13" ht="32.25" customHeight="1" x14ac:dyDescent="0.35">
      <c r="A12" s="93" t="s">
        <v>9</v>
      </c>
      <c r="B12" s="93"/>
      <c r="C12" s="93"/>
      <c r="D12" s="93"/>
      <c r="E12" s="111" t="s">
        <v>243</v>
      </c>
      <c r="F12" s="112"/>
      <c r="G12" s="112"/>
      <c r="H12" s="112"/>
    </row>
    <row r="13" spans="1:13" ht="48.75" customHeight="1" x14ac:dyDescent="0.35">
      <c r="A13" s="138" t="s">
        <v>10</v>
      </c>
      <c r="B13" s="138"/>
      <c r="C13" s="138" t="str">
        <f>CONCATENATE((IF(OR(E8="",E8="NA"),"",E8)),", ",(IF(OR(A14="",A14="NA"),"",A14)),".",(IF(OR(C14="",C14="NA"),"",C14)),", near ",(IF(OR(C18="",C18="NA"),"",C18)),", ",(IF(OR(C15="",C15="NA"),"",C15)),", ",(IF(OR(G15="",G15="NA"),"",G15)),", ",(IF(OR(C16="",C16="NA"),"",C16)),", ",(IF(OR(C17="",C17="NA"),"",C17)),", ",(IF(OR(G16="",G16="NA"),"",G16))," - ",(IF(OR(G17="",G17="NA"),"",G17)),".")</f>
        <v>The Address by GS Tower A &amp; B, Survey No.112(pt), 126B/2(pt), 126B/3(pt), near Smt. Sunitidevi Singhania School, Pokharan Road No.1, Panchpakhadi, Thane West, Thane, Thane - 400606.</v>
      </c>
      <c r="D13" s="138"/>
      <c r="E13" s="138"/>
      <c r="F13" s="138"/>
      <c r="G13" s="138"/>
      <c r="H13" s="138"/>
    </row>
    <row r="14" spans="1:13" x14ac:dyDescent="0.35">
      <c r="A14" s="111" t="s">
        <v>167</v>
      </c>
      <c r="B14" s="111"/>
      <c r="C14" s="111" t="s">
        <v>168</v>
      </c>
      <c r="D14" s="111"/>
      <c r="E14" s="111"/>
      <c r="F14" s="111"/>
      <c r="G14" s="111"/>
      <c r="H14" s="111"/>
    </row>
    <row r="15" spans="1:13" ht="15.75" customHeight="1" x14ac:dyDescent="0.35">
      <c r="A15" s="138" t="s">
        <v>11</v>
      </c>
      <c r="B15" s="138"/>
      <c r="C15" s="112" t="s">
        <v>171</v>
      </c>
      <c r="D15" s="112"/>
      <c r="E15" s="138" t="s">
        <v>169</v>
      </c>
      <c r="F15" s="138"/>
      <c r="G15" s="111" t="s">
        <v>170</v>
      </c>
      <c r="H15" s="111"/>
    </row>
    <row r="16" spans="1:13" x14ac:dyDescent="0.35">
      <c r="A16" s="93" t="s">
        <v>13</v>
      </c>
      <c r="B16" s="93"/>
      <c r="C16" s="111" t="s">
        <v>176</v>
      </c>
      <c r="D16" s="111"/>
      <c r="E16" s="138" t="s">
        <v>12</v>
      </c>
      <c r="F16" s="138"/>
      <c r="G16" s="178" t="s">
        <v>172</v>
      </c>
      <c r="H16" s="178"/>
    </row>
    <row r="17" spans="1:8" x14ac:dyDescent="0.35">
      <c r="A17" s="93" t="s">
        <v>76</v>
      </c>
      <c r="B17" s="93"/>
      <c r="C17" s="111" t="s">
        <v>172</v>
      </c>
      <c r="D17" s="111"/>
      <c r="E17" s="138" t="s">
        <v>14</v>
      </c>
      <c r="F17" s="138"/>
      <c r="G17" s="111">
        <v>400606</v>
      </c>
      <c r="H17" s="111"/>
    </row>
    <row r="18" spans="1:8" ht="32.25" customHeight="1" x14ac:dyDescent="0.35">
      <c r="A18" s="93" t="s">
        <v>128</v>
      </c>
      <c r="B18" s="93"/>
      <c r="C18" s="138" t="s">
        <v>174</v>
      </c>
      <c r="D18" s="138"/>
      <c r="E18" s="138" t="s">
        <v>15</v>
      </c>
      <c r="F18" s="138"/>
      <c r="G18" s="111" t="s">
        <v>177</v>
      </c>
      <c r="H18" s="111"/>
    </row>
    <row r="19" spans="1:8" ht="15" customHeight="1" x14ac:dyDescent="0.35">
      <c r="A19" s="138" t="s">
        <v>78</v>
      </c>
      <c r="B19" s="138"/>
      <c r="C19" s="138"/>
      <c r="D19" s="138"/>
      <c r="E19" s="112" t="s">
        <v>16</v>
      </c>
      <c r="F19" s="112"/>
      <c r="G19" s="112"/>
      <c r="H19" s="112"/>
    </row>
    <row r="20" spans="1:8" ht="18.75" customHeight="1" x14ac:dyDescent="0.35">
      <c r="A20" s="138"/>
      <c r="B20" s="138"/>
      <c r="C20" s="138"/>
      <c r="D20" s="138"/>
      <c r="E20" s="112"/>
      <c r="F20" s="112"/>
      <c r="G20" s="112"/>
      <c r="H20" s="112"/>
    </row>
    <row r="21" spans="1:8" ht="15" customHeight="1" x14ac:dyDescent="0.35">
      <c r="A21" s="138" t="s">
        <v>17</v>
      </c>
      <c r="B21" s="138"/>
      <c r="C21" s="138"/>
      <c r="D21" s="138"/>
      <c r="E21" s="111" t="s">
        <v>18</v>
      </c>
      <c r="F21" s="111"/>
      <c r="G21" s="111"/>
      <c r="H21" s="111"/>
    </row>
    <row r="22" spans="1:8" ht="15" customHeight="1" x14ac:dyDescent="0.35">
      <c r="A22" s="93" t="s">
        <v>19</v>
      </c>
      <c r="B22" s="93"/>
      <c r="C22" s="93"/>
      <c r="D22" s="93"/>
      <c r="E22" s="111" t="str">
        <f>IF(AND(G16="Mumbai"),"Upper Class","Middle Class")</f>
        <v>Middle Class</v>
      </c>
      <c r="F22" s="111"/>
      <c r="G22" s="111"/>
      <c r="H22" s="111"/>
    </row>
    <row r="23" spans="1:8" x14ac:dyDescent="0.35">
      <c r="A23" s="93" t="s">
        <v>20</v>
      </c>
      <c r="B23" s="93"/>
      <c r="C23" s="93"/>
      <c r="D23" s="93"/>
      <c r="E23" s="111" t="s">
        <v>21</v>
      </c>
      <c r="F23" s="111"/>
      <c r="G23" s="111"/>
      <c r="H23" s="111"/>
    </row>
    <row r="24" spans="1:8" ht="15.75" customHeight="1" x14ac:dyDescent="0.35">
      <c r="A24" s="93" t="s">
        <v>22</v>
      </c>
      <c r="B24" s="93"/>
      <c r="C24" s="93"/>
      <c r="D24" s="93"/>
      <c r="E24" s="111" t="str">
        <f>IF(AND(G16="Mumbai"),"Developed","Developing")</f>
        <v>Developing</v>
      </c>
      <c r="F24" s="111"/>
      <c r="G24" s="111"/>
      <c r="H24" s="111"/>
    </row>
    <row r="25" spans="1:8" x14ac:dyDescent="0.35">
      <c r="A25" s="93" t="s">
        <v>23</v>
      </c>
      <c r="B25" s="93"/>
      <c r="C25" s="93"/>
      <c r="D25" s="93"/>
      <c r="E25" s="111" t="s">
        <v>24</v>
      </c>
      <c r="F25" s="111"/>
      <c r="G25" s="111"/>
      <c r="H25" s="111"/>
    </row>
    <row r="26" spans="1:8" x14ac:dyDescent="0.35">
      <c r="A26" s="93" t="s">
        <v>83</v>
      </c>
      <c r="B26" s="93"/>
      <c r="C26" s="93"/>
      <c r="D26" s="93"/>
      <c r="E26" s="111" t="s">
        <v>84</v>
      </c>
      <c r="F26" s="111"/>
      <c r="G26" s="111"/>
      <c r="H26" s="111"/>
    </row>
    <row r="27" spans="1:8" ht="15" customHeight="1" x14ac:dyDescent="0.35">
      <c r="A27" s="138" t="s">
        <v>33</v>
      </c>
      <c r="B27" s="138"/>
      <c r="C27" s="138"/>
      <c r="D27" s="138"/>
      <c r="E27" s="176" t="str">
        <f>IF(ISNUMBER(SEARCH("Shop",D56)),"Residential + Commercial",IF(ISNUMBER(SEARCH("Office",D56)),"Residential + Commercial",IF(SEARCH("Flats",D56),"Residential","")))</f>
        <v>Residential</v>
      </c>
      <c r="F27" s="176"/>
      <c r="G27" s="176"/>
      <c r="H27" s="176"/>
    </row>
    <row r="28" spans="1:8" x14ac:dyDescent="0.35">
      <c r="A28" s="138" t="s">
        <v>95</v>
      </c>
      <c r="B28" s="138"/>
      <c r="C28" s="138"/>
      <c r="D28" s="138"/>
      <c r="E28" s="138" t="s">
        <v>34</v>
      </c>
      <c r="F28" s="138"/>
      <c r="G28" s="138"/>
      <c r="H28" s="138"/>
    </row>
    <row r="29" spans="1:8" s="6" customFormat="1" x14ac:dyDescent="0.35">
      <c r="A29" s="181" t="s">
        <v>96</v>
      </c>
      <c r="B29" s="181"/>
      <c r="C29" s="180" t="s">
        <v>29</v>
      </c>
      <c r="D29" s="180"/>
      <c r="E29" s="180"/>
      <c r="F29" s="180" t="s">
        <v>31</v>
      </c>
      <c r="G29" s="180"/>
      <c r="H29" s="180"/>
    </row>
    <row r="30" spans="1:8" s="6" customFormat="1" x14ac:dyDescent="0.35">
      <c r="A30" s="179" t="s">
        <v>25</v>
      </c>
      <c r="B30" s="179" t="s">
        <v>30</v>
      </c>
      <c r="C30" s="177" t="s">
        <v>30</v>
      </c>
      <c r="D30" s="177"/>
      <c r="E30" s="177"/>
      <c r="F30" s="177" t="s">
        <v>175</v>
      </c>
      <c r="G30" s="177"/>
      <c r="H30" s="177"/>
    </row>
    <row r="31" spans="1:8" x14ac:dyDescent="0.35">
      <c r="A31" s="179" t="s">
        <v>26</v>
      </c>
      <c r="B31" s="179" t="s">
        <v>30</v>
      </c>
      <c r="C31" s="177" t="s">
        <v>30</v>
      </c>
      <c r="D31" s="177"/>
      <c r="E31" s="177"/>
      <c r="F31" s="177" t="s">
        <v>175</v>
      </c>
      <c r="G31" s="177"/>
      <c r="H31" s="177"/>
    </row>
    <row r="32" spans="1:8" s="6" customFormat="1" x14ac:dyDescent="0.35">
      <c r="A32" s="179" t="s">
        <v>28</v>
      </c>
      <c r="B32" s="179" t="s">
        <v>30</v>
      </c>
      <c r="C32" s="177" t="s">
        <v>30</v>
      </c>
      <c r="D32" s="177"/>
      <c r="E32" s="177"/>
      <c r="F32" s="177" t="s">
        <v>173</v>
      </c>
      <c r="G32" s="177"/>
      <c r="H32" s="177"/>
    </row>
    <row r="33" spans="1:8" x14ac:dyDescent="0.35">
      <c r="A33" s="179" t="s">
        <v>27</v>
      </c>
      <c r="B33" s="179" t="s">
        <v>30</v>
      </c>
      <c r="C33" s="177" t="s">
        <v>30</v>
      </c>
      <c r="D33" s="177"/>
      <c r="E33" s="177"/>
      <c r="F33" s="177" t="s">
        <v>175</v>
      </c>
      <c r="G33" s="177"/>
      <c r="H33" s="177"/>
    </row>
    <row r="34" spans="1:8" x14ac:dyDescent="0.35">
      <c r="A34" s="93" t="s">
        <v>32</v>
      </c>
      <c r="B34" s="93"/>
      <c r="C34" s="93"/>
      <c r="D34" s="93"/>
      <c r="E34" s="93"/>
      <c r="F34" s="93"/>
      <c r="G34" s="93"/>
      <c r="H34" s="93"/>
    </row>
    <row r="35" spans="1:8" ht="15.75" customHeight="1" x14ac:dyDescent="0.35">
      <c r="A35" s="93" t="s">
        <v>336</v>
      </c>
      <c r="B35" s="93"/>
      <c r="C35" s="198" t="s">
        <v>337</v>
      </c>
      <c r="D35" s="198"/>
      <c r="E35" s="198"/>
      <c r="F35" s="198"/>
      <c r="G35" s="198"/>
      <c r="H35" s="198"/>
    </row>
    <row r="36" spans="1:8" ht="15.75" customHeight="1" x14ac:dyDescent="0.35">
      <c r="A36" s="93" t="s">
        <v>295</v>
      </c>
      <c r="B36" s="93"/>
      <c r="C36" s="199" t="s">
        <v>296</v>
      </c>
      <c r="D36" s="200"/>
      <c r="E36" s="200"/>
      <c r="F36" s="200"/>
      <c r="G36" s="200"/>
      <c r="H36" s="200"/>
    </row>
    <row r="37" spans="1:8" x14ac:dyDescent="0.35">
      <c r="A37" s="156" t="s">
        <v>35</v>
      </c>
      <c r="B37" s="156"/>
      <c r="C37" s="156"/>
      <c r="D37" s="156"/>
      <c r="E37" s="156"/>
      <c r="F37" s="156"/>
      <c r="G37" s="156"/>
      <c r="H37" s="156"/>
    </row>
    <row r="38" spans="1:8" x14ac:dyDescent="0.35">
      <c r="A38" s="93" t="s">
        <v>36</v>
      </c>
      <c r="B38" s="93"/>
      <c r="C38" s="93"/>
      <c r="D38" s="93"/>
      <c r="E38" s="191">
        <v>11570.05</v>
      </c>
      <c r="F38" s="191"/>
      <c r="G38" s="191"/>
      <c r="H38" s="191"/>
    </row>
    <row r="39" spans="1:8" x14ac:dyDescent="0.35">
      <c r="A39" s="93" t="s">
        <v>37</v>
      </c>
      <c r="B39" s="93"/>
      <c r="C39" s="93"/>
      <c r="D39" s="93"/>
      <c r="E39" s="184">
        <v>1.1000000000000001</v>
      </c>
      <c r="F39" s="184"/>
      <c r="G39" s="184"/>
      <c r="H39" s="184"/>
    </row>
    <row r="40" spans="1:8" x14ac:dyDescent="0.35">
      <c r="A40" s="93" t="s">
        <v>38</v>
      </c>
      <c r="B40" s="93"/>
      <c r="C40" s="93"/>
      <c r="D40" s="93"/>
      <c r="E40" s="184">
        <f>E42/E38-E39</f>
        <v>2.170439626449324</v>
      </c>
      <c r="F40" s="184"/>
      <c r="G40" s="184"/>
      <c r="H40" s="184"/>
    </row>
    <row r="41" spans="1:8" x14ac:dyDescent="0.35">
      <c r="A41" s="93" t="s">
        <v>39</v>
      </c>
      <c r="B41" s="93"/>
      <c r="C41" s="93"/>
      <c r="D41" s="93"/>
      <c r="E41" s="184">
        <f>E39+E40</f>
        <v>3.2704396264493241</v>
      </c>
      <c r="F41" s="184"/>
      <c r="G41" s="184"/>
      <c r="H41" s="184"/>
    </row>
    <row r="42" spans="1:8" x14ac:dyDescent="0.35">
      <c r="A42" s="93" t="s">
        <v>94</v>
      </c>
      <c r="B42" s="93"/>
      <c r="C42" s="93"/>
      <c r="D42" s="93"/>
      <c r="E42" s="185">
        <v>37839.15</v>
      </c>
      <c r="F42" s="185"/>
      <c r="G42" s="185"/>
      <c r="H42" s="185"/>
    </row>
    <row r="43" spans="1:8" x14ac:dyDescent="0.35">
      <c r="A43" s="112" t="s">
        <v>40</v>
      </c>
      <c r="B43" s="112"/>
      <c r="C43" s="112"/>
      <c r="D43" s="112"/>
      <c r="E43" s="112" t="s">
        <v>268</v>
      </c>
      <c r="F43" s="112"/>
      <c r="G43" s="112"/>
      <c r="H43" s="112"/>
    </row>
    <row r="44" spans="1:8" x14ac:dyDescent="0.35">
      <c r="A44" s="156" t="s">
        <v>41</v>
      </c>
      <c r="B44" s="156"/>
      <c r="C44" s="156"/>
      <c r="D44" s="156"/>
      <c r="E44" s="156"/>
      <c r="F44" s="156"/>
      <c r="G44" s="156"/>
      <c r="H44" s="156"/>
    </row>
    <row r="45" spans="1:8" ht="33.75" customHeight="1" x14ac:dyDescent="0.35">
      <c r="A45" s="186" t="s">
        <v>156</v>
      </c>
      <c r="B45" s="187"/>
      <c r="C45" s="188" t="s">
        <v>178</v>
      </c>
      <c r="D45" s="189"/>
      <c r="E45" s="189"/>
      <c r="F45" s="189"/>
      <c r="G45" s="189"/>
      <c r="H45" s="190"/>
    </row>
    <row r="46" spans="1:8" ht="33.75" customHeight="1" x14ac:dyDescent="0.35">
      <c r="A46" s="193" t="s">
        <v>42</v>
      </c>
      <c r="B46" s="193"/>
      <c r="C46" s="111" t="s">
        <v>297</v>
      </c>
      <c r="D46" s="111"/>
      <c r="E46" s="111"/>
      <c r="F46" s="51" t="s">
        <v>43</v>
      </c>
      <c r="G46" s="113">
        <v>45049</v>
      </c>
      <c r="H46" s="113"/>
    </row>
    <row r="47" spans="1:8" ht="112.5" customHeight="1" x14ac:dyDescent="0.35">
      <c r="A47" s="93" t="s">
        <v>44</v>
      </c>
      <c r="B47" s="93"/>
      <c r="C47" s="111" t="s">
        <v>298</v>
      </c>
      <c r="D47" s="111"/>
      <c r="E47" s="111"/>
      <c r="F47" s="51" t="s">
        <v>43</v>
      </c>
      <c r="G47" s="113">
        <f>G46</f>
        <v>45049</v>
      </c>
      <c r="H47" s="113"/>
    </row>
    <row r="48" spans="1:8" ht="47.25" hidden="1" customHeight="1" x14ac:dyDescent="0.35">
      <c r="A48" s="93" t="s">
        <v>44</v>
      </c>
      <c r="B48" s="93"/>
      <c r="C48" s="111" t="s">
        <v>274</v>
      </c>
      <c r="D48" s="111"/>
      <c r="E48" s="111"/>
      <c r="F48" s="69" t="s">
        <v>43</v>
      </c>
      <c r="G48" s="113">
        <v>44855</v>
      </c>
      <c r="H48" s="113"/>
    </row>
    <row r="49" spans="1:14" s="5" customFormat="1" x14ac:dyDescent="0.35">
      <c r="A49" s="110" t="s">
        <v>161</v>
      </c>
      <c r="B49" s="111"/>
      <c r="C49" s="111" t="s">
        <v>338</v>
      </c>
      <c r="D49" s="112"/>
      <c r="E49" s="112"/>
      <c r="F49" s="56" t="s">
        <v>43</v>
      </c>
      <c r="G49" s="113">
        <v>45049</v>
      </c>
      <c r="H49" s="113"/>
    </row>
    <row r="50" spans="1:14" s="5" customFormat="1" ht="64.5" customHeight="1" x14ac:dyDescent="0.35">
      <c r="A50" s="111"/>
      <c r="B50" s="111"/>
      <c r="C50" s="114" t="s">
        <v>339</v>
      </c>
      <c r="D50" s="115"/>
      <c r="E50" s="115"/>
      <c r="F50" s="115"/>
      <c r="G50" s="115"/>
      <c r="H50" s="116"/>
    </row>
    <row r="51" spans="1:14" s="5" customFormat="1" hidden="1" x14ac:dyDescent="0.35">
      <c r="A51" s="110" t="s">
        <v>161</v>
      </c>
      <c r="B51" s="111"/>
      <c r="C51" s="111" t="s">
        <v>273</v>
      </c>
      <c r="D51" s="112"/>
      <c r="E51" s="112"/>
      <c r="F51" s="56" t="s">
        <v>43</v>
      </c>
      <c r="G51" s="113">
        <v>44855</v>
      </c>
      <c r="H51" s="113"/>
    </row>
    <row r="52" spans="1:14" s="5" customFormat="1" hidden="1" x14ac:dyDescent="0.35">
      <c r="A52" s="111"/>
      <c r="B52" s="111"/>
      <c r="C52" s="114" t="s">
        <v>272</v>
      </c>
      <c r="D52" s="115"/>
      <c r="E52" s="115"/>
      <c r="F52" s="115"/>
      <c r="G52" s="115"/>
      <c r="H52" s="116"/>
    </row>
    <row r="53" spans="1:14" s="5" customFormat="1" x14ac:dyDescent="0.35">
      <c r="A53" s="122" t="s">
        <v>45</v>
      </c>
      <c r="B53" s="122"/>
      <c r="C53" s="122" t="s">
        <v>111</v>
      </c>
      <c r="D53" s="134"/>
      <c r="E53" s="134" t="s">
        <v>46</v>
      </c>
      <c r="F53" s="53" t="s">
        <v>43</v>
      </c>
      <c r="G53" s="195" t="s">
        <v>30</v>
      </c>
      <c r="H53" s="195"/>
    </row>
    <row r="54" spans="1:14" x14ac:dyDescent="0.35">
      <c r="A54" s="159" t="s">
        <v>48</v>
      </c>
      <c r="B54" s="159"/>
      <c r="C54" s="159"/>
      <c r="D54" s="159"/>
      <c r="E54" s="159"/>
      <c r="F54" s="159"/>
      <c r="G54" s="159"/>
      <c r="H54" s="159"/>
    </row>
    <row r="55" spans="1:14" x14ac:dyDescent="0.35">
      <c r="A55" s="138" t="s">
        <v>93</v>
      </c>
      <c r="B55" s="138"/>
      <c r="C55" s="138"/>
      <c r="D55" s="93">
        <f>E42</f>
        <v>37839.15</v>
      </c>
      <c r="E55" s="93"/>
      <c r="F55" s="93"/>
      <c r="G55" s="93"/>
      <c r="H55" s="93"/>
    </row>
    <row r="56" spans="1:14" x14ac:dyDescent="0.35">
      <c r="A56" s="111" t="s">
        <v>49</v>
      </c>
      <c r="B56" s="112"/>
      <c r="C56" s="112"/>
      <c r="D56" s="112" t="s">
        <v>330</v>
      </c>
      <c r="E56" s="112"/>
      <c r="F56" s="112"/>
      <c r="G56" s="112"/>
      <c r="H56" s="112"/>
      <c r="I56" s="29"/>
    </row>
    <row r="57" spans="1:14" ht="63.75" customHeight="1" x14ac:dyDescent="0.35">
      <c r="A57" s="119" t="s">
        <v>50</v>
      </c>
      <c r="B57" s="123"/>
      <c r="C57" s="124"/>
      <c r="D57" s="160" t="s">
        <v>275</v>
      </c>
      <c r="E57" s="194"/>
      <c r="F57" s="194"/>
      <c r="G57" s="194"/>
      <c r="H57" s="194"/>
      <c r="I57" s="30"/>
    </row>
    <row r="58" spans="1:14" ht="33" customHeight="1" x14ac:dyDescent="0.35">
      <c r="A58" s="119" t="s">
        <v>91</v>
      </c>
      <c r="B58" s="123"/>
      <c r="C58" s="124"/>
      <c r="D58" s="119" t="s">
        <v>276</v>
      </c>
      <c r="E58" s="120"/>
      <c r="F58" s="120"/>
      <c r="G58" s="120"/>
      <c r="H58" s="121"/>
      <c r="I58" s="30"/>
    </row>
    <row r="59" spans="1:14" ht="33" customHeight="1" x14ac:dyDescent="0.35">
      <c r="A59" s="125"/>
      <c r="B59" s="126"/>
      <c r="C59" s="127"/>
      <c r="D59" s="119" t="s">
        <v>277</v>
      </c>
      <c r="E59" s="120"/>
      <c r="F59" s="120"/>
      <c r="G59" s="120"/>
      <c r="H59" s="121"/>
      <c r="I59" s="30"/>
    </row>
    <row r="60" spans="1:14" ht="33.75" customHeight="1" x14ac:dyDescent="0.35">
      <c r="A60" s="93" t="s">
        <v>47</v>
      </c>
      <c r="B60" s="93"/>
      <c r="C60" s="93"/>
      <c r="D60" s="138" t="s">
        <v>343</v>
      </c>
      <c r="E60" s="138"/>
      <c r="F60" s="138"/>
      <c r="G60" s="138"/>
      <c r="H60" s="138"/>
      <c r="J60" s="28"/>
      <c r="K60" s="29"/>
      <c r="N60" s="29"/>
    </row>
    <row r="61" spans="1:14" ht="15.75" customHeight="1" x14ac:dyDescent="0.35">
      <c r="A61" s="93" t="s">
        <v>89</v>
      </c>
      <c r="B61" s="93"/>
      <c r="C61" s="93"/>
      <c r="D61" s="183" t="str">
        <f>(IF(G53="NA","60 Years After Completion",IF(G53&lt;&gt;"NA",""&amp;60-ROUNDDOWN((E3-G53)/360,0)&amp;" Years"," ")))</f>
        <v>60 Years After Completion</v>
      </c>
      <c r="E61" s="183"/>
      <c r="F61" s="183"/>
      <c r="G61" s="183"/>
      <c r="H61" s="183"/>
      <c r="N61" s="29"/>
    </row>
    <row r="62" spans="1:14" ht="15.75" customHeight="1" x14ac:dyDescent="0.35">
      <c r="A62" s="93" t="s">
        <v>90</v>
      </c>
      <c r="B62" s="93"/>
      <c r="C62" s="93"/>
      <c r="D62" s="138" t="s">
        <v>24</v>
      </c>
      <c r="E62" s="138"/>
      <c r="F62" s="138"/>
      <c r="G62" s="138"/>
      <c r="H62" s="138"/>
      <c r="J62" s="9"/>
      <c r="K62" s="9"/>
    </row>
    <row r="63" spans="1:14" ht="18" customHeight="1" x14ac:dyDescent="0.35">
      <c r="A63" s="93" t="s">
        <v>77</v>
      </c>
      <c r="B63" s="93"/>
      <c r="C63" s="93"/>
      <c r="D63" s="111" t="s">
        <v>269</v>
      </c>
      <c r="E63" s="138"/>
      <c r="F63" s="138"/>
      <c r="G63" s="138"/>
      <c r="H63" s="138"/>
    </row>
    <row r="64" spans="1:14" x14ac:dyDescent="0.35">
      <c r="A64" s="138" t="s">
        <v>154</v>
      </c>
      <c r="B64" s="138"/>
      <c r="C64" s="138"/>
      <c r="D64" s="138" t="s">
        <v>30</v>
      </c>
      <c r="E64" s="138"/>
      <c r="F64" s="138"/>
      <c r="G64" s="138"/>
      <c r="H64" s="138"/>
      <c r="I64" s="34"/>
      <c r="J64" s="34"/>
      <c r="K64" s="34"/>
      <c r="L64" s="34"/>
      <c r="M64" s="34"/>
      <c r="N64" s="34"/>
    </row>
    <row r="65" spans="1:10" ht="15.75" customHeight="1" x14ac:dyDescent="0.35">
      <c r="A65" s="93" t="s">
        <v>88</v>
      </c>
      <c r="B65" s="93"/>
      <c r="C65" s="93"/>
      <c r="D65" s="111" t="str">
        <f ca="1">(IF(G71&gt;95%,"Nothing",IF(G71&gt;0%,"Cement, Aggregate, Steel, etc",IF(G71=0%,"Work not yet Started"))))</f>
        <v>Cement, Aggregate, Steel, etc</v>
      </c>
      <c r="E65" s="111"/>
      <c r="F65" s="111"/>
      <c r="G65" s="111"/>
      <c r="H65" s="111"/>
      <c r="J65" s="9"/>
    </row>
    <row r="66" spans="1:10" ht="33.75" customHeight="1" thickBot="1" x14ac:dyDescent="0.4">
      <c r="A66" s="138" t="s">
        <v>124</v>
      </c>
      <c r="B66" s="138"/>
      <c r="C66" s="138"/>
      <c r="D66" s="111" t="str">
        <f ca="1">(IF(D65="Nothing","Yes",IF(D65="Cement, Aggregate, Steel, etc","Under Construction",IF(D65="Work not yet Started","Work not yet Started"))))</f>
        <v>Under Construction</v>
      </c>
      <c r="E66" s="111"/>
      <c r="F66" s="111" t="str">
        <f ca="1">(IF(D65="Nothing","Yes",IF(D65="Cement, Aggregate, Steel, etc","Under Construction",IF(D65="Work not yet Started","Work not yet Started"))))</f>
        <v>Under Construction</v>
      </c>
      <c r="G66" s="111"/>
      <c r="H66" s="111"/>
    </row>
    <row r="67" spans="1:10" s="5" customFormat="1" ht="32.25" customHeight="1" x14ac:dyDescent="0.35">
      <c r="A67" s="122" t="s">
        <v>146</v>
      </c>
      <c r="B67" s="122"/>
      <c r="C67" s="122" t="str">
        <f>D58</f>
        <v>Tower A (Wing A) = Basement 1 &amp; 2 + Ground + 1st to 6th Podium + Stilt/Podium top + 1st to 51st Floor</v>
      </c>
      <c r="D67" s="122"/>
      <c r="E67" s="122"/>
      <c r="F67" s="122"/>
      <c r="G67" s="122"/>
      <c r="H67" s="122"/>
      <c r="I67" s="36" t="str">
        <f ca="1">(IF(E71&gt;99%,"All work completed. Please provide OC.",IF(E71&gt;89.8%,"Plinth, RCC, Brick, Plaster, Flooring, Painting work Completed. Finishing work is in process.",IF(E71&lt;94%,(IF(C71=0,"Work not yet Started.",IF(D71=25%,"Piling work in process",IF(D71=50%,"Excavation work in process",IF(D71=100%,"Excavation work Completed. ","0")))&amp;(IF(C72=0%,"",IF(C72=J73,"Footing work is process",IF(C72=J74,"Footing work Completed",IF(C72=J75,"1st Basement Completed",IF(C72=J76,"1st &amp; 2nd Basement Completed",IF(C72=J77,"1st to 3rd Basement Completed",IF(C72=J78,"1st to 4th Basement Completed",IF(C72=J79,"Plinth work is process",IF(C72=J80,"Plinth work completed","0")))))))))))&amp;(IF(C73=(D68+F68+H68),", RCC Slab Completed",IF(C73&gt;0,", RCC upto "&amp;C73&amp;" Slab Completed",""))&amp;(IF(C74=H68,", Brickwork Completed",IF(C74&gt;0,", Brickwork upto "&amp;C74&amp;" Floor Completed",""))&amp;(IF(C75=H68,", Internal Plaster Completed",IF(C75&gt;0,", Internal Plaster upto "&amp;C75&amp;" Floor Completed",""))&amp;(IF(C76=H68,", External Plaster Completed",IF(C76&gt;0,", External Plaster upto "&amp;C76&amp;" Floor Completed",""))&amp;(IF(C77=H68,", Flooring Completed",IF(C77&gt;0,", Flooring upto "&amp;C77&amp;" Floor Completed",""))&amp;(IF(C78=H68,", Painting Completed",IF(C78&gt;0,", Painting upto "&amp;C78&amp;" Floor Completed",""))&amp;(IF(C79&gt;0,", Finishing upto "&amp;C79&amp;" Floor Completed","")&amp;(IF(C73&gt;0.5,".",""))))))))))))))</f>
        <v>Excavation work Completed. Plinth work completed, RCC Slab Completed, Brickwork Completed, Internal Plaster upto 50 Floor Completed, External Plaster upto 46 Floor Completed, Flooring upto 36 Floor Completed, Painting upto 12 Floor Completed.</v>
      </c>
      <c r="J67" s="37"/>
    </row>
    <row r="68" spans="1:10" s="5" customFormat="1" x14ac:dyDescent="0.35">
      <c r="A68" s="89" t="s">
        <v>148</v>
      </c>
      <c r="B68" s="89">
        <v>2</v>
      </c>
      <c r="C68" s="89" t="s">
        <v>75</v>
      </c>
      <c r="D68" s="89">
        <v>1</v>
      </c>
      <c r="E68" s="89" t="s">
        <v>74</v>
      </c>
      <c r="F68" s="89">
        <v>7</v>
      </c>
      <c r="G68" s="89" t="s">
        <v>82</v>
      </c>
      <c r="H68" s="89">
        <f ca="1">--TRIM(RIGHT(SUBSTITUTE(LEFT(C67,_xlfn.AGGREGATE(16,6,FIND({0,1,2,3,4,5,6,7,8,9},C67,ROW(INDIRECT("1:"&amp;LEN(C67)))),1))," ",REPT(" ",LEN(C67))),LEN(C67)))</f>
        <v>51</v>
      </c>
      <c r="I68" s="38"/>
      <c r="J68" s="39"/>
    </row>
    <row r="69" spans="1:10" s="5" customFormat="1" ht="63.5" customHeight="1" x14ac:dyDescent="0.35">
      <c r="A69" s="134" t="s">
        <v>92</v>
      </c>
      <c r="B69" s="134"/>
      <c r="C69" s="122" t="str">
        <f ca="1">(IF($G$53="NA",I67,"All work Completed. OC Received."))</f>
        <v>Excavation work Completed. Plinth work completed, RCC Slab Completed, Brickwork Completed, Internal Plaster upto 50 Floor Completed, External Plaster upto 46 Floor Completed, Flooring upto 36 Floor Completed, Painting upto 12 Floor Completed.</v>
      </c>
      <c r="D69" s="122"/>
      <c r="E69" s="122"/>
      <c r="F69" s="122"/>
      <c r="G69" s="122"/>
      <c r="H69" s="122"/>
      <c r="I69" s="38" t="s">
        <v>110</v>
      </c>
      <c r="J69" s="39"/>
    </row>
    <row r="70" spans="1:10" s="5" customFormat="1" ht="15.75" customHeight="1" x14ac:dyDescent="0.35">
      <c r="A70" s="136" t="s">
        <v>51</v>
      </c>
      <c r="B70" s="137"/>
      <c r="C70" s="50" t="s">
        <v>145</v>
      </c>
      <c r="D70" s="50" t="s">
        <v>85</v>
      </c>
      <c r="E70" s="137" t="s">
        <v>87</v>
      </c>
      <c r="F70" s="137"/>
      <c r="G70" s="137" t="s">
        <v>86</v>
      </c>
      <c r="H70" s="158"/>
      <c r="I70" s="40" t="s">
        <v>147</v>
      </c>
      <c r="J70" s="41">
        <f ca="1">H68*25%</f>
        <v>12.75</v>
      </c>
    </row>
    <row r="71" spans="1:10" s="5" customFormat="1" x14ac:dyDescent="0.35">
      <c r="A71" s="136" t="s">
        <v>134</v>
      </c>
      <c r="B71" s="137"/>
      <c r="C71" s="57">
        <f ca="1">J72</f>
        <v>51</v>
      </c>
      <c r="D71" s="58">
        <f ca="1">((100/H68)*C71)/100</f>
        <v>1</v>
      </c>
      <c r="E71" s="139">
        <f ca="1">(((C72/H68*10)+(40/(D68+F68+H68)*C73)+(7.5/(H68)*C74)+(7.5/(H68)*C75)+(10/H68*C76)+(10/H68*C77)+(5/H68*C78)+(5/H68*C79)+(5/H68*C80))/100)</f>
        <v>0.82107843137254899</v>
      </c>
      <c r="F71" s="139"/>
      <c r="G71" s="139">
        <f ca="1">((((C71/H68)*20)+((C72/H68)*25)+(30/(H68+F68+D68)*C73)+(5/H68*C74)+(5/H68*C75)+(5/H68*C76)+(5/H68*C77)+(0/H68*C78)+(0/H68*C79)+(5/H68*C80))/100)</f>
        <v>0.92941176470588249</v>
      </c>
      <c r="H71" s="141"/>
      <c r="I71" s="40" t="s">
        <v>105</v>
      </c>
      <c r="J71" s="42">
        <f ca="1">H68*50%</f>
        <v>25.5</v>
      </c>
    </row>
    <row r="72" spans="1:10" s="5" customFormat="1" x14ac:dyDescent="0.35">
      <c r="A72" s="136" t="s">
        <v>52</v>
      </c>
      <c r="B72" s="137"/>
      <c r="C72" s="59">
        <v>51</v>
      </c>
      <c r="D72" s="58">
        <f ca="1">((100/H68)*C72)/100</f>
        <v>1</v>
      </c>
      <c r="E72" s="139"/>
      <c r="F72" s="139"/>
      <c r="G72" s="139"/>
      <c r="H72" s="141"/>
      <c r="I72" s="40" t="s">
        <v>106</v>
      </c>
      <c r="J72" s="42">
        <f ca="1">H68</f>
        <v>51</v>
      </c>
    </row>
    <row r="73" spans="1:10" s="5" customFormat="1" ht="15.75" customHeight="1" x14ac:dyDescent="0.35">
      <c r="A73" s="136" t="s">
        <v>135</v>
      </c>
      <c r="B73" s="137"/>
      <c r="C73" s="59">
        <v>59</v>
      </c>
      <c r="D73" s="58">
        <f ca="1">((100/(D68+F68+H68))*C73)/100</f>
        <v>1</v>
      </c>
      <c r="E73" s="139"/>
      <c r="F73" s="139"/>
      <c r="G73" s="139"/>
      <c r="H73" s="141"/>
      <c r="I73" s="40" t="s">
        <v>107</v>
      </c>
      <c r="J73" s="43">
        <f ca="1">(IF(B68&gt;1,(H68/(B68+2)),H68/4))</f>
        <v>12.75</v>
      </c>
    </row>
    <row r="74" spans="1:10" s="5" customFormat="1" ht="15.75" customHeight="1" x14ac:dyDescent="0.35">
      <c r="A74" s="136" t="s">
        <v>142</v>
      </c>
      <c r="B74" s="137" t="s">
        <v>136</v>
      </c>
      <c r="C74" s="59">
        <f>C73-D68-F68</f>
        <v>51</v>
      </c>
      <c r="D74" s="58">
        <f ca="1">((100/H68)*C74)/100</f>
        <v>1</v>
      </c>
      <c r="E74" s="139"/>
      <c r="F74" s="139"/>
      <c r="G74" s="139"/>
      <c r="H74" s="141"/>
      <c r="I74" s="40" t="s">
        <v>108</v>
      </c>
      <c r="J74" s="43">
        <f ca="1">(IF(B68&gt;1,(H68/(B68+2)+J73),H68/4+J73))</f>
        <v>25.5</v>
      </c>
    </row>
    <row r="75" spans="1:10" s="5" customFormat="1" ht="15.75" customHeight="1" x14ac:dyDescent="0.35">
      <c r="A75" s="136" t="s">
        <v>143</v>
      </c>
      <c r="B75" s="137" t="s">
        <v>136</v>
      </c>
      <c r="C75" s="59">
        <v>50</v>
      </c>
      <c r="D75" s="58">
        <f ca="1">((100/H68)*C75)/100</f>
        <v>0.98039215686274506</v>
      </c>
      <c r="E75" s="139"/>
      <c r="F75" s="139"/>
      <c r="G75" s="139"/>
      <c r="H75" s="141"/>
      <c r="I75" s="40" t="s">
        <v>152</v>
      </c>
      <c r="J75" s="43">
        <f ca="1">(IF(B68&gt;1,(H68/(B68+2)+J74),0))</f>
        <v>38.25</v>
      </c>
    </row>
    <row r="76" spans="1:10" s="5" customFormat="1" ht="15" customHeight="1" x14ac:dyDescent="0.35">
      <c r="A76" s="136" t="s">
        <v>141</v>
      </c>
      <c r="B76" s="137" t="s">
        <v>138</v>
      </c>
      <c r="C76" s="59">
        <v>46</v>
      </c>
      <c r="D76" s="58">
        <f ca="1">((100/(H68))*C76)/100</f>
        <v>0.90196078431372539</v>
      </c>
      <c r="E76" s="139"/>
      <c r="F76" s="139"/>
      <c r="G76" s="139"/>
      <c r="H76" s="141"/>
      <c r="I76" s="40" t="s">
        <v>149</v>
      </c>
      <c r="J76" s="43">
        <f>(IF(B68&gt;2,(H68/(B68+2)+J75),0))</f>
        <v>0</v>
      </c>
    </row>
    <row r="77" spans="1:10" s="5" customFormat="1" ht="15.75" customHeight="1" x14ac:dyDescent="0.35">
      <c r="A77" s="136" t="s">
        <v>137</v>
      </c>
      <c r="B77" s="137" t="s">
        <v>137</v>
      </c>
      <c r="C77" s="57">
        <v>36</v>
      </c>
      <c r="D77" s="58">
        <f ca="1">((100/H68)*C77)/100</f>
        <v>0.70588235294117641</v>
      </c>
      <c r="E77" s="139"/>
      <c r="F77" s="139"/>
      <c r="G77" s="139"/>
      <c r="H77" s="141"/>
      <c r="I77" s="40" t="s">
        <v>150</v>
      </c>
      <c r="J77" s="44">
        <f>(IF(B68&gt;3,(H68/(B68+2)+J76),0))</f>
        <v>0</v>
      </c>
    </row>
    <row r="78" spans="1:10" s="5" customFormat="1" ht="15.75" customHeight="1" x14ac:dyDescent="0.35">
      <c r="A78" s="136" t="s">
        <v>144</v>
      </c>
      <c r="B78" s="137"/>
      <c r="C78" s="57">
        <v>12</v>
      </c>
      <c r="D78" s="58">
        <f ca="1">((100/H68)*C78)/100</f>
        <v>0.23529411764705879</v>
      </c>
      <c r="E78" s="139"/>
      <c r="F78" s="139"/>
      <c r="G78" s="139"/>
      <c r="H78" s="141"/>
      <c r="I78" s="40" t="s">
        <v>151</v>
      </c>
      <c r="J78" s="43">
        <f>(IF(B68&gt;4,(H68/(B68+2)+J77),0))</f>
        <v>0</v>
      </c>
    </row>
    <row r="79" spans="1:10" s="5" customFormat="1" ht="15.75" customHeight="1" x14ac:dyDescent="0.35">
      <c r="A79" s="136" t="s">
        <v>139</v>
      </c>
      <c r="B79" s="137" t="s">
        <v>139</v>
      </c>
      <c r="C79" s="57">
        <v>0</v>
      </c>
      <c r="D79" s="58">
        <f ca="1">((100/(H68))*C79)/100</f>
        <v>0</v>
      </c>
      <c r="E79" s="139"/>
      <c r="F79" s="139"/>
      <c r="G79" s="139"/>
      <c r="H79" s="141"/>
      <c r="I79" s="40" t="s">
        <v>153</v>
      </c>
      <c r="J79" s="43">
        <f>(IF(B68=1,(H68/(B68+3)+J74),IF(B68=0,(H68/4+J74),IF(B68&gt;1,0))))</f>
        <v>0</v>
      </c>
    </row>
    <row r="80" spans="1:10" s="5" customFormat="1" ht="16" thickBot="1" x14ac:dyDescent="0.4">
      <c r="A80" s="143" t="s">
        <v>140</v>
      </c>
      <c r="B80" s="144"/>
      <c r="C80" s="60">
        <v>0</v>
      </c>
      <c r="D80" s="61">
        <f ca="1">((100/(H68))*C80)/100</f>
        <v>0</v>
      </c>
      <c r="E80" s="140"/>
      <c r="F80" s="140"/>
      <c r="G80" s="140"/>
      <c r="H80" s="142"/>
      <c r="I80" s="45" t="s">
        <v>109</v>
      </c>
      <c r="J80" s="46">
        <f ca="1">(IF(B68&gt;1.5,(H68/(B68+2)+J74+MAX(0,J75-J74)+MAX(0,J76-J75)+MAX(0,J77-J76)+MAX(0,J78-J77)+MAX(0,J79-J78)),IF(B68=1,(H68/(B68+3)+J79),IF(B68=0,H68/4+J79))))</f>
        <v>51</v>
      </c>
    </row>
    <row r="81" spans="1:12" s="5" customFormat="1" ht="32.25" customHeight="1" x14ac:dyDescent="0.35">
      <c r="A81" s="128" t="s">
        <v>146</v>
      </c>
      <c r="B81" s="129"/>
      <c r="C81" s="130" t="str">
        <f>D59</f>
        <v>Tower B (Wing B) = Basement 1 &amp; 2 + Ground + 1st to 6th Podium + Stilt/Podium top + 1st to 51st Floor</v>
      </c>
      <c r="D81" s="131"/>
      <c r="E81" s="131"/>
      <c r="F81" s="131"/>
      <c r="G81" s="131"/>
      <c r="H81" s="132"/>
      <c r="I81" s="36" t="str">
        <f ca="1">(IF(E85&gt;99%,"All work completed. Please provide OC.",IF(E85&gt;89.8%,"Plinth, RCC, Brick, Plaster, Flooring, Painting work Completed. Finishing work is in process.",IF(E85&lt;94%,(IF(C85=0,"Work not yet Started.",IF(D85=25%,"Piling work in process",IF(D85=50%,"Excavation work in process",IF(D85=100%,"Excavation work Completed. ","0")))&amp;(IF(C86=0%,"",IF(C86=J87,"Footing work is process",IF(C86=J88,"Footing work Completed",IF(C86=J89,"1st Basement Completed",IF(C86=J90,"1st &amp; 2nd Basement Completed",IF(C86=J91,"1st to 3rd Basement Completed",IF(C86=J92,"1st to 4th Basement Completed",IF(C86=J93,"Plinth work is process",IF(C86=J94,"Plinth work completed","0")))))))))))&amp;(IF(C87=(D82+F82+H82),", RCC Slab Completed",IF(C87&gt;0,", RCC upto "&amp;C87&amp;" Slab Completed",""))&amp;(IF(C88=H82,", Brickwork Completed",IF(C88&gt;0,", Brickwork upto "&amp;C88&amp;" Floor Completed",""))&amp;(IF(C89=H82,", Internal Plaster Completed",IF(C89&gt;0,", Internal Plaster upto "&amp;C89&amp;" Floor Completed",""))&amp;(IF(C90=H82,", External Plaster Completed",IF(C90&gt;0,", External Plaster upto "&amp;C90&amp;" Floor Completed",""))&amp;(IF(C91=H82,", Flooring Completed",IF(C91&gt;0,", Flooring upto "&amp;C91&amp;" Floor Completed",""))&amp;(IF(C92=H82,", Painting Completed",IF(C92&gt;0,", Painting upto "&amp;C92&amp;" Floor Completed",""))&amp;(IF(C93&gt;0,", Finishing upto "&amp;C93&amp;" Floor Completed","")&amp;(IF(C87&gt;0.5,".",""))))))))))))))</f>
        <v>Excavation work Completed. Plinth work completed, RCC Slab Completed, Brickwork Completed, Internal Plaster upto 50 Floor Completed, External Plaster upto 40 Floor Completed, Flooring upto 26 Floor Completed, Painting upto 20 Floor Completed.</v>
      </c>
      <c r="J81" s="37"/>
    </row>
    <row r="82" spans="1:12" s="5" customFormat="1" x14ac:dyDescent="0.35">
      <c r="A82" s="32" t="s">
        <v>148</v>
      </c>
      <c r="B82" s="54">
        <v>2</v>
      </c>
      <c r="C82" s="54" t="s">
        <v>75</v>
      </c>
      <c r="D82" s="54">
        <v>1</v>
      </c>
      <c r="E82" s="54" t="s">
        <v>74</v>
      </c>
      <c r="F82" s="54">
        <v>7</v>
      </c>
      <c r="G82" s="54" t="s">
        <v>82</v>
      </c>
      <c r="H82" s="33">
        <f ca="1">--TRIM(RIGHT(SUBSTITUTE(LEFT(C81,_xlfn.AGGREGATE(16,6,FIND({0,1,2,3,4,5,6,7,8,9},C81,ROW(INDIRECT("1:"&amp;LEN(C81)))),1))," ",REPT(" ",LEN(C81))),LEN(C81)))</f>
        <v>51</v>
      </c>
      <c r="I82" s="38"/>
      <c r="J82" s="39"/>
    </row>
    <row r="83" spans="1:12" s="5" customFormat="1" ht="66" customHeight="1" x14ac:dyDescent="0.35">
      <c r="A83" s="133" t="s">
        <v>92</v>
      </c>
      <c r="B83" s="134"/>
      <c r="C83" s="122" t="str">
        <f ca="1">(IF($G$53="NA",I81,"All work Completed. OC Received."))</f>
        <v>Excavation work Completed. Plinth work completed, RCC Slab Completed, Brickwork Completed, Internal Plaster upto 50 Floor Completed, External Plaster upto 40 Floor Completed, Flooring upto 26 Floor Completed, Painting upto 20 Floor Completed.</v>
      </c>
      <c r="D83" s="122"/>
      <c r="E83" s="122"/>
      <c r="F83" s="122"/>
      <c r="G83" s="122"/>
      <c r="H83" s="135"/>
      <c r="I83" s="38" t="s">
        <v>110</v>
      </c>
      <c r="J83" s="39"/>
    </row>
    <row r="84" spans="1:12" s="5" customFormat="1" ht="15.75" customHeight="1" x14ac:dyDescent="0.35">
      <c r="A84" s="136" t="s">
        <v>51</v>
      </c>
      <c r="B84" s="137"/>
      <c r="C84" s="50" t="s">
        <v>145</v>
      </c>
      <c r="D84" s="50" t="s">
        <v>85</v>
      </c>
      <c r="E84" s="137" t="s">
        <v>87</v>
      </c>
      <c r="F84" s="137"/>
      <c r="G84" s="137" t="s">
        <v>86</v>
      </c>
      <c r="H84" s="158"/>
      <c r="I84" s="40" t="s">
        <v>147</v>
      </c>
      <c r="J84" s="41">
        <f ca="1">H82*25%</f>
        <v>12.75</v>
      </c>
    </row>
    <row r="85" spans="1:12" s="5" customFormat="1" x14ac:dyDescent="0.35">
      <c r="A85" s="136" t="s">
        <v>134</v>
      </c>
      <c r="B85" s="137"/>
      <c r="C85" s="57">
        <f ca="1">J86</f>
        <v>51</v>
      </c>
      <c r="D85" s="58">
        <f ca="1">((100/H82)*C85)/100</f>
        <v>1</v>
      </c>
      <c r="E85" s="139">
        <f ca="1">(((C86/H82*10)+(40/(D82+F82+H82)*C87)+(7.5/(H82)*C88)+(7.5/(H82)*C89)+(10/H82*C90)+(10/H82*C91)+(5/H82*C92)+(5/H82*C93)+(5/H82*C94))/100)</f>
        <v>0.79754901960784308</v>
      </c>
      <c r="F85" s="139"/>
      <c r="G85" s="139">
        <f ca="1">((((C85/H82)*20)+((C86/H82)*25)+(30/(H82+F82+D82)*C87)+(5/H82*C88)+(5/H82*C89)+(5/H82*C90)+(5/H82*C91)+(0/H82*C92)+(0/H82*C93)+(5/H82*C94))/100)</f>
        <v>0.9137254901960784</v>
      </c>
      <c r="H85" s="141"/>
      <c r="I85" s="40" t="s">
        <v>105</v>
      </c>
      <c r="J85" s="42">
        <f ca="1">H82*50%</f>
        <v>25.5</v>
      </c>
    </row>
    <row r="86" spans="1:12" s="5" customFormat="1" x14ac:dyDescent="0.35">
      <c r="A86" s="136" t="s">
        <v>52</v>
      </c>
      <c r="B86" s="137"/>
      <c r="C86" s="59">
        <v>51</v>
      </c>
      <c r="D86" s="58">
        <f ca="1">((100/H82)*C86)/100</f>
        <v>1</v>
      </c>
      <c r="E86" s="139"/>
      <c r="F86" s="139"/>
      <c r="G86" s="139"/>
      <c r="H86" s="141"/>
      <c r="I86" s="40" t="s">
        <v>106</v>
      </c>
      <c r="J86" s="42">
        <f ca="1">H82</f>
        <v>51</v>
      </c>
    </row>
    <row r="87" spans="1:12" s="5" customFormat="1" ht="15.75" customHeight="1" x14ac:dyDescent="0.35">
      <c r="A87" s="136" t="s">
        <v>135</v>
      </c>
      <c r="B87" s="137"/>
      <c r="C87" s="59">
        <v>59</v>
      </c>
      <c r="D87" s="58">
        <f ca="1">((100/(D82+F82+H82))*C87)/100</f>
        <v>1</v>
      </c>
      <c r="E87" s="139"/>
      <c r="F87" s="139"/>
      <c r="G87" s="139"/>
      <c r="H87" s="141"/>
      <c r="I87" s="40" t="s">
        <v>107</v>
      </c>
      <c r="J87" s="43">
        <f ca="1">(IF(B82&gt;1,(H82/(B82+2)),H82/4))</f>
        <v>12.75</v>
      </c>
    </row>
    <row r="88" spans="1:12" s="5" customFormat="1" ht="15.75" customHeight="1" x14ac:dyDescent="0.35">
      <c r="A88" s="136" t="s">
        <v>142</v>
      </c>
      <c r="B88" s="137" t="s">
        <v>136</v>
      </c>
      <c r="C88" s="59">
        <f>C87-D82-F82</f>
        <v>51</v>
      </c>
      <c r="D88" s="58">
        <f ca="1">((100/H82)*C88)/100</f>
        <v>1</v>
      </c>
      <c r="E88" s="139"/>
      <c r="F88" s="139"/>
      <c r="G88" s="139"/>
      <c r="H88" s="141"/>
      <c r="I88" s="40" t="s">
        <v>108</v>
      </c>
      <c r="J88" s="43">
        <f ca="1">(IF(B82&gt;1,(H82/(B82+2)+J87),H82/4+J87))</f>
        <v>25.5</v>
      </c>
    </row>
    <row r="89" spans="1:12" s="5" customFormat="1" ht="15.75" customHeight="1" x14ac:dyDescent="0.35">
      <c r="A89" s="136" t="s">
        <v>143</v>
      </c>
      <c r="B89" s="137" t="s">
        <v>136</v>
      </c>
      <c r="C89" s="59">
        <v>50</v>
      </c>
      <c r="D89" s="58">
        <f ca="1">((100/H82)*C89)/100</f>
        <v>0.98039215686274506</v>
      </c>
      <c r="E89" s="139"/>
      <c r="F89" s="139"/>
      <c r="G89" s="139"/>
      <c r="H89" s="141"/>
      <c r="I89" s="40" t="s">
        <v>152</v>
      </c>
      <c r="J89" s="43">
        <f ca="1">(IF(B82&gt;1,(H82/(B82+2)+J88),0))</f>
        <v>38.25</v>
      </c>
    </row>
    <row r="90" spans="1:12" s="5" customFormat="1" ht="15" customHeight="1" x14ac:dyDescent="0.35">
      <c r="A90" s="136" t="s">
        <v>141</v>
      </c>
      <c r="B90" s="137" t="s">
        <v>138</v>
      </c>
      <c r="C90" s="59">
        <v>40</v>
      </c>
      <c r="D90" s="58">
        <f ca="1">((100/(H82))*C90)/100</f>
        <v>0.78431372549019596</v>
      </c>
      <c r="E90" s="139"/>
      <c r="F90" s="139"/>
      <c r="G90" s="139"/>
      <c r="H90" s="141"/>
      <c r="I90" s="40" t="s">
        <v>149</v>
      </c>
      <c r="J90" s="43">
        <f>(IF(B82&gt;2,(H82/(B82+2)+J89),0))</f>
        <v>0</v>
      </c>
    </row>
    <row r="91" spans="1:12" s="5" customFormat="1" ht="15.75" customHeight="1" x14ac:dyDescent="0.35">
      <c r="A91" s="136" t="s">
        <v>137</v>
      </c>
      <c r="B91" s="137" t="s">
        <v>137</v>
      </c>
      <c r="C91" s="57">
        <v>26</v>
      </c>
      <c r="D91" s="58">
        <f ca="1">((100/H82)*C91)/100</f>
        <v>0.50980392156862742</v>
      </c>
      <c r="E91" s="139"/>
      <c r="F91" s="139"/>
      <c r="G91" s="139"/>
      <c r="H91" s="141"/>
      <c r="I91" s="40" t="s">
        <v>150</v>
      </c>
      <c r="J91" s="44">
        <f>(IF(B82&gt;3,(H82/(B82+2)+J90),0))</f>
        <v>0</v>
      </c>
    </row>
    <row r="92" spans="1:12" s="5" customFormat="1" ht="15.75" customHeight="1" x14ac:dyDescent="0.35">
      <c r="A92" s="136" t="s">
        <v>144</v>
      </c>
      <c r="B92" s="137"/>
      <c r="C92" s="57">
        <v>20</v>
      </c>
      <c r="D92" s="58">
        <f ca="1">((100/H82)*C92)/100</f>
        <v>0.39215686274509798</v>
      </c>
      <c r="E92" s="139"/>
      <c r="F92" s="139"/>
      <c r="G92" s="139"/>
      <c r="H92" s="141"/>
      <c r="I92" s="40" t="s">
        <v>151</v>
      </c>
      <c r="J92" s="43">
        <f>(IF(B82&gt;4,(H82/(B82+2)+J91),0))</f>
        <v>0</v>
      </c>
    </row>
    <row r="93" spans="1:12" s="5" customFormat="1" ht="15.75" customHeight="1" x14ac:dyDescent="0.35">
      <c r="A93" s="136" t="s">
        <v>139</v>
      </c>
      <c r="B93" s="137" t="s">
        <v>139</v>
      </c>
      <c r="C93" s="57">
        <v>0</v>
      </c>
      <c r="D93" s="58">
        <f ca="1">((100/(H82))*C93)/100</f>
        <v>0</v>
      </c>
      <c r="E93" s="139"/>
      <c r="F93" s="139"/>
      <c r="G93" s="139"/>
      <c r="H93" s="141"/>
      <c r="I93" s="40" t="s">
        <v>153</v>
      </c>
      <c r="J93" s="43">
        <f>(IF(B82=1,(H82/(B82+3)+J88),IF(B82=0,(H82/4+J88),IF(B82&gt;1,0))))</f>
        <v>0</v>
      </c>
    </row>
    <row r="94" spans="1:12" s="5" customFormat="1" ht="16" thickBot="1" x14ac:dyDescent="0.4">
      <c r="A94" s="201" t="s">
        <v>140</v>
      </c>
      <c r="B94" s="202"/>
      <c r="C94" s="203">
        <v>0</v>
      </c>
      <c r="D94" s="204">
        <f ca="1">((100/(H82))*C94)/100</f>
        <v>0</v>
      </c>
      <c r="E94" s="205"/>
      <c r="F94" s="205"/>
      <c r="G94" s="205"/>
      <c r="H94" s="206"/>
      <c r="I94" s="45" t="s">
        <v>109</v>
      </c>
      <c r="J94" s="46">
        <f ca="1">(IF(B82&gt;1.5,(H82/(B82+2)+J88+MAX(0,J89-J88)+MAX(0,J90-J89)+MAX(0,J91-J90)+MAX(0,J92-J91)+MAX(0,J93-J92)),IF(B82=1,(H82/(B82+3)+J93),IF(B82=0,H82/4+J93))))</f>
        <v>51</v>
      </c>
    </row>
    <row r="95" spans="1:12" x14ac:dyDescent="0.35">
      <c r="A95" s="156" t="s">
        <v>53</v>
      </c>
      <c r="B95" s="156"/>
      <c r="C95" s="156"/>
      <c r="D95" s="156"/>
      <c r="E95" s="156"/>
      <c r="F95" s="156"/>
      <c r="G95" s="156"/>
      <c r="H95" s="156"/>
    </row>
    <row r="96" spans="1:12" x14ac:dyDescent="0.35">
      <c r="A96" s="93" t="s">
        <v>163</v>
      </c>
      <c r="B96" s="93"/>
      <c r="C96" s="93"/>
      <c r="D96" s="93"/>
      <c r="E96" s="93"/>
      <c r="F96" s="155">
        <v>16500</v>
      </c>
      <c r="G96" s="155"/>
      <c r="H96" s="155"/>
      <c r="I96" s="78" t="s">
        <v>292</v>
      </c>
      <c r="J96" s="79">
        <v>44978</v>
      </c>
      <c r="K96" s="78" t="s">
        <v>293</v>
      </c>
      <c r="L96" s="78" t="s">
        <v>294</v>
      </c>
    </row>
    <row r="97" spans="1:13" hidden="1" x14ac:dyDescent="0.35">
      <c r="A97" s="93" t="s">
        <v>162</v>
      </c>
      <c r="B97" s="93"/>
      <c r="C97" s="93"/>
      <c r="D97" s="93"/>
      <c r="E97" s="93"/>
      <c r="F97" s="155"/>
      <c r="G97" s="155"/>
      <c r="H97" s="155"/>
    </row>
    <row r="98" spans="1:13" hidden="1" x14ac:dyDescent="0.35">
      <c r="A98" s="93" t="s">
        <v>159</v>
      </c>
      <c r="B98" s="93"/>
      <c r="C98" s="93"/>
      <c r="D98" s="93"/>
      <c r="E98" s="93"/>
      <c r="F98" s="155"/>
      <c r="G98" s="155"/>
      <c r="H98" s="155"/>
    </row>
    <row r="99" spans="1:13" s="7" customFormat="1" hidden="1" x14ac:dyDescent="0.3">
      <c r="A99" s="93" t="s">
        <v>97</v>
      </c>
      <c r="B99" s="93"/>
      <c r="C99" s="93"/>
      <c r="D99" s="93"/>
      <c r="E99" s="93"/>
      <c r="F99" s="155"/>
      <c r="G99" s="155"/>
      <c r="H99" s="155"/>
    </row>
    <row r="100" spans="1:13" s="7" customFormat="1" hidden="1" x14ac:dyDescent="0.3">
      <c r="A100" s="93" t="s">
        <v>98</v>
      </c>
      <c r="B100" s="93"/>
      <c r="C100" s="93"/>
      <c r="D100" s="93"/>
      <c r="E100" s="93"/>
      <c r="F100" s="155"/>
      <c r="G100" s="155"/>
      <c r="H100" s="155"/>
    </row>
    <row r="101" spans="1:13" s="7" customFormat="1" hidden="1" x14ac:dyDescent="0.3">
      <c r="A101" s="93" t="s">
        <v>99</v>
      </c>
      <c r="B101" s="93"/>
      <c r="C101" s="93"/>
      <c r="D101" s="93"/>
      <c r="E101" s="93"/>
      <c r="F101" s="155"/>
      <c r="G101" s="155"/>
      <c r="H101" s="155"/>
    </row>
    <row r="102" spans="1:13" s="7" customFormat="1" hidden="1" x14ac:dyDescent="0.3">
      <c r="A102" s="93" t="s">
        <v>100</v>
      </c>
      <c r="B102" s="93"/>
      <c r="C102" s="93"/>
      <c r="D102" s="93"/>
      <c r="E102" s="93"/>
      <c r="F102" s="155"/>
      <c r="G102" s="155"/>
      <c r="H102" s="155"/>
    </row>
    <row r="103" spans="1:13" s="7" customFormat="1" hidden="1" x14ac:dyDescent="0.3">
      <c r="A103" s="93" t="s">
        <v>101</v>
      </c>
      <c r="B103" s="93"/>
      <c r="C103" s="93"/>
      <c r="D103" s="93"/>
      <c r="E103" s="93"/>
      <c r="F103" s="155"/>
      <c r="G103" s="155"/>
      <c r="H103" s="155"/>
    </row>
    <row r="104" spans="1:13" s="7" customFormat="1" hidden="1" x14ac:dyDescent="0.3">
      <c r="A104" s="93" t="s">
        <v>102</v>
      </c>
      <c r="B104" s="93"/>
      <c r="C104" s="93"/>
      <c r="D104" s="93"/>
      <c r="E104" s="93"/>
      <c r="F104" s="155"/>
      <c r="G104" s="155"/>
      <c r="H104" s="155"/>
    </row>
    <row r="105" spans="1:13" s="7" customFormat="1" hidden="1" x14ac:dyDescent="0.3">
      <c r="A105" s="93" t="s">
        <v>103</v>
      </c>
      <c r="B105" s="93"/>
      <c r="C105" s="93"/>
      <c r="D105" s="93"/>
      <c r="E105" s="93"/>
      <c r="F105" s="155"/>
      <c r="G105" s="155"/>
      <c r="H105" s="155"/>
    </row>
    <row r="106" spans="1:13" s="7" customFormat="1" hidden="1" x14ac:dyDescent="0.3">
      <c r="A106" s="93" t="s">
        <v>104</v>
      </c>
      <c r="B106" s="93"/>
      <c r="C106" s="93"/>
      <c r="D106" s="93"/>
      <c r="E106" s="93"/>
      <c r="F106" s="155"/>
      <c r="G106" s="155"/>
      <c r="H106" s="155"/>
    </row>
    <row r="107" spans="1:13" x14ac:dyDescent="0.35">
      <c r="A107" s="93" t="s">
        <v>54</v>
      </c>
      <c r="B107" s="93"/>
      <c r="C107" s="93"/>
      <c r="D107" s="93"/>
      <c r="E107" s="93"/>
      <c r="F107" s="155">
        <v>800000</v>
      </c>
      <c r="G107" s="155"/>
      <c r="H107" s="155"/>
      <c r="I107" s="84" t="s">
        <v>333</v>
      </c>
      <c r="J107" s="85">
        <v>45220</v>
      </c>
      <c r="K107" s="84" t="s">
        <v>334</v>
      </c>
      <c r="L107" s="84" t="s">
        <v>294</v>
      </c>
      <c r="M107" s="84"/>
    </row>
    <row r="108" spans="1:13" s="4" customFormat="1" x14ac:dyDescent="0.35">
      <c r="A108" s="156" t="s">
        <v>55</v>
      </c>
      <c r="B108" s="156"/>
      <c r="C108" s="156"/>
      <c r="D108" s="156"/>
      <c r="E108" s="156"/>
      <c r="F108" s="155">
        <f>F96*0.8</f>
        <v>13200</v>
      </c>
      <c r="G108" s="155"/>
      <c r="H108" s="155"/>
    </row>
    <row r="109" spans="1:13" s="1" customFormat="1" x14ac:dyDescent="0.35">
      <c r="A109" s="172" t="s">
        <v>248</v>
      </c>
      <c r="B109" s="172"/>
      <c r="C109" s="172"/>
      <c r="D109" s="172"/>
      <c r="E109" s="172"/>
      <c r="F109" s="172"/>
      <c r="G109" s="172"/>
      <c r="H109" s="172"/>
    </row>
    <row r="110" spans="1:13" s="1" customFormat="1" ht="15.75" customHeight="1" x14ac:dyDescent="0.35">
      <c r="A110" s="146" t="s">
        <v>56</v>
      </c>
      <c r="B110" s="146"/>
      <c r="C110" s="157" t="s">
        <v>80</v>
      </c>
      <c r="D110" s="157"/>
      <c r="E110" s="161" t="s">
        <v>57</v>
      </c>
      <c r="F110" s="161"/>
      <c r="G110" s="146" t="s">
        <v>58</v>
      </c>
      <c r="H110" s="146"/>
    </row>
    <row r="111" spans="1:13" s="1" customFormat="1" x14ac:dyDescent="0.35">
      <c r="A111" s="171" t="s">
        <v>246</v>
      </c>
      <c r="B111" s="171"/>
      <c r="C111" s="192">
        <f>COUNT(D127:D128)+COUNT(D133:D134)+COUNT(D139:D140)+COUNT(D146:D147)+COUNT(D152:D154)+COUNT(D156)+COUNT(D158:D160)+COUNT(D162:D167)+COUNT(D169:D174)*16+COUNT(D176:D178,D180:D181)*2+COUNT(D183:D188)*2+COUNT(D190:D195)*5+COUNT(D197:D199,D201:D202)*3+COUNT(D204:D208)*2+COUNT(D210:D214)*2+COUNT(D216:D221)+COUNT(D223:D228)*3+COUNT(D230:D232,D234:D235)*2+COUNT(D237:D242)+COUNT(D244:D248)+COUNT(D251:D254)*2+COUNT(D256:D258,D260:D261)+COUNT(D263:D267)+COUNT(D269:D273)+COUNT(D275:D276,D278:D279)+COUNT(D281:D284)+COUNT(D286)</f>
        <v>281</v>
      </c>
      <c r="D111" s="192"/>
      <c r="E111" s="182">
        <f>SUM(D127:D128)+SUM(D133:D134)+SUM(D139:D140)+SUM(D146:D147)+SUM(D152:D154)+SUM(D156)+SUM(D158:D160)+SUM(D162:D167)+SUM(D169:D174)*16+SUM(D176:D178,D180:D181)*2+SUM(D183:D188)*2+SUM(D190:D195)*5+SUM(D197:D199,D201:D202)*3+SUM(D204:D208)*2+SUM(D210:D214)*2+SUM(D216:D221)+SUM(D223:D228)*3+SUM(D230:D232,D234:D235)*2+SUM(D237:D242)+SUM(D244:D248)+SUM(D251:D254)*2+SUM(D256:D258,D260:D261)+SUM(D263:D267)+SUM(D269:D273)+SUM(D275:D276,D278:D279)+SUM(D281:D284)+SUM(D286)</f>
        <v>361960.56730079994</v>
      </c>
      <c r="F111" s="182"/>
      <c r="G111" s="182">
        <f>SUM(F127:F128)+SUM(F133:F134)+SUM(F139:F140)+SUM(F146:F147)+SUM(F152:F154)+SUM(F156)+SUM(F158:F160)+SUM(F162:F167)+SUM(F169:F174)*16+SUM(F176:F178,F180:F181)*2+SUM(F183:F188)*2+SUM(F190:F195)*5+SUM(F197:F199,F201:F202)*3+SUM(F204:F208)*2+SUM(F210:F214)*2+SUM(F216:F221)+SUM(F223:F228)*3+SUM(F230:F232,F234:F235)*2+SUM(F237:F242)+SUM(F244:F248)+SUM(F251:F254)*2+SUM(F256:F258,F260:F261)+SUM(F263:F267)+SUM(F269:F273)+SUM(F275:F276,F278:F279)+SUM(F281:F284)+SUM(F286)</f>
        <v>542940.8509512</v>
      </c>
      <c r="H111" s="182"/>
    </row>
    <row r="112" spans="1:13" s="1" customFormat="1" x14ac:dyDescent="0.35">
      <c r="A112" s="171" t="s">
        <v>247</v>
      </c>
      <c r="B112" s="171"/>
      <c r="C112" s="192">
        <f>COUNT(D299:D300)+COUNT(D305:D306)+COUNT(D311:D312)+COUNT(D316)+COUNT(D318)+COUNT(D322:D324)+COUNT(D326:D330)+COUNT(D332:D337)+COUNT(D339:D344)*16+COUNT(D346:D350)*6+COUNT(D352:D354,D356:D357)+COUNT(D359:D364)*6+COUNT(D366:D370)+COUNT(D372:D374,D376:D377)*4+COUNT(D379:D384)*3+COUNT(D386:D387,D389:D390)+COUNT(D392:D396)+COUNT(D398:D403)+COUNT(D405:D406,D408:D409)+COUNT(D411:D414)+COUNT(D416:D417,D419:D420)+COUNT(D423:D426)+COUNT(D428:D433)+COUNT(D435:D436,D439)+COUNT(D442:D443,D445:D446)+COUNT(D448,D451)+COUNT(D454:D457)+COUNT(D459)</f>
        <v>283</v>
      </c>
      <c r="D112" s="192"/>
      <c r="E112" s="182">
        <f>SUM(D299:D300)+SUM(D305:D306)+SUM(D311:D312)+SUM(D316)+SUM(D318)+SUM(D322:D324)+SUM(D326:D330)+SUM(D332:D337)+SUM(D339:D344)*16+SUM(D346:D350)*6+SUM(D352:D354,D356:D357)+SUM(D359:D364)*6+SUM(D366:D370)+SUM(D372:D374,D376:D377)*4+SUM(D379:D384)*3+SUM(D386:D387,D389:D390)+SUM(D392:D396)+SUM(D398:D403)+SUM(D405:D406,D408:D409)+SUM(D411:D414)+SUM(D416:D417,D419:D420)+SUM(D423:D426)+SUM(D428:D433)+SUM(D435:D436,D439)+SUM(D442:D443,D445:D446)+SUM(D448,D451)+SUM(D454:D457)+SUM(D459)</f>
        <v>377428.90999319986</v>
      </c>
      <c r="F112" s="182"/>
      <c r="G112" s="182">
        <f>SUM(F299:F300)+SUM(F305:F306)+SUM(F311:F312)+SUM(F316)+SUM(F318)+SUM(F322:F324)+SUM(F326:F330)+SUM(F332:F337)+SUM(F339:F344)*16+SUM(F346:F350)*6+SUM(F352:F354,F356:F357)+SUM(F359:F364)*6+SUM(F366:F370)+SUM(F372:F374,F376:F377)*4+SUM(F379:F384)*3+SUM(F386:F387,F389:F390)+SUM(F392:F396)+SUM(F398:F403)+SUM(F405:F406,F408:F409)+SUM(F411:F414)+SUM(F416:F417,F419:F420)+SUM(F423:F426)+SUM(F428:F433)+SUM(F435:F436,F439)+SUM(F442:F443,F445:F446)+SUM(F448,F451)+SUM(F454:F457)+SUM(F459)</f>
        <v>566143.36498980003</v>
      </c>
      <c r="H112" s="182"/>
    </row>
    <row r="113" spans="1:14" s="66" customFormat="1" ht="15" x14ac:dyDescent="0.35">
      <c r="A113" s="172" t="s">
        <v>245</v>
      </c>
      <c r="B113" s="172"/>
      <c r="C113" s="157">
        <f>SUM(C111:D112)</f>
        <v>564</v>
      </c>
      <c r="D113" s="157"/>
      <c r="E113" s="196">
        <f>SUM(E111:F112)</f>
        <v>739389.47729399987</v>
      </c>
      <c r="F113" s="196"/>
      <c r="G113" s="196">
        <f>SUM(G111:H112)</f>
        <v>1109084.215941</v>
      </c>
      <c r="H113" s="196"/>
    </row>
    <row r="114" spans="1:14" s="4" customFormat="1" x14ac:dyDescent="0.35">
      <c r="A114" s="162" t="s">
        <v>59</v>
      </c>
      <c r="B114" s="162"/>
      <c r="C114" s="162"/>
      <c r="D114" s="162"/>
      <c r="E114" s="162"/>
      <c r="F114" s="162"/>
      <c r="G114" s="162"/>
      <c r="H114" s="162"/>
    </row>
    <row r="115" spans="1:14" x14ac:dyDescent="0.35">
      <c r="A115" s="162" t="s">
        <v>60</v>
      </c>
      <c r="B115" s="162"/>
      <c r="C115" s="162"/>
      <c r="D115" s="162"/>
      <c r="E115" s="162"/>
      <c r="F115" s="162"/>
      <c r="G115" s="162"/>
      <c r="H115" s="162"/>
    </row>
    <row r="116" spans="1:14" ht="47.25" customHeight="1" x14ac:dyDescent="0.35">
      <c r="A116" s="151" t="s">
        <v>125</v>
      </c>
      <c r="B116" s="151" t="s">
        <v>126</v>
      </c>
      <c r="C116" s="147" t="s">
        <v>61</v>
      </c>
      <c r="D116" s="147" t="s">
        <v>62</v>
      </c>
      <c r="E116" s="149" t="s">
        <v>63</v>
      </c>
      <c r="F116" s="49" t="s">
        <v>155</v>
      </c>
      <c r="G116" s="151" t="s">
        <v>64</v>
      </c>
      <c r="H116" s="152"/>
      <c r="I116" s="25"/>
    </row>
    <row r="117" spans="1:14" s="27" customFormat="1" x14ac:dyDescent="0.35">
      <c r="A117" s="153"/>
      <c r="B117" s="153"/>
      <c r="C117" s="148"/>
      <c r="D117" s="148"/>
      <c r="E117" s="150"/>
      <c r="F117" s="24">
        <v>0.5</v>
      </c>
      <c r="G117" s="153"/>
      <c r="H117" s="154"/>
      <c r="I117" s="25"/>
    </row>
    <row r="118" spans="1:14" s="55" customFormat="1" x14ac:dyDescent="0.35">
      <c r="A118" s="94" t="s">
        <v>249</v>
      </c>
      <c r="B118" s="95"/>
      <c r="C118" s="95"/>
      <c r="D118" s="95"/>
      <c r="E118" s="95"/>
      <c r="F118" s="95"/>
      <c r="G118" s="95"/>
      <c r="H118" s="96"/>
      <c r="J118" s="25"/>
    </row>
    <row r="119" spans="1:14" s="35" customFormat="1" x14ac:dyDescent="0.35">
      <c r="A119" s="94" t="s">
        <v>179</v>
      </c>
      <c r="B119" s="95"/>
      <c r="C119" s="95"/>
      <c r="D119" s="95"/>
      <c r="E119" s="95"/>
      <c r="F119" s="95"/>
      <c r="G119" s="95"/>
      <c r="H119" s="96"/>
      <c r="J119" s="25"/>
    </row>
    <row r="120" spans="1:14" s="35" customFormat="1" x14ac:dyDescent="0.35">
      <c r="A120" s="94" t="s">
        <v>180</v>
      </c>
      <c r="B120" s="95"/>
      <c r="C120" s="95"/>
      <c r="D120" s="95"/>
      <c r="E120" s="95"/>
      <c r="F120" s="95"/>
      <c r="G120" s="95"/>
      <c r="H120" s="96"/>
      <c r="J120" s="25"/>
    </row>
    <row r="121" spans="1:14" s="35" customFormat="1" x14ac:dyDescent="0.35">
      <c r="A121" s="94" t="s">
        <v>181</v>
      </c>
      <c r="B121" s="95"/>
      <c r="C121" s="95"/>
      <c r="D121" s="95"/>
      <c r="E121" s="95"/>
      <c r="F121" s="95"/>
      <c r="G121" s="95"/>
      <c r="H121" s="96"/>
      <c r="J121" s="25"/>
    </row>
    <row r="122" spans="1:14" s="35" customFormat="1" x14ac:dyDescent="0.35">
      <c r="A122" s="94" t="s">
        <v>182</v>
      </c>
      <c r="B122" s="95"/>
      <c r="C122" s="95"/>
      <c r="D122" s="95"/>
      <c r="E122" s="95"/>
      <c r="F122" s="95"/>
      <c r="G122" s="95"/>
      <c r="H122" s="96"/>
      <c r="J122" s="25"/>
    </row>
    <row r="123" spans="1:14" s="2" customFormat="1" x14ac:dyDescent="0.35">
      <c r="A123" s="117" t="s">
        <v>187</v>
      </c>
      <c r="B123" s="117"/>
      <c r="C123" s="117"/>
      <c r="D123" s="117"/>
      <c r="E123" s="117"/>
      <c r="F123" s="117"/>
      <c r="G123" s="117"/>
      <c r="H123" s="117"/>
      <c r="I123" s="25"/>
      <c r="L123" s="118"/>
      <c r="M123" s="118"/>
    </row>
    <row r="124" spans="1:14" s="2" customFormat="1" ht="15.75" customHeight="1" x14ac:dyDescent="0.35">
      <c r="A124" s="97" t="s">
        <v>189</v>
      </c>
      <c r="B124" s="97"/>
      <c r="C124" s="104" t="s">
        <v>183</v>
      </c>
      <c r="D124" s="105"/>
      <c r="E124" s="105"/>
      <c r="F124" s="106"/>
      <c r="G124" s="98" t="str">
        <f>A123</f>
        <v>4th Podium Floor For Residential, Parking &amp; Amenities</v>
      </c>
      <c r="H124" s="99"/>
      <c r="I124" s="25"/>
      <c r="L124" s="31"/>
      <c r="M124" s="31"/>
      <c r="N124" s="25"/>
    </row>
    <row r="125" spans="1:14" s="2" customFormat="1" ht="15.75" customHeight="1" x14ac:dyDescent="0.35">
      <c r="A125" s="97" t="s">
        <v>190</v>
      </c>
      <c r="B125" s="97"/>
      <c r="C125" s="104" t="s">
        <v>183</v>
      </c>
      <c r="D125" s="105"/>
      <c r="E125" s="105"/>
      <c r="F125" s="106"/>
      <c r="G125" s="100"/>
      <c r="H125" s="101"/>
      <c r="I125" s="25"/>
      <c r="L125" s="31"/>
      <c r="M125" s="31"/>
      <c r="N125" s="25"/>
    </row>
    <row r="126" spans="1:14" s="2" customFormat="1" ht="15.75" customHeight="1" x14ac:dyDescent="0.35">
      <c r="A126" s="97" t="s">
        <v>191</v>
      </c>
      <c r="B126" s="97"/>
      <c r="C126" s="104" t="s">
        <v>184</v>
      </c>
      <c r="D126" s="105"/>
      <c r="E126" s="105">
        <v>0</v>
      </c>
      <c r="F126" s="106">
        <f>D126*(($F$117)+1)+(IF(E126&lt;101,E126,IF(E126&lt;201,E126/2,IF(E126&lt;=301,E126/3,E126/4))))</f>
        <v>0</v>
      </c>
      <c r="G126" s="100"/>
      <c r="H126" s="101"/>
      <c r="I126" s="25"/>
      <c r="L126" s="31"/>
      <c r="M126" s="31"/>
      <c r="N126" s="25"/>
    </row>
    <row r="127" spans="1:14" s="2" customFormat="1" ht="15.75" customHeight="1" x14ac:dyDescent="0.35">
      <c r="A127" s="97" t="s">
        <v>192</v>
      </c>
      <c r="B127" s="97"/>
      <c r="C127" s="48" t="s">
        <v>185</v>
      </c>
      <c r="D127" s="48">
        <f>(1.9*2.59+3.36*6.23+3.05*2.44+2.89*2.73+3.05*3.35+3.36*4.55+3.45*3.97+1.85*1.05+(1.38*2.14+1.38*1.06+2.85*1.53+2.29*1.38)+(3.36*1.07+1*2.44)+(0.6*(3.35+3.05+3.45)))*10.764</f>
        <v>1143.2648915999998</v>
      </c>
      <c r="E127" s="48">
        <v>0</v>
      </c>
      <c r="F127" s="48">
        <f>D127*(($F$117)+1)+(IF(E127&lt;101,E127,IF(E127&lt;201,E127/2,IF(E127&lt;=301,E127/3,E127/4))))</f>
        <v>1714.8973373999997</v>
      </c>
      <c r="G127" s="100"/>
      <c r="H127" s="101"/>
      <c r="I127" s="25">
        <f>101.51+65</f>
        <v>166.51</v>
      </c>
      <c r="K127" s="2">
        <f>I127*J127</f>
        <v>0</v>
      </c>
      <c r="L127" s="31">
        <f>1093+65</f>
        <v>1158</v>
      </c>
      <c r="M127" s="31"/>
      <c r="N127" s="25"/>
    </row>
    <row r="128" spans="1:14" s="2" customFormat="1" ht="15.75" customHeight="1" x14ac:dyDescent="0.35">
      <c r="A128" s="97" t="s">
        <v>193</v>
      </c>
      <c r="B128" s="97"/>
      <c r="C128" s="48" t="s">
        <v>185</v>
      </c>
      <c r="D128" s="67">
        <f>(1.9*2.59+3.36*6.23+3.05*2.44+2.89*2.73+3.05*3.35+3.36*4.55+3.45*3.97+1.85*1.05+(1.38*2.14+1.38*1.06+2.85*1.53+2.29*1.38)+(3.36*1.07+1*2.44)+(0.6*(3.35+3.05+3.45)))*10.764</f>
        <v>1143.2648915999998</v>
      </c>
      <c r="E128" s="48">
        <v>0</v>
      </c>
      <c r="F128" s="48">
        <f>D128*(($F$117)+1)+(IF(E128&lt;101,E128,IF(E128&lt;201,E128/2,IF(E128&lt;=301,E128/3,E128/4))))</f>
        <v>1714.8973373999997</v>
      </c>
      <c r="G128" s="102"/>
      <c r="H128" s="103"/>
      <c r="I128" s="25">
        <f>1143-1082</f>
        <v>61</v>
      </c>
      <c r="L128" s="31"/>
      <c r="M128" s="31"/>
      <c r="N128" s="25"/>
    </row>
    <row r="129" spans="1:14" s="35" customFormat="1" x14ac:dyDescent="0.35">
      <c r="A129" s="117" t="s">
        <v>186</v>
      </c>
      <c r="B129" s="117"/>
      <c r="C129" s="117"/>
      <c r="D129" s="117"/>
      <c r="E129" s="117"/>
      <c r="F129" s="117"/>
      <c r="G129" s="117"/>
      <c r="H129" s="117"/>
      <c r="I129" s="25"/>
      <c r="L129" s="118"/>
      <c r="M129" s="118"/>
    </row>
    <row r="130" spans="1:14" s="35" customFormat="1" ht="15.75" customHeight="1" x14ac:dyDescent="0.35">
      <c r="A130" s="97" t="s">
        <v>194</v>
      </c>
      <c r="B130" s="97"/>
      <c r="C130" s="104" t="s">
        <v>183</v>
      </c>
      <c r="D130" s="105"/>
      <c r="E130" s="105"/>
      <c r="F130" s="106"/>
      <c r="G130" s="98" t="str">
        <f>A129</f>
        <v>5th Podium Floor For Residential, Parking &amp; Amenities</v>
      </c>
      <c r="H130" s="99"/>
      <c r="I130" s="25"/>
      <c r="N130" s="25"/>
    </row>
    <row r="131" spans="1:14" s="35" customFormat="1" ht="15.75" customHeight="1" x14ac:dyDescent="0.35">
      <c r="A131" s="97" t="s">
        <v>195</v>
      </c>
      <c r="B131" s="97"/>
      <c r="C131" s="104" t="s">
        <v>183</v>
      </c>
      <c r="D131" s="105"/>
      <c r="E131" s="105"/>
      <c r="F131" s="106"/>
      <c r="G131" s="100"/>
      <c r="H131" s="101"/>
      <c r="I131" s="25"/>
      <c r="N131" s="25"/>
    </row>
    <row r="132" spans="1:14" s="35" customFormat="1" ht="15.75" customHeight="1" x14ac:dyDescent="0.35">
      <c r="A132" s="97" t="s">
        <v>196</v>
      </c>
      <c r="B132" s="97"/>
      <c r="C132" s="104" t="s">
        <v>183</v>
      </c>
      <c r="D132" s="105"/>
      <c r="E132" s="105"/>
      <c r="F132" s="106"/>
      <c r="G132" s="100"/>
      <c r="H132" s="101"/>
      <c r="I132" s="25"/>
      <c r="N132" s="25"/>
    </row>
    <row r="133" spans="1:14" s="35" customFormat="1" ht="15.75" customHeight="1" x14ac:dyDescent="0.35">
      <c r="A133" s="97" t="s">
        <v>197</v>
      </c>
      <c r="B133" s="97"/>
      <c r="C133" s="48" t="s">
        <v>185</v>
      </c>
      <c r="D133" s="67">
        <f>(1.9*2.59+3.36*6.23+3.05*2.44+2.89*2.73+3.05*3.35+3.36*4.55+3.45*3.97+1.85*1.05+(1.38*2.14+1.38*1.06+2.85*1.53+2.29*1.38)+(3.36*1.07+1*2.44)+(0.6*(3.35+3.05+3.45)))*10.764</f>
        <v>1143.2648915999998</v>
      </c>
      <c r="E133" s="48">
        <v>0</v>
      </c>
      <c r="F133" s="48">
        <f>D133*(($F$117)+1)+(IF(E133&lt;101,E133,IF(E133&lt;201,E133/2,IF(E133&lt;=301,E133/3,E133/4))))</f>
        <v>1714.8973373999997</v>
      </c>
      <c r="G133" s="100"/>
      <c r="H133" s="101"/>
      <c r="I133" s="25"/>
      <c r="N133" s="25"/>
    </row>
    <row r="134" spans="1:14" s="35" customFormat="1" ht="15.75" customHeight="1" x14ac:dyDescent="0.35">
      <c r="A134" s="97" t="s">
        <v>198</v>
      </c>
      <c r="B134" s="97"/>
      <c r="C134" s="48" t="s">
        <v>185</v>
      </c>
      <c r="D134" s="67">
        <f>(1.9*2.59+3.36*6.23+3.05*2.44+2.89*2.73+3.05*3.35+3.36*4.55+3.45*3.97+1.85*1.05+(1.38*2.14+1.38*1.06+2.85*1.53+2.29*1.38)+(3.36*1.07+1*2.44)+(0.6*(3.35+3.05+3.45)))*10.764</f>
        <v>1143.2648915999998</v>
      </c>
      <c r="E134" s="48">
        <v>0</v>
      </c>
      <c r="F134" s="48">
        <f>D134*(($F$117)+1)+(IF(E134&lt;101,E134,IF(E134&lt;201,E134/2,IF(E134&lt;=301,E134/3,E134/4))))</f>
        <v>1714.8973373999997</v>
      </c>
      <c r="G134" s="102"/>
      <c r="H134" s="103"/>
      <c r="I134" s="25"/>
      <c r="N134" s="25"/>
    </row>
    <row r="135" spans="1:14" s="35" customFormat="1" x14ac:dyDescent="0.35">
      <c r="A135" s="117" t="s">
        <v>188</v>
      </c>
      <c r="B135" s="117"/>
      <c r="C135" s="117"/>
      <c r="D135" s="117"/>
      <c r="E135" s="117"/>
      <c r="F135" s="117"/>
      <c r="G135" s="117"/>
      <c r="H135" s="117"/>
      <c r="I135" s="25"/>
      <c r="L135" s="118"/>
      <c r="M135" s="118"/>
    </row>
    <row r="136" spans="1:14" s="35" customFormat="1" ht="15.75" customHeight="1" x14ac:dyDescent="0.35">
      <c r="A136" s="97" t="s">
        <v>199</v>
      </c>
      <c r="B136" s="97"/>
      <c r="C136" s="104" t="s">
        <v>183</v>
      </c>
      <c r="D136" s="105"/>
      <c r="E136" s="105"/>
      <c r="F136" s="106"/>
      <c r="G136" s="98" t="str">
        <f>A135</f>
        <v xml:space="preserve">6th Podium Floor For Residential, Parking </v>
      </c>
      <c r="H136" s="99"/>
      <c r="I136" s="25"/>
      <c r="N136" s="25"/>
    </row>
    <row r="137" spans="1:14" s="35" customFormat="1" ht="15.75" customHeight="1" x14ac:dyDescent="0.35">
      <c r="A137" s="97" t="s">
        <v>200</v>
      </c>
      <c r="B137" s="97"/>
      <c r="C137" s="104" t="s">
        <v>183</v>
      </c>
      <c r="D137" s="105"/>
      <c r="E137" s="105"/>
      <c r="F137" s="106"/>
      <c r="G137" s="100"/>
      <c r="H137" s="101"/>
      <c r="I137" s="25"/>
      <c r="N137" s="25"/>
    </row>
    <row r="138" spans="1:14" s="35" customFormat="1" ht="15.75" customHeight="1" x14ac:dyDescent="0.35">
      <c r="A138" s="97" t="s">
        <v>201</v>
      </c>
      <c r="B138" s="97"/>
      <c r="C138" s="104" t="s">
        <v>183</v>
      </c>
      <c r="D138" s="105"/>
      <c r="E138" s="105"/>
      <c r="F138" s="106"/>
      <c r="G138" s="100"/>
      <c r="H138" s="101"/>
      <c r="I138" s="25"/>
      <c r="N138" s="25"/>
    </row>
    <row r="139" spans="1:14" s="35" customFormat="1" ht="15.75" customHeight="1" x14ac:dyDescent="0.35">
      <c r="A139" s="97" t="s">
        <v>202</v>
      </c>
      <c r="B139" s="97"/>
      <c r="C139" s="48" t="s">
        <v>185</v>
      </c>
      <c r="D139" s="67">
        <f>(1.9*2.59+3.36*6.23+3.05*2.44+2.89*2.73+3.05*3.35+3.36*4.55+3.45*3.97+1.85*1.05+(1.38*2.14+1.38*1.06+2.85*1.53+2.29*1.38)+(3.36*1.07+1*2.44)+(0.6*(3.35+3.05+3.45)))*10.764</f>
        <v>1143.2648915999998</v>
      </c>
      <c r="E139" s="48">
        <v>0</v>
      </c>
      <c r="F139" s="48">
        <f>D139*(($F$117)+1)+(IF(E139&lt;101,E139,IF(E139&lt;201,E139/2,IF(E139&lt;=301,E139/3,E139/4))))</f>
        <v>1714.8973373999997</v>
      </c>
      <c r="G139" s="100"/>
      <c r="H139" s="101"/>
      <c r="I139" s="25"/>
      <c r="N139" s="25"/>
    </row>
    <row r="140" spans="1:14" s="35" customFormat="1" ht="15.75" customHeight="1" x14ac:dyDescent="0.35">
      <c r="A140" s="97" t="s">
        <v>203</v>
      </c>
      <c r="B140" s="97"/>
      <c r="C140" s="48" t="s">
        <v>185</v>
      </c>
      <c r="D140" s="67">
        <f>(1.9*2.59+3.36*6.23+3.05*2.44+2.89*2.73+3.05*3.35+3.36*4.55+3.45*3.97+1.85*1.05+(1.38*2.14+1.38*1.06+2.85*1.53+2.29*1.38)+(3.36*1.07+1*2.44)+(0.6*(3.35+3.05+3.45)))*10.764</f>
        <v>1143.2648915999998</v>
      </c>
      <c r="E140" s="48">
        <v>0</v>
      </c>
      <c r="F140" s="48">
        <f>D140*(($F$117)+1)+(IF(E140&lt;101,E140,IF(E140&lt;201,E140/2,IF(E140&lt;=301,E140/3,E140/4))))</f>
        <v>1714.8973373999997</v>
      </c>
      <c r="G140" s="102"/>
      <c r="H140" s="103"/>
      <c r="I140" s="25"/>
      <c r="N140" s="25"/>
    </row>
    <row r="141" spans="1:14" s="35" customFormat="1" x14ac:dyDescent="0.35">
      <c r="A141" s="117" t="s">
        <v>237</v>
      </c>
      <c r="B141" s="117"/>
      <c r="C141" s="117"/>
      <c r="D141" s="117"/>
      <c r="E141" s="117"/>
      <c r="F141" s="117"/>
      <c r="G141" s="117"/>
      <c r="H141" s="117"/>
      <c r="I141" s="25"/>
      <c r="L141" s="118"/>
      <c r="M141" s="118"/>
    </row>
    <row r="142" spans="1:14" s="35" customFormat="1" ht="15.75" customHeight="1" x14ac:dyDescent="0.35">
      <c r="A142" s="97" t="s">
        <v>204</v>
      </c>
      <c r="B142" s="97"/>
      <c r="C142" s="104" t="s">
        <v>209</v>
      </c>
      <c r="D142" s="105"/>
      <c r="E142" s="105"/>
      <c r="F142" s="106"/>
      <c r="G142" s="98" t="str">
        <f>A141</f>
        <v>Stilt / Podium Top Floor For Residential, Amenities &amp; Refuge Area</v>
      </c>
      <c r="H142" s="99"/>
      <c r="I142" s="25"/>
      <c r="N142" s="25"/>
    </row>
    <row r="143" spans="1:14" s="35" customFormat="1" ht="15.75" customHeight="1" x14ac:dyDescent="0.35">
      <c r="A143" s="97" t="s">
        <v>205</v>
      </c>
      <c r="B143" s="97"/>
      <c r="C143" s="104" t="s">
        <v>209</v>
      </c>
      <c r="D143" s="105"/>
      <c r="E143" s="105"/>
      <c r="F143" s="106"/>
      <c r="G143" s="100"/>
      <c r="H143" s="101"/>
      <c r="I143" s="25"/>
      <c r="N143" s="25"/>
    </row>
    <row r="144" spans="1:14" s="35" customFormat="1" ht="15.75" customHeight="1" x14ac:dyDescent="0.35">
      <c r="A144" s="97" t="s">
        <v>206</v>
      </c>
      <c r="B144" s="97"/>
      <c r="C144" s="104" t="s">
        <v>209</v>
      </c>
      <c r="D144" s="105"/>
      <c r="E144" s="105"/>
      <c r="F144" s="106"/>
      <c r="G144" s="100"/>
      <c r="H144" s="101"/>
      <c r="I144" s="25"/>
      <c r="N144" s="25"/>
    </row>
    <row r="145" spans="1:14" s="35" customFormat="1" ht="15.75" customHeight="1" x14ac:dyDescent="0.35">
      <c r="A145" s="97" t="s">
        <v>207</v>
      </c>
      <c r="B145" s="97"/>
      <c r="C145" s="104" t="s">
        <v>210</v>
      </c>
      <c r="D145" s="105">
        <f>(1.9*2.59+3.36*6.23+3.05*2.44+2.89*1.68+3.05*3.35+3.36*4.55+3.45*3.97+3.13*1.05+1.85*1.05+(1.38*2.14+1.38*1.06+2.85*1.53+2.29*1.38)+(3.36*1.07+1*2.44))*10.764</f>
        <v>1082.3621796</v>
      </c>
      <c r="E145" s="105">
        <v>0</v>
      </c>
      <c r="F145" s="106">
        <f>D145*(($F$117)+1)+(IF(E145&lt;101,E145,IF(E145&lt;201,E145/2,IF(E145&lt;=301,E145/3,E145/4))))</f>
        <v>1623.5432694000001</v>
      </c>
      <c r="G145" s="100"/>
      <c r="H145" s="101"/>
      <c r="I145" s="25">
        <f>4*2+3+4+11*5+16*6+5*5+5*5+2*5+5+3+2*4+2*4+5+4+4+1</f>
        <v>264</v>
      </c>
      <c r="N145" s="25"/>
    </row>
    <row r="146" spans="1:14" s="35" customFormat="1" ht="15.75" customHeight="1" x14ac:dyDescent="0.35">
      <c r="A146" s="97" t="s">
        <v>208</v>
      </c>
      <c r="B146" s="97"/>
      <c r="C146" s="48" t="s">
        <v>185</v>
      </c>
      <c r="D146" s="67">
        <f>(1.9*2.59+3.36*6.23+3.05*2.44+2.89*2.73+3.05*3.35+3.36*4.55+3.45*3.97+1.85*1.05+(1.38*2.14+1.38*1.06+2.85*1.53+2.29*1.38)+(3.36*1.07+1*2.44)+(0.6*(3.35+3.05+3.45)))*10.764</f>
        <v>1143.2648915999998</v>
      </c>
      <c r="E146" s="48">
        <v>0</v>
      </c>
      <c r="F146" s="48">
        <f>D146*(($F$117)+1)+(IF(E146&lt;101,E146,IF(E146&lt;201,E146/2,IF(E146&lt;=301,E146/3,E146/4))))</f>
        <v>1714.8973373999997</v>
      </c>
      <c r="G146" s="100"/>
      <c r="H146" s="101"/>
      <c r="I146" s="25"/>
      <c r="N146" s="25"/>
    </row>
    <row r="147" spans="1:14" s="35" customFormat="1" ht="15.75" customHeight="1" x14ac:dyDescent="0.35">
      <c r="A147" s="97" t="s">
        <v>211</v>
      </c>
      <c r="B147" s="97"/>
      <c r="C147" s="48" t="s">
        <v>212</v>
      </c>
      <c r="D147" s="48">
        <f>(1.95*1.53+1.25*3.05+3*3.08+3.05*3.5+2.75*3.08+3.65*8.38+3.59*4.6+4.26*3.59+1*1.73+1*1.22+(1.53*2.29+1.38*2.44+2.44*1.53+2.44*1.53)+(3.9*1.53+2.75*1.53+1*1.53)+(0.6*(3+3.4+4.26+3.59+2.8)))*10.764</f>
        <v>1472.4850607999999</v>
      </c>
      <c r="E147" s="48">
        <v>0</v>
      </c>
      <c r="F147" s="48">
        <f>D147*(($F$117)+1)+(IF(E147&lt;101,E147,IF(E147&lt;201,E147/2,IF(E147&lt;=301,E147/3,E147/4))))</f>
        <v>2208.7275912</v>
      </c>
      <c r="G147" s="102"/>
      <c r="H147" s="103"/>
      <c r="I147" s="25"/>
      <c r="N147" s="25"/>
    </row>
    <row r="148" spans="1:14" s="35" customFormat="1" x14ac:dyDescent="0.35">
      <c r="A148" s="117" t="s">
        <v>216</v>
      </c>
      <c r="B148" s="117"/>
      <c r="C148" s="117"/>
      <c r="D148" s="117"/>
      <c r="E148" s="117"/>
      <c r="F148" s="117"/>
      <c r="G148" s="117"/>
      <c r="H148" s="117"/>
      <c r="I148" s="25"/>
      <c r="L148" s="118"/>
      <c r="M148" s="118"/>
    </row>
    <row r="149" spans="1:14" s="35" customFormat="1" ht="15.75" customHeight="1" x14ac:dyDescent="0.35">
      <c r="A149" s="97">
        <v>1</v>
      </c>
      <c r="B149" s="97"/>
      <c r="C149" s="97" t="s">
        <v>214</v>
      </c>
      <c r="D149" s="97"/>
      <c r="E149" s="97"/>
      <c r="F149" s="97"/>
      <c r="G149" s="97" t="str">
        <f>A148</f>
        <v>1st Floor For Residential &amp; Amenities</v>
      </c>
      <c r="H149" s="97"/>
      <c r="I149" s="25"/>
      <c r="N149" s="25"/>
    </row>
    <row r="150" spans="1:14" s="35" customFormat="1" ht="15.75" customHeight="1" x14ac:dyDescent="0.35">
      <c r="A150" s="97">
        <v>2</v>
      </c>
      <c r="B150" s="97"/>
      <c r="C150" s="97" t="s">
        <v>215</v>
      </c>
      <c r="D150" s="97"/>
      <c r="E150" s="97"/>
      <c r="F150" s="97"/>
      <c r="G150" s="97"/>
      <c r="H150" s="97"/>
      <c r="I150" s="25"/>
      <c r="N150" s="25"/>
    </row>
    <row r="151" spans="1:14" s="35" customFormat="1" ht="15.75" customHeight="1" x14ac:dyDescent="0.35">
      <c r="A151" s="97">
        <v>3</v>
      </c>
      <c r="B151" s="97"/>
      <c r="C151" s="97" t="s">
        <v>213</v>
      </c>
      <c r="D151" s="97"/>
      <c r="E151" s="97"/>
      <c r="F151" s="97"/>
      <c r="G151" s="97"/>
      <c r="H151" s="97"/>
      <c r="I151" s="25"/>
      <c r="N151" s="25"/>
    </row>
    <row r="152" spans="1:14" s="35" customFormat="1" ht="15.75" customHeight="1" x14ac:dyDescent="0.35">
      <c r="A152" s="97">
        <v>4</v>
      </c>
      <c r="B152" s="97"/>
      <c r="C152" s="88" t="s">
        <v>185</v>
      </c>
      <c r="D152" s="88">
        <f>(1.9*2.59+3.36*6.23+3.05*2.44+2.89*2.73+3.05*3.35+3.36*4.55+3.45*3.97+1.85*1.05+(1.38*2.14+1.38*1.06+2.85*1.53+2.29*1.38)+(3.36*1.07+1*2.44)+(0.6*(3.35+3.05+3.45)))*10.764</f>
        <v>1143.2648915999998</v>
      </c>
      <c r="E152" s="88">
        <v>0</v>
      </c>
      <c r="F152" s="88">
        <f>D152*(($F$117)+1)+(IF(E152&lt;101,E152,IF(E152&lt;201,E152/2,IF(E152&lt;=301,E152/3,E152/4))))</f>
        <v>1714.8973373999997</v>
      </c>
      <c r="G152" s="97"/>
      <c r="H152" s="97"/>
      <c r="I152" s="25"/>
      <c r="N152" s="25"/>
    </row>
    <row r="153" spans="1:14" s="35" customFormat="1" ht="15.75" customHeight="1" x14ac:dyDescent="0.35">
      <c r="A153" s="97">
        <v>5</v>
      </c>
      <c r="B153" s="97"/>
      <c r="C153" s="88" t="s">
        <v>185</v>
      </c>
      <c r="D153" s="88">
        <f>(1.9*2.59+3.36*6.23+3.05*2.44+2.89*2.73+3.05*3.35+3.36*4.55+3.45*3.97+1.85*1.05+(1.38*2.14+1.38*1.06+2.85*1.53+2.29*1.38)+(3.36*1.07+1*2.44)+(0.6*(3.35+3.05+3.45)))*10.764</f>
        <v>1143.2648915999998</v>
      </c>
      <c r="E153" s="88">
        <v>0</v>
      </c>
      <c r="F153" s="88">
        <f>D153*(($F$117)+1)+(IF(E153&lt;101,E153,IF(E153&lt;201,E153/2,IF(E153&lt;=301,E153/3,E153/4))))</f>
        <v>1714.8973373999997</v>
      </c>
      <c r="G153" s="97"/>
      <c r="H153" s="97"/>
      <c r="I153" s="25"/>
      <c r="N153" s="25"/>
    </row>
    <row r="154" spans="1:14" s="35" customFormat="1" ht="15.75" customHeight="1" x14ac:dyDescent="0.35">
      <c r="A154" s="97">
        <v>6</v>
      </c>
      <c r="B154" s="97"/>
      <c r="C154" s="88" t="s">
        <v>212</v>
      </c>
      <c r="D154" s="88">
        <f>(1.95*1.53+1.25*3.05+3*3.08+3.05*3.5+2.75*3.08+3.65*8.38+3.59*4.6+4.26*3.59+1*1.73+1*1.22+(1.53*2.29+1.38*2.44+2.44*1.53+2.44*1.53)+(3.9*1.53+2.75*1.53+1*1.53)+(0.6*(3+3.4+4.26+3.59+2.8)))*10.764</f>
        <v>1472.4850607999999</v>
      </c>
      <c r="E154" s="88">
        <v>0</v>
      </c>
      <c r="F154" s="88">
        <f>D154*(($F$117)+1)+(IF(E154&lt;101,E154,IF(E154&lt;201,E154/2,IF(E154&lt;=301,E154/3,E154/4))))</f>
        <v>2208.7275912</v>
      </c>
      <c r="G154" s="97"/>
      <c r="H154" s="97"/>
      <c r="I154" s="25"/>
      <c r="N154" s="25"/>
    </row>
    <row r="155" spans="1:14" s="35" customFormat="1" x14ac:dyDescent="0.35">
      <c r="A155" s="117" t="s">
        <v>218</v>
      </c>
      <c r="B155" s="117"/>
      <c r="C155" s="117"/>
      <c r="D155" s="117"/>
      <c r="E155" s="117"/>
      <c r="F155" s="117"/>
      <c r="G155" s="117"/>
      <c r="H155" s="117"/>
      <c r="I155" s="25"/>
      <c r="L155" s="118"/>
      <c r="M155" s="118"/>
    </row>
    <row r="156" spans="1:14" s="35" customFormat="1" ht="15.75" customHeight="1" x14ac:dyDescent="0.35">
      <c r="A156" s="97">
        <v>1</v>
      </c>
      <c r="B156" s="97"/>
      <c r="C156" s="48" t="s">
        <v>250</v>
      </c>
      <c r="D156" s="48">
        <f>(1.85*1.63+6.55*5.64+2.29*2.83+6.51*3.35+5.36*1.2+3.05*3.75+2.29*2.83+3.05*3.35+3.31*4.85+3.05*3.75+(2.44*1.53+1.38*2.14+2.29*1.46+1.38*2.13+2.44*1.53+2.29*1.46)+(4.14*1.05+1.8*1.05+3.84*1.05+2.29*1.08+2.29*1.08)+6.55*1.08+(0.6*(2.44+2.59+2.69+2.44)))*10.764</f>
        <v>1923.9207624000001</v>
      </c>
      <c r="E156" s="48">
        <v>0</v>
      </c>
      <c r="F156" s="48">
        <f>D156*(($F$117)+1)+(IF(E156&lt;101,E156,IF(E156&lt;201,E156/2,IF(E156&lt;=301,E156/3,E156/4))))</f>
        <v>2885.8811436000001</v>
      </c>
      <c r="G156" s="98" t="str">
        <f>A155</f>
        <v>2nd Floor For Residential</v>
      </c>
      <c r="H156" s="99"/>
      <c r="I156" s="25"/>
      <c r="N156" s="25"/>
    </row>
    <row r="157" spans="1:14" s="35" customFormat="1" ht="15.75" customHeight="1" x14ac:dyDescent="0.35">
      <c r="A157" s="97">
        <v>3</v>
      </c>
      <c r="B157" s="97"/>
      <c r="C157" s="104" t="s">
        <v>217</v>
      </c>
      <c r="D157" s="105"/>
      <c r="E157" s="105"/>
      <c r="F157" s="106"/>
      <c r="G157" s="100"/>
      <c r="H157" s="101"/>
      <c r="I157" s="25"/>
      <c r="N157" s="25"/>
    </row>
    <row r="158" spans="1:14" s="35" customFormat="1" x14ac:dyDescent="0.35">
      <c r="A158" s="97">
        <v>4</v>
      </c>
      <c r="B158" s="97"/>
      <c r="C158" s="48" t="s">
        <v>185</v>
      </c>
      <c r="D158" s="67">
        <f>(1.9*2.59+3.36*6.23+3.05*2.44+2.89*2.73+3.05*3.35+3.36*4.55+3.45*3.97+1.85*1.05+(1.38*2.14+1.38*1.06+2.85*1.53+2.29*1.38)+(3.36*1.07+1*2.44)+(0.6*(3.35+3.05+3.45)))*10.764</f>
        <v>1143.2648915999998</v>
      </c>
      <c r="E158" s="48">
        <v>0</v>
      </c>
      <c r="F158" s="48">
        <f>D158*(($F$117)+1)+(IF(E158&lt;101,E158,IF(E158&lt;201,E158/2,IF(E158&lt;=301,E158/3,E158/4))))</f>
        <v>1714.8973373999997</v>
      </c>
      <c r="G158" s="100"/>
      <c r="H158" s="101"/>
      <c r="I158" s="25"/>
      <c r="N158" s="25"/>
    </row>
    <row r="159" spans="1:14" s="35" customFormat="1" x14ac:dyDescent="0.35">
      <c r="A159" s="97">
        <v>5</v>
      </c>
      <c r="B159" s="97"/>
      <c r="C159" s="48" t="s">
        <v>185</v>
      </c>
      <c r="D159" s="67">
        <f>(1.9*2.59+3.36*6.23+3.05*2.44+2.89*2.73+3.05*3.35+3.36*4.55+3.45*3.97+1.85*1.05+(1.38*2.14+1.38*1.06+2.85*1.53+2.29*1.38)+(3.36*1.07+1*2.44)+(0.6*(3.35+3.05+3.45)))*10.764</f>
        <v>1143.2648915999998</v>
      </c>
      <c r="E159" s="48">
        <v>0</v>
      </c>
      <c r="F159" s="48">
        <f>D159*(($F$117)+1)+(IF(E159&lt;101,E159,IF(E159&lt;201,E159/2,IF(E159&lt;=301,E159/3,E159/4))))</f>
        <v>1714.8973373999997</v>
      </c>
      <c r="G159" s="100"/>
      <c r="H159" s="101"/>
      <c r="I159" s="25"/>
      <c r="N159" s="25"/>
    </row>
    <row r="160" spans="1:14" s="35" customFormat="1" x14ac:dyDescent="0.35">
      <c r="A160" s="97">
        <v>6</v>
      </c>
      <c r="B160" s="97"/>
      <c r="C160" s="48" t="s">
        <v>212</v>
      </c>
      <c r="D160" s="67">
        <f>(1.95*1.53+1.25*3.05+3*3.08+3.05*3.5+2.75*3.08+3.65*8.38+3.59*4.6+4.26*3.59+1*1.73+1*1.22+(1.53*2.29+1.38*2.44+2.44*1.53+2.44*1.53)+(3.9*1.53+2.75*1.53+1*1.53)+(0.6*(3+3.4+4.26+3.59+2.8)))*10.764</f>
        <v>1472.4850607999999</v>
      </c>
      <c r="E160" s="48">
        <v>0</v>
      </c>
      <c r="F160" s="48">
        <f>D160*(($F$117)+1)+(IF(E160&lt;101,E160,IF(E160&lt;201,E160/2,IF(E160&lt;=301,E160/3,E160/4))))</f>
        <v>2208.7275912</v>
      </c>
      <c r="G160" s="102"/>
      <c r="H160" s="103"/>
      <c r="I160" s="25"/>
      <c r="N160" s="25"/>
    </row>
    <row r="161" spans="1:16" s="81" customFormat="1" ht="15.75" customHeight="1" x14ac:dyDescent="0.35">
      <c r="A161" s="94" t="s">
        <v>299</v>
      </c>
      <c r="B161" s="95"/>
      <c r="C161" s="95"/>
      <c r="D161" s="95"/>
      <c r="E161" s="95"/>
      <c r="F161" s="95"/>
      <c r="G161" s="95"/>
      <c r="H161" s="96"/>
      <c r="I161" s="25"/>
      <c r="P161" s="26"/>
    </row>
    <row r="162" spans="1:16" s="81" customFormat="1" ht="15.75" customHeight="1" x14ac:dyDescent="0.35">
      <c r="A162" s="97">
        <v>1</v>
      </c>
      <c r="B162" s="97" t="s">
        <v>231</v>
      </c>
      <c r="C162" s="80" t="s">
        <v>185</v>
      </c>
      <c r="D162" s="80">
        <f>(1.38*1.78+3.2*5.64+2.29*2.83+3.05*3.35+3.31*4.55+3.05*3.75+4.14*1.05+1.82*1.05+(2.29*1.46+1.38*2.14+2.44*1.53)+(3.2*1.08+2.29*1.08)+(0.6*(3.05+3.31+1.8)))*10.764</f>
        <v>977.51759039999968</v>
      </c>
      <c r="E162" s="80">
        <v>0</v>
      </c>
      <c r="F162" s="80">
        <f t="shared" ref="F162:F167" si="0">D162*(($F$117)+1)+(IF(E162&lt;101,E162,IF(E162&lt;201,E162/2,IF(E162&lt;=301,E162/3,E162/4))))</f>
        <v>1466.2763855999995</v>
      </c>
      <c r="G162" s="163" t="str">
        <f>A161</f>
        <v>3rd Floor</v>
      </c>
      <c r="H162" s="164"/>
    </row>
    <row r="163" spans="1:16" s="81" customFormat="1" ht="15.75" customHeight="1" x14ac:dyDescent="0.35">
      <c r="A163" s="97">
        <v>2</v>
      </c>
      <c r="B163" s="97" t="s">
        <v>232</v>
      </c>
      <c r="C163" s="80" t="s">
        <v>185</v>
      </c>
      <c r="D163" s="80">
        <f>(1.38*1.78+3.2*5.64+2.29*2.83+3.05*3.35+3.31*4.55+3.05*3.75+4.14*1.05+1.82*1.05+(2.29*1.46+1.38*2.14+2.44*1.53)+(3.2*1.08+2.29*1.08)+(0.6*(3.05+3.31+1.8)))*10.764</f>
        <v>977.51759039999968</v>
      </c>
      <c r="E163" s="80">
        <v>0</v>
      </c>
      <c r="F163" s="80">
        <f t="shared" si="0"/>
        <v>1466.2763855999995</v>
      </c>
      <c r="G163" s="165"/>
      <c r="H163" s="166"/>
      <c r="I163" s="25"/>
    </row>
    <row r="164" spans="1:16" s="81" customFormat="1" ht="15.75" customHeight="1" x14ac:dyDescent="0.35">
      <c r="A164" s="97">
        <v>3</v>
      </c>
      <c r="B164" s="97" t="s">
        <v>226</v>
      </c>
      <c r="C164" s="80" t="s">
        <v>212</v>
      </c>
      <c r="D164" s="80">
        <f>(1.95*1.53+1.25*3.05+3*3.08+3.05*3.5+2.75*3.08+3.65*8.38+3.59*4.6+4.26*3.59+1*1.73+1*1.22+(1.53*2.29+1.38*2.44+2.44*1.53+2.44*1.53)+(3.9*1.53+2.75*1.53+1*1.53)+(0.6*(3+3.4+4.26+3.59+2.8)))*10.764</f>
        <v>1472.4850607999999</v>
      </c>
      <c r="E164" s="80">
        <v>0</v>
      </c>
      <c r="F164" s="80">
        <f t="shared" si="0"/>
        <v>2208.7275912</v>
      </c>
      <c r="G164" s="165"/>
      <c r="H164" s="166"/>
      <c r="I164" s="25"/>
    </row>
    <row r="165" spans="1:16" s="81" customFormat="1" ht="15.75" customHeight="1" x14ac:dyDescent="0.35">
      <c r="A165" s="97">
        <v>4</v>
      </c>
      <c r="B165" s="97" t="s">
        <v>227</v>
      </c>
      <c r="C165" s="80" t="s">
        <v>185</v>
      </c>
      <c r="D165" s="80">
        <f>(1.9*2.59+3.36*6.23+3.05*2.44+2.89*2.73+3.05*3.35+3.36*4.55+3.45*3.97+1.85*1.05+(1.38*2.14+1.38*1.06+2.85*1.53+2.29*1.38)+(3.36*1.07+1*2.44)+(0.6*(3.35+3.05+3.45)))*10.764</f>
        <v>1143.2648915999998</v>
      </c>
      <c r="E165" s="80">
        <v>0</v>
      </c>
      <c r="F165" s="80">
        <f t="shared" si="0"/>
        <v>1714.8973373999997</v>
      </c>
      <c r="G165" s="165"/>
      <c r="H165" s="166"/>
      <c r="I165" s="25">
        <f>30000000/F165</f>
        <v>17493.758574191837</v>
      </c>
    </row>
    <row r="166" spans="1:16" s="81" customFormat="1" ht="15.75" customHeight="1" x14ac:dyDescent="0.35">
      <c r="A166" s="97">
        <v>5</v>
      </c>
      <c r="B166" s="97" t="s">
        <v>228</v>
      </c>
      <c r="C166" s="80" t="s">
        <v>185</v>
      </c>
      <c r="D166" s="80">
        <f>(1.9*2.59+3.36*6.23+3.05*2.44+2.89*2.73+3.05*3.35+3.36*4.55+3.45*3.97+1.85*1.05+(1.38*2.14+1.38*1.06+2.85*1.53+2.29*1.38)+(3.36*1.07+1*2.44)+(0.6*(3.35+3.05+3.45)))*10.764</f>
        <v>1143.2648915999998</v>
      </c>
      <c r="E166" s="80">
        <v>0</v>
      </c>
      <c r="F166" s="80">
        <f t="shared" si="0"/>
        <v>1714.8973373999997</v>
      </c>
      <c r="G166" s="165"/>
      <c r="H166" s="166"/>
      <c r="I166" s="25">
        <f>22700000/F166</f>
        <v>13236.943987805158</v>
      </c>
    </row>
    <row r="167" spans="1:16" s="81" customFormat="1" ht="15.75" customHeight="1" x14ac:dyDescent="0.35">
      <c r="A167" s="97">
        <v>6</v>
      </c>
      <c r="B167" s="97" t="s">
        <v>229</v>
      </c>
      <c r="C167" s="80" t="s">
        <v>212</v>
      </c>
      <c r="D167" s="80">
        <f>(1.95*1.53+1.25*3.05+3*3.08+3.05*3.5+2.75*3.08+3.65*8.38+3.59*4.6+4.26*3.59+1*1.73+1*1.22+(1.53*2.29+1.38*2.44+2.44*1.53+2.44*1.53)+(3.9*1.53+2.75*1.53+1*1.53)+(0.6*(3+3.4+4.26+3.59+2.8)))*10.764</f>
        <v>1472.4850607999999</v>
      </c>
      <c r="E167" s="80">
        <v>0</v>
      </c>
      <c r="F167" s="80">
        <f t="shared" si="0"/>
        <v>2208.7275912</v>
      </c>
      <c r="G167" s="167"/>
      <c r="H167" s="168"/>
      <c r="I167" s="25"/>
    </row>
    <row r="168" spans="1:16" s="35" customFormat="1" ht="15.75" customHeight="1" x14ac:dyDescent="0.35">
      <c r="A168" s="94" t="s">
        <v>329</v>
      </c>
      <c r="B168" s="95"/>
      <c r="C168" s="95"/>
      <c r="D168" s="95"/>
      <c r="E168" s="95"/>
      <c r="F168" s="95"/>
      <c r="G168" s="95"/>
      <c r="H168" s="96"/>
      <c r="I168" s="25"/>
      <c r="P168" s="26"/>
    </row>
    <row r="169" spans="1:16" s="35" customFormat="1" ht="15.75" customHeight="1" x14ac:dyDescent="0.35">
      <c r="A169" s="97">
        <v>1</v>
      </c>
      <c r="B169" s="97" t="s">
        <v>231</v>
      </c>
      <c r="C169" s="48" t="s">
        <v>185</v>
      </c>
      <c r="D169" s="48">
        <f>(1.38*1.78+3.2*5.64+2.29*2.83+3.05*3.35+3.31*4.55+3.05*3.75+4.14*1.05+1.82*1.05+(2.29*1.46+1.38*2.14+2.44*1.53)+(3.2*1.08+2.29*1.08)+(0.6*(3.05+3.31+1.8)))*10.764</f>
        <v>977.51759039999968</v>
      </c>
      <c r="E169" s="48">
        <v>0</v>
      </c>
      <c r="F169" s="48">
        <f t="shared" ref="F169:F174" si="1">D169*(($F$117)+1)+(IF(E169&lt;101,E169,IF(E169&lt;201,E169/2,IF(E169&lt;=301,E169/3,E169/4))))</f>
        <v>1466.2763855999995</v>
      </c>
      <c r="G169" s="98" t="str">
        <f>A168</f>
        <v>4th, 7th, 11th, 12th, 14th, 18th, 22nd, 23rd, 24th, 26th, 28th, 30th, 35th, 37th, 46th &amp; 47th Floor</v>
      </c>
      <c r="H169" s="99"/>
    </row>
    <row r="170" spans="1:16" s="35" customFormat="1" ht="15.75" customHeight="1" x14ac:dyDescent="0.35">
      <c r="A170" s="97">
        <v>2</v>
      </c>
      <c r="B170" s="97" t="s">
        <v>232</v>
      </c>
      <c r="C170" s="48" t="s">
        <v>185</v>
      </c>
      <c r="D170" s="67">
        <f>(1.38*1.78+3.2*5.64+2.29*2.83+3.05*3.35+3.31*4.55+3.05*3.75+4.14*1.05+1.82*1.05+(2.29*1.46+1.38*2.14+2.44*1.53)+(3.2*1.08+2.29*1.08)+(0.6*(3.05+3.31+1.8)))*10.764</f>
        <v>977.51759039999968</v>
      </c>
      <c r="E170" s="48">
        <v>0</v>
      </c>
      <c r="F170" s="48">
        <f t="shared" si="1"/>
        <v>1466.2763855999995</v>
      </c>
      <c r="G170" s="100"/>
      <c r="H170" s="101"/>
      <c r="I170" s="25"/>
    </row>
    <row r="171" spans="1:16" s="35" customFormat="1" ht="15.75" customHeight="1" x14ac:dyDescent="0.35">
      <c r="A171" s="97">
        <v>3</v>
      </c>
      <c r="B171" s="97" t="s">
        <v>233</v>
      </c>
      <c r="C171" s="48" t="s">
        <v>212</v>
      </c>
      <c r="D171" s="67">
        <f>(1.95*1.53+1.25*3.05+3*3.08+3.05*3.5+2.75*3.08+3.65*8.38+3.59*4.6+4.26*3.59+1*1.73+1*1.22+(1.53*2.29+1.38*2.44+2.44*1.53+2.44*1.53)+(3.9*1.53+2.75*1.53+1*1.53)+(0.6*(3+3.4+4.26+3.59+2.8)))*10.764</f>
        <v>1472.4850607999999</v>
      </c>
      <c r="E171" s="48">
        <v>0</v>
      </c>
      <c r="F171" s="48">
        <f t="shared" si="1"/>
        <v>2208.7275912</v>
      </c>
      <c r="G171" s="100"/>
      <c r="H171" s="101"/>
      <c r="I171" s="25"/>
    </row>
    <row r="172" spans="1:16" s="35" customFormat="1" ht="15.75" customHeight="1" x14ac:dyDescent="0.35">
      <c r="A172" s="97">
        <v>4</v>
      </c>
      <c r="B172" s="97" t="s">
        <v>234</v>
      </c>
      <c r="C172" s="67" t="s">
        <v>185</v>
      </c>
      <c r="D172" s="67">
        <f>(1.9*2.59+3.36*6.23+3.05*2.44+2.89*2.73+3.05*3.35+3.36*4.55+3.45*3.97+1.85*1.05+(1.38*2.14+1.38*1.06+2.85*1.53+2.29*1.38)+(3.36*1.07+1*2.44)+(0.6*(3.35+3.05+3.45)))*10.764</f>
        <v>1143.2648915999998</v>
      </c>
      <c r="E172" s="67">
        <v>0</v>
      </c>
      <c r="F172" s="67">
        <f t="shared" si="1"/>
        <v>1714.8973373999997</v>
      </c>
      <c r="G172" s="100"/>
      <c r="H172" s="101"/>
      <c r="I172" s="25"/>
    </row>
    <row r="173" spans="1:16" s="35" customFormat="1" ht="15.75" customHeight="1" x14ac:dyDescent="0.35">
      <c r="A173" s="97">
        <v>5</v>
      </c>
      <c r="B173" s="97" t="s">
        <v>235</v>
      </c>
      <c r="C173" s="48" t="s">
        <v>185</v>
      </c>
      <c r="D173" s="67">
        <f>(1.9*2.59+3.36*6.23+3.05*2.44+2.89*2.73+3.05*3.35+3.36*4.55+3.45*3.97+1.85*1.05+(1.38*2.14+1.38*1.06+2.85*1.53+2.29*1.38)+(3.36*1.07+1*2.44)+(0.6*(3.35+3.05+3.45)))*10.764</f>
        <v>1143.2648915999998</v>
      </c>
      <c r="E173" s="48">
        <v>0</v>
      </c>
      <c r="F173" s="48">
        <f t="shared" si="1"/>
        <v>1714.8973373999997</v>
      </c>
      <c r="G173" s="100"/>
      <c r="H173" s="101"/>
      <c r="I173" s="25"/>
    </row>
    <row r="174" spans="1:16" s="35" customFormat="1" ht="15.75" customHeight="1" x14ac:dyDescent="0.35">
      <c r="A174" s="97">
        <v>6</v>
      </c>
      <c r="B174" s="97" t="s">
        <v>236</v>
      </c>
      <c r="C174" s="48" t="s">
        <v>212</v>
      </c>
      <c r="D174" s="67">
        <f>(1.95*1.53+1.25*3.05+3*3.08+3.05*3.5+2.75*3.08+3.65*8.38+3.59*4.6+4.26*3.59+1*1.73+1*1.22+(1.53*2.29+1.38*2.44+2.44*1.53+2.44*1.53)+(3.9*1.53+2.75*1.53+1*1.53)+(0.6*(3+3.4+4.26+3.59+2.8)))*10.764</f>
        <v>1472.4850607999999</v>
      </c>
      <c r="E174" s="48">
        <v>0</v>
      </c>
      <c r="F174" s="48">
        <f t="shared" si="1"/>
        <v>2208.7275912</v>
      </c>
      <c r="G174" s="102"/>
      <c r="H174" s="103"/>
      <c r="I174" s="25"/>
    </row>
    <row r="175" spans="1:16" s="81" customFormat="1" ht="15.75" customHeight="1" x14ac:dyDescent="0.35">
      <c r="A175" s="94" t="s">
        <v>300</v>
      </c>
      <c r="B175" s="95"/>
      <c r="C175" s="95"/>
      <c r="D175" s="95"/>
      <c r="E175" s="95"/>
      <c r="F175" s="95"/>
      <c r="G175" s="95"/>
      <c r="H175" s="96"/>
      <c r="I175" s="25"/>
      <c r="P175" s="26"/>
    </row>
    <row r="176" spans="1:16" s="81" customFormat="1" ht="15.75" customHeight="1" x14ac:dyDescent="0.35">
      <c r="A176" s="97">
        <v>1</v>
      </c>
      <c r="B176" s="97" t="s">
        <v>231</v>
      </c>
      <c r="C176" s="80" t="s">
        <v>185</v>
      </c>
      <c r="D176" s="80">
        <f>(1.38*1.78+3.2*5.64+2.29*2.83+3.05*3.35+3.31*4.55+3.05*3.75+4.14*1.05+1.82*1.05+(2.29*1.46+1.38*2.14+2.44*1.53)+(3.2*1.08+2.29*1.08)+(0.6*(3.05+3.31+1.8)))*10.764</f>
        <v>977.51759039999968</v>
      </c>
      <c r="E176" s="80">
        <v>0</v>
      </c>
      <c r="F176" s="80">
        <f>D176*(($F$117)+1)+(IF(E176&lt;101,E176,IF(E176&lt;201,E176/2,IF(E176&lt;=301,E176/3,E176/4))))</f>
        <v>1466.2763855999995</v>
      </c>
      <c r="G176" s="98" t="str">
        <f>A175</f>
        <v>5th &amp; 25th Floor (Part Refuge Area)</v>
      </c>
      <c r="H176" s="99"/>
    </row>
    <row r="177" spans="1:16" s="81" customFormat="1" ht="15.75" customHeight="1" x14ac:dyDescent="0.35">
      <c r="A177" s="97">
        <v>2</v>
      </c>
      <c r="B177" s="97" t="s">
        <v>232</v>
      </c>
      <c r="C177" s="80" t="s">
        <v>185</v>
      </c>
      <c r="D177" s="80">
        <f>(1.38*1.78+3.2*5.64+2.29*2.83+3.05*3.35+3.31*4.55+3.05*3.75+4.14*1.05+1.82*1.05+(2.29*1.46+1.38*2.14+2.44*1.53)+(3.2*1.08+2.29*1.08)+(0.6*(3.05+3.31+1.8)))*10.764</f>
        <v>977.51759039999968</v>
      </c>
      <c r="E177" s="80">
        <v>0</v>
      </c>
      <c r="F177" s="80">
        <f>D177*(($F$117)+1)+(IF(E177&lt;101,E177,IF(E177&lt;201,E177/2,IF(E177&lt;=301,E177/3,E177/4))))</f>
        <v>1466.2763855999995</v>
      </c>
      <c r="G177" s="100"/>
      <c r="H177" s="101"/>
      <c r="I177" s="25"/>
    </row>
    <row r="178" spans="1:16" s="81" customFormat="1" ht="15.75" customHeight="1" x14ac:dyDescent="0.35">
      <c r="A178" s="97">
        <v>3</v>
      </c>
      <c r="B178" s="97" t="s">
        <v>233</v>
      </c>
      <c r="C178" s="80" t="s">
        <v>212</v>
      </c>
      <c r="D178" s="80">
        <f>(1.95*1.53+1.25*3.05+3*3.08+3.05*3.5+2.75*3.08+3.65*8.38+3.59*4.6+4.26*3.59+1*1.73+1*1.22+(1.53*2.29+1.38*2.44+2.44*1.53+2.44*1.53)+(3.9*1.53+2.75*1.53+1*1.53)+(0.6*(3+3.4+4.26+3.59+2.8)))*10.764</f>
        <v>1472.4850607999999</v>
      </c>
      <c r="E178" s="80">
        <v>0</v>
      </c>
      <c r="F178" s="80">
        <f>D178*(($F$117)+1)+(IF(E178&lt;101,E178,IF(E178&lt;201,E178/2,IF(E178&lt;=301,E178/3,E178/4))))</f>
        <v>2208.7275912</v>
      </c>
      <c r="G178" s="100"/>
      <c r="H178" s="101"/>
      <c r="I178" s="25"/>
    </row>
    <row r="179" spans="1:16" s="81" customFormat="1" ht="15.75" customHeight="1" x14ac:dyDescent="0.35">
      <c r="A179" s="97">
        <v>4</v>
      </c>
      <c r="B179" s="97" t="s">
        <v>234</v>
      </c>
      <c r="C179" s="104" t="s">
        <v>210</v>
      </c>
      <c r="D179" s="105"/>
      <c r="E179" s="105"/>
      <c r="F179" s="106"/>
      <c r="G179" s="100"/>
      <c r="H179" s="101"/>
      <c r="I179" s="25"/>
    </row>
    <row r="180" spans="1:16" s="81" customFormat="1" ht="15.75" customHeight="1" x14ac:dyDescent="0.35">
      <c r="A180" s="97">
        <v>5</v>
      </c>
      <c r="B180" s="97" t="s">
        <v>235</v>
      </c>
      <c r="C180" s="80" t="s">
        <v>185</v>
      </c>
      <c r="D180" s="80">
        <f>(1.9*2.59+3.36*6.23+3.05*2.44+2.89*2.73+3.05*3.35+3.36*4.55+3.45*3.97+1.85*1.05+(1.38*2.14+1.38*1.06+2.85*1.53+2.29*1.38)+(3.36*1.07+1*2.44)+(0.6*(3.35+3.05+3.45)))*10.764</f>
        <v>1143.2648915999998</v>
      </c>
      <c r="E180" s="80">
        <v>0</v>
      </c>
      <c r="F180" s="80">
        <f>D180*(($F$117)+1)+(IF(E180&lt;101,E180,IF(E180&lt;201,E180/2,IF(E180&lt;=301,E180/3,E180/4))))</f>
        <v>1714.8973373999997</v>
      </c>
      <c r="G180" s="100"/>
      <c r="H180" s="101"/>
      <c r="I180" s="25"/>
    </row>
    <row r="181" spans="1:16" s="81" customFormat="1" ht="15.75" customHeight="1" x14ac:dyDescent="0.35">
      <c r="A181" s="97">
        <v>6</v>
      </c>
      <c r="B181" s="97" t="s">
        <v>236</v>
      </c>
      <c r="C181" s="80" t="s">
        <v>212</v>
      </c>
      <c r="D181" s="80">
        <f>(1.95*1.53+1.25*3.05+3*3.08+3.05*3.5+2.75*3.08+3.65*8.38+3.59*4.6+4.26*3.59+1*1.73+1*1.22+(1.53*2.29+1.38*2.44+2.44*1.53+2.44*1.53)+(3.9*1.53+2.75*1.53+1*1.53)+(0.6*(3+3.4+4.26+3.59+2.8)))*10.764</f>
        <v>1472.4850607999999</v>
      </c>
      <c r="E181" s="80">
        <v>0</v>
      </c>
      <c r="F181" s="80">
        <f>D181*(($F$117)+1)+(IF(E181&lt;101,E181,IF(E181&lt;201,E181/2,IF(E181&lt;=301,E181/3,E181/4))))</f>
        <v>2208.7275912</v>
      </c>
      <c r="G181" s="102"/>
      <c r="H181" s="103"/>
      <c r="I181" s="25"/>
    </row>
    <row r="182" spans="1:16" s="81" customFormat="1" ht="15.75" customHeight="1" x14ac:dyDescent="0.35">
      <c r="A182" s="94" t="s">
        <v>304</v>
      </c>
      <c r="B182" s="95"/>
      <c r="C182" s="95"/>
      <c r="D182" s="95"/>
      <c r="E182" s="95"/>
      <c r="F182" s="95"/>
      <c r="G182" s="95"/>
      <c r="H182" s="96"/>
      <c r="I182" s="25"/>
      <c r="P182" s="26"/>
    </row>
    <row r="183" spans="1:16" s="81" customFormat="1" ht="15.75" customHeight="1" x14ac:dyDescent="0.35">
      <c r="A183" s="97">
        <v>1</v>
      </c>
      <c r="B183" s="97" t="s">
        <v>231</v>
      </c>
      <c r="C183" s="80" t="s">
        <v>185</v>
      </c>
      <c r="D183" s="80">
        <f>(1.38*1.78+3.2*5.64+2.29*2.83+3.05*3.35+3.31*4.55+3.05*3.75+4.14*1.05+1.82*1.05+(2.29*1.46+1.38*2.14+2.44*1.53)+(3.2*1.08+2.29*1.08)+(0.6*(3.05+3.31+1.8)))*10.764</f>
        <v>977.51759039999968</v>
      </c>
      <c r="E183" s="80">
        <v>0</v>
      </c>
      <c r="F183" s="80">
        <f t="shared" ref="F183:F188" si="2">D183*(($F$117)+1)+(IF(E183&lt;101,E183,IF(E183&lt;201,E183/2,IF(E183&lt;=301,E183/3,E183/4))))</f>
        <v>1466.2763855999995</v>
      </c>
      <c r="G183" s="98" t="str">
        <f>A182</f>
        <v>9th &amp; 13th Floor</v>
      </c>
      <c r="H183" s="99"/>
    </row>
    <row r="184" spans="1:16" s="81" customFormat="1" ht="15.75" customHeight="1" x14ac:dyDescent="0.35">
      <c r="A184" s="97">
        <v>2</v>
      </c>
      <c r="B184" s="97" t="s">
        <v>232</v>
      </c>
      <c r="C184" s="80" t="s">
        <v>302</v>
      </c>
      <c r="D184" s="80">
        <f>(1.35*1.78+3.2*5.64+2.29*2.83+6.65*3.35+5.35*1.2+3.05*3.75+1.05*2.29+1.05*0.9+(2.29*1.46+1.38*2.14+2.44*1.53)+(3.2*1.08+2.29*1.08)+(0.6*(3.05+3.31+1.8)))*10.764</f>
        <v>982.44319679999967</v>
      </c>
      <c r="E184" s="80">
        <v>0</v>
      </c>
      <c r="F184" s="80">
        <f t="shared" si="2"/>
        <v>1473.6647951999994</v>
      </c>
      <c r="G184" s="100"/>
      <c r="H184" s="101"/>
      <c r="I184" s="25"/>
    </row>
    <row r="185" spans="1:16" s="81" customFormat="1" ht="15.75" customHeight="1" x14ac:dyDescent="0.35">
      <c r="A185" s="97">
        <v>3</v>
      </c>
      <c r="B185" s="97" t="s">
        <v>233</v>
      </c>
      <c r="C185" s="80" t="s">
        <v>212</v>
      </c>
      <c r="D185" s="80">
        <f>(1.95*1.53+1.25*3.05+3*3.08+3.05*3.5+2.75*3.08+3.65*8.38+3.59*4.6+4.26*3.59+1*1.73+1*1.22+(1.53*2.29+1.38*2.44+2.44*1.53+2.44*1.53)+(3.9*1.53+2.75*1.53+1*1.53)+(0.6*(3+3.4+4.26+3.59+2.8)))*10.764</f>
        <v>1472.4850607999999</v>
      </c>
      <c r="E185" s="80">
        <v>0</v>
      </c>
      <c r="F185" s="80">
        <f t="shared" si="2"/>
        <v>2208.7275912</v>
      </c>
      <c r="G185" s="100"/>
      <c r="H185" s="101"/>
      <c r="I185" s="25"/>
    </row>
    <row r="186" spans="1:16" s="81" customFormat="1" ht="15.75" customHeight="1" x14ac:dyDescent="0.35">
      <c r="A186" s="97">
        <v>4</v>
      </c>
      <c r="B186" s="97" t="s">
        <v>234</v>
      </c>
      <c r="C186" s="80" t="s">
        <v>185</v>
      </c>
      <c r="D186" s="80">
        <f>(1.9*2.59+3.36*6.23+3.05*2.44+2.89*2.73+3.05*3.35+3.36*4.55+3.45*3.97+1.85*1.05+(1.38*2.14+1.38*1.06+2.85*1.53+2.29*1.38)+(3.36*1.07+1*2.44)+(0.6*(3.35+3.05+3.45)))*10.764</f>
        <v>1143.2648915999998</v>
      </c>
      <c r="E186" s="80">
        <v>0</v>
      </c>
      <c r="F186" s="80">
        <f t="shared" si="2"/>
        <v>1714.8973373999997</v>
      </c>
      <c r="G186" s="100"/>
      <c r="H186" s="101"/>
      <c r="I186" s="25"/>
    </row>
    <row r="187" spans="1:16" s="81" customFormat="1" ht="15.75" customHeight="1" x14ac:dyDescent="0.35">
      <c r="A187" s="97">
        <v>5</v>
      </c>
      <c r="B187" s="97" t="s">
        <v>235</v>
      </c>
      <c r="C187" s="80" t="s">
        <v>185</v>
      </c>
      <c r="D187" s="80">
        <f>(1.9*2.59+3.36*6.23+3.05*2.44+2.89*2.73+3.05*3.35+3.36*4.55+3.45*3.97+1.85*1.05+(1.38*2.14+1.38*1.06+2.85*1.53+2.29*1.38)+(3.36*1.07+1*2.44)+(0.6*(3.35+3.05+3.45)))*10.764</f>
        <v>1143.2648915999998</v>
      </c>
      <c r="E187" s="80">
        <v>0</v>
      </c>
      <c r="F187" s="80">
        <f t="shared" si="2"/>
        <v>1714.8973373999997</v>
      </c>
      <c r="G187" s="100"/>
      <c r="H187" s="101"/>
      <c r="I187" s="25"/>
    </row>
    <row r="188" spans="1:16" s="81" customFormat="1" ht="15.75" customHeight="1" x14ac:dyDescent="0.35">
      <c r="A188" s="97">
        <v>6</v>
      </c>
      <c r="B188" s="97" t="s">
        <v>236</v>
      </c>
      <c r="C188" s="80" t="s">
        <v>212</v>
      </c>
      <c r="D188" s="80">
        <f>(1.95*1.53+1.25*3.05+3*3.08+3.05*3.5+2.75*3.08+3.65*8.38+3.59*4.6+4.26*3.59+1*1.73+1*1.22+(1.53*2.29+1.38*2.44+2.44*1.53+2.44*1.53)+(3.9*1.53+2.75*1.53+1*1.53)+(0.6*(3+3.4+4.26+3.59+2.8)))*10.764</f>
        <v>1472.4850607999999</v>
      </c>
      <c r="E188" s="80">
        <v>0</v>
      </c>
      <c r="F188" s="80">
        <f t="shared" si="2"/>
        <v>2208.7275912</v>
      </c>
      <c r="G188" s="102"/>
      <c r="H188" s="103"/>
      <c r="I188" s="25"/>
    </row>
    <row r="189" spans="1:16" s="81" customFormat="1" ht="15.75" customHeight="1" x14ac:dyDescent="0.35">
      <c r="A189" s="117" t="s">
        <v>301</v>
      </c>
      <c r="B189" s="117"/>
      <c r="C189" s="117"/>
      <c r="D189" s="117"/>
      <c r="E189" s="117"/>
      <c r="F189" s="117"/>
      <c r="G189" s="117"/>
      <c r="H189" s="117"/>
      <c r="I189" s="25"/>
      <c r="P189" s="26"/>
    </row>
    <row r="190" spans="1:16" s="81" customFormat="1" ht="15.75" customHeight="1" x14ac:dyDescent="0.35">
      <c r="A190" s="97">
        <v>1</v>
      </c>
      <c r="B190" s="97" t="s">
        <v>231</v>
      </c>
      <c r="C190" s="88" t="s">
        <v>185</v>
      </c>
      <c r="D190" s="88">
        <f>(1.38*1.78+3.2*5.64+2.29*2.83+3.05*3.35+3.31*4.55+3.05*3.75+4.14*1.05+1.82*1.05+(2.29*1.46+1.38*2.14+2.44*1.53)+(3.2*1.08+2.29*1.08)+(0.6*(3.05+3.31+1.8)))*10.764</f>
        <v>977.51759039999968</v>
      </c>
      <c r="E190" s="88">
        <v>0</v>
      </c>
      <c r="F190" s="88">
        <f t="shared" ref="F190:F195" si="3">D190*(($F$117)+1)+(IF(E190&lt;101,E190,IF(E190&lt;201,E190/2,IF(E190&lt;=301,E190/3,E190/4))))</f>
        <v>1466.2763855999995</v>
      </c>
      <c r="G190" s="97" t="str">
        <f>A189</f>
        <v>6th, 8th, 27th, 31st &amp; 38th Floor</v>
      </c>
      <c r="H190" s="97"/>
    </row>
    <row r="191" spans="1:16" s="81" customFormat="1" ht="15.75" customHeight="1" x14ac:dyDescent="0.35">
      <c r="A191" s="97">
        <v>2</v>
      </c>
      <c r="B191" s="97" t="s">
        <v>232</v>
      </c>
      <c r="C191" s="88" t="s">
        <v>302</v>
      </c>
      <c r="D191" s="88">
        <f>(1.35*1.78+3.2*5.64+2.29*2.83+6.65*3.35+5.35*1.2+3.05*3.75+1.05*2.29+1.05*0.9+(2.29*1.46+1.38*2.14+2.44*1.53)+(3.2*1.08+2.29*1.08)+(0.6*(3.05+3.31+1.8)))*10.764</f>
        <v>982.44319679999967</v>
      </c>
      <c r="E191" s="88">
        <v>0</v>
      </c>
      <c r="F191" s="88">
        <f t="shared" si="3"/>
        <v>1473.6647951999994</v>
      </c>
      <c r="G191" s="97"/>
      <c r="H191" s="97"/>
      <c r="I191" s="25"/>
    </row>
    <row r="192" spans="1:16" s="81" customFormat="1" ht="15.75" customHeight="1" x14ac:dyDescent="0.35">
      <c r="A192" s="97">
        <v>3</v>
      </c>
      <c r="B192" s="97" t="s">
        <v>233</v>
      </c>
      <c r="C192" s="88" t="s">
        <v>212</v>
      </c>
      <c r="D192" s="88">
        <f>(1.95*1.53+1.25*3.05+3*3.08+3.05*3.5+2.75*3.08+3.65*8.38+3.59*4.6+4.26*3.59+1*1.73+1*1.22+(1.53*2.29+1.38*2.44+2.44*1.53+2.44*1.53)+(3.9*1.53+2.75*1.53+1*1.53)+(0.6*(3+3.4+4.26+3.59+2.8)))*10.764</f>
        <v>1472.4850607999999</v>
      </c>
      <c r="E192" s="88">
        <v>0</v>
      </c>
      <c r="F192" s="88">
        <f t="shared" si="3"/>
        <v>2208.7275912</v>
      </c>
      <c r="G192" s="97"/>
      <c r="H192" s="97"/>
      <c r="I192" s="25"/>
    </row>
    <row r="193" spans="1:16" s="81" customFormat="1" ht="15.75" customHeight="1" x14ac:dyDescent="0.35">
      <c r="A193" s="97">
        <v>4</v>
      </c>
      <c r="B193" s="97" t="s">
        <v>234</v>
      </c>
      <c r="C193" s="88" t="s">
        <v>185</v>
      </c>
      <c r="D193" s="88">
        <f>(1.9*2.59+3.36*6.23+3.05*2.44+2.89*2.73+3.05*3.35+3.36*4.55+3.45*3.97+1.85*1.05+(1.38*2.14+1.38*1.06+2.85*1.53+2.29*1.38)+(3.36*1.07+1*2.44)+(0.6*(3.35+3.05+3.45)))*10.764</f>
        <v>1143.2648915999998</v>
      </c>
      <c r="E193" s="88">
        <v>0</v>
      </c>
      <c r="F193" s="88">
        <f t="shared" si="3"/>
        <v>1714.8973373999997</v>
      </c>
      <c r="G193" s="97"/>
      <c r="H193" s="97"/>
      <c r="I193" s="25"/>
    </row>
    <row r="194" spans="1:16" s="81" customFormat="1" ht="15.75" customHeight="1" x14ac:dyDescent="0.35">
      <c r="A194" s="97">
        <v>5</v>
      </c>
      <c r="B194" s="97" t="s">
        <v>235</v>
      </c>
      <c r="C194" s="88" t="s">
        <v>185</v>
      </c>
      <c r="D194" s="88">
        <f>(1.9*2.59+3.36*6.23+3.05*2.44+2.89*2.73+3.05*3.35+3.36*4.55+3.45*3.97+1.85*1.05+(1.38*2.14+1.38*1.06+2.85*1.53+2.29*1.38)+(3.36*1.07+1*2.44)+(0.6*(3.35+3.05+3.45)))*10.764</f>
        <v>1143.2648915999998</v>
      </c>
      <c r="E194" s="88">
        <v>0</v>
      </c>
      <c r="F194" s="88">
        <f t="shared" si="3"/>
        <v>1714.8973373999997</v>
      </c>
      <c r="G194" s="97"/>
      <c r="H194" s="97"/>
      <c r="I194" s="25"/>
    </row>
    <row r="195" spans="1:16" s="81" customFormat="1" ht="15.75" customHeight="1" x14ac:dyDescent="0.35">
      <c r="A195" s="97">
        <v>6</v>
      </c>
      <c r="B195" s="97" t="s">
        <v>236</v>
      </c>
      <c r="C195" s="88" t="s">
        <v>212</v>
      </c>
      <c r="D195" s="88">
        <f>(1.95*1.53+1.25*3.05+3*3.08+3.05*3.5+2.75*3.08+3.65*8.38+3.59*4.6+4.26*3.59+1*1.73+1*1.22+(1.53*2.29+1.38*2.44+2.44*1.53+2.44*1.53)+(3.9*1.53+2.75*1.53+1*1.53)+(0.6*(3+3.4+4.26+3.59+2.8)))*10.764</f>
        <v>1472.4850607999999</v>
      </c>
      <c r="E195" s="88">
        <v>0</v>
      </c>
      <c r="F195" s="88">
        <f t="shared" si="3"/>
        <v>2208.7275912</v>
      </c>
      <c r="G195" s="97"/>
      <c r="H195" s="97"/>
      <c r="I195" s="25"/>
    </row>
    <row r="196" spans="1:16" s="68" customFormat="1" ht="15.75" customHeight="1" x14ac:dyDescent="0.35">
      <c r="A196" s="117" t="s">
        <v>303</v>
      </c>
      <c r="B196" s="117"/>
      <c r="C196" s="117"/>
      <c r="D196" s="117"/>
      <c r="E196" s="117"/>
      <c r="F196" s="117"/>
      <c r="G196" s="117"/>
      <c r="H196" s="117"/>
      <c r="I196" s="25"/>
      <c r="P196" s="26"/>
    </row>
    <row r="197" spans="1:16" s="68" customFormat="1" ht="15.75" customHeight="1" x14ac:dyDescent="0.35">
      <c r="A197" s="97">
        <v>1</v>
      </c>
      <c r="B197" s="97" t="s">
        <v>231</v>
      </c>
      <c r="C197" s="88" t="s">
        <v>185</v>
      </c>
      <c r="D197" s="88">
        <f>(1.38*1.78+3.2*5.64+2.29*2.83+3.05*3.35+3.31*4.55+3.05*3.75+4.14*1.05+1.82*1.05+(2.29*1.46+1.38*2.14+2.44*1.53)+(3.2*1.08+2.29*1.08)+(0.6*(3.05+3.31+1.8)))*10.764</f>
        <v>977.51759039999968</v>
      </c>
      <c r="E197" s="88">
        <v>0</v>
      </c>
      <c r="F197" s="88">
        <f t="shared" ref="F197:F202" si="4">D197*(($F$117)+1)+(IF(E197&lt;101,E197,IF(E197&lt;201,E197/2,IF(E197&lt;=301,E197/3,E197/4))))</f>
        <v>1466.2763855999995</v>
      </c>
      <c r="G197" s="97" t="str">
        <f>A196</f>
        <v xml:space="preserve"> 10th, 15th &amp; 20th Floor (Part Refuge Area)</v>
      </c>
      <c r="H197" s="97"/>
    </row>
    <row r="198" spans="1:16" s="68" customFormat="1" ht="15.75" customHeight="1" x14ac:dyDescent="0.35">
      <c r="A198" s="97">
        <v>2</v>
      </c>
      <c r="B198" s="97" t="s">
        <v>232</v>
      </c>
      <c r="C198" s="88" t="s">
        <v>185</v>
      </c>
      <c r="D198" s="88">
        <f>(1.38*1.78+3.2*5.64+2.29*2.83+3.05*3.35+3.31*4.55+3.05*3.75+4.14*1.05+1.82*1.05+(2.29*1.46+1.38*2.14+2.44*1.53)+(3.2*1.08+2.29*1.08)+(0.6*(3.05+3.31+1.8)))*10.764</f>
        <v>977.51759039999968</v>
      </c>
      <c r="E198" s="88">
        <v>0</v>
      </c>
      <c r="F198" s="88">
        <f t="shared" si="4"/>
        <v>1466.2763855999995</v>
      </c>
      <c r="G198" s="97"/>
      <c r="H198" s="97"/>
      <c r="I198" s="25"/>
    </row>
    <row r="199" spans="1:16" s="68" customFormat="1" ht="15.75" customHeight="1" x14ac:dyDescent="0.35">
      <c r="A199" s="97">
        <v>3</v>
      </c>
      <c r="B199" s="97" t="s">
        <v>233</v>
      </c>
      <c r="C199" s="88" t="s">
        <v>212</v>
      </c>
      <c r="D199" s="88">
        <f>(1.95*1.53+1.25*3.05+3*3.08+3.05*3.5+2.75*3.08+3.65*8.38+3.59*4.6+4.26*3.59+1*1.73+1*1.22+(1.53*2.29+1.38*2.44+2.44*1.53+2.44*1.53)+(3.9*1.53+2.75*1.53+1*1.53)+(0.6*(3+3.4+4.26+3.59+2.8)))*10.764</f>
        <v>1472.4850607999999</v>
      </c>
      <c r="E199" s="88">
        <v>0</v>
      </c>
      <c r="F199" s="88">
        <f t="shared" si="4"/>
        <v>2208.7275912</v>
      </c>
      <c r="G199" s="97"/>
      <c r="H199" s="97"/>
      <c r="I199" s="25"/>
    </row>
    <row r="200" spans="1:16" s="68" customFormat="1" ht="15.75" customHeight="1" x14ac:dyDescent="0.35">
      <c r="A200" s="97">
        <v>4</v>
      </c>
      <c r="B200" s="97" t="s">
        <v>234</v>
      </c>
      <c r="C200" s="97" t="s">
        <v>210</v>
      </c>
      <c r="D200" s="97"/>
      <c r="E200" s="97"/>
      <c r="F200" s="97"/>
      <c r="G200" s="97"/>
      <c r="H200" s="97"/>
      <c r="I200" s="25"/>
    </row>
    <row r="201" spans="1:16" s="68" customFormat="1" ht="15.75" customHeight="1" x14ac:dyDescent="0.35">
      <c r="A201" s="97">
        <v>5</v>
      </c>
      <c r="B201" s="97" t="s">
        <v>235</v>
      </c>
      <c r="C201" s="88" t="s">
        <v>185</v>
      </c>
      <c r="D201" s="88">
        <f>(1.9*2.59+3.36*6.23+3.05*2.44+2.89*2.73+3.05*3.35+3.36*4.55+3.45*3.97+1.85*1.05+(1.38*2.14+1.38*1.06+2.85*1.53+2.29*1.38)+(3.36*1.07+1*2.44)+(0.6*(3.35+3.05+3.45)))*10.764</f>
        <v>1143.2648915999998</v>
      </c>
      <c r="E201" s="88">
        <v>0</v>
      </c>
      <c r="F201" s="88">
        <f t="shared" si="4"/>
        <v>1714.8973373999997</v>
      </c>
      <c r="G201" s="97"/>
      <c r="H201" s="97"/>
      <c r="I201" s="25"/>
    </row>
    <row r="202" spans="1:16" s="68" customFormat="1" ht="15.75" customHeight="1" x14ac:dyDescent="0.35">
      <c r="A202" s="97">
        <v>6</v>
      </c>
      <c r="B202" s="97" t="s">
        <v>236</v>
      </c>
      <c r="C202" s="88" t="s">
        <v>212</v>
      </c>
      <c r="D202" s="88">
        <f>(1.95*1.53+1.25*3.05+3*3.08+3.05*3.5+2.75*3.08+3.65*8.38+3.59*4.6+4.26*3.59+1*1.73+1*1.22+(1.53*2.29+1.38*2.44+2.44*1.53+2.44*1.53)+(3.9*1.53+2.75*1.53+1*1.53)+(0.6*(3+3.4+4.26+3.59+2.8)))*10.764</f>
        <v>1472.4850607999999</v>
      </c>
      <c r="E202" s="88">
        <v>0</v>
      </c>
      <c r="F202" s="88">
        <f t="shared" si="4"/>
        <v>2208.7275912</v>
      </c>
      <c r="G202" s="97"/>
      <c r="H202" s="97"/>
      <c r="I202" s="25"/>
    </row>
    <row r="203" spans="1:16" s="81" customFormat="1" ht="15.75" customHeight="1" x14ac:dyDescent="0.35">
      <c r="A203" s="94" t="s">
        <v>305</v>
      </c>
      <c r="B203" s="95"/>
      <c r="C203" s="95"/>
      <c r="D203" s="95"/>
      <c r="E203" s="95"/>
      <c r="F203" s="95"/>
      <c r="G203" s="95"/>
      <c r="H203" s="96"/>
      <c r="I203" s="25"/>
      <c r="P203" s="26"/>
    </row>
    <row r="204" spans="1:16" s="81" customFormat="1" ht="15.75" customHeight="1" x14ac:dyDescent="0.35">
      <c r="A204" s="97">
        <v>1</v>
      </c>
      <c r="B204" s="97" t="s">
        <v>231</v>
      </c>
      <c r="C204" s="80" t="s">
        <v>185</v>
      </c>
      <c r="D204" s="80">
        <f>(1.38*1.78+3.2*5.64+2.29*2.83+3.05*3.35+3.31*4.55+3.05*3.75+4.14*1.05+1.82*1.05+(2.29*1.46+1.38*2.14+2.44*1.53)+(3.2*1.08+2.29*1.08)+(0.6*(3.05+3.31+1.8)))*10.764</f>
        <v>977.51759039999968</v>
      </c>
      <c r="E204" s="80">
        <v>0</v>
      </c>
      <c r="F204" s="80">
        <f>D204*(($F$117)+1)+(IF(E204&lt;101,E204,IF(E204&lt;201,E204/2,IF(E204&lt;=301,E204/3,E204/4))))</f>
        <v>1466.2763855999995</v>
      </c>
      <c r="G204" s="98" t="str">
        <f>A203</f>
        <v>17th &amp; 40th Floor</v>
      </c>
      <c r="H204" s="99"/>
    </row>
    <row r="205" spans="1:16" s="81" customFormat="1" ht="15.75" customHeight="1" x14ac:dyDescent="0.35">
      <c r="A205" s="97">
        <v>2</v>
      </c>
      <c r="B205" s="97" t="s">
        <v>232</v>
      </c>
      <c r="C205" s="80" t="s">
        <v>185</v>
      </c>
      <c r="D205" s="80">
        <f>(1.38*1.78+3.2*5.64+2.29*2.83+3.05*3.35+3.31*4.55+3.05*3.75+4.14*1.05+1.82*1.05+(2.29*1.46+1.38*2.14+2.44*1.53)+(3.2*1.08+2.29*1.08)+(0.6*(3.05+3.31+1.8)))*10.764</f>
        <v>977.51759039999968</v>
      </c>
      <c r="E205" s="80">
        <v>0</v>
      </c>
      <c r="F205" s="80">
        <f>D205*(($F$117)+1)+(IF(E205&lt;101,E205,IF(E205&lt;201,E205/2,IF(E205&lt;=301,E205/3,E205/4))))</f>
        <v>1466.2763855999995</v>
      </c>
      <c r="G205" s="100"/>
      <c r="H205" s="101"/>
      <c r="I205" s="25"/>
    </row>
    <row r="206" spans="1:16" s="81" customFormat="1" ht="15.75" customHeight="1" x14ac:dyDescent="0.35">
      <c r="A206" s="97">
        <v>3</v>
      </c>
      <c r="B206" s="97" t="s">
        <v>233</v>
      </c>
      <c r="C206" s="80" t="s">
        <v>212</v>
      </c>
      <c r="D206" s="80">
        <f>(1.95*1.53+1.25*3.05+3*3.08+3.05*3.5+2.75*3.08+3.65*8.38+3.59*4.6+4.26*3.59+1*1.73+1*1.22+(1.53*2.29+1.38*2.44+2.44*1.53+2.44*1.53)+(3.9*1.53+2.75*1.53+1*1.53)+(0.6*(3+3.4+4.26+3.59+2.8)))*10.764</f>
        <v>1472.4850607999999</v>
      </c>
      <c r="E206" s="80">
        <v>0</v>
      </c>
      <c r="F206" s="80">
        <f>D206*(($F$117)+1)+(IF(E206&lt;101,E206,IF(E206&lt;201,E206/2,IF(E206&lt;=301,E206/3,E206/4))))</f>
        <v>2208.7275912</v>
      </c>
      <c r="G206" s="100"/>
      <c r="H206" s="101"/>
      <c r="I206" s="25"/>
    </row>
    <row r="207" spans="1:16" s="81" customFormat="1" ht="15.75" customHeight="1" x14ac:dyDescent="0.35">
      <c r="A207" s="97">
        <v>4</v>
      </c>
      <c r="B207" s="97" t="s">
        <v>234</v>
      </c>
      <c r="C207" s="80" t="s">
        <v>250</v>
      </c>
      <c r="D207" s="80">
        <f>(1.9*2.47+3.05*4.12+6.55*4.55+3.36*3.35+7.2*3.97+3.36*4.7+3.05*3.35+3.35*4.55+3.35*3.97+1.6*3.97+(2.29*1.38+1.38*2.14+2.85*1.53+2.29*1.38+2.29*1.38+1.38*2.14+2.85*1.53+1.38*0.54+1.05*5.29+1.15*1.53+1.38*1.06+1.2*1.38+3.05*1.05+1*1.38)+(1*2.44+1*2.44+1.07*3.36+1.07*3.36)+(0.6*(6.55+7.2+3.05+3.35)))*10.764</f>
        <v>2280.1800996000002</v>
      </c>
      <c r="E207" s="80">
        <v>0</v>
      </c>
      <c r="F207" s="80">
        <f>D207*(($F$117)+1)+(IF(E207&lt;101,E207,IF(E207&lt;201,E207/2,IF(E207&lt;=301,E207/3,E207/4))))</f>
        <v>3420.2701494000003</v>
      </c>
      <c r="G207" s="100"/>
      <c r="H207" s="101"/>
      <c r="I207" s="25"/>
    </row>
    <row r="208" spans="1:16" s="81" customFormat="1" ht="15.75" customHeight="1" x14ac:dyDescent="0.35">
      <c r="A208" s="97">
        <v>6</v>
      </c>
      <c r="B208" s="97" t="s">
        <v>236</v>
      </c>
      <c r="C208" s="80" t="s">
        <v>212</v>
      </c>
      <c r="D208" s="80">
        <f>(1.95*1.53+1.25*3.05+3*3.08+3.05*3.5+2.75*3.08+3.65*8.38+3.59*4.6+4.26*3.59+1*1.73+1*1.22+(1.53*2.29+1.38*2.44+2.44*1.53+2.44*1.53)+(3.9*1.53+2.75*1.53+1*1.53)+(0.6*(3+3.4+4.26+3.59+2.8)))*10.764</f>
        <v>1472.4850607999999</v>
      </c>
      <c r="E208" s="80">
        <v>0</v>
      </c>
      <c r="F208" s="80">
        <f>D208*(($F$117)+1)+(IF(E208&lt;101,E208,IF(E208&lt;201,E208/2,IF(E208&lt;=301,E208/3,E208/4))))</f>
        <v>2208.7275912</v>
      </c>
      <c r="G208" s="102"/>
      <c r="H208" s="103"/>
      <c r="I208" s="25"/>
    </row>
    <row r="209" spans="1:16" s="68" customFormat="1" ht="15.75" customHeight="1" x14ac:dyDescent="0.35">
      <c r="A209" s="94" t="s">
        <v>306</v>
      </c>
      <c r="B209" s="95"/>
      <c r="C209" s="95"/>
      <c r="D209" s="95"/>
      <c r="E209" s="95"/>
      <c r="F209" s="95"/>
      <c r="G209" s="95"/>
      <c r="H209" s="96"/>
      <c r="I209" s="25"/>
      <c r="P209" s="26"/>
    </row>
    <row r="210" spans="1:16" s="68" customFormat="1" ht="15.75" customHeight="1" x14ac:dyDescent="0.35">
      <c r="A210" s="97">
        <v>1</v>
      </c>
      <c r="B210" s="97" t="s">
        <v>231</v>
      </c>
      <c r="C210" s="67" t="s">
        <v>185</v>
      </c>
      <c r="D210" s="67">
        <f>(1.38*1.78+3.2*5.64+2.29*2.83+3.05*3.35+3.31*4.55+3.05*3.75+4.14*1.05+1.82*1.05+(2.29*1.46+1.38*2.14+2.44*1.53)+(3.2*1.08+2.29*1.08)+(0.6*(3.05+3.31+1.8)))*10.764</f>
        <v>977.51759039999968</v>
      </c>
      <c r="E210" s="67">
        <v>0</v>
      </c>
      <c r="F210" s="67">
        <f>D210*(($F$117)+1)+(IF(E210&lt;101,E210,IF(E210&lt;201,E210/2,IF(E210&lt;=301,E210/3,E210/4))))</f>
        <v>1466.2763855999995</v>
      </c>
      <c r="G210" s="98" t="str">
        <f>A209</f>
        <v>16th &amp; 42nd Floor</v>
      </c>
      <c r="H210" s="99"/>
    </row>
    <row r="211" spans="1:16" s="68" customFormat="1" ht="15.75" customHeight="1" x14ac:dyDescent="0.35">
      <c r="A211" s="97">
        <v>2</v>
      </c>
      <c r="B211" s="97" t="s">
        <v>232</v>
      </c>
      <c r="C211" s="67" t="s">
        <v>185</v>
      </c>
      <c r="D211" s="67">
        <f>(1.38*1.78+3.2*5.64+2.29*2.83+3.05*3.35+3.31*4.55+3.05*3.75+4.14*1.05+1.82*1.05+(2.29*1.46+1.38*2.14+2.44*1.53)+(3.2*1.08+2.29*1.08)+(0.6*(3.05+3.31+1.8)))*10.764</f>
        <v>977.51759039999968</v>
      </c>
      <c r="E211" s="67">
        <v>0</v>
      </c>
      <c r="F211" s="67">
        <f>D211*(($F$117)+1)+(IF(E211&lt;101,E211,IF(E211&lt;201,E211/2,IF(E211&lt;=301,E211/3,E211/4))))</f>
        <v>1466.2763855999995</v>
      </c>
      <c r="G211" s="100"/>
      <c r="H211" s="101"/>
      <c r="I211" s="25"/>
    </row>
    <row r="212" spans="1:16" s="68" customFormat="1" ht="15.75" customHeight="1" x14ac:dyDescent="0.35">
      <c r="A212" s="97">
        <v>3</v>
      </c>
      <c r="B212" s="97" t="s">
        <v>233</v>
      </c>
      <c r="C212" s="67" t="s">
        <v>212</v>
      </c>
      <c r="D212" s="67">
        <f>(1.95*1.53+1.25*3.05+3*3.08+3.05*3.5+2.75*3.08+3.65*8.38+3.59*4.6+4.26*3.59+1*1.73+1*1.22+(1.53*2.29+1.38*2.44+2.44*1.53+2.44*1.53)+(3.9*1.53+2.75*1.53+1*1.53)+(0.6*(3+3.4+4.26+3.59+2.8)))*10.764</f>
        <v>1472.4850607999999</v>
      </c>
      <c r="E212" s="67">
        <v>0</v>
      </c>
      <c r="F212" s="67">
        <f>D212*(($F$117)+1)+(IF(E212&lt;101,E212,IF(E212&lt;201,E212/2,IF(E212&lt;=301,E212/3,E212/4))))</f>
        <v>2208.7275912</v>
      </c>
      <c r="G212" s="100"/>
      <c r="H212" s="101"/>
      <c r="I212" s="25"/>
    </row>
    <row r="213" spans="1:16" s="68" customFormat="1" ht="15.75" customHeight="1" x14ac:dyDescent="0.35">
      <c r="A213" s="97">
        <v>4</v>
      </c>
      <c r="B213" s="97" t="s">
        <v>234</v>
      </c>
      <c r="C213" s="67" t="s">
        <v>250</v>
      </c>
      <c r="D213" s="67">
        <f>(1.9*2.47+3.05*4.12+6.55*4.55+3.36*3.35+7.2*3.97+3.36*4.7+3.05*3.35+3.35*4.55+3.35*3.97+1.6*3.97+(2.29*1.38+1.38*2.14+2.85*1.53+2.29*1.38+2.29*1.38+1.38*2.14+2.85*1.53+1.38*0.54+1.05*5.29+1.15*1.53+1.38*1.06+1.2*1.38+3.05*1.05+1*1.38)+(1*2.44+1*2.44+1.07*3.36+1.07*3.36)+(0.6*(6.55+7.2+3.05+3.35)))*10.764</f>
        <v>2280.1800996000002</v>
      </c>
      <c r="E213" s="67">
        <v>0</v>
      </c>
      <c r="F213" s="67">
        <f>D213*(($F$117)+1)+(IF(E213&lt;101,E213,IF(E213&lt;201,E213/2,IF(E213&lt;=301,E213/3,E213/4))))</f>
        <v>3420.2701494000003</v>
      </c>
      <c r="G213" s="100"/>
      <c r="H213" s="101"/>
      <c r="I213" s="25"/>
    </row>
    <row r="214" spans="1:16" s="68" customFormat="1" ht="15.75" customHeight="1" x14ac:dyDescent="0.35">
      <c r="A214" s="97">
        <v>6</v>
      </c>
      <c r="B214" s="97" t="s">
        <v>236</v>
      </c>
      <c r="C214" s="67" t="s">
        <v>212</v>
      </c>
      <c r="D214" s="67">
        <f>(1.95*1.53+1.25*3.05+3*3.08+3.05*3.5+2.75*3.08+3.65*8.38+3.59*4.6+4.26*3.59+1*1.73+1*1.22+(1.53*2.29+1.38*2.44+2.44*1.53+2.44*1.53)+(3.9*1.53+2.75*1.53+1*1.53)+(0.6*(3+3.4+4.26+3.59+2.8)))*10.764</f>
        <v>1472.4850607999999</v>
      </c>
      <c r="E214" s="67">
        <v>0</v>
      </c>
      <c r="F214" s="67">
        <f>D214*(($F$117)+1)+(IF(E214&lt;101,E214,IF(E214&lt;201,E214/2,IF(E214&lt;=301,E214/3,E214/4))))</f>
        <v>2208.7275912</v>
      </c>
      <c r="G214" s="102"/>
      <c r="H214" s="103"/>
      <c r="I214" s="25"/>
    </row>
    <row r="215" spans="1:16" s="81" customFormat="1" ht="15.75" customHeight="1" x14ac:dyDescent="0.35">
      <c r="A215" s="94" t="s">
        <v>307</v>
      </c>
      <c r="B215" s="95"/>
      <c r="C215" s="95"/>
      <c r="D215" s="95"/>
      <c r="E215" s="95"/>
      <c r="F215" s="95"/>
      <c r="G215" s="95"/>
      <c r="H215" s="96"/>
      <c r="I215" s="25"/>
      <c r="P215" s="26"/>
    </row>
    <row r="216" spans="1:16" s="81" customFormat="1" ht="15.75" customHeight="1" x14ac:dyDescent="0.35">
      <c r="A216" s="97">
        <v>1</v>
      </c>
      <c r="B216" s="97" t="s">
        <v>231</v>
      </c>
      <c r="C216" s="80" t="s">
        <v>185</v>
      </c>
      <c r="D216" s="80">
        <f>(1.38*1.78+3.2*5.64+2.29*2.83+3.05*3.35+3.31*4.55+3.05*3.75+4.14*1.05+1.82*1.05+(2.29*1.46+1.38*2.14+2.44*1.53)+(3.2*1.08+2.29*1.08)+(0.6*(3.05+3.31+1.8)))*10.764</f>
        <v>977.51759039999968</v>
      </c>
      <c r="E216" s="80">
        <v>0</v>
      </c>
      <c r="F216" s="80">
        <f t="shared" ref="F216:F221" si="5">D216*(($F$117)+1)+(IF(E216&lt;101,E216,IF(E216&lt;201,E216/2,IF(E216&lt;=301,E216/3,E216/4))))</f>
        <v>1466.2763855999995</v>
      </c>
      <c r="G216" s="98" t="str">
        <f>A215</f>
        <v>19th Floor</v>
      </c>
      <c r="H216" s="99"/>
    </row>
    <row r="217" spans="1:16" s="81" customFormat="1" ht="15.75" customHeight="1" x14ac:dyDescent="0.35">
      <c r="A217" s="97">
        <v>2</v>
      </c>
      <c r="B217" s="97" t="s">
        <v>232</v>
      </c>
      <c r="C217" s="80" t="s">
        <v>185</v>
      </c>
      <c r="D217" s="80">
        <f>(1.38*1.78+3.2*5.64+2.29*2.83+3.05*3.35+3.31*4.55+3.05*3.75+4.14*1.05+1.82*1.05+(2.29*1.46+1.38*2.14+2.44*1.53)+(3.2*1.08+2.29*1.08)+(0.6*(3.05+3.31+1.8)))*10.764</f>
        <v>977.51759039999968</v>
      </c>
      <c r="E217" s="80">
        <v>0</v>
      </c>
      <c r="F217" s="80">
        <f t="shared" si="5"/>
        <v>1466.2763855999995</v>
      </c>
      <c r="G217" s="100"/>
      <c r="H217" s="101"/>
      <c r="I217" s="25"/>
    </row>
    <row r="218" spans="1:16" s="81" customFormat="1" ht="15.75" customHeight="1" x14ac:dyDescent="0.35">
      <c r="A218" s="97">
        <v>3</v>
      </c>
      <c r="B218" s="97" t="s">
        <v>233</v>
      </c>
      <c r="C218" s="80" t="s">
        <v>212</v>
      </c>
      <c r="D218" s="80">
        <f>(1.95*1.53+1.25*3.05+3*3.08+3.05*3.5+2.75*3.08+3.65*8.38+3.59*4.6+4.26*3.59+1*1.73+1*1.22+(1.53*2.29+1.38*2.44+2.44*1.53+2.44*1.53)+(3.9*1.53+2.75*1.53+1*1.53)+(0.6*(3+3.4+4.26+3.59+2.8)))*10.764</f>
        <v>1472.4850607999999</v>
      </c>
      <c r="E218" s="80">
        <v>0</v>
      </c>
      <c r="F218" s="80">
        <f t="shared" si="5"/>
        <v>2208.7275912</v>
      </c>
      <c r="G218" s="100"/>
      <c r="H218" s="101"/>
      <c r="I218" s="25"/>
    </row>
    <row r="219" spans="1:16" s="81" customFormat="1" ht="15.75" customHeight="1" x14ac:dyDescent="0.35">
      <c r="A219" s="97">
        <v>4</v>
      </c>
      <c r="B219" s="97" t="s">
        <v>234</v>
      </c>
      <c r="C219" s="80" t="s">
        <v>302</v>
      </c>
      <c r="D219" s="80">
        <f>(1.9*4.27+3.36*3.35+6.55*4.55+1.15*1.53+3.05*4.12+1.5*3.36+1.38*1.05+3.45*3.97+(1.38*2.14+1.38*1.06+2.85*1.53+2.29*1.38)+(3.36*1.07+1*2.44)+(0.6*(3.35+3.05+3.45)))*10.764</f>
        <v>1157.8232015999999</v>
      </c>
      <c r="E219" s="80">
        <v>0</v>
      </c>
      <c r="F219" s="80">
        <f t="shared" si="5"/>
        <v>1736.7348023999998</v>
      </c>
      <c r="G219" s="100"/>
      <c r="H219" s="101"/>
      <c r="I219" s="25"/>
    </row>
    <row r="220" spans="1:16" s="81" customFormat="1" ht="15.75" customHeight="1" x14ac:dyDescent="0.35">
      <c r="A220" s="97">
        <v>5</v>
      </c>
      <c r="B220" s="97" t="s">
        <v>235</v>
      </c>
      <c r="C220" s="80" t="s">
        <v>302</v>
      </c>
      <c r="D220" s="80">
        <f>(1.9*4.27+3.36*3.35+6.55*4.55+1.15*1.53+3.05*4.12+1.5*3.36+1.38*1.05+3.45*3.97+(1.38*2.14+1.38*1.06+2.85*1.53+2.29*1.38)+(3.36*1.07+1*2.44)+(0.6*(3.35+3.05+3.45)))*10.764</f>
        <v>1157.8232015999999</v>
      </c>
      <c r="E220" s="80">
        <v>0</v>
      </c>
      <c r="F220" s="80">
        <f t="shared" si="5"/>
        <v>1736.7348023999998</v>
      </c>
      <c r="G220" s="100"/>
      <c r="H220" s="101"/>
      <c r="I220" s="25"/>
    </row>
    <row r="221" spans="1:16" s="81" customFormat="1" ht="15.75" customHeight="1" x14ac:dyDescent="0.35">
      <c r="A221" s="97">
        <v>6</v>
      </c>
      <c r="B221" s="97" t="s">
        <v>236</v>
      </c>
      <c r="C221" s="80" t="s">
        <v>212</v>
      </c>
      <c r="D221" s="80">
        <f>(1.95*1.53+1.25*3.05+3*3.08+3.05*3.5+2.75*3.08+3.65*8.38+3.59*4.6+4.26*3.59+1*1.73+1*1.22+(1.53*2.29+1.38*2.44+2.44*1.53+2.44*1.53)+(3.9*1.53+2.75*1.53+1*1.53)+(0.6*(3+3.4+4.26+3.59+2.8)))*10.764</f>
        <v>1472.4850607999999</v>
      </c>
      <c r="E221" s="80">
        <v>0</v>
      </c>
      <c r="F221" s="80">
        <f t="shared" si="5"/>
        <v>2208.7275912</v>
      </c>
      <c r="G221" s="102"/>
      <c r="H221" s="103"/>
      <c r="I221" s="25"/>
    </row>
    <row r="222" spans="1:16" s="81" customFormat="1" ht="15.75" customHeight="1" x14ac:dyDescent="0.35">
      <c r="A222" s="94" t="s">
        <v>308</v>
      </c>
      <c r="B222" s="95"/>
      <c r="C222" s="95"/>
      <c r="D222" s="95"/>
      <c r="E222" s="95"/>
      <c r="F222" s="95"/>
      <c r="G222" s="95"/>
      <c r="H222" s="96"/>
      <c r="I222" s="25"/>
      <c r="P222" s="26"/>
    </row>
    <row r="223" spans="1:16" s="81" customFormat="1" ht="15.75" customHeight="1" x14ac:dyDescent="0.35">
      <c r="A223" s="97">
        <v>1</v>
      </c>
      <c r="B223" s="97" t="s">
        <v>231</v>
      </c>
      <c r="C223" s="80" t="s">
        <v>185</v>
      </c>
      <c r="D223" s="80">
        <f>(1.38*1.78+3.2*5.64+2.29*2.83+3.05*3.35+3.31*4.55+3.05*3.75+4.14*1.05+1.82*1.05+(2.29*1.46+1.38*2.14+2.44*1.53)+(3.2*1.08+2.29*1.08)+(0.6*(3.05+3.31+1.8)))*10.764</f>
        <v>977.51759039999968</v>
      </c>
      <c r="E223" s="80">
        <v>0</v>
      </c>
      <c r="F223" s="80">
        <f t="shared" ref="F223:F228" si="6">D223*(($F$117)+1)+(IF(E223&lt;101,E223,IF(E223&lt;201,E223/2,IF(E223&lt;=301,E223/3,E223/4))))</f>
        <v>1466.2763855999995</v>
      </c>
      <c r="G223" s="98" t="str">
        <f>A222</f>
        <v>21st, 32nd &amp; 36th Floor</v>
      </c>
      <c r="H223" s="99"/>
    </row>
    <row r="224" spans="1:16" s="81" customFormat="1" ht="15.75" customHeight="1" x14ac:dyDescent="0.35">
      <c r="A224" s="97">
        <v>2</v>
      </c>
      <c r="B224" s="97" t="s">
        <v>232</v>
      </c>
      <c r="C224" s="80" t="s">
        <v>302</v>
      </c>
      <c r="D224" s="80">
        <f>(1.35*1.78+3.2*5.64+2.29*2.83+6.65*3.35+5.35*1.2+3.05*3.75+1.05*2.29+1.05*0.9+(2.29*1.46+1.38*2.14+2.44*1.53)+(3.2*1.08+2.29*1.08)+(0.6*(3.05+3.31+1.8)))*10.764</f>
        <v>982.44319679999967</v>
      </c>
      <c r="E224" s="80">
        <v>0</v>
      </c>
      <c r="F224" s="80">
        <f t="shared" si="6"/>
        <v>1473.6647951999994</v>
      </c>
      <c r="G224" s="100"/>
      <c r="H224" s="101"/>
      <c r="I224" s="25"/>
    </row>
    <row r="225" spans="1:16" s="81" customFormat="1" ht="15.75" customHeight="1" x14ac:dyDescent="0.35">
      <c r="A225" s="97">
        <v>3</v>
      </c>
      <c r="B225" s="97" t="s">
        <v>233</v>
      </c>
      <c r="C225" s="80" t="s">
        <v>212</v>
      </c>
      <c r="D225" s="80">
        <f>(1.95*1.53+1.25*3.05+3*3.08+3.05*3.5+2.75*3.08+3.65*8.38+3.59*4.6+4.26*3.59+1*1.73+1*1.22+(1.53*2.29+1.38*2.44+2.44*1.53+2.44*1.53)+(3.9*1.53+2.75*1.53+1*1.53)+(0.6*(3+3.4+4.26+3.59+2.8)))*10.764</f>
        <v>1472.4850607999999</v>
      </c>
      <c r="E225" s="80">
        <v>0</v>
      </c>
      <c r="F225" s="80">
        <f t="shared" si="6"/>
        <v>2208.7275912</v>
      </c>
      <c r="G225" s="100"/>
      <c r="H225" s="101"/>
      <c r="I225" s="25"/>
    </row>
    <row r="226" spans="1:16" s="81" customFormat="1" ht="15.75" customHeight="1" x14ac:dyDescent="0.35">
      <c r="A226" s="97">
        <v>4</v>
      </c>
      <c r="B226" s="97" t="s">
        <v>234</v>
      </c>
      <c r="C226" s="80" t="s">
        <v>185</v>
      </c>
      <c r="D226" s="80">
        <f>(1.9*2.59+3.36*6.23+3.05*2.44+2.89*2.73+3.05*3.35+3.36*4.55+3.45*3.97+1.85*1.05+(1.38*2.14+1.38*1.06+2.85*1.53+2.29*1.38)+(3.36*1.07+1*2.44)+(0.6*(3.35+3.05+3.45)))*10.764</f>
        <v>1143.2648915999998</v>
      </c>
      <c r="E226" s="80">
        <v>0</v>
      </c>
      <c r="F226" s="80">
        <f t="shared" si="6"/>
        <v>1714.8973373999997</v>
      </c>
      <c r="G226" s="100"/>
      <c r="H226" s="101"/>
      <c r="I226" s="25"/>
    </row>
    <row r="227" spans="1:16" s="81" customFormat="1" ht="15.75" customHeight="1" x14ac:dyDescent="0.35">
      <c r="A227" s="97">
        <v>5</v>
      </c>
      <c r="B227" s="97" t="s">
        <v>235</v>
      </c>
      <c r="C227" s="80" t="s">
        <v>185</v>
      </c>
      <c r="D227" s="80">
        <f>(1.9*2.59+3.36*6.23+3.05*2.44+2.89*2.73+3.05*3.35+3.36*4.55+3.45*3.97+1.85*1.05+(1.38*2.14+1.38*1.06+2.85*1.53+2.29*1.38)+(3.36*1.07+1*2.44)+(0.6*(3.35+3.05+3.45)))*10.764</f>
        <v>1143.2648915999998</v>
      </c>
      <c r="E227" s="80">
        <v>0</v>
      </c>
      <c r="F227" s="80">
        <f t="shared" si="6"/>
        <v>1714.8973373999997</v>
      </c>
      <c r="G227" s="100"/>
      <c r="H227" s="101"/>
      <c r="I227" s="25"/>
    </row>
    <row r="228" spans="1:16" s="81" customFormat="1" ht="15.75" customHeight="1" x14ac:dyDescent="0.35">
      <c r="A228" s="97">
        <v>6</v>
      </c>
      <c r="B228" s="97" t="s">
        <v>236</v>
      </c>
      <c r="C228" s="80" t="s">
        <v>212</v>
      </c>
      <c r="D228" s="80">
        <f>(1.95*1.53+1.25*3.05+3*3.08+3.05*3.5+2.75*3.08+3.65*8.38+3.59*4.6+4.26*3.59+1*1.73+1*1.22+(1.53*2.29+1.38*2.44+2.44*1.53+2.44*1.53)+(3.9*1.53+2.75*1.53+1*1.53)+(0.6*(3+3.4+4.26+3.59+2.8)))*10.764</f>
        <v>1472.4850607999999</v>
      </c>
      <c r="E228" s="80">
        <v>0</v>
      </c>
      <c r="F228" s="80">
        <f t="shared" si="6"/>
        <v>2208.7275912</v>
      </c>
      <c r="G228" s="102"/>
      <c r="H228" s="103"/>
      <c r="I228" s="25"/>
    </row>
    <row r="229" spans="1:16" s="81" customFormat="1" ht="15.75" customHeight="1" x14ac:dyDescent="0.35">
      <c r="A229" s="117" t="s">
        <v>253</v>
      </c>
      <c r="B229" s="117"/>
      <c r="C229" s="117"/>
      <c r="D229" s="117"/>
      <c r="E229" s="117"/>
      <c r="F229" s="117"/>
      <c r="G229" s="117"/>
      <c r="H229" s="117"/>
      <c r="I229" s="25"/>
      <c r="P229" s="26"/>
    </row>
    <row r="230" spans="1:16" s="81" customFormat="1" ht="15.75" customHeight="1" x14ac:dyDescent="0.35">
      <c r="A230" s="97">
        <v>1</v>
      </c>
      <c r="B230" s="97" t="s">
        <v>231</v>
      </c>
      <c r="C230" s="88" t="s">
        <v>185</v>
      </c>
      <c r="D230" s="88">
        <f>(1.38*1.78+3.2*5.64+2.29*2.83+3.05*3.35+3.31*4.55+3.05*3.75+4.14*1.05+1.82*1.05+(2.29*1.46+1.38*2.14+2.44*1.53)+(3.2*1.08+2.29*1.08)+(0.6*(3.05+3.31+1.8)))*10.764</f>
        <v>977.51759039999968</v>
      </c>
      <c r="E230" s="88">
        <v>0</v>
      </c>
      <c r="F230" s="88">
        <f>D230*(($F$117)+1)+(IF(E230&lt;101,E230,IF(E230&lt;201,E230/2,IF(E230&lt;=301,E230/3,E230/4))))</f>
        <v>1466.2763855999995</v>
      </c>
      <c r="G230" s="97" t="str">
        <f>A229</f>
        <v>29th &amp; 39th Floor (Part Refuge Area)</v>
      </c>
      <c r="H230" s="97"/>
    </row>
    <row r="231" spans="1:16" s="81" customFormat="1" ht="15.75" customHeight="1" x14ac:dyDescent="0.35">
      <c r="A231" s="97">
        <v>2</v>
      </c>
      <c r="B231" s="97" t="s">
        <v>232</v>
      </c>
      <c r="C231" s="88" t="s">
        <v>302</v>
      </c>
      <c r="D231" s="88">
        <f>(1.35*1.78+3.2*5.64+2.29*2.83+6.65*3.35+5.35*1.2+3.05*3.75+1.05*2.29+1.05*0.9+(2.29*1.46+1.38*2.14+2.44*1.53)+(3.2*1.08+2.29*1.08)+(0.6*(3.05+3.31+1.8)))*10.764</f>
        <v>982.44319679999967</v>
      </c>
      <c r="E231" s="88">
        <v>0</v>
      </c>
      <c r="F231" s="88">
        <f>D231*(($F$117)+1)+(IF(E231&lt;101,E231,IF(E231&lt;201,E231/2,IF(E231&lt;=301,E231/3,E231/4))))</f>
        <v>1473.6647951999994</v>
      </c>
      <c r="G231" s="97"/>
      <c r="H231" s="97"/>
      <c r="I231" s="25"/>
    </row>
    <row r="232" spans="1:16" s="81" customFormat="1" ht="15.75" customHeight="1" x14ac:dyDescent="0.35">
      <c r="A232" s="97">
        <v>3</v>
      </c>
      <c r="B232" s="97" t="s">
        <v>233</v>
      </c>
      <c r="C232" s="88" t="s">
        <v>212</v>
      </c>
      <c r="D232" s="88">
        <f>(1.95*1.53+1.25*3.05+3*3.08+3.05*3.5+2.75*3.08+3.65*8.38+3.59*4.6+4.26*3.59+1*1.73+1*1.22+(1.53*2.29+1.38*2.44+2.44*1.53+2.44*1.53)+(3.9*1.53+2.75*1.53+1*1.53)+(0.6*(3+3.4+4.26+3.59+2.8)))*10.764</f>
        <v>1472.4850607999999</v>
      </c>
      <c r="E232" s="88">
        <v>0</v>
      </c>
      <c r="F232" s="88">
        <f>D232*(($F$117)+1)+(IF(E232&lt;101,E232,IF(E232&lt;201,E232/2,IF(E232&lt;=301,E232/3,E232/4))))</f>
        <v>2208.7275912</v>
      </c>
      <c r="G232" s="97"/>
      <c r="H232" s="97"/>
      <c r="I232" s="25"/>
    </row>
    <row r="233" spans="1:16" s="81" customFormat="1" ht="15.75" customHeight="1" x14ac:dyDescent="0.35">
      <c r="A233" s="97">
        <v>4</v>
      </c>
      <c r="B233" s="97" t="s">
        <v>234</v>
      </c>
      <c r="C233" s="97" t="s">
        <v>210</v>
      </c>
      <c r="D233" s="97"/>
      <c r="E233" s="97"/>
      <c r="F233" s="97"/>
      <c r="G233" s="97"/>
      <c r="H233" s="97"/>
      <c r="I233" s="25"/>
    </row>
    <row r="234" spans="1:16" s="81" customFormat="1" ht="15.75" customHeight="1" x14ac:dyDescent="0.35">
      <c r="A234" s="97">
        <v>5</v>
      </c>
      <c r="B234" s="97" t="s">
        <v>235</v>
      </c>
      <c r="C234" s="88" t="s">
        <v>185</v>
      </c>
      <c r="D234" s="88">
        <f>(1.9*2.59+3.36*6.23+3.05*2.44+2.89*2.73+3.05*3.35+3.36*4.55+3.45*3.97+1.85*1.05+(1.38*2.14+1.38*1.06+2.85*1.53+2.29*1.38)+(3.36*1.07+1*2.44)+(0.6*(3.35+3.05+3.45)))*10.764</f>
        <v>1143.2648915999998</v>
      </c>
      <c r="E234" s="88">
        <v>0</v>
      </c>
      <c r="F234" s="88">
        <f>D234*(($F$117)+1)+(IF(E234&lt;101,E234,IF(E234&lt;201,E234/2,IF(E234&lt;=301,E234/3,E234/4))))</f>
        <v>1714.8973373999997</v>
      </c>
      <c r="G234" s="97"/>
      <c r="H234" s="97"/>
      <c r="I234" s="25"/>
    </row>
    <row r="235" spans="1:16" s="81" customFormat="1" ht="15.75" customHeight="1" x14ac:dyDescent="0.35">
      <c r="A235" s="97">
        <v>6</v>
      </c>
      <c r="B235" s="97" t="s">
        <v>236</v>
      </c>
      <c r="C235" s="88" t="s">
        <v>212</v>
      </c>
      <c r="D235" s="88">
        <f>(1.95*1.53+1.25*3.05+3*3.08+3.05*3.5+2.75*3.08+3.65*8.38+3.59*4.6+4.26*3.59+1*1.73+1*1.22+(1.53*2.29+1.38*2.44+2.44*1.53+2.44*1.53)+(3.9*1.53+2.75*1.53+1*1.53)+(0.6*(3+3.4+4.26+3.59+2.8)))*10.764</f>
        <v>1472.4850607999999</v>
      </c>
      <c r="E235" s="88">
        <v>0</v>
      </c>
      <c r="F235" s="88">
        <f>D235*(($F$117)+1)+(IF(E235&lt;101,E235,IF(E235&lt;201,E235/2,IF(E235&lt;=301,E235/3,E235/4))))</f>
        <v>2208.7275912</v>
      </c>
      <c r="G235" s="97"/>
      <c r="H235" s="97"/>
      <c r="I235" s="25"/>
    </row>
    <row r="236" spans="1:16" s="68" customFormat="1" ht="15.75" customHeight="1" x14ac:dyDescent="0.35">
      <c r="A236" s="117" t="s">
        <v>309</v>
      </c>
      <c r="B236" s="117"/>
      <c r="C236" s="117"/>
      <c r="D236" s="117"/>
      <c r="E236" s="117"/>
      <c r="F236" s="117"/>
      <c r="G236" s="117"/>
      <c r="H236" s="117"/>
      <c r="I236" s="25"/>
      <c r="P236" s="26"/>
    </row>
    <row r="237" spans="1:16" s="81" customFormat="1" ht="15.75" customHeight="1" x14ac:dyDescent="0.35">
      <c r="A237" s="97">
        <v>1</v>
      </c>
      <c r="B237" s="97" t="s">
        <v>231</v>
      </c>
      <c r="C237" s="88" t="s">
        <v>185</v>
      </c>
      <c r="D237" s="88">
        <f>(1.38*1.78+3.2*5.64+2.29*2.83+3.05*3.35+3.31*4.55+3.05*3.75+4.14*1.05+1.82*1.05+(2.29*1.46+1.38*2.14+2.44*1.53)+(3.2*1.08+2.29*1.08)+(0.6*(3.05+3.31+1.8)))*10.764</f>
        <v>977.51759039999968</v>
      </c>
      <c r="E237" s="88">
        <v>0</v>
      </c>
      <c r="F237" s="88">
        <f t="shared" ref="F237:F242" si="7">D237*(($F$117)+1)+(IF(E237&lt;101,E237,IF(E237&lt;201,E237/2,IF(E237&lt;=301,E237/3,E237/4))))</f>
        <v>1466.2763855999995</v>
      </c>
      <c r="G237" s="117" t="str">
        <f>A236</f>
        <v xml:space="preserve"> 33rd Floor</v>
      </c>
      <c r="H237" s="117"/>
    </row>
    <row r="238" spans="1:16" s="81" customFormat="1" ht="15.75" customHeight="1" x14ac:dyDescent="0.35">
      <c r="A238" s="97">
        <v>2</v>
      </c>
      <c r="B238" s="97" t="s">
        <v>232</v>
      </c>
      <c r="C238" s="88" t="s">
        <v>302</v>
      </c>
      <c r="D238" s="88">
        <f>(1.35*1.78+3.2*5.64+2.29*2.83+6.65*3.35+5.35*1.2+3.05*3.75+1.05*2.29+1.05*0.9+(2.29*1.46+1.38*2.14+2.44*1.53)+(3.2*1.08+2.29*1.08)+(0.6*(3.05+3.31+1.8)))*10.764</f>
        <v>982.44319679999967</v>
      </c>
      <c r="E238" s="88">
        <v>0</v>
      </c>
      <c r="F238" s="88">
        <f t="shared" si="7"/>
        <v>1473.6647951999994</v>
      </c>
      <c r="G238" s="117"/>
      <c r="H238" s="117"/>
      <c r="I238" s="25"/>
    </row>
    <row r="239" spans="1:16" s="68" customFormat="1" ht="15.75" customHeight="1" x14ac:dyDescent="0.35">
      <c r="A239" s="97">
        <v>3</v>
      </c>
      <c r="B239" s="97" t="s">
        <v>226</v>
      </c>
      <c r="C239" s="88" t="s">
        <v>212</v>
      </c>
      <c r="D239" s="88">
        <f>(1.95*1.53+1.25*3.05+3*3.08+3.05*3.5+2.75*3.08+3.65*8.38+3.59*4.6+4.26*3.59+1*1.73+1*1.22+(1.53*2.29+1.38*2.44+2.44*1.53+2.44*1.53)+(3.9*1.53+2.75*1.53+1*1.53)+(0.6*(3+3.4+4.26+3.59+2.8)))*10.764</f>
        <v>1472.4850607999999</v>
      </c>
      <c r="E239" s="88">
        <v>0</v>
      </c>
      <c r="F239" s="88">
        <f t="shared" si="7"/>
        <v>2208.7275912</v>
      </c>
      <c r="G239" s="117"/>
      <c r="H239" s="117"/>
      <c r="I239" s="25"/>
    </row>
    <row r="240" spans="1:16" s="68" customFormat="1" ht="15.75" customHeight="1" x14ac:dyDescent="0.35">
      <c r="A240" s="97">
        <v>4</v>
      </c>
      <c r="B240" s="97" t="s">
        <v>227</v>
      </c>
      <c r="C240" s="88" t="s">
        <v>185</v>
      </c>
      <c r="D240" s="88">
        <f>(1.9*2.59+3.36*6.23+3.05*2.44+2.89*2.73+3.05*3.35+3.36*4.55+3.45*3.97+1.85*1.05+(1.38*2.14+1.38*1.06+2.85*1.53+2.29*1.38)+(3.36*1.07+1*2.44)+(0.6*(3.35+3.05+3.45)))*10.764</f>
        <v>1143.2648915999998</v>
      </c>
      <c r="E240" s="88">
        <v>0</v>
      </c>
      <c r="F240" s="88">
        <f t="shared" si="7"/>
        <v>1714.8973373999997</v>
      </c>
      <c r="G240" s="117"/>
      <c r="H240" s="117"/>
      <c r="I240" s="25">
        <f>30000000/F240</f>
        <v>17493.758574191837</v>
      </c>
    </row>
    <row r="241" spans="1:16" s="68" customFormat="1" ht="15.75" customHeight="1" x14ac:dyDescent="0.35">
      <c r="A241" s="97">
        <v>5</v>
      </c>
      <c r="B241" s="97" t="s">
        <v>228</v>
      </c>
      <c r="C241" s="88" t="s">
        <v>185</v>
      </c>
      <c r="D241" s="88">
        <f>(1.9*2.59+3.36*6.23+3.05*2.44+2.89*2.73+3.05*3.35+3.36*4.55+3.45*3.97+1.85*1.05+(1.38*2.14+1.38*1.06+2.85*1.53+2.29*1.38)+(3.36*1.07+1*2.44)+(0.6*(3.35+3.05+3.45)))*10.764</f>
        <v>1143.2648915999998</v>
      </c>
      <c r="E241" s="88">
        <v>0</v>
      </c>
      <c r="F241" s="88">
        <f t="shared" si="7"/>
        <v>1714.8973373999997</v>
      </c>
      <c r="G241" s="117"/>
      <c r="H241" s="117"/>
      <c r="I241" s="25">
        <f>22700000/F241</f>
        <v>13236.943987805158</v>
      </c>
    </row>
    <row r="242" spans="1:16" s="68" customFormat="1" ht="69" customHeight="1" x14ac:dyDescent="0.35">
      <c r="A242" s="97">
        <v>6</v>
      </c>
      <c r="B242" s="97" t="s">
        <v>229</v>
      </c>
      <c r="C242" s="88" t="s">
        <v>310</v>
      </c>
      <c r="D242" s="88">
        <f>((1.5*1.78+1.53*0.9+6.85*4.9+3.05*3.08+3.35*3.48+2.15*3.08+2.37*2.44+3.59*4.6+4.26*3.59+1.22*1.4+1.38*1.52+1.53*1.38+(2.43*1.52+2.43*1.53+1.53*2.29+1*1.53)+(1.75*1.53+1.53*3.55)+(0.6*(2+3.35+2.8+3.59+4.26)))+(2.75*3.08+3.65*4.73+6.85*3.5+3.59*4.6+4.26*3.59+1.25*2.75+1.53*1.38+1.53*1.38)+(2.44*1.53+2.44*1.53+1.93*1.5+1.38*2.44+1.53*2.74)+1.75*1.53+1.53*3.55+(0.8*(3.55+4.26+3.59+2.9)))*10.764</f>
        <v>2858.8581215999998</v>
      </c>
      <c r="E242" s="88">
        <v>0</v>
      </c>
      <c r="F242" s="88">
        <f t="shared" si="7"/>
        <v>4288.2871823999994</v>
      </c>
      <c r="G242" s="117"/>
      <c r="H242" s="117"/>
      <c r="I242" s="25"/>
    </row>
    <row r="243" spans="1:16" s="68" customFormat="1" ht="15.75" customHeight="1" x14ac:dyDescent="0.35">
      <c r="A243" s="94" t="s">
        <v>251</v>
      </c>
      <c r="B243" s="95"/>
      <c r="C243" s="95"/>
      <c r="D243" s="95"/>
      <c r="E243" s="95"/>
      <c r="F243" s="95"/>
      <c r="G243" s="95"/>
      <c r="H243" s="96"/>
      <c r="I243" s="25"/>
      <c r="P243" s="26"/>
    </row>
    <row r="244" spans="1:16" s="68" customFormat="1" ht="15.75" customHeight="1" x14ac:dyDescent="0.35">
      <c r="A244" s="97">
        <v>1</v>
      </c>
      <c r="B244" s="97" t="s">
        <v>231</v>
      </c>
      <c r="C244" s="80" t="s">
        <v>185</v>
      </c>
      <c r="D244" s="80">
        <f>(1.38*1.78+3.2*5.64+2.29*2.83+3.05*3.35+3.31*4.55+3.05*3.75+4.14*1.05+1.82*1.05+(2.29*1.46+1.38*2.14+2.44*1.53)+(3.2*1.08+2.29*1.08)+(0.6*(3.05+3.31+1.8)))*10.764</f>
        <v>977.51759039999968</v>
      </c>
      <c r="E244" s="67">
        <v>0</v>
      </c>
      <c r="F244" s="67">
        <f>D244*(($F$117)+1)+(IF(E244&lt;101,E244,IF(E244&lt;201,E244/2,IF(E244&lt;=301,E244/3,E244/4))))</f>
        <v>1466.2763855999995</v>
      </c>
      <c r="G244" s="98" t="str">
        <f>A243</f>
        <v>34th Floor (Part Refuge Area)</v>
      </c>
      <c r="H244" s="99"/>
    </row>
    <row r="245" spans="1:16" s="68" customFormat="1" ht="15.75" customHeight="1" x14ac:dyDescent="0.35">
      <c r="A245" s="97">
        <v>2</v>
      </c>
      <c r="B245" s="97" t="s">
        <v>232</v>
      </c>
      <c r="C245" s="80" t="s">
        <v>302</v>
      </c>
      <c r="D245" s="80">
        <f>(1.35*1.78+3.2*5.64+2.29*2.83+6.65*3.35+5.35*1.2+3.05*3.75+1.05*2.29+1.05*0.9+(2.29*1.46+1.38*2.14+2.44*1.53)+(3.2*1.08+2.29*1.08)+(0.6*(3.05+3.31+1.8)))*10.764</f>
        <v>982.44319679999967</v>
      </c>
      <c r="E245" s="67">
        <v>0</v>
      </c>
      <c r="F245" s="67">
        <f>D245*(($F$117)+1)+(IF(E245&lt;101,E245,IF(E245&lt;201,E245/2,IF(E245&lt;=301,E245/3,E245/4))))</f>
        <v>1473.6647951999994</v>
      </c>
      <c r="G245" s="100"/>
      <c r="H245" s="101"/>
      <c r="I245" s="25"/>
    </row>
    <row r="246" spans="1:16" s="68" customFormat="1" ht="15.75" customHeight="1" x14ac:dyDescent="0.35">
      <c r="A246" s="97">
        <v>3</v>
      </c>
      <c r="B246" s="97" t="s">
        <v>233</v>
      </c>
      <c r="C246" s="67" t="s">
        <v>212</v>
      </c>
      <c r="D246" s="67">
        <f>(1.95*1.53+1.25*3.05+3*3.08+3.05*3.5+2.75*3.08+3.65*8.38+3.59*4.6+4.26*3.59+1*1.73+1*1.22+(1.53*2.29+1.38*2.44+2.44*1.53+2.44*1.53)+(3.9*1.53+2.75*1.53+1*1.53)+(0.6*(3+3.4+4.26+3.59+2.8)))*10.764</f>
        <v>1472.4850607999999</v>
      </c>
      <c r="E246" s="67">
        <v>0</v>
      </c>
      <c r="F246" s="67">
        <f>D246*(($F$117)+1)+(IF(E246&lt;101,E246,IF(E246&lt;201,E246/2,IF(E246&lt;=301,E246/3,E246/4))))</f>
        <v>2208.7275912</v>
      </c>
      <c r="G246" s="100"/>
      <c r="H246" s="101"/>
      <c r="I246" s="25"/>
    </row>
    <row r="247" spans="1:16" s="68" customFormat="1" ht="15.75" customHeight="1" x14ac:dyDescent="0.35">
      <c r="A247" s="97">
        <v>4</v>
      </c>
      <c r="B247" s="97" t="s">
        <v>234</v>
      </c>
      <c r="C247" s="67" t="s">
        <v>185</v>
      </c>
      <c r="D247" s="67">
        <f>(1.9*2.59+3.36*6.23+3.05*2.44+2.89*2.73+3.05*3.35+3.36*4.55+3.45*3.97+1.85*1.05+(1.38*2.14+1.38*1.06+2.85*1.53+2.29*1.38)+(3.36*1.07+1*2.44)+(0.6*(3.35+3.05+3.45)))*10.764</f>
        <v>1143.2648915999998</v>
      </c>
      <c r="E247" s="67">
        <v>0</v>
      </c>
      <c r="F247" s="67">
        <f>D247*(($F$117)+1)+(IF(E247&lt;101,E247,IF(E247&lt;201,E247/2,IF(E247&lt;=301,E247/3,E247/4))))</f>
        <v>1714.8973373999997</v>
      </c>
      <c r="G247" s="100"/>
      <c r="H247" s="101"/>
      <c r="I247" s="25"/>
    </row>
    <row r="248" spans="1:16" s="68" customFormat="1" ht="15.75" customHeight="1" x14ac:dyDescent="0.35">
      <c r="A248" s="97">
        <v>5</v>
      </c>
      <c r="B248" s="97" t="s">
        <v>235</v>
      </c>
      <c r="C248" s="67" t="s">
        <v>185</v>
      </c>
      <c r="D248" s="67">
        <f>(1.9*2.59+3.36*6.23+3.05*2.44+2.89*2.73+3.05*3.35+3.36*4.55+3.45*3.97+1.85*1.05+(1.38*2.14+1.38*1.06+2.85*1.53+2.29*1.38)+(3.36*1.07+1*2.44)+(0.6*(3.35+3.05+3.45)))*10.764</f>
        <v>1143.2648915999998</v>
      </c>
      <c r="E248" s="67">
        <v>0</v>
      </c>
      <c r="F248" s="67">
        <f>D248*(($F$117)+1)+(IF(E248&lt;101,E248,IF(E248&lt;201,E248/2,IF(E248&lt;=301,E248/3,E248/4))))</f>
        <v>1714.8973373999997</v>
      </c>
      <c r="G248" s="100"/>
      <c r="H248" s="101"/>
      <c r="I248" s="25"/>
    </row>
    <row r="249" spans="1:16" s="68" customFormat="1" ht="15.75" customHeight="1" x14ac:dyDescent="0.35">
      <c r="A249" s="97">
        <v>6</v>
      </c>
      <c r="B249" s="97" t="s">
        <v>236</v>
      </c>
      <c r="C249" s="104" t="s">
        <v>252</v>
      </c>
      <c r="D249" s="105"/>
      <c r="E249" s="105"/>
      <c r="F249" s="106"/>
      <c r="G249" s="102"/>
      <c r="H249" s="103"/>
      <c r="I249" s="25"/>
    </row>
    <row r="250" spans="1:16" s="68" customFormat="1" ht="15.75" customHeight="1" x14ac:dyDescent="0.35">
      <c r="A250" s="94" t="s">
        <v>254</v>
      </c>
      <c r="B250" s="95"/>
      <c r="C250" s="95"/>
      <c r="D250" s="95"/>
      <c r="E250" s="95"/>
      <c r="F250" s="95"/>
      <c r="G250" s="95"/>
      <c r="H250" s="96"/>
      <c r="I250" s="25"/>
      <c r="P250" s="26"/>
    </row>
    <row r="251" spans="1:16" s="68" customFormat="1" ht="15.75" customHeight="1" x14ac:dyDescent="0.35">
      <c r="A251" s="97">
        <v>1</v>
      </c>
      <c r="B251" s="97" t="s">
        <v>225</v>
      </c>
      <c r="C251" s="67" t="s">
        <v>250</v>
      </c>
      <c r="D251" s="67">
        <f>(1.85*1.63+6.55*5.64+2.29*2.83+6.51*3.35+5.36*1.2+3.05*3.75+2.29*2.83+3.05*3.35+3.31*4.85+3.05*3.75+(2.44*1.53+1.38*2.14+2.29*1.46+1.38*2.13+2.44*1.53+2.29*1.46)+(4.14*1.05+1.8*1.05+3.84*1.05+2.29*1.08+2.29*1.08)+6.55*1.08+(0.6*(2.44+2.59+2.69+2.44)))*10.764</f>
        <v>1923.9207624000001</v>
      </c>
      <c r="E251" s="67">
        <v>0</v>
      </c>
      <c r="F251" s="67">
        <f>D251*(($F$117)+1)+(IF(E251&lt;101,E251,IF(E251&lt;201,E251/2,IF(E251&lt;=301,E251/3,E251/4))))</f>
        <v>2885.8811436000001</v>
      </c>
      <c r="G251" s="98" t="str">
        <f>A250</f>
        <v>41st &amp; 43rd Floor</v>
      </c>
      <c r="H251" s="99"/>
      <c r="I251" s="25" t="e">
        <f>19500000/F492</f>
        <v>#DIV/0!</v>
      </c>
    </row>
    <row r="252" spans="1:16" s="68" customFormat="1" ht="15.75" customHeight="1" x14ac:dyDescent="0.35">
      <c r="A252" s="97">
        <v>3</v>
      </c>
      <c r="B252" s="97" t="s">
        <v>226</v>
      </c>
      <c r="C252" s="67" t="s">
        <v>212</v>
      </c>
      <c r="D252" s="67">
        <f>(1.95*1.53+1.25*3.05+3*3.08+3.05*3.5+2.75*3.08+3.65*8.38+3.59*4.6+4.26*3.59+1*1.73+1*1.22+(1.53*2.29+1.38*2.44+2.44*1.53+2.44*1.53)+(3.9*1.53+2.75*1.53+1*1.53)+(0.6*(3+3.4+4.26+3.59+2.8)))*10.764</f>
        <v>1472.4850607999999</v>
      </c>
      <c r="E252" s="67">
        <v>0</v>
      </c>
      <c r="F252" s="67">
        <f>D252*(($F$117)+1)+(IF(E252&lt;101,E252,IF(E252&lt;201,E252/2,IF(E252&lt;=301,E252/3,E252/4))))</f>
        <v>2208.7275912</v>
      </c>
      <c r="G252" s="100"/>
      <c r="H252" s="101"/>
      <c r="I252" s="25"/>
    </row>
    <row r="253" spans="1:16" s="68" customFormat="1" ht="15.75" customHeight="1" x14ac:dyDescent="0.35">
      <c r="A253" s="97">
        <v>4</v>
      </c>
      <c r="B253" s="97" t="s">
        <v>227</v>
      </c>
      <c r="C253" s="67" t="s">
        <v>250</v>
      </c>
      <c r="D253" s="67">
        <f>(1.9*2.47+3.05*4.12+6.55*4.55+3.36*3.35+7.2*3.97+3.36*4.7+3.05*3.35+3.35*4.55+3.35*3.97+1.6*3.97+(2.29*1.38+1.38*2.14+2.85*1.53+2.29*1.38+2.29*1.38+1.38*2.14+2.85*1.53+1.38*0.54+1.05*5.29+1.15*1.53+1.38*1.06+1.2*1.38+3.05*1.05+1*1.38)+(1*2.44+1*2.44+1.07*3.36+1.07*3.36)+(0.6*(6.55+7.2+3.05+3.35)))*10.764</f>
        <v>2280.1800996000002</v>
      </c>
      <c r="E253" s="67">
        <v>0</v>
      </c>
      <c r="F253" s="67">
        <f>D253*(($F$117)+1)+(IF(E253&lt;101,E253,IF(E253&lt;201,E253/2,IF(E253&lt;=301,E253/3,E253/4))))</f>
        <v>3420.2701494000003</v>
      </c>
      <c r="G253" s="100"/>
      <c r="H253" s="101"/>
      <c r="I253" s="25">
        <f>30000000/F253</f>
        <v>8771.2369753198418</v>
      </c>
    </row>
    <row r="254" spans="1:16" s="68" customFormat="1" ht="15.75" customHeight="1" x14ac:dyDescent="0.35">
      <c r="A254" s="97">
        <v>6</v>
      </c>
      <c r="B254" s="97" t="s">
        <v>228</v>
      </c>
      <c r="C254" s="67" t="s">
        <v>212</v>
      </c>
      <c r="D254" s="67">
        <f>(1.95*1.53+1.25*3.05+3*3.08+3.05*3.5+2.75*3.08+3.65*8.38+3.59*4.6+4.26*3.59+1*1.73+1*1.22+(1.53*2.29+1.38*2.44+2.44*1.53+2.44*1.53)+(3.9*1.53+2.75*1.53+1*1.53)+(0.6*(3+3.4+4.26+3.59+2.8)))*10.764</f>
        <v>1472.4850607999999</v>
      </c>
      <c r="E254" s="67">
        <v>0</v>
      </c>
      <c r="F254" s="67">
        <f>D254*(($F$117)+1)+(IF(E254&lt;101,E254,IF(E254&lt;201,E254/2,IF(E254&lt;=301,E254/3,E254/4))))</f>
        <v>2208.7275912</v>
      </c>
      <c r="G254" s="102"/>
      <c r="H254" s="103"/>
      <c r="I254" s="25">
        <f>22700000/F254</f>
        <v>10277.410437774768</v>
      </c>
    </row>
    <row r="255" spans="1:16" s="68" customFormat="1" ht="15.75" customHeight="1" x14ac:dyDescent="0.35">
      <c r="A255" s="94" t="s">
        <v>255</v>
      </c>
      <c r="B255" s="95"/>
      <c r="C255" s="95"/>
      <c r="D255" s="95"/>
      <c r="E255" s="95"/>
      <c r="F255" s="95"/>
      <c r="G255" s="95"/>
      <c r="H255" s="96"/>
      <c r="I255" s="25"/>
      <c r="P255" s="26"/>
    </row>
    <row r="256" spans="1:16" s="68" customFormat="1" ht="15.75" customHeight="1" x14ac:dyDescent="0.35">
      <c r="A256" s="97">
        <v>1</v>
      </c>
      <c r="B256" s="97" t="s">
        <v>231</v>
      </c>
      <c r="C256" s="67" t="s">
        <v>185</v>
      </c>
      <c r="D256" s="67">
        <f>(1.38*1.78+3.2*5.64+2.29*2.83+3.05*3.35+3.31*4.55+3.05*3.75+4.14*1.05+1.82*1.05+(2.29*1.46+1.38*2.14+2.44*1.53)+(3.2*1.08+2.29*1.08)+(0.6*(3.05+3.31+1.8)))*10.764</f>
        <v>977.51759039999968</v>
      </c>
      <c r="E256" s="67">
        <v>0</v>
      </c>
      <c r="F256" s="67">
        <f>D256*(($F$117)+1)+(IF(E256&lt;101,E256,IF(E256&lt;201,E256/2,IF(E256&lt;=301,E256/3,E256/4))))</f>
        <v>1466.2763855999995</v>
      </c>
      <c r="G256" s="98" t="str">
        <f>A255</f>
        <v>44th Floor (Part Refuge Area)</v>
      </c>
      <c r="H256" s="99"/>
    </row>
    <row r="257" spans="1:16" s="68" customFormat="1" ht="15.75" customHeight="1" x14ac:dyDescent="0.35">
      <c r="A257" s="97">
        <v>2</v>
      </c>
      <c r="B257" s="97" t="s">
        <v>232</v>
      </c>
      <c r="C257" s="67" t="s">
        <v>185</v>
      </c>
      <c r="D257" s="67">
        <f>(1.38*1.78+3.2*5.64+2.29*2.83+3.05*3.35+3.31*4.55+3.05*3.75+4.14*1.05+1.82*1.05+(2.29*1.46+1.38*2.14+2.44*1.53)+(3.2*1.08+2.29*1.08)+(0.6*(3.05+3.31+1.8)))*10.764</f>
        <v>977.51759039999968</v>
      </c>
      <c r="E257" s="67">
        <v>0</v>
      </c>
      <c r="F257" s="67">
        <f>D257*(($F$117)+1)+(IF(E257&lt;101,E257,IF(E257&lt;201,E257/2,IF(E257&lt;=301,E257/3,E257/4))))</f>
        <v>1466.2763855999995</v>
      </c>
      <c r="G257" s="100"/>
      <c r="H257" s="101"/>
      <c r="I257" s="25"/>
    </row>
    <row r="258" spans="1:16" s="68" customFormat="1" ht="15.75" customHeight="1" x14ac:dyDescent="0.35">
      <c r="A258" s="97">
        <v>3</v>
      </c>
      <c r="B258" s="97" t="s">
        <v>233</v>
      </c>
      <c r="C258" s="67" t="s">
        <v>212</v>
      </c>
      <c r="D258" s="67">
        <f>(1.95*1.53+1.25*3.05+3*3.08+3.05*3.5+2.75*3.08+3.65*8.38+3.59*4.6+4.26*3.59+1*1.73+1*1.22+(1.53*2.29+1.38*2.44+2.44*1.53+2.44*1.53)+(3.9*1.53+2.75*1.53+1*1.53)+(0.6*(3+3.4+4.26+3.59+2.8)))*10.764</f>
        <v>1472.4850607999999</v>
      </c>
      <c r="E258" s="67">
        <v>0</v>
      </c>
      <c r="F258" s="67">
        <f>D258*(($F$117)+1)+(IF(E258&lt;101,E258,IF(E258&lt;201,E258/2,IF(E258&lt;=301,E258/3,E258/4))))</f>
        <v>2208.7275912</v>
      </c>
      <c r="G258" s="100"/>
      <c r="H258" s="101"/>
      <c r="I258" s="25"/>
    </row>
    <row r="259" spans="1:16" s="68" customFormat="1" ht="15.75" customHeight="1" x14ac:dyDescent="0.35">
      <c r="A259" s="97">
        <v>4</v>
      </c>
      <c r="B259" s="97" t="s">
        <v>234</v>
      </c>
      <c r="C259" s="104" t="s">
        <v>210</v>
      </c>
      <c r="D259" s="105"/>
      <c r="E259" s="105"/>
      <c r="F259" s="106"/>
      <c r="G259" s="100"/>
      <c r="H259" s="101"/>
      <c r="I259" s="25"/>
    </row>
    <row r="260" spans="1:16" s="68" customFormat="1" ht="15.75" customHeight="1" x14ac:dyDescent="0.35">
      <c r="A260" s="97">
        <v>5</v>
      </c>
      <c r="B260" s="97" t="s">
        <v>235</v>
      </c>
      <c r="C260" s="67" t="s">
        <v>212</v>
      </c>
      <c r="D260" s="67">
        <f>(1.9*2.59+3.36*6.23+3.05*2.44+2.89*2.73+3.05*3.35+3.36*4.55+3.45*3.97+1.85*1.05+3.36*4.7+3.36*1.07+1.37*2.89+3.91*2.81+2.29*1.37+1.05*3.91+(1.38*2.14+1.38*1.06+2.85*1.53+2.29*1.38)+(3.36*1.07+1*2.44)+(0.6*(3.35+3.05+3.45)))*10.764</f>
        <v>1590.7932611999997</v>
      </c>
      <c r="E260" s="67">
        <v>0</v>
      </c>
      <c r="F260" s="67">
        <f>D260*(($F$117)+1)+(IF(E260&lt;101,E260,IF(E260&lt;201,E260/2,IF(E260&lt;=301,E260/3,E260/4))))</f>
        <v>2386.1898917999997</v>
      </c>
      <c r="G260" s="100"/>
      <c r="H260" s="101"/>
      <c r="I260" s="25"/>
    </row>
    <row r="261" spans="1:16" s="68" customFormat="1" ht="15.75" customHeight="1" x14ac:dyDescent="0.35">
      <c r="A261" s="97">
        <v>6</v>
      </c>
      <c r="B261" s="97" t="s">
        <v>236</v>
      </c>
      <c r="C261" s="67" t="s">
        <v>212</v>
      </c>
      <c r="D261" s="67">
        <f>(1.95*1.53+1.25*3.05+3*3.08+3.05*3.5+2.75*3.08+3.65*8.38+3.59*4.6+4.26*3.59+1*1.73+1*1.22+(1.53*2.29+1.38*2.44+2.44*1.53+2.44*1.53)+(3.9*1.53+2.75*1.53+1*1.53)+(0.6*(3+3.4+4.26+3.59+2.8)))*10.764</f>
        <v>1472.4850607999999</v>
      </c>
      <c r="E261" s="67">
        <v>0</v>
      </c>
      <c r="F261" s="67">
        <f>D261*(($F$117)+1)+(IF(E261&lt;101,E261,IF(E261&lt;201,E261/2,IF(E261&lt;=301,E261/3,E261/4))))</f>
        <v>2208.7275912</v>
      </c>
      <c r="G261" s="102"/>
      <c r="H261" s="103"/>
      <c r="I261" s="25"/>
    </row>
    <row r="262" spans="1:16" s="81" customFormat="1" ht="15.75" customHeight="1" x14ac:dyDescent="0.35">
      <c r="A262" s="94" t="s">
        <v>311</v>
      </c>
      <c r="B262" s="95"/>
      <c r="C262" s="95"/>
      <c r="D262" s="95"/>
      <c r="E262" s="95"/>
      <c r="F262" s="95"/>
      <c r="G262" s="95"/>
      <c r="H262" s="96"/>
      <c r="I262" s="25"/>
      <c r="P262" s="26"/>
    </row>
    <row r="263" spans="1:16" s="81" customFormat="1" ht="15.75" customHeight="1" x14ac:dyDescent="0.35">
      <c r="A263" s="97">
        <v>1</v>
      </c>
      <c r="B263" s="97" t="s">
        <v>231</v>
      </c>
      <c r="C263" s="80" t="s">
        <v>250</v>
      </c>
      <c r="D263" s="80">
        <f>(1.85*1.63+6.55*5.64+2.29*2.83+6.51*3.35+5.36*1.2+3.05*3.75+2.29*2.83+3.05*3.35+3.31*4.85+3.05*3.75+(2.44*1.53+1.38*2.14+2.29*1.46+1.38*2.13+2.44*1.53+2.29*1.46)+(4.14*1.05+1.8*1.05+3.84*1.05+2.29*1.08+2.29*1.08)+6.55*1.08+(0.6*(2.44+2.59+2.69+2.44)))*10.764</f>
        <v>1923.9207624000001</v>
      </c>
      <c r="E263" s="80">
        <v>0</v>
      </c>
      <c r="F263" s="80">
        <f>D263*(($F$117)+1)+(IF(E263&lt;101,E263,IF(E263&lt;201,E263/2,IF(E263&lt;=301,E263/3,E263/4))))</f>
        <v>2885.8811436000001</v>
      </c>
      <c r="G263" s="98" t="str">
        <f>A262</f>
        <v>45th Floor</v>
      </c>
      <c r="H263" s="99"/>
    </row>
    <row r="264" spans="1:16" s="81" customFormat="1" ht="15.75" customHeight="1" x14ac:dyDescent="0.35">
      <c r="A264" s="97">
        <v>3</v>
      </c>
      <c r="B264" s="97" t="s">
        <v>233</v>
      </c>
      <c r="C264" s="80" t="s">
        <v>212</v>
      </c>
      <c r="D264" s="80">
        <f>(1.95*1.53+1.25*3.05+3*3.08+3.05*3.5+2.75*3.08+3.65*8.38+3.59*4.6+4.26*3.59+1*1.73+1*1.22+(1.53*2.29+1.38*2.44+2.44*1.53+2.44*1.53)+(3.9*1.53+2.75*1.53+1*1.53)+(0.6*(3+3.4+4.26+3.59+2.8)))*10.764</f>
        <v>1472.4850607999999</v>
      </c>
      <c r="E264" s="80">
        <v>0</v>
      </c>
      <c r="F264" s="80">
        <f>D264*(($F$117)+1)+(IF(E264&lt;101,E264,IF(E264&lt;201,E264/2,IF(E264&lt;=301,E264/3,E264/4))))</f>
        <v>2208.7275912</v>
      </c>
      <c r="G264" s="100"/>
      <c r="H264" s="101"/>
      <c r="I264" s="25"/>
    </row>
    <row r="265" spans="1:16" s="81" customFormat="1" ht="15.75" customHeight="1" x14ac:dyDescent="0.35">
      <c r="A265" s="97">
        <v>4</v>
      </c>
      <c r="B265" s="97" t="s">
        <v>234</v>
      </c>
      <c r="C265" s="80" t="s">
        <v>185</v>
      </c>
      <c r="D265" s="80">
        <f>(1.9*2.59+3.36*6.23+3.05*2.44+2.89*2.73+3.05*3.35+3.36*4.55+3.45*3.97+1.85*1.05+(1.38*2.14+1.38*1.06+2.85*1.53+2.29*1.38)+(3.36*1.07+1*2.44)+(0.6*(3.35+3.05+3.45)))*10.764</f>
        <v>1143.2648915999998</v>
      </c>
      <c r="E265" s="80">
        <v>0</v>
      </c>
      <c r="F265" s="80">
        <f>D265*(($F$117)+1)+(IF(E265&lt;101,E265,IF(E265&lt;201,E265/2,IF(E265&lt;=301,E265/3,E265/4))))</f>
        <v>1714.8973373999997</v>
      </c>
      <c r="G265" s="100"/>
      <c r="H265" s="101"/>
      <c r="I265" s="25"/>
    </row>
    <row r="266" spans="1:16" s="81" customFormat="1" ht="15.75" customHeight="1" x14ac:dyDescent="0.35">
      <c r="A266" s="97">
        <v>5</v>
      </c>
      <c r="B266" s="97" t="s">
        <v>235</v>
      </c>
      <c r="C266" s="80" t="s">
        <v>185</v>
      </c>
      <c r="D266" s="80">
        <f>(1.9*2.59+3.36*6.23+3.05*2.44+2.89*2.73+3.05*3.35+3.36*4.55+3.45*3.97+1.85*1.05+(1.38*2.14+1.38*1.06+2.85*1.53+2.29*1.38)+(3.36*1.07+1*2.44)+(0.6*(3.35+3.05+3.45)))*10.764</f>
        <v>1143.2648915999998</v>
      </c>
      <c r="E266" s="80">
        <v>0</v>
      </c>
      <c r="F266" s="80">
        <f>D266*(($F$117)+1)+(IF(E266&lt;101,E266,IF(E266&lt;201,E266/2,IF(E266&lt;=301,E266/3,E266/4))))</f>
        <v>1714.8973373999997</v>
      </c>
      <c r="G266" s="100"/>
      <c r="H266" s="101"/>
      <c r="I266" s="25"/>
    </row>
    <row r="267" spans="1:16" s="81" customFormat="1" ht="15.75" customHeight="1" x14ac:dyDescent="0.35">
      <c r="A267" s="97">
        <v>6</v>
      </c>
      <c r="B267" s="97" t="s">
        <v>236</v>
      </c>
      <c r="C267" s="80" t="s">
        <v>212</v>
      </c>
      <c r="D267" s="80">
        <f>(1.95*1.53+1.25*3.05+3*3.08+3.05*3.5+2.75*3.08+3.65*8.38+3.59*4.6+4.26*3.59+1*1.73+1*1.22+(1.53*2.29+1.38*2.44+2.44*1.53+2.44*1.53)+(3.9*1.53+2.75*1.53+1*1.53)+(0.6*(3+3.4+4.26+3.59+2.8)))*10.764</f>
        <v>1472.4850607999999</v>
      </c>
      <c r="E267" s="80">
        <v>0</v>
      </c>
      <c r="F267" s="80">
        <f>D267*(($F$117)+1)+(IF(E267&lt;101,E267,IF(E267&lt;201,E267/2,IF(E267&lt;=301,E267/3,E267/4))))</f>
        <v>2208.7275912</v>
      </c>
      <c r="G267" s="102"/>
      <c r="H267" s="103"/>
      <c r="I267" s="25"/>
    </row>
    <row r="268" spans="1:16" s="81" customFormat="1" ht="15.75" customHeight="1" x14ac:dyDescent="0.35">
      <c r="A268" s="94" t="s">
        <v>283</v>
      </c>
      <c r="B268" s="95"/>
      <c r="C268" s="95"/>
      <c r="D268" s="95"/>
      <c r="E268" s="95"/>
      <c r="F268" s="95"/>
      <c r="G268" s="95"/>
      <c r="H268" s="96"/>
      <c r="I268" s="25"/>
      <c r="P268" s="26"/>
    </row>
    <row r="269" spans="1:16" s="81" customFormat="1" ht="15.75" customHeight="1" x14ac:dyDescent="0.35">
      <c r="A269" s="97">
        <v>1</v>
      </c>
      <c r="B269" s="97" t="s">
        <v>231</v>
      </c>
      <c r="C269" s="80" t="s">
        <v>250</v>
      </c>
      <c r="D269" s="80">
        <f>(1.85*1.63+6.55*5.64+2.29*2.83+6.51*3.35+5.36*1.2+3.05*3.75+2.29*2.83+3.05*3.35+3.31*4.85+3.05*3.75+(2.44*1.53+1.38*2.14+2.29*1.46+1.38*2.13+2.44*1.53+2.29*1.46)+(4.14*1.05+1.8*1.05+3.84*1.05+2.29*1.08+2.29*1.08)+6.55*1.08+(0.6*(2.44+2.59+2.69+2.44)))*10.764</f>
        <v>1923.9207624000001</v>
      </c>
      <c r="E269" s="80">
        <v>0</v>
      </c>
      <c r="F269" s="80">
        <f>D269*(($F$117)+1)+(IF(E269&lt;101,E269,IF(E269&lt;201,E269/2,IF(E269&lt;=301,E269/3,E269/4))))</f>
        <v>2885.8811436000001</v>
      </c>
      <c r="G269" s="98" t="str">
        <f>A268</f>
        <v>48th Floor</v>
      </c>
      <c r="H269" s="99"/>
    </row>
    <row r="270" spans="1:16" s="81" customFormat="1" ht="15.75" customHeight="1" x14ac:dyDescent="0.35">
      <c r="A270" s="97">
        <v>3</v>
      </c>
      <c r="B270" s="97" t="s">
        <v>233</v>
      </c>
      <c r="C270" s="80" t="s">
        <v>212</v>
      </c>
      <c r="D270" s="80">
        <f>(1.95*1.53+1.25*3.05+3*3.08+3.05*3.5+2.75*3.08+3.65*8.38+3.59*4.6+4.26*3.59+1*1.73+1*1.22+(1.53*2.29+1.38*2.44+2.44*1.53+2.44*1.53)+(3.9*1.53+2.75*1.53+1*1.53)+(0.6*(3+3.4+4.26+3.59+2.8)))*10.764</f>
        <v>1472.4850607999999</v>
      </c>
      <c r="E270" s="80">
        <v>0</v>
      </c>
      <c r="F270" s="80">
        <f>D270*(($F$117)+1)+(IF(E270&lt;101,E270,IF(E270&lt;201,E270/2,IF(E270&lt;=301,E270/3,E270/4))))</f>
        <v>2208.7275912</v>
      </c>
      <c r="G270" s="100"/>
      <c r="H270" s="101"/>
      <c r="I270" s="25"/>
    </row>
    <row r="271" spans="1:16" s="81" customFormat="1" ht="15.75" customHeight="1" x14ac:dyDescent="0.35">
      <c r="A271" s="97">
        <v>4</v>
      </c>
      <c r="B271" s="97" t="s">
        <v>234</v>
      </c>
      <c r="C271" s="80" t="s">
        <v>185</v>
      </c>
      <c r="D271" s="80">
        <f>(1.9*2.59+3.36*6.23+3.05*2.44+2.89*2.73+3.05*3.35+3.36*4.55+3.45*3.97+1.85*1.05+(1.38*2.14+1.38*1.06+2.85*1.53+2.29*1.38)+(3.36*1.07+1*2.44)+(0.6*(3.35+3.05+3.45)))*10.764</f>
        <v>1143.2648915999998</v>
      </c>
      <c r="E271" s="80">
        <v>0</v>
      </c>
      <c r="F271" s="80">
        <f>D271*(($F$117)+1)+(IF(E271&lt;101,E271,IF(E271&lt;201,E271/2,IF(E271&lt;=301,E271/3,E271/4))))</f>
        <v>1714.8973373999997</v>
      </c>
      <c r="G271" s="100"/>
      <c r="H271" s="101"/>
      <c r="I271" s="25"/>
    </row>
    <row r="272" spans="1:16" s="81" customFormat="1" ht="15.75" customHeight="1" x14ac:dyDescent="0.35">
      <c r="A272" s="97">
        <v>5</v>
      </c>
      <c r="B272" s="97" t="s">
        <v>235</v>
      </c>
      <c r="C272" s="80" t="s">
        <v>185</v>
      </c>
      <c r="D272" s="80">
        <f>(1.9*2.59+3.36*6.23+3.05*2.44+2.89*2.73+3.05*3.35+3.36*4.55+3.45*3.97+1.85*1.05+(1.38*2.14+1.38*1.06+2.85*1.53+2.29*1.38)+(3.36*1.07+1*2.44)+(0.6*(3.35+3.05+3.45)))*10.764</f>
        <v>1143.2648915999998</v>
      </c>
      <c r="E272" s="80">
        <v>0</v>
      </c>
      <c r="F272" s="80">
        <f>D272*(($F$117)+1)+(IF(E272&lt;101,E272,IF(E272&lt;201,E272/2,IF(E272&lt;=301,E272/3,E272/4))))</f>
        <v>1714.8973373999997</v>
      </c>
      <c r="G272" s="100"/>
      <c r="H272" s="101"/>
      <c r="I272" s="25"/>
    </row>
    <row r="273" spans="1:16" s="81" customFormat="1" ht="15.75" customHeight="1" x14ac:dyDescent="0.35">
      <c r="A273" s="97">
        <v>6</v>
      </c>
      <c r="B273" s="97" t="s">
        <v>236</v>
      </c>
      <c r="C273" s="80" t="s">
        <v>212</v>
      </c>
      <c r="D273" s="80">
        <f>(1.95*1.53+1.25*3.05+3*3.08+3.05*3.5+2.75*3.08+3.65*8.38+3.59*4.6+4.26*3.59+1*1.73+1*1.22+(1.53*2.29+1.38*2.44+2.44*1.53+2.44*1.53)+(3.9*1.53+2.75*1.53+1*1.53)+(0.6*(3+3.4+4.26+3.59+2.8)))*10.764</f>
        <v>1472.4850607999999</v>
      </c>
      <c r="E273" s="80">
        <v>0</v>
      </c>
      <c r="F273" s="80">
        <f>D273*(($F$117)+1)+(IF(E273&lt;101,E273,IF(E273&lt;201,E273/2,IF(E273&lt;=301,E273/3,E273/4))))</f>
        <v>2208.7275912</v>
      </c>
      <c r="G273" s="102"/>
      <c r="H273" s="103"/>
      <c r="I273" s="25"/>
    </row>
    <row r="274" spans="1:16" s="68" customFormat="1" ht="15.75" customHeight="1" x14ac:dyDescent="0.35">
      <c r="A274" s="117" t="s">
        <v>256</v>
      </c>
      <c r="B274" s="117"/>
      <c r="C274" s="117"/>
      <c r="D274" s="117"/>
      <c r="E274" s="117"/>
      <c r="F274" s="117"/>
      <c r="G274" s="117"/>
      <c r="H274" s="117"/>
      <c r="I274" s="25"/>
      <c r="P274" s="26"/>
    </row>
    <row r="275" spans="1:16" s="68" customFormat="1" ht="15.75" customHeight="1" x14ac:dyDescent="0.35">
      <c r="A275" s="97">
        <v>1</v>
      </c>
      <c r="B275" s="97" t="s">
        <v>231</v>
      </c>
      <c r="C275" s="88" t="s">
        <v>250</v>
      </c>
      <c r="D275" s="88">
        <f>(1.85*1.63+6.55*5.64+2.29*2.83+6.51*3.35+5.36*1.2+3.05*3.75+2.29*2.83+3.05*3.35+3.31*4.85+3.05*3.75+(2.44*1.53+1.38*2.14+2.29*1.46+1.38*2.13+2.44*1.53+2.29*1.46)+(4.14*1.05+1.8*1.05+3.84*1.05+2.29*1.08+2.29*1.08)+6.55*1.08+(0.6*(2.44+2.59+2.69+2.44)))*10.764</f>
        <v>1923.9207624000001</v>
      </c>
      <c r="E275" s="88">
        <v>0</v>
      </c>
      <c r="F275" s="88">
        <f>D275*(($F$117)+1)+(IF(E275&lt;101,E275,IF(E275&lt;201,E275/2,IF(E275&lt;=301,E275/3,E275/4))))</f>
        <v>2885.8811436000001</v>
      </c>
      <c r="G275" s="97" t="str">
        <f>A274</f>
        <v>49th Floor (Part Refuge Area)</v>
      </c>
      <c r="H275" s="97"/>
    </row>
    <row r="276" spans="1:16" s="68" customFormat="1" ht="15.75" customHeight="1" x14ac:dyDescent="0.35">
      <c r="A276" s="97">
        <v>3</v>
      </c>
      <c r="B276" s="97" t="s">
        <v>232</v>
      </c>
      <c r="C276" s="88" t="s">
        <v>212</v>
      </c>
      <c r="D276" s="88">
        <f>(1.95*1.53+1.25*3.05+3*3.08+3.05*3.5+2.75*3.08+3.65*8.38+3.59*4.6+4.26*3.59+1*1.73+1*1.22+(1.53*2.29+1.38*2.44+2.44*1.53+2.44*1.53)+(3.9*1.53+2.75*1.53+1*1.53)+(0.6*(3+3.4+4.26+3.59+2.8)))*10.764</f>
        <v>1472.4850607999999</v>
      </c>
      <c r="E276" s="88">
        <v>0</v>
      </c>
      <c r="F276" s="88">
        <f>D276*(($F$117)+1)+(IF(E276&lt;101,E276,IF(E276&lt;201,E276/2,IF(E276&lt;=301,E276/3,E276/4))))</f>
        <v>2208.7275912</v>
      </c>
      <c r="G276" s="97"/>
      <c r="H276" s="97"/>
      <c r="I276" s="25"/>
    </row>
    <row r="277" spans="1:16" s="68" customFormat="1" ht="15.75" customHeight="1" x14ac:dyDescent="0.35">
      <c r="A277" s="97">
        <v>4</v>
      </c>
      <c r="B277" s="97" t="s">
        <v>234</v>
      </c>
      <c r="C277" s="97" t="s">
        <v>210</v>
      </c>
      <c r="D277" s="97"/>
      <c r="E277" s="97"/>
      <c r="F277" s="97"/>
      <c r="G277" s="97"/>
      <c r="H277" s="97"/>
      <c r="I277" s="25"/>
    </row>
    <row r="278" spans="1:16" s="68" customFormat="1" ht="15.75" customHeight="1" x14ac:dyDescent="0.35">
      <c r="A278" s="97">
        <v>5</v>
      </c>
      <c r="B278" s="97" t="s">
        <v>235</v>
      </c>
      <c r="C278" s="88" t="s">
        <v>212</v>
      </c>
      <c r="D278" s="88">
        <f>(1.9*2.59+3.36*6.23+3.05*2.44+2.89*2.73+3.05*3.35+3.36*4.55+3.45*3.97+1.85*1.05+3.36*4.7+3.36*1.07+1.37*2.89+3.91*2.81+2.29*1.37+1.05*3.91+(1.38*2.14+1.38*1.06+2.85*1.53+2.29*1.38)+(3.36*1.07+1*2.44)+(0.6*(3.35+3.05+3.45)))*10.764</f>
        <v>1590.7932611999997</v>
      </c>
      <c r="E278" s="88">
        <v>0</v>
      </c>
      <c r="F278" s="88">
        <f>D278*(($F$117)+1)+(IF(E278&lt;101,E278,IF(E278&lt;201,E278/2,IF(E278&lt;=301,E278/3,E278/4))))</f>
        <v>2386.1898917999997</v>
      </c>
      <c r="G278" s="97"/>
      <c r="H278" s="97"/>
      <c r="I278" s="25"/>
    </row>
    <row r="279" spans="1:16" s="68" customFormat="1" ht="15.75" customHeight="1" x14ac:dyDescent="0.35">
      <c r="A279" s="97">
        <v>6</v>
      </c>
      <c r="B279" s="97" t="s">
        <v>236</v>
      </c>
      <c r="C279" s="88" t="s">
        <v>212</v>
      </c>
      <c r="D279" s="88">
        <f>(1.95*1.53+1.25*3.05+3*3.08+3.05*3.5+2.75*3.08+3.65*8.38+3.59*4.6+4.26*3.59+1*1.73+1*1.22+(1.53*2.29+1.38*2.44+2.44*1.53+2.44*1.53)+(3.9*1.53+2.75*1.53+1*1.53)+(0.6*(3+3.4+4.26+3.59+2.8)))*10.764</f>
        <v>1472.4850607999999</v>
      </c>
      <c r="E279" s="88">
        <v>0</v>
      </c>
      <c r="F279" s="88">
        <f>D279*(($F$117)+1)+(IF(E279&lt;101,E279,IF(E279&lt;201,E279/2,IF(E279&lt;=301,E279/3,E279/4))))</f>
        <v>2208.7275912</v>
      </c>
      <c r="G279" s="97"/>
      <c r="H279" s="97"/>
      <c r="I279" s="25"/>
    </row>
    <row r="280" spans="1:16" s="68" customFormat="1" ht="15.75" customHeight="1" x14ac:dyDescent="0.35">
      <c r="A280" s="117" t="s">
        <v>257</v>
      </c>
      <c r="B280" s="117"/>
      <c r="C280" s="117"/>
      <c r="D280" s="117"/>
      <c r="E280" s="117"/>
      <c r="F280" s="117"/>
      <c r="G280" s="117"/>
      <c r="H280" s="117"/>
      <c r="I280" s="25"/>
      <c r="P280" s="26"/>
    </row>
    <row r="281" spans="1:16" s="68" customFormat="1" ht="15.75" customHeight="1" x14ac:dyDescent="0.35">
      <c r="A281" s="97">
        <v>1</v>
      </c>
      <c r="B281" s="97" t="s">
        <v>225</v>
      </c>
      <c r="C281" s="88" t="s">
        <v>312</v>
      </c>
      <c r="D281" s="88">
        <f>(1.85*1.63+6.55*5.64+2.29*2.83+6.51*3.35+5.36*1.2+3.05*3.75+2.29*2.83+3.05*3.35+3.31*4.85+3.05*3.75+(2.44*1.53+1.38*2.14+2.29*1.46+1.38*2.13+2.44*1.53+2.29*1.46)+(4.14*1.05+1.8*1.05+3.84*1.05+2.29*1.08+2.29*1.08)+6.55*1.08+(0.6*(2.44+2.59+2.69+2.44)))*10.764</f>
        <v>1923.9207624000001</v>
      </c>
      <c r="E281" s="88">
        <v>0</v>
      </c>
      <c r="F281" s="88">
        <f>D281*(($F$117)+1)+(IF(E281&lt;101,E281,IF(E281&lt;201,E281/2,IF(E281&lt;=301,E281/3,E281/4))))</f>
        <v>2885.8811436000001</v>
      </c>
      <c r="G281" s="97" t="str">
        <f>A280</f>
        <v>50th Floor</v>
      </c>
      <c r="H281" s="97"/>
      <c r="I281" s="25" t="e">
        <f>19500000/F510</f>
        <v>#DIV/0!</v>
      </c>
    </row>
    <row r="282" spans="1:16" s="68" customFormat="1" ht="54" customHeight="1" x14ac:dyDescent="0.35">
      <c r="A282" s="97">
        <v>3</v>
      </c>
      <c r="B282" s="97" t="s">
        <v>226</v>
      </c>
      <c r="C282" s="88" t="s">
        <v>258</v>
      </c>
      <c r="D282" s="88">
        <f>((2.3*1.93+1.52*1.7+1.43*0.45+3.05*3.5+3.83*3.33+5*3.68+2.48*1.23+7.64*3.28+1.31*1.32+1.31*1.52+4.29*3.59+3.59*0.55+3.59*0.55+(1.38*1.05+1.52*2.29+2.13*1.22+2.13*1.37)+(7.64*1.5+3.28*1.5+2.4*1.53)+(0.6*(2.8+4+2.48+2.2)))+(2.6*1.5+4.75*3.33+3.83*1.38+5.25*3.37+5.44*3.37+4.26*3.53+4.8*3.01+3.58*3.53+3.53*2.2)+(1.53*2.61+1.38*3.33+2.44*1.53+1.53*3.59+1.53*1.35)+1.53*1.8+(0.8*(3.55+4.26+2.9)))*10.764</f>
        <v>3015.873666</v>
      </c>
      <c r="E282" s="88">
        <v>0</v>
      </c>
      <c r="F282" s="88">
        <f>D282*(($F$117)+1)+(IF(E282&lt;101,E282,IF(E282&lt;201,E282/2,IF(E282&lt;=301,E282/3,E282/4))))</f>
        <v>4523.8104990000002</v>
      </c>
      <c r="G282" s="97"/>
      <c r="H282" s="97"/>
      <c r="I282" s="25"/>
    </row>
    <row r="283" spans="1:16" s="68" customFormat="1" ht="48.75" customHeight="1" x14ac:dyDescent="0.35">
      <c r="A283" s="97">
        <v>4</v>
      </c>
      <c r="B283" s="97" t="s">
        <v>227</v>
      </c>
      <c r="C283" s="88" t="s">
        <v>259</v>
      </c>
      <c r="D283" s="88">
        <f>((1.9*4.88+2.3*1.3+3.35*4.55+3.05*3.35+2.74*2.42+3.36*7.52+7.2*5.41+3.51*3.98+2.05*2.25+4.2*4.12+6.55*3.98+1.22*1.78+1.9*5.49+1.77*1.2+3.55*0.57+3.08*0.57+1.22*1.45+2.09*1.05+(2.85*1.52+1.37*2.29+1.75*1.96+1.38*2.63+2.85*2.1+2.69*1.59)+(5.95*0.9+1.22*14.37+0.5*7.25*1.67+0.5*7.25*1.67)+(0.6*(6.55+6.95)))+(1.9*3.25+3.36*2.77+1.31*1.35+2.89*1.26+2.89*2.66+1.22*1.45+2.85*1.53+5.8*0.57+6.55*3.98+1.38*2.12+1.38*2.29+3.36*4.55+1.53*5.7+3.8*3.63+3.36*4.55+1.38*2.63+1.38*1.76+6.8*4.55+1.99*1.21+4.59*0.57+2.85*1.53+1.22*1.68+2.69*1.84+4.2*2.22+2.55*0.49+1.5*1.46+3.39*1.9+1.53*3.4))*10.764</f>
        <v>4972.2209783999997</v>
      </c>
      <c r="E283" s="88">
        <v>0</v>
      </c>
      <c r="F283" s="88">
        <f>D283*(($F$117)+1)+(IF(E283&lt;101,E283,IF(E283&lt;201,E283/2,IF(E283&lt;=301,E283/3,E283/4))))</f>
        <v>7458.3314675999991</v>
      </c>
      <c r="G283" s="97"/>
      <c r="H283" s="97"/>
      <c r="I283" s="25">
        <f>30000000/F283</f>
        <v>4022.3473749221334</v>
      </c>
    </row>
    <row r="284" spans="1:16" s="68" customFormat="1" ht="54" customHeight="1" x14ac:dyDescent="0.35">
      <c r="A284" s="97">
        <v>6</v>
      </c>
      <c r="B284" s="97" t="s">
        <v>228</v>
      </c>
      <c r="C284" s="88" t="s">
        <v>258</v>
      </c>
      <c r="D284" s="88">
        <f>((2.3*1.93+1.52*1.7+1.43*0.45+3.05*3.5+3.83*3.33+5*3.68+2.48*1.23+7.65*3.28+1.31*1.32+1.31*1.52+4.29*3.59+3.59*0.55+3.59*0.55+(1.38*1.05+1.52*2.29+2.13*1.22+2.13*1.37)+(7.64*1.5+3.28*1.5+2.4*1.53)+(0.6*(2.8+4+2.48+2.2)))+(2.6*1.5+4.75*3.33+3.83*1.38+5.25*3.37+5.44*3.37+4.26*3.53+4.8*3.01+3.58*3.53+3.53*2.2)+(1.53*2.61+1.38*3.33+2.44*1.53+1.53*3.59+1.53*1.35)+1.53*1.8+(0.8*(3.55+4.26+2.9)))*10.764</f>
        <v>3016.2267251999997</v>
      </c>
      <c r="E284" s="88">
        <v>0</v>
      </c>
      <c r="F284" s="88">
        <f>D284*(($F$117)+1)+(IF(E284&lt;101,E284,IF(E284&lt;201,E284/2,IF(E284&lt;=301,E284/3,E284/4))))</f>
        <v>4524.3400877999993</v>
      </c>
      <c r="G284" s="97"/>
      <c r="H284" s="97"/>
      <c r="I284" s="25">
        <f>22700000/F284</f>
        <v>5017.3062942839197</v>
      </c>
    </row>
    <row r="285" spans="1:16" s="68" customFormat="1" ht="15.75" customHeight="1" x14ac:dyDescent="0.35">
      <c r="A285" s="94" t="s">
        <v>260</v>
      </c>
      <c r="B285" s="95"/>
      <c r="C285" s="95"/>
      <c r="D285" s="95"/>
      <c r="E285" s="95"/>
      <c r="F285" s="95"/>
      <c r="G285" s="95"/>
      <c r="H285" s="96"/>
      <c r="I285" s="25"/>
      <c r="P285" s="26"/>
    </row>
    <row r="286" spans="1:16" s="68" customFormat="1" ht="15.75" customHeight="1" x14ac:dyDescent="0.35">
      <c r="A286" s="97">
        <v>1</v>
      </c>
      <c r="B286" s="97" t="s">
        <v>225</v>
      </c>
      <c r="C286" s="67" t="s">
        <v>250</v>
      </c>
      <c r="D286" s="67">
        <f>(1.85*1.63+6.55*5.64+2.29*2.83+6.51*3.35+5.36*1.2+3.05*3.75+2.29*2.83+3.05*3.35+3.31*4.85+3.05*3.75+(2.44*1.53+1.38*2.14+2.29*1.46+1.38*2.13+2.44*1.53+2.29*1.46)+(4.14*1.05+1.8*1.05+3.84*1.05+2.29*1.08+2.29*1.08)+6.55*1.08+(0.6*(2.44+2.59+2.69+2.44)))*10.764</f>
        <v>1923.9207624000001</v>
      </c>
      <c r="E286" s="67">
        <v>0</v>
      </c>
      <c r="F286" s="67">
        <f>D286*(($F$117)+1)+(IF(E286&lt;101,E286,IF(E286&lt;201,E286/2,IF(E286&lt;=301,E286/3,E286/4))))</f>
        <v>2885.8811436000001</v>
      </c>
      <c r="G286" s="98" t="str">
        <f>A285</f>
        <v>51st Floor</v>
      </c>
      <c r="H286" s="99"/>
      <c r="I286" s="25" t="e">
        <f>19500000/F515</f>
        <v>#DIV/0!</v>
      </c>
    </row>
    <row r="287" spans="1:16" s="68" customFormat="1" ht="15.75" customHeight="1" x14ac:dyDescent="0.35">
      <c r="A287" s="97">
        <v>3</v>
      </c>
      <c r="B287" s="97" t="s">
        <v>226</v>
      </c>
      <c r="C287" s="104" t="s">
        <v>261</v>
      </c>
      <c r="D287" s="105"/>
      <c r="E287" s="105"/>
      <c r="F287" s="106"/>
      <c r="G287" s="100"/>
      <c r="H287" s="101"/>
      <c r="I287" s="25"/>
    </row>
    <row r="288" spans="1:16" s="68" customFormat="1" ht="15.75" customHeight="1" x14ac:dyDescent="0.35">
      <c r="A288" s="97">
        <v>4</v>
      </c>
      <c r="B288" s="97" t="s">
        <v>227</v>
      </c>
      <c r="C288" s="104" t="s">
        <v>262</v>
      </c>
      <c r="D288" s="105">
        <f>((1.9*4.88+2.3*1.3+3.35*4.55+3.05*3.35+2.74*2.42+3.36*7.52+7.2*5.41+3.51*3.98+2.05*2.25+4.2*4.12+6.55*3.98+1.22*1.78+1.9*5.49+1.77*1.2+3.55*0.57+3.08*0.57+1.22*1.45+2.09*1.05+(2.85*1.52+1.37*2.29+1.75*1.96+1.38*2.63+2.85*2.1+2.69*1.59)+(5.95*0.9+1.22*14.37+0.5*7.25*1.67+0.5*7.25*1.67)+(0.6*(6.55+6.95)))+(1.9*3.25+3.36*2.77+1.31*1.35+2.89*1.26+2.89*2.66+1.22*1.45+2.85*1.53+5.8*0.57+6.55*3.98+1.38*2.12+1.38*2.29+3.36*4.55+1.53*5.7+3.8*3.63+3.36*4.55+1.38*2.63+1.38*1.76+6.8*4.55+1.99*1.21+4.59*0.57+2.85*1.53+1.22*1.68+2.69*1.84+4.2*2.22+2.55*0.49+1.5*1.46+3.39*1.9+1.53*3.4))*10.764</f>
        <v>4972.2209783999997</v>
      </c>
      <c r="E288" s="105">
        <v>0</v>
      </c>
      <c r="F288" s="106">
        <f>D288*(($F$117)+1)+(IF(E288&lt;101,E288,IF(E288&lt;201,E288/2,IF(E288&lt;=301,E288/3,E288/4))))</f>
        <v>7458.3314675999991</v>
      </c>
      <c r="G288" s="100"/>
      <c r="H288" s="101"/>
      <c r="I288" s="25">
        <f>30000000/F288</f>
        <v>4022.3473749221334</v>
      </c>
    </row>
    <row r="289" spans="1:14" s="68" customFormat="1" ht="15.75" customHeight="1" x14ac:dyDescent="0.35">
      <c r="A289" s="97">
        <v>5</v>
      </c>
      <c r="B289" s="97" t="s">
        <v>228</v>
      </c>
      <c r="C289" s="104" t="s">
        <v>261</v>
      </c>
      <c r="D289" s="105">
        <f>((2.3*1.93+1.52*1.7+1.43*0.45+3.05*3.5+3.83*3.33+5*3.68+2.48*1.23+7.65*3.28+1.31*1.32+1.31*1.52+4.29*3.59+3.59*0.55+3.59*0.55+(1.38*1.05+1.52*2.29+2.13*1.22+2.13*1.37)+(7.64*1.5+3.28*1.5+2.4*1.53)+(0.6*(2.8+4+2.48+2.2)))+(2.6*1.5+4.75*3.33+3.83*1.38+5.25*3.37+5.44*3.37+4.26*3.53+4.8*3.01+3.58*3.53+3.53*2.2)+(1.53*2.61+1.38*3.33+2.44*1.53+1.53*3.59+1.53*1.35)+1.53*1.8+(0.8*(3.55+4.26+2.9)))*10.764</f>
        <v>3016.2267251999997</v>
      </c>
      <c r="E289" s="105">
        <v>0</v>
      </c>
      <c r="F289" s="106">
        <f>D289*(($F$117)+1)+(IF(E289&lt;101,E289,IF(E289&lt;201,E289/2,IF(E289&lt;=301,E289/3,E289/4))))</f>
        <v>4524.3400877999993</v>
      </c>
      <c r="G289" s="102"/>
      <c r="H289" s="103"/>
      <c r="I289" s="25">
        <f>22700000/F289</f>
        <v>5017.3062942839197</v>
      </c>
    </row>
    <row r="290" spans="1:14" s="68" customFormat="1" x14ac:dyDescent="0.35">
      <c r="A290" s="94" t="s">
        <v>263</v>
      </c>
      <c r="B290" s="95"/>
      <c r="C290" s="95"/>
      <c r="D290" s="95"/>
      <c r="E290" s="95"/>
      <c r="F290" s="95"/>
      <c r="G290" s="95"/>
      <c r="H290" s="96"/>
      <c r="J290" s="25"/>
    </row>
    <row r="291" spans="1:14" s="68" customFormat="1" x14ac:dyDescent="0.35">
      <c r="A291" s="94" t="s">
        <v>179</v>
      </c>
      <c r="B291" s="95"/>
      <c r="C291" s="95"/>
      <c r="D291" s="95"/>
      <c r="E291" s="95"/>
      <c r="F291" s="95"/>
      <c r="G291" s="95"/>
      <c r="H291" s="96"/>
      <c r="J291" s="25"/>
    </row>
    <row r="292" spans="1:14" s="68" customFormat="1" x14ac:dyDescent="0.35">
      <c r="A292" s="94" t="s">
        <v>180</v>
      </c>
      <c r="B292" s="95"/>
      <c r="C292" s="95"/>
      <c r="D292" s="95"/>
      <c r="E292" s="95"/>
      <c r="F292" s="95"/>
      <c r="G292" s="95"/>
      <c r="H292" s="96"/>
      <c r="J292" s="25"/>
    </row>
    <row r="293" spans="1:14" s="68" customFormat="1" x14ac:dyDescent="0.35">
      <c r="A293" s="94" t="s">
        <v>181</v>
      </c>
      <c r="B293" s="95"/>
      <c r="C293" s="95"/>
      <c r="D293" s="95"/>
      <c r="E293" s="95"/>
      <c r="F293" s="95"/>
      <c r="G293" s="95"/>
      <c r="H293" s="96"/>
      <c r="J293" s="25"/>
    </row>
    <row r="294" spans="1:14" s="68" customFormat="1" x14ac:dyDescent="0.35">
      <c r="A294" s="94" t="s">
        <v>182</v>
      </c>
      <c r="B294" s="95"/>
      <c r="C294" s="95"/>
      <c r="D294" s="95"/>
      <c r="E294" s="95"/>
      <c r="F294" s="95"/>
      <c r="G294" s="95"/>
      <c r="H294" s="96"/>
      <c r="J294" s="25"/>
    </row>
    <row r="295" spans="1:14" s="68" customFormat="1" x14ac:dyDescent="0.35">
      <c r="A295" s="117" t="s">
        <v>187</v>
      </c>
      <c r="B295" s="117"/>
      <c r="C295" s="117"/>
      <c r="D295" s="117"/>
      <c r="E295" s="117"/>
      <c r="F295" s="117"/>
      <c r="G295" s="117"/>
      <c r="H295" s="117"/>
      <c r="I295" s="25"/>
      <c r="L295" s="118"/>
      <c r="M295" s="118"/>
    </row>
    <row r="296" spans="1:14" s="68" customFormat="1" ht="15.75" customHeight="1" x14ac:dyDescent="0.35">
      <c r="A296" s="97" t="s">
        <v>189</v>
      </c>
      <c r="B296" s="97"/>
      <c r="C296" s="104" t="s">
        <v>183</v>
      </c>
      <c r="D296" s="105"/>
      <c r="E296" s="105"/>
      <c r="F296" s="106"/>
      <c r="G296" s="98" t="str">
        <f>A295</f>
        <v>4th Podium Floor For Residential, Parking &amp; Amenities</v>
      </c>
      <c r="H296" s="99"/>
      <c r="I296" s="25"/>
      <c r="N296" s="25"/>
    </row>
    <row r="297" spans="1:14" s="68" customFormat="1" ht="15.75" customHeight="1" x14ac:dyDescent="0.35">
      <c r="A297" s="97" t="s">
        <v>190</v>
      </c>
      <c r="B297" s="97"/>
      <c r="C297" s="104" t="s">
        <v>183</v>
      </c>
      <c r="D297" s="105"/>
      <c r="E297" s="105"/>
      <c r="F297" s="106"/>
      <c r="G297" s="100"/>
      <c r="H297" s="101"/>
      <c r="I297" s="25"/>
      <c r="N297" s="25"/>
    </row>
    <row r="298" spans="1:14" s="68" customFormat="1" ht="15.75" customHeight="1" x14ac:dyDescent="0.35">
      <c r="A298" s="97" t="s">
        <v>191</v>
      </c>
      <c r="B298" s="97"/>
      <c r="C298" s="104" t="s">
        <v>183</v>
      </c>
      <c r="D298" s="105"/>
      <c r="E298" s="105"/>
      <c r="F298" s="106"/>
      <c r="G298" s="100"/>
      <c r="H298" s="101"/>
      <c r="I298" s="25"/>
      <c r="N298" s="25"/>
    </row>
    <row r="299" spans="1:14" s="68" customFormat="1" ht="15.75" customHeight="1" x14ac:dyDescent="0.35">
      <c r="A299" s="97" t="s">
        <v>192</v>
      </c>
      <c r="B299" s="97"/>
      <c r="C299" s="67" t="s">
        <v>185</v>
      </c>
      <c r="D299" s="67">
        <f>(1.9*2.59+3.36*6.23+3.05*2.44+2.89*2.73+3.05*3.35+3.36*4.55+3.45*3.97+1.85*1.05+(1.38*2.14+1.38*1.06+2.85*1.53+2.29*1.38)+(3.36*1.07+1*2.44)+(0.6*(3.35+3.05+3.45)))*10.764</f>
        <v>1143.2648915999998</v>
      </c>
      <c r="E299" s="67">
        <v>0</v>
      </c>
      <c r="F299" s="67">
        <f>D299*(($F$117)+1)+(IF(E299&lt;101,E299,IF(E299&lt;201,E299/2,IF(E299&lt;=301,E299/3,E299/4))))</f>
        <v>1714.8973373999997</v>
      </c>
      <c r="G299" s="100"/>
      <c r="H299" s="101"/>
      <c r="I299" s="25">
        <f>101.51+65</f>
        <v>166.51</v>
      </c>
      <c r="K299" s="68">
        <f>I299*J299</f>
        <v>0</v>
      </c>
      <c r="L299" s="68">
        <f>1093+65</f>
        <v>1158</v>
      </c>
      <c r="N299" s="25"/>
    </row>
    <row r="300" spans="1:14" s="68" customFormat="1" ht="15.75" customHeight="1" x14ac:dyDescent="0.35">
      <c r="A300" s="97" t="s">
        <v>193</v>
      </c>
      <c r="B300" s="97"/>
      <c r="C300" s="67" t="s">
        <v>185</v>
      </c>
      <c r="D300" s="67">
        <f>(1.9*2.59+3.36*6.23+3.05*2.44+2.89*2.73+3.05*3.35+3.36*4.55+3.45*3.97+1.85*1.05+(1.38*2.14+1.38*1.06+2.85*1.53+2.29*1.38)+(3.36*1.07+1*2.44)+(0.6*(3.35+3.05+3.45)))*10.764</f>
        <v>1143.2648915999998</v>
      </c>
      <c r="E300" s="67">
        <v>0</v>
      </c>
      <c r="F300" s="67">
        <f>D300*(($F$117)+1)+(IF(E300&lt;101,E300,IF(E300&lt;201,E300/2,IF(E300&lt;=301,E300/3,E300/4))))</f>
        <v>1714.8973373999997</v>
      </c>
      <c r="G300" s="102"/>
      <c r="H300" s="103"/>
      <c r="I300" s="25">
        <f>1143-1082</f>
        <v>61</v>
      </c>
      <c r="N300" s="25"/>
    </row>
    <row r="301" spans="1:14" s="68" customFormat="1" x14ac:dyDescent="0.35">
      <c r="A301" s="117" t="s">
        <v>186</v>
      </c>
      <c r="B301" s="117"/>
      <c r="C301" s="117"/>
      <c r="D301" s="117"/>
      <c r="E301" s="117"/>
      <c r="F301" s="117"/>
      <c r="G301" s="117"/>
      <c r="H301" s="117"/>
      <c r="I301" s="25"/>
      <c r="L301" s="118"/>
      <c r="M301" s="118"/>
    </row>
    <row r="302" spans="1:14" s="68" customFormat="1" ht="15.75" customHeight="1" x14ac:dyDescent="0.35">
      <c r="A302" s="97" t="s">
        <v>194</v>
      </c>
      <c r="B302" s="97"/>
      <c r="C302" s="104" t="s">
        <v>183</v>
      </c>
      <c r="D302" s="105"/>
      <c r="E302" s="105"/>
      <c r="F302" s="106"/>
      <c r="G302" s="98" t="str">
        <f>A301</f>
        <v>5th Podium Floor For Residential, Parking &amp; Amenities</v>
      </c>
      <c r="H302" s="99"/>
      <c r="I302" s="25"/>
      <c r="N302" s="25"/>
    </row>
    <row r="303" spans="1:14" s="68" customFormat="1" ht="15.75" customHeight="1" x14ac:dyDescent="0.35">
      <c r="A303" s="97" t="s">
        <v>195</v>
      </c>
      <c r="B303" s="97"/>
      <c r="C303" s="104" t="s">
        <v>183</v>
      </c>
      <c r="D303" s="105"/>
      <c r="E303" s="105"/>
      <c r="F303" s="106"/>
      <c r="G303" s="100"/>
      <c r="H303" s="101"/>
      <c r="I303" s="25"/>
      <c r="N303" s="25"/>
    </row>
    <row r="304" spans="1:14" s="68" customFormat="1" ht="15.75" customHeight="1" x14ac:dyDescent="0.35">
      <c r="A304" s="97" t="s">
        <v>196</v>
      </c>
      <c r="B304" s="97"/>
      <c r="C304" s="104" t="s">
        <v>183</v>
      </c>
      <c r="D304" s="105"/>
      <c r="E304" s="105"/>
      <c r="F304" s="106"/>
      <c r="G304" s="100"/>
      <c r="H304" s="101"/>
      <c r="I304" s="25"/>
      <c r="N304" s="25"/>
    </row>
    <row r="305" spans="1:14" s="68" customFormat="1" ht="15.75" customHeight="1" x14ac:dyDescent="0.35">
      <c r="A305" s="97" t="s">
        <v>197</v>
      </c>
      <c r="B305" s="97"/>
      <c r="C305" s="67" t="s">
        <v>185</v>
      </c>
      <c r="D305" s="67">
        <f>(1.9*2.59+3.36*6.23+3.05*2.44+2.89*2.73+3.05*3.35+3.36*4.55+3.45*3.97+1.85*1.05+(1.38*2.14+1.38*1.06+2.85*1.53+2.29*1.38)+(3.36*1.07+1*2.44)+(0.6*(3.35+3.05+3.45)))*10.764</f>
        <v>1143.2648915999998</v>
      </c>
      <c r="E305" s="67">
        <v>0</v>
      </c>
      <c r="F305" s="67">
        <f>D305*(($F$117)+1)+(IF(E305&lt;101,E305,IF(E305&lt;201,E305/2,IF(E305&lt;=301,E305/3,E305/4))))</f>
        <v>1714.8973373999997</v>
      </c>
      <c r="G305" s="100"/>
      <c r="H305" s="101"/>
      <c r="I305" s="25"/>
      <c r="N305" s="25"/>
    </row>
    <row r="306" spans="1:14" s="68" customFormat="1" ht="15.75" customHeight="1" x14ac:dyDescent="0.35">
      <c r="A306" s="97" t="s">
        <v>198</v>
      </c>
      <c r="B306" s="97"/>
      <c r="C306" s="67" t="s">
        <v>185</v>
      </c>
      <c r="D306" s="67">
        <f>(1.9*2.59+3.36*6.23+3.05*2.44+2.89*2.73+3.05*3.35+3.36*4.55+3.45*3.97+1.85*1.05+(1.38*2.14+1.38*1.06+2.85*1.53+2.29*1.38)+(3.36*1.07+1*2.44)+(0.6*(3.35+3.05+3.45)))*10.764</f>
        <v>1143.2648915999998</v>
      </c>
      <c r="E306" s="67">
        <v>0</v>
      </c>
      <c r="F306" s="67">
        <f>D306*(($F$117)+1)+(IF(E306&lt;101,E306,IF(E306&lt;201,E306/2,IF(E306&lt;=301,E306/3,E306/4))))</f>
        <v>1714.8973373999997</v>
      </c>
      <c r="G306" s="102"/>
      <c r="H306" s="103"/>
      <c r="I306" s="25"/>
      <c r="N306" s="25"/>
    </row>
    <row r="307" spans="1:14" s="68" customFormat="1" x14ac:dyDescent="0.35">
      <c r="A307" s="117" t="s">
        <v>188</v>
      </c>
      <c r="B307" s="117"/>
      <c r="C307" s="117"/>
      <c r="D307" s="117"/>
      <c r="E307" s="117"/>
      <c r="F307" s="117"/>
      <c r="G307" s="117"/>
      <c r="H307" s="117"/>
      <c r="I307" s="25"/>
      <c r="L307" s="118"/>
      <c r="M307" s="118"/>
    </row>
    <row r="308" spans="1:14" s="68" customFormat="1" ht="15.75" customHeight="1" x14ac:dyDescent="0.35">
      <c r="A308" s="97" t="s">
        <v>199</v>
      </c>
      <c r="B308" s="97"/>
      <c r="C308" s="97" t="s">
        <v>183</v>
      </c>
      <c r="D308" s="97"/>
      <c r="E308" s="97"/>
      <c r="F308" s="97"/>
      <c r="G308" s="97" t="str">
        <f>A307</f>
        <v xml:space="preserve">6th Podium Floor For Residential, Parking </v>
      </c>
      <c r="H308" s="97"/>
      <c r="I308" s="25"/>
      <c r="N308" s="25"/>
    </row>
    <row r="309" spans="1:14" s="68" customFormat="1" ht="15.75" customHeight="1" x14ac:dyDescent="0.35">
      <c r="A309" s="97" t="s">
        <v>200</v>
      </c>
      <c r="B309" s="97"/>
      <c r="C309" s="97" t="s">
        <v>183</v>
      </c>
      <c r="D309" s="97"/>
      <c r="E309" s="97"/>
      <c r="F309" s="97"/>
      <c r="G309" s="97"/>
      <c r="H309" s="97"/>
      <c r="I309" s="25"/>
      <c r="N309" s="25"/>
    </row>
    <row r="310" spans="1:14" s="68" customFormat="1" ht="15.75" customHeight="1" x14ac:dyDescent="0.35">
      <c r="A310" s="97" t="s">
        <v>201</v>
      </c>
      <c r="B310" s="97"/>
      <c r="C310" s="97" t="s">
        <v>183</v>
      </c>
      <c r="D310" s="97"/>
      <c r="E310" s="97"/>
      <c r="F310" s="97"/>
      <c r="G310" s="97"/>
      <c r="H310" s="97"/>
      <c r="I310" s="25"/>
      <c r="N310" s="25"/>
    </row>
    <row r="311" spans="1:14" s="68" customFormat="1" ht="15.75" customHeight="1" x14ac:dyDescent="0.35">
      <c r="A311" s="97" t="s">
        <v>202</v>
      </c>
      <c r="B311" s="97"/>
      <c r="C311" s="88" t="s">
        <v>185</v>
      </c>
      <c r="D311" s="88">
        <f>(1.9*2.59+3.36*6.23+3.05*2.44+2.89*2.73+3.05*3.35+3.36*4.55+3.45*3.97+1.85*1.05+(1.38*2.14+1.38*1.06+2.85*1.53+2.29*1.38)+(3.36*1.07+1*2.44)+(0.6*(3.35+3.05+3.45)))*10.764</f>
        <v>1143.2648915999998</v>
      </c>
      <c r="E311" s="88">
        <v>0</v>
      </c>
      <c r="F311" s="88">
        <f>D311*(($F$117)+1)+(IF(E311&lt;101,E311,IF(E311&lt;201,E311/2,IF(E311&lt;=301,E311/3,E311/4))))</f>
        <v>1714.8973373999997</v>
      </c>
      <c r="G311" s="97"/>
      <c r="H311" s="97"/>
      <c r="I311" s="25"/>
      <c r="N311" s="25"/>
    </row>
    <row r="312" spans="1:14" s="68" customFormat="1" ht="15.75" customHeight="1" x14ac:dyDescent="0.35">
      <c r="A312" s="97" t="s">
        <v>203</v>
      </c>
      <c r="B312" s="97"/>
      <c r="C312" s="88" t="s">
        <v>185</v>
      </c>
      <c r="D312" s="88">
        <f>(1.9*2.59+3.36*6.23+3.05*2.44+2.89*2.73+3.05*3.35+3.36*4.55+3.45*3.97+1.85*1.05+(1.38*2.14+1.38*1.06+2.85*1.53+2.29*1.38)+(3.36*1.07+1*2.44)+(0.6*(3.35+3.05+3.45)))*10.764</f>
        <v>1143.2648915999998</v>
      </c>
      <c r="E312" s="88">
        <v>0</v>
      </c>
      <c r="F312" s="88">
        <f>D312*(($F$117)+1)+(IF(E312&lt;101,E312,IF(E312&lt;201,E312/2,IF(E312&lt;=301,E312/3,E312/4))))</f>
        <v>1714.8973373999997</v>
      </c>
      <c r="G312" s="97"/>
      <c r="H312" s="97"/>
      <c r="I312" s="25"/>
      <c r="N312" s="25"/>
    </row>
    <row r="313" spans="1:14" s="68" customFormat="1" x14ac:dyDescent="0.35">
      <c r="A313" s="117" t="s">
        <v>237</v>
      </c>
      <c r="B313" s="117"/>
      <c r="C313" s="117"/>
      <c r="D313" s="117"/>
      <c r="E313" s="117"/>
      <c r="F313" s="117"/>
      <c r="G313" s="117"/>
      <c r="H313" s="117"/>
      <c r="I313" s="25"/>
      <c r="L313" s="118"/>
      <c r="M313" s="118"/>
    </row>
    <row r="314" spans="1:14" s="68" customFormat="1" ht="15.75" customHeight="1" x14ac:dyDescent="0.35">
      <c r="A314" s="97" t="s">
        <v>204</v>
      </c>
      <c r="B314" s="97"/>
      <c r="C314" s="97" t="s">
        <v>209</v>
      </c>
      <c r="D314" s="97"/>
      <c r="E314" s="97"/>
      <c r="F314" s="97"/>
      <c r="G314" s="97" t="str">
        <f>A313</f>
        <v>Stilt / Podium Top Floor For Residential, Amenities &amp; Refuge Area</v>
      </c>
      <c r="H314" s="97"/>
      <c r="I314" s="25"/>
      <c r="N314" s="25"/>
    </row>
    <row r="315" spans="1:14" s="68" customFormat="1" ht="15.75" customHeight="1" x14ac:dyDescent="0.35">
      <c r="A315" s="97" t="s">
        <v>205</v>
      </c>
      <c r="B315" s="97"/>
      <c r="C315" s="97" t="s">
        <v>209</v>
      </c>
      <c r="D315" s="97"/>
      <c r="E315" s="97"/>
      <c r="F315" s="97"/>
      <c r="G315" s="97"/>
      <c r="H315" s="97"/>
      <c r="I315" s="25"/>
      <c r="N315" s="25"/>
    </row>
    <row r="316" spans="1:14" s="68" customFormat="1" x14ac:dyDescent="0.35">
      <c r="A316" s="97" t="s">
        <v>206</v>
      </c>
      <c r="B316" s="97"/>
      <c r="C316" s="88" t="s">
        <v>212</v>
      </c>
      <c r="D316" s="88">
        <f>(1.95*1.53+1.25*3.05+3*3.08+3.05*3.5+2.75*3.08+3.65*8.38+3.59*4.6+4.26*3.59+1*1.73+1*1.22+(1.53*2.29+1.38*2.44+2.44*1.53+2.44*1.53)+(3.9*1.53+2.75*1.53+1*1.53)+(0.6*(3+3.4+4.26+3.59+2.8)))*10.764</f>
        <v>1472.4850607999999</v>
      </c>
      <c r="E316" s="88">
        <v>0</v>
      </c>
      <c r="F316" s="88">
        <f>D316*(($F$117)+1)+(IF(E316&lt;101,E316,IF(E316&lt;201,E316/2,IF(E316&lt;=301,E316/3,E316/4))))</f>
        <v>2208.7275912</v>
      </c>
      <c r="G316" s="97"/>
      <c r="H316" s="97"/>
      <c r="I316" s="25"/>
      <c r="N316" s="25"/>
    </row>
    <row r="317" spans="1:14" s="68" customFormat="1" ht="15.75" customHeight="1" x14ac:dyDescent="0.35">
      <c r="A317" s="97" t="s">
        <v>207</v>
      </c>
      <c r="B317" s="97"/>
      <c r="C317" s="97" t="s">
        <v>210</v>
      </c>
      <c r="D317" s="97">
        <f>(1.9*2.59+3.36*6.23+3.05*2.44+2.89*1.68+3.05*3.35+3.36*4.55+3.45*3.97+3.13*1.05+1.85*1.05+(1.38*2.14+1.38*1.06+2.85*1.53+2.29*1.38)+(3.36*1.07+1*2.44))*10.764</f>
        <v>1082.3621796</v>
      </c>
      <c r="E317" s="97">
        <v>0</v>
      </c>
      <c r="F317" s="97">
        <f>D317*(($F$117)+1)+(IF(E317&lt;101,E317,IF(E317&lt;201,E317/2,IF(E317&lt;=301,E317/3,E317/4))))</f>
        <v>1623.5432694000001</v>
      </c>
      <c r="G317" s="97"/>
      <c r="H317" s="97"/>
      <c r="I317" s="25"/>
      <c r="N317" s="25"/>
    </row>
    <row r="318" spans="1:14" s="68" customFormat="1" x14ac:dyDescent="0.35">
      <c r="A318" s="97" t="s">
        <v>208</v>
      </c>
      <c r="B318" s="97"/>
      <c r="C318" s="88" t="s">
        <v>185</v>
      </c>
      <c r="D318" s="88">
        <f>(1.9*2.59+3.36*6.23+3.05*2.44+2.89*2.73+3.05*3.35+3.36*4.55+3.45*3.97+1.85*1.05+(1.38*2.14+1.38*1.06+2.85*1.53+2.29*1.38)+(3.36*1.07+1*2.44)+(0.6*(3.35+3.05+3.45)))*10.764</f>
        <v>1143.2648915999998</v>
      </c>
      <c r="E318" s="88">
        <v>0</v>
      </c>
      <c r="F318" s="88">
        <f>D318*(($F$117)+1)+(IF(E318&lt;101,E318,IF(E318&lt;201,E318/2,IF(E318&lt;=301,E318/3,E318/4))))</f>
        <v>1714.8973373999997</v>
      </c>
      <c r="G318" s="97"/>
      <c r="H318" s="97"/>
      <c r="I318" s="25"/>
      <c r="N318" s="25"/>
    </row>
    <row r="319" spans="1:14" s="68" customFormat="1" x14ac:dyDescent="0.35">
      <c r="A319" s="117" t="s">
        <v>264</v>
      </c>
      <c r="B319" s="117"/>
      <c r="C319" s="117"/>
      <c r="D319" s="117"/>
      <c r="E319" s="117"/>
      <c r="F319" s="117"/>
      <c r="G319" s="117"/>
      <c r="H319" s="117"/>
      <c r="I319" s="25"/>
      <c r="L319" s="118"/>
      <c r="M319" s="118"/>
    </row>
    <row r="320" spans="1:14" s="68" customFormat="1" ht="15.75" customHeight="1" x14ac:dyDescent="0.35">
      <c r="A320" s="97">
        <v>1</v>
      </c>
      <c r="B320" s="97"/>
      <c r="C320" s="104" t="s">
        <v>265</v>
      </c>
      <c r="D320" s="105"/>
      <c r="E320" s="105"/>
      <c r="F320" s="106"/>
      <c r="G320" s="98" t="str">
        <f>A319</f>
        <v>1st Floor For Residential &amp; Club House</v>
      </c>
      <c r="H320" s="99"/>
      <c r="I320" s="25"/>
      <c r="N320" s="25"/>
    </row>
    <row r="321" spans="1:16" s="68" customFormat="1" ht="15.75" customHeight="1" x14ac:dyDescent="0.35">
      <c r="A321" s="97">
        <v>2</v>
      </c>
      <c r="B321" s="97"/>
      <c r="C321" s="104" t="s">
        <v>265</v>
      </c>
      <c r="D321" s="105"/>
      <c r="E321" s="105"/>
      <c r="F321" s="106"/>
      <c r="G321" s="100"/>
      <c r="H321" s="101"/>
      <c r="I321" s="25"/>
      <c r="N321" s="25"/>
    </row>
    <row r="322" spans="1:16" s="68" customFormat="1" ht="15.75" customHeight="1" x14ac:dyDescent="0.35">
      <c r="A322" s="97">
        <v>3</v>
      </c>
      <c r="B322" s="97"/>
      <c r="C322" s="67" t="s">
        <v>212</v>
      </c>
      <c r="D322" s="67">
        <f>(1.95*1.53+1.25*3.05+3*3.08+3.05*3.5+2.75*3.08+3.65*8.38+3.59*4.6+4.26*3.59+1*1.73+1*1.22+(1.53*2.29+1.38*2.44+2.44*1.53+2.44*1.53)+(3.9*1.53+2.75*1.53+1*1.53)+(0.6*(3+3.4+4.26+3.59+2.8)))*10.764</f>
        <v>1472.4850607999999</v>
      </c>
      <c r="E322" s="67">
        <v>0</v>
      </c>
      <c r="F322" s="67">
        <f>D322*(($F$117)+1)+(IF(E322&lt;101,E322,IF(E322&lt;201,E322/2,IF(E322&lt;=301,E322/3,E322/4))))</f>
        <v>2208.7275912</v>
      </c>
      <c r="G322" s="100"/>
      <c r="H322" s="101"/>
      <c r="I322" s="25"/>
      <c r="N322" s="25"/>
    </row>
    <row r="323" spans="1:16" s="68" customFormat="1" ht="15.75" customHeight="1" x14ac:dyDescent="0.35">
      <c r="A323" s="97">
        <v>4</v>
      </c>
      <c r="B323" s="97"/>
      <c r="C323" s="67" t="s">
        <v>185</v>
      </c>
      <c r="D323" s="67">
        <f>(1.9*2.59+3.36*6.23+3.05*2.44+2.89*2.73+3.05*3.35+3.36*4.55+3.45*3.97+1.85*1.05+(1.38*2.14+1.38*1.06+2.85*1.53+2.29*1.38)+(3.36*1.07+1*2.44)+(0.6*(3.35+3.05+3.45)))*10.764</f>
        <v>1143.2648915999998</v>
      </c>
      <c r="E323" s="67">
        <v>0</v>
      </c>
      <c r="F323" s="67">
        <f>D323*(($F$117)+1)+(IF(E323&lt;101,E323,IF(E323&lt;201,E323/2,IF(E323&lt;=301,E323/3,E323/4))))</f>
        <v>1714.8973373999997</v>
      </c>
      <c r="G323" s="100"/>
      <c r="H323" s="101"/>
      <c r="I323" s="25"/>
      <c r="N323" s="25"/>
    </row>
    <row r="324" spans="1:16" s="68" customFormat="1" ht="15.75" customHeight="1" x14ac:dyDescent="0.35">
      <c r="A324" s="97">
        <v>5</v>
      </c>
      <c r="B324" s="97"/>
      <c r="C324" s="67" t="s">
        <v>185</v>
      </c>
      <c r="D324" s="67">
        <f>(1.9*2.59+3.36*6.23+3.05*2.44+2.89*2.73+3.05*3.35+3.36*4.55+3.45*3.97+1.85*1.05+(1.38*2.14+1.38*1.06+2.85*1.53+2.29*1.38)+(3.36*1.07+1*2.44)+(0.6*(3.35+3.05+3.45)))*10.764</f>
        <v>1143.2648915999998</v>
      </c>
      <c r="E324" s="67">
        <v>0</v>
      </c>
      <c r="F324" s="67">
        <f>D324*(($F$117)+1)+(IF(E324&lt;101,E324,IF(E324&lt;201,E324/2,IF(E324&lt;=301,E324/3,E324/4))))</f>
        <v>1714.8973373999997</v>
      </c>
      <c r="G324" s="100"/>
      <c r="H324" s="101"/>
      <c r="I324" s="25"/>
      <c r="N324" s="25"/>
    </row>
    <row r="325" spans="1:16" s="68" customFormat="1" x14ac:dyDescent="0.35">
      <c r="A325" s="117" t="s">
        <v>266</v>
      </c>
      <c r="B325" s="117"/>
      <c r="C325" s="117"/>
      <c r="D325" s="117"/>
      <c r="E325" s="117"/>
      <c r="F325" s="117"/>
      <c r="G325" s="117"/>
      <c r="H325" s="117"/>
      <c r="I325" s="25"/>
      <c r="L325" s="118"/>
      <c r="M325" s="118"/>
    </row>
    <row r="326" spans="1:16" s="68" customFormat="1" ht="15.75" customHeight="1" x14ac:dyDescent="0.35">
      <c r="A326" s="97">
        <v>1</v>
      </c>
      <c r="B326" s="97"/>
      <c r="C326" s="67" t="s">
        <v>185</v>
      </c>
      <c r="D326" s="67">
        <f>(1.35*1.78+3.2*5.64+2.29*2.83+3.05*3.35+3.31*4.55+3.05*3.75+4.14*1.05+1.82*1.05+(2.29*1.46+1.38*2.14+2.44*1.53)+(3.2*1.08+2.29*1.08)+(0.6*(3.05+3.31+1.8)))*10.764</f>
        <v>976.94279279999978</v>
      </c>
      <c r="E326" s="67">
        <v>0</v>
      </c>
      <c r="F326" s="67">
        <f>D326*(($F$117)+1)+(IF(E326&lt;101,E326,IF(E326&lt;201,E326/2,IF(E326&lt;=301,E326/3,E326/4))))</f>
        <v>1465.4141891999998</v>
      </c>
      <c r="G326" s="98" t="str">
        <f>A325</f>
        <v>2nd Floor</v>
      </c>
      <c r="H326" s="99"/>
      <c r="I326" s="25"/>
      <c r="N326" s="25"/>
    </row>
    <row r="327" spans="1:16" s="68" customFormat="1" ht="15.75" customHeight="1" x14ac:dyDescent="0.35">
      <c r="A327" s="97">
        <v>2</v>
      </c>
      <c r="B327" s="97"/>
      <c r="C327" s="67" t="s">
        <v>185</v>
      </c>
      <c r="D327" s="67">
        <f>(1.35*1.78+3.2*5.64+2.29*2.83+3.05*3.35+3.31*4.55+3.05*3.75+4.14*1.05+1.82*1.05+(2.29*1.46+1.38*2.14+2.44*1.53)+(3.2*1.08+2.29*1.08)+(0.6*(3.05+3.31+1.8)))*10.764</f>
        <v>976.94279279999978</v>
      </c>
      <c r="E327" s="67">
        <v>0</v>
      </c>
      <c r="F327" s="67">
        <f>D327*(($F$117)+1)+(IF(E327&lt;101,E327,IF(E327&lt;201,E327/2,IF(E327&lt;=301,E327/3,E327/4))))</f>
        <v>1465.4141891999998</v>
      </c>
      <c r="G327" s="100"/>
      <c r="H327" s="101"/>
      <c r="I327" s="25"/>
      <c r="N327" s="25"/>
    </row>
    <row r="328" spans="1:16" s="68" customFormat="1" ht="15.75" customHeight="1" x14ac:dyDescent="0.35">
      <c r="A328" s="97">
        <v>3</v>
      </c>
      <c r="B328" s="97"/>
      <c r="C328" s="67" t="s">
        <v>212</v>
      </c>
      <c r="D328" s="67">
        <f>(1.95*1.53+1.25*3.05+3*3.08+3.05*3.5+2.75*3.08+3.65*8.38+3.59*4.6+4.26*3.59+1*1.73+1*1.22+(1.53*2.29+1.38*2.44+2.44*1.53+2.44*1.53)+(3.9*1.53+2.75*1.53+1*1.53)+(0.6*(3+3.4+4.26+3.59+2.8)))*10.764</f>
        <v>1472.4850607999999</v>
      </c>
      <c r="E328" s="67">
        <v>0</v>
      </c>
      <c r="F328" s="67">
        <f>D328*(($F$117)+1)+(IF(E328&lt;101,E328,IF(E328&lt;201,E328/2,IF(E328&lt;=301,E328/3,E328/4))))</f>
        <v>2208.7275912</v>
      </c>
      <c r="G328" s="100"/>
      <c r="H328" s="101"/>
      <c r="I328" s="25"/>
      <c r="N328" s="25"/>
    </row>
    <row r="329" spans="1:16" s="68" customFormat="1" ht="15.75" customHeight="1" x14ac:dyDescent="0.35">
      <c r="A329" s="97">
        <v>4</v>
      </c>
      <c r="B329" s="97"/>
      <c r="C329" s="67" t="s">
        <v>185</v>
      </c>
      <c r="D329" s="67">
        <f>(1.9*2.59+3.36*6.23+3.05*2.44+2.89*2.73+3.05*3.35+3.36*4.55+3.45*3.97+1.85*1.05+(1.38*2.14+1.38*1.06+2.85*1.53+2.29*1.38)+(3.36*1.07+1*2.44)+(0.6*(3.35+3.05+3.45)))*10.764</f>
        <v>1143.2648915999998</v>
      </c>
      <c r="E329" s="67">
        <v>0</v>
      </c>
      <c r="F329" s="67">
        <f>D329*(($F$117)+1)+(IF(E329&lt;101,E329,IF(E329&lt;201,E329/2,IF(E329&lt;=301,E329/3,E329/4))))</f>
        <v>1714.8973373999997</v>
      </c>
      <c r="G329" s="100"/>
      <c r="H329" s="101"/>
      <c r="I329" s="25"/>
      <c r="N329" s="25"/>
    </row>
    <row r="330" spans="1:16" s="68" customFormat="1" ht="15.75" customHeight="1" x14ac:dyDescent="0.35">
      <c r="A330" s="97">
        <v>5</v>
      </c>
      <c r="B330" s="97"/>
      <c r="C330" s="67" t="s">
        <v>185</v>
      </c>
      <c r="D330" s="67">
        <f>(1.9*2.59+3.36*6.23+3.05*2.44+2.89*2.73+3.05*3.35+3.36*4.55+3.45*3.97+1.85*1.05+(1.38*2.14+1.38*1.06+2.85*1.53+2.29*1.38)+(3.36*1.07+1*2.44)+(0.6*(3.35+3.05+3.45)))*10.764</f>
        <v>1143.2648915999998</v>
      </c>
      <c r="E330" s="67">
        <v>0</v>
      </c>
      <c r="F330" s="67">
        <f>D330*(($F$117)+1)+(IF(E330&lt;101,E330,IF(E330&lt;201,E330/2,IF(E330&lt;=301,E330/3,E330/4))))</f>
        <v>1714.8973373999997</v>
      </c>
      <c r="G330" s="100"/>
      <c r="H330" s="101"/>
      <c r="I330" s="25"/>
      <c r="N330" s="25"/>
    </row>
    <row r="331" spans="1:16" s="81" customFormat="1" ht="15.75" customHeight="1" x14ac:dyDescent="0.35">
      <c r="A331" s="94" t="s">
        <v>299</v>
      </c>
      <c r="B331" s="95"/>
      <c r="C331" s="95"/>
      <c r="D331" s="95"/>
      <c r="E331" s="95"/>
      <c r="F331" s="95"/>
      <c r="G331" s="95"/>
      <c r="H331" s="96"/>
      <c r="I331" s="25"/>
      <c r="P331" s="26"/>
    </row>
    <row r="332" spans="1:16" s="81" customFormat="1" ht="15.75" customHeight="1" x14ac:dyDescent="0.35">
      <c r="A332" s="97">
        <v>1</v>
      </c>
      <c r="B332" s="97" t="s">
        <v>225</v>
      </c>
      <c r="C332" s="80" t="s">
        <v>185</v>
      </c>
      <c r="D332" s="80">
        <f>(1.35*1.78+3.2*5.64+2.29*2.83+3.05*3.35+3.31*4.55+3.05*3.75+4.14*1.05+1.82*1.05+(2.29*1.46+1.38*2.14+2.44*1.53)+(3.2*1.08+2.29*1.08)+(0.6*(3.05+3.31+1.8)))*10.764</f>
        <v>976.94279279999978</v>
      </c>
      <c r="E332" s="80">
        <v>0</v>
      </c>
      <c r="F332" s="80">
        <f t="shared" ref="F332:F337" si="8">D332*(($F$117)+1)+(IF(E332&lt;101,E332,IF(E332&lt;201,E332/2,IF(E332&lt;=301,E332/3,E332/4))))</f>
        <v>1465.4141891999998</v>
      </c>
      <c r="G332" s="98" t="str">
        <f>A331</f>
        <v>3rd Floor</v>
      </c>
      <c r="H332" s="99"/>
      <c r="I332" s="25"/>
    </row>
    <row r="333" spans="1:16" s="81" customFormat="1" ht="15.75" customHeight="1" x14ac:dyDescent="0.35">
      <c r="A333" s="97">
        <v>2</v>
      </c>
      <c r="B333" s="97" t="s">
        <v>226</v>
      </c>
      <c r="C333" s="80" t="s">
        <v>185</v>
      </c>
      <c r="D333" s="80">
        <f>(1.35*1.78+3.2*5.64+2.29*2.83+3.05*3.35+3.31*4.55+3.05*3.75+4.14*1.05+1.82*1.05+(2.29*1.46+1.38*2.14+2.44*1.53)+(3.2*1.08+2.29*1.08)+(0.6*(3.05+3.31+1.8)))*10.764</f>
        <v>976.94279279999978</v>
      </c>
      <c r="E333" s="80">
        <v>0</v>
      </c>
      <c r="F333" s="80">
        <f t="shared" si="8"/>
        <v>1465.4141891999998</v>
      </c>
      <c r="G333" s="100"/>
      <c r="H333" s="101"/>
      <c r="I333" s="25"/>
    </row>
    <row r="334" spans="1:16" s="81" customFormat="1" ht="15.75" customHeight="1" x14ac:dyDescent="0.35">
      <c r="A334" s="97">
        <v>3</v>
      </c>
      <c r="B334" s="97" t="s">
        <v>226</v>
      </c>
      <c r="C334" s="80" t="s">
        <v>212</v>
      </c>
      <c r="D334" s="80">
        <f>(1.95*1.53+1.25*3.05+3*3.08+3.05*3.5+2.75*3.08+3.65*8.38+3.59*4.6+4.26*3.59+1*1.73+1*1.22+(1.53*2.29+1.38*2.44+2.44*1.53+2.44*1.53)+(3.9*1.53+2.75*1.53+1*1.53)+(0.6*(3+3.4+4.26+3.59+2.8)))*10.764</f>
        <v>1472.4850607999999</v>
      </c>
      <c r="E334" s="80">
        <v>0</v>
      </c>
      <c r="F334" s="80">
        <f t="shared" si="8"/>
        <v>2208.7275912</v>
      </c>
      <c r="G334" s="100"/>
      <c r="H334" s="101"/>
      <c r="I334" s="25"/>
    </row>
    <row r="335" spans="1:16" s="81" customFormat="1" ht="15.75" customHeight="1" x14ac:dyDescent="0.35">
      <c r="A335" s="97">
        <v>4</v>
      </c>
      <c r="B335" s="97" t="s">
        <v>227</v>
      </c>
      <c r="C335" s="80" t="s">
        <v>185</v>
      </c>
      <c r="D335" s="80">
        <f>(1.9*2.59+3.36*6.23+3.05*2.44+2.89*2.73+3.05*3.35+3.36*4.55+3.45*3.97+1.85*1.05+(1.38*2.14+1.38*1.06+2.85*1.53+2.29*1.38)+(3.36*1.07+1*2.44)+(0.6*(3.35+3.05+3.45)))*10.764</f>
        <v>1143.2648915999998</v>
      </c>
      <c r="E335" s="80">
        <v>0</v>
      </c>
      <c r="F335" s="80">
        <f t="shared" si="8"/>
        <v>1714.8973373999997</v>
      </c>
      <c r="G335" s="100"/>
      <c r="H335" s="101"/>
      <c r="I335" s="25"/>
    </row>
    <row r="336" spans="1:16" s="81" customFormat="1" ht="15.75" customHeight="1" x14ac:dyDescent="0.35">
      <c r="A336" s="97">
        <v>5</v>
      </c>
      <c r="B336" s="97" t="s">
        <v>228</v>
      </c>
      <c r="C336" s="80" t="s">
        <v>185</v>
      </c>
      <c r="D336" s="80">
        <f>(1.9*2.59+3.36*6.23+3.05*2.44+2.89*2.73+3.05*3.35+3.36*4.55+3.45*3.97+1.85*1.05+(1.38*2.14+1.38*1.06+2.85*1.53+2.29*1.38)+(3.36*1.07+1*2.44)+(0.6*(3.35+3.05+3.45)))*10.764</f>
        <v>1143.2648915999998</v>
      </c>
      <c r="E336" s="80">
        <v>0</v>
      </c>
      <c r="F336" s="80">
        <f t="shared" si="8"/>
        <v>1714.8973373999997</v>
      </c>
      <c r="G336" s="100"/>
      <c r="H336" s="101"/>
      <c r="I336" s="25"/>
    </row>
    <row r="337" spans="1:16" s="81" customFormat="1" ht="15.75" customHeight="1" x14ac:dyDescent="0.35">
      <c r="A337" s="97">
        <v>6</v>
      </c>
      <c r="B337" s="97" t="s">
        <v>229</v>
      </c>
      <c r="C337" s="80" t="s">
        <v>212</v>
      </c>
      <c r="D337" s="80">
        <f>(1.95*1.53+1.25*3.05+3*3.08+3.05*3.5+2.75*3.08+3.65*8.38+3.59*4.6+4.26*3.59+1*1.73+1*1.22+(1.53*2.29+1.38*2.44+2.44*1.53+2.44*1.53)+(3.9*1.53+2.75*1.53+1*1.53)+(0.6*(3+3.4+4.26+3.59+2.8)))*10.764</f>
        <v>1472.4850607999999</v>
      </c>
      <c r="E337" s="80">
        <v>0</v>
      </c>
      <c r="F337" s="80">
        <f t="shared" si="8"/>
        <v>2208.7275912</v>
      </c>
      <c r="G337" s="102"/>
      <c r="H337" s="103"/>
      <c r="I337" s="25"/>
    </row>
    <row r="338" spans="1:16" s="68" customFormat="1" ht="15.75" customHeight="1" x14ac:dyDescent="0.35">
      <c r="A338" s="94" t="s">
        <v>313</v>
      </c>
      <c r="B338" s="95"/>
      <c r="C338" s="95"/>
      <c r="D338" s="95"/>
      <c r="E338" s="95"/>
      <c r="F338" s="95"/>
      <c r="G338" s="95"/>
      <c r="H338" s="96"/>
      <c r="I338" s="25"/>
      <c r="P338" s="26"/>
    </row>
    <row r="339" spans="1:16" s="68" customFormat="1" ht="15.75" customHeight="1" x14ac:dyDescent="0.35">
      <c r="A339" s="97">
        <v>1</v>
      </c>
      <c r="B339" s="97" t="s">
        <v>225</v>
      </c>
      <c r="C339" s="67" t="s">
        <v>185</v>
      </c>
      <c r="D339" s="67">
        <f>(1.35*1.78+3.2*5.64+2.29*2.83+3.05*3.35+3.31*4.55+3.05*3.75+4.14*1.05+1.82*1.05+(2.29*1.46+1.38*2.14+2.44*1.53)+(3.2*1.08+2.29*1.08)+(0.6*(3.05+3.31+1.8)))*10.764</f>
        <v>976.94279279999978</v>
      </c>
      <c r="E339" s="67">
        <v>0</v>
      </c>
      <c r="F339" s="67">
        <f t="shared" ref="F339:F344" si="9">D339*(($F$117)+1)+(IF(E339&lt;101,E339,IF(E339&lt;201,E339/2,IF(E339&lt;=301,E339/3,E339/4))))</f>
        <v>1465.4141891999998</v>
      </c>
      <c r="G339" s="98" t="str">
        <f>A338</f>
        <v xml:space="preserve"> 6th to 8th, 11th, 12th, 16th, 22nd, 24th, 26th, 30th, 31st, 37th, 38th, 41st, 46th &amp; 47th Floor</v>
      </c>
      <c r="H339" s="99"/>
      <c r="I339" s="25"/>
    </row>
    <row r="340" spans="1:16" s="68" customFormat="1" ht="15.75" customHeight="1" x14ac:dyDescent="0.35">
      <c r="A340" s="97">
        <v>2</v>
      </c>
      <c r="B340" s="97" t="s">
        <v>226</v>
      </c>
      <c r="C340" s="67" t="s">
        <v>185</v>
      </c>
      <c r="D340" s="67">
        <f>(1.35*1.78+3.2*5.64+2.29*2.83+3.05*3.35+3.31*4.55+3.05*3.75+4.14*1.05+1.82*1.05+(2.29*1.46+1.38*2.14+2.44*1.53)+(3.2*1.08+2.29*1.08)+(0.6*(3.05+3.31+1.8)))*10.764</f>
        <v>976.94279279999978</v>
      </c>
      <c r="E340" s="67">
        <v>0</v>
      </c>
      <c r="F340" s="67">
        <f t="shared" si="9"/>
        <v>1465.4141891999998</v>
      </c>
      <c r="G340" s="100"/>
      <c r="H340" s="101"/>
      <c r="I340" s="25"/>
    </row>
    <row r="341" spans="1:16" s="68" customFormat="1" ht="15.75" customHeight="1" x14ac:dyDescent="0.35">
      <c r="A341" s="97">
        <v>3</v>
      </c>
      <c r="B341" s="97" t="s">
        <v>226</v>
      </c>
      <c r="C341" s="67" t="s">
        <v>212</v>
      </c>
      <c r="D341" s="67">
        <f>(1.95*1.53+1.25*3.05+3*3.08+3.05*3.5+2.75*3.08+3.65*8.38+3.59*4.6+4.26*3.59+1*1.73+1*1.22+(1.53*2.29+1.38*2.44+2.44*1.53+2.44*1.53)+(3.9*1.53+2.75*1.53+1*1.53)+(0.6*(3+3.4+4.26+3.59+2.8)))*10.764</f>
        <v>1472.4850607999999</v>
      </c>
      <c r="E341" s="67">
        <v>0</v>
      </c>
      <c r="F341" s="67">
        <f>D341*(($F$117)+1)+(IF(E341&lt;101,E341,IF(E341&lt;201,E341/2,IF(E341&lt;=301,E341/3,E341/4))))</f>
        <v>2208.7275912</v>
      </c>
      <c r="G341" s="100"/>
      <c r="H341" s="101"/>
      <c r="I341" s="25"/>
    </row>
    <row r="342" spans="1:16" s="68" customFormat="1" ht="15.75" customHeight="1" x14ac:dyDescent="0.35">
      <c r="A342" s="97">
        <v>4</v>
      </c>
      <c r="B342" s="97" t="s">
        <v>227</v>
      </c>
      <c r="C342" s="67" t="s">
        <v>185</v>
      </c>
      <c r="D342" s="67">
        <f>(1.9*2.59+3.36*6.23+3.05*2.44+2.89*2.73+3.05*3.35+3.36*4.55+3.45*3.97+1.85*1.05+(1.38*2.14+1.38*1.06+2.85*1.53+2.29*1.38)+(3.36*1.07+1*2.44)+(0.6*(3.35+3.05+3.45)))*10.764</f>
        <v>1143.2648915999998</v>
      </c>
      <c r="E342" s="67">
        <v>0</v>
      </c>
      <c r="F342" s="67">
        <f t="shared" si="9"/>
        <v>1714.8973373999997</v>
      </c>
      <c r="G342" s="100"/>
      <c r="H342" s="101"/>
      <c r="I342" s="25"/>
    </row>
    <row r="343" spans="1:16" s="68" customFormat="1" ht="15.75" customHeight="1" x14ac:dyDescent="0.35">
      <c r="A343" s="97">
        <v>5</v>
      </c>
      <c r="B343" s="97" t="s">
        <v>228</v>
      </c>
      <c r="C343" s="67" t="s">
        <v>185</v>
      </c>
      <c r="D343" s="67">
        <f>(1.9*2.59+3.36*6.23+3.05*2.44+2.89*2.73+3.05*3.35+3.36*4.55+3.45*3.97+1.85*1.05+(1.38*2.14+1.38*1.06+2.85*1.53+2.29*1.38)+(3.36*1.07+1*2.44)+(0.6*(3.35+3.05+3.45)))*10.764</f>
        <v>1143.2648915999998</v>
      </c>
      <c r="E343" s="67">
        <v>0</v>
      </c>
      <c r="F343" s="67">
        <f t="shared" si="9"/>
        <v>1714.8973373999997</v>
      </c>
      <c r="G343" s="100"/>
      <c r="H343" s="101"/>
      <c r="I343" s="25"/>
    </row>
    <row r="344" spans="1:16" s="68" customFormat="1" ht="15.75" customHeight="1" x14ac:dyDescent="0.35">
      <c r="A344" s="97">
        <v>6</v>
      </c>
      <c r="B344" s="97" t="s">
        <v>229</v>
      </c>
      <c r="C344" s="67" t="s">
        <v>212</v>
      </c>
      <c r="D344" s="67">
        <f>(1.95*1.53+1.25*3.05+3*3.08+3.05*3.5+2.75*3.08+3.65*8.38+3.59*4.6+4.26*3.59+1*1.73+1*1.22+(1.53*2.29+1.38*2.44+2.44*1.53+2.44*1.53)+(3.9*1.53+2.75*1.53+1*1.53)+(0.6*(3+3.4+4.26+3.59+2.8)))*10.764</f>
        <v>1472.4850607999999</v>
      </c>
      <c r="E344" s="67">
        <v>0</v>
      </c>
      <c r="F344" s="67">
        <f t="shared" si="9"/>
        <v>2208.7275912</v>
      </c>
      <c r="G344" s="102"/>
      <c r="H344" s="103"/>
      <c r="I344" s="25"/>
    </row>
    <row r="345" spans="1:16" s="81" customFormat="1" ht="15.75" customHeight="1" x14ac:dyDescent="0.35">
      <c r="A345" s="94" t="s">
        <v>314</v>
      </c>
      <c r="B345" s="95"/>
      <c r="C345" s="95"/>
      <c r="D345" s="95"/>
      <c r="E345" s="95"/>
      <c r="F345" s="95"/>
      <c r="G345" s="95"/>
      <c r="H345" s="96"/>
      <c r="I345" s="25"/>
      <c r="P345" s="26"/>
    </row>
    <row r="346" spans="1:16" s="81" customFormat="1" ht="15.75" customHeight="1" x14ac:dyDescent="0.35">
      <c r="A346" s="97">
        <v>1</v>
      </c>
      <c r="B346" s="97" t="s">
        <v>231</v>
      </c>
      <c r="C346" s="80" t="s">
        <v>250</v>
      </c>
      <c r="D346" s="80">
        <f>(1.85*1.63+6.55*5.64+2.29*2.83+6.51*3.35+5.36*1.2+3.05*3.75+2.29*2.83+3.05*3.35+3.31*4.85+3.05*3.75+(2.44*1.53+1.38*2.14+2.29*1.46+1.38*2.13+2.44*1.53+2.29*1.46)+(4.14*1.05+1.8*1.05+3.84*1.05+2.29*1.08+2.29*1.08)+6.55*1.08+(0.6*(2.44+2.59+2.69+2.44)))*10.764</f>
        <v>1923.9207624000001</v>
      </c>
      <c r="E346" s="80">
        <v>0</v>
      </c>
      <c r="F346" s="80">
        <f>D346*(($F$117)+1)+(IF(E346&lt;101,E346,IF(E346&lt;201,E346/2,IF(E346&lt;=301,E346/3,E346/4))))</f>
        <v>2885.8811436000001</v>
      </c>
      <c r="G346" s="98" t="str">
        <f>A345</f>
        <v>4th, 14th, 19th, 28th, 23rd &amp; 45th Floor</v>
      </c>
      <c r="H346" s="99"/>
    </row>
    <row r="347" spans="1:16" s="81" customFormat="1" ht="15.75" customHeight="1" x14ac:dyDescent="0.35">
      <c r="A347" s="97">
        <v>3</v>
      </c>
      <c r="B347" s="97" t="s">
        <v>233</v>
      </c>
      <c r="C347" s="80" t="s">
        <v>212</v>
      </c>
      <c r="D347" s="80">
        <f>(1.95*1.53+1.25*3.05+3*3.08+3.05*3.5+2.75*3.08+3.65*8.38+3.59*4.6+4.26*3.59+1*1.73+1*1.22+(1.53*2.29+1.38*2.44+2.44*1.53+2.44*1.53)+(3.9*1.53+2.75*1.53+1*1.53)+(0.6*(3+3.4+4.26+3.59+2.8)))*10.764</f>
        <v>1472.4850607999999</v>
      </c>
      <c r="E347" s="80">
        <v>0</v>
      </c>
      <c r="F347" s="80">
        <f>D347*(($F$117)+1)+(IF(E347&lt;101,E347,IF(E347&lt;201,E347/2,IF(E347&lt;=301,E347/3,E347/4))))</f>
        <v>2208.7275912</v>
      </c>
      <c r="G347" s="100"/>
      <c r="H347" s="101"/>
      <c r="I347" s="25"/>
    </row>
    <row r="348" spans="1:16" s="81" customFormat="1" ht="15.75" customHeight="1" x14ac:dyDescent="0.35">
      <c r="A348" s="97">
        <v>4</v>
      </c>
      <c r="B348" s="97" t="s">
        <v>234</v>
      </c>
      <c r="C348" s="80" t="s">
        <v>185</v>
      </c>
      <c r="D348" s="80">
        <f>(1.9*2.59+3.36*6.23+3.05*2.44+2.89*2.73+3.05*3.35+3.36*4.55+3.45*3.97+1.85*1.05+(1.38*2.14+1.38*1.06+2.85*1.53+2.29*1.38)+(3.36*1.07+1*2.44)+(0.6*(3.35+3.05+3.45)))*10.764</f>
        <v>1143.2648915999998</v>
      </c>
      <c r="E348" s="80">
        <v>0</v>
      </c>
      <c r="F348" s="80">
        <f>D348*(($F$117)+1)+(IF(E348&lt;101,E348,IF(E348&lt;201,E348/2,IF(E348&lt;=301,E348/3,E348/4))))</f>
        <v>1714.8973373999997</v>
      </c>
      <c r="G348" s="100"/>
      <c r="H348" s="101"/>
      <c r="I348" s="25"/>
    </row>
    <row r="349" spans="1:16" s="81" customFormat="1" ht="15.75" customHeight="1" x14ac:dyDescent="0.35">
      <c r="A349" s="97">
        <v>5</v>
      </c>
      <c r="B349" s="97" t="s">
        <v>235</v>
      </c>
      <c r="C349" s="80" t="s">
        <v>185</v>
      </c>
      <c r="D349" s="80">
        <f>(1.9*2.59+3.36*6.23+3.05*2.44+2.89*2.73+3.05*3.35+3.36*4.55+3.45*3.97+1.85*1.05+(1.38*2.14+1.38*1.06+2.85*1.53+2.29*1.38)+(3.36*1.07+1*2.44)+(0.6*(3.35+3.05+3.45)))*10.764</f>
        <v>1143.2648915999998</v>
      </c>
      <c r="E349" s="80">
        <v>0</v>
      </c>
      <c r="F349" s="80">
        <f>D349*(($F$117)+1)+(IF(E349&lt;101,E349,IF(E349&lt;201,E349/2,IF(E349&lt;=301,E349/3,E349/4))))</f>
        <v>1714.8973373999997</v>
      </c>
      <c r="G349" s="100"/>
      <c r="H349" s="101"/>
      <c r="I349" s="25"/>
    </row>
    <row r="350" spans="1:16" s="81" customFormat="1" ht="15.75" customHeight="1" x14ac:dyDescent="0.35">
      <c r="A350" s="97">
        <v>6</v>
      </c>
      <c r="B350" s="97" t="s">
        <v>236</v>
      </c>
      <c r="C350" s="80" t="s">
        <v>212</v>
      </c>
      <c r="D350" s="80">
        <f>(1.95*1.53+1.25*3.05+3*3.08+3.05*3.5+2.75*3.08+3.65*8.38+3.59*4.6+4.26*3.59+1*1.73+1*1.22+(1.53*2.29+1.38*2.44+2.44*1.53+2.44*1.53)+(3.9*1.53+2.75*1.53+1*1.53)+(0.6*(3+3.4+4.26+3.59+2.8)))*10.764</f>
        <v>1472.4850607999999</v>
      </c>
      <c r="E350" s="80">
        <v>0</v>
      </c>
      <c r="F350" s="80">
        <f>D350*(($F$117)+1)+(IF(E350&lt;101,E350,IF(E350&lt;201,E350/2,IF(E350&lt;=301,E350/3,E350/4))))</f>
        <v>2208.7275912</v>
      </c>
      <c r="G350" s="102"/>
      <c r="H350" s="103"/>
      <c r="I350" s="25"/>
    </row>
    <row r="351" spans="1:16" s="81" customFormat="1" ht="15.75" customHeight="1" x14ac:dyDescent="0.35">
      <c r="A351" s="117" t="s">
        <v>315</v>
      </c>
      <c r="B351" s="117"/>
      <c r="C351" s="117"/>
      <c r="D351" s="117"/>
      <c r="E351" s="117"/>
      <c r="F351" s="117"/>
      <c r="G351" s="117"/>
      <c r="H351" s="117"/>
      <c r="I351" s="25"/>
      <c r="P351" s="26"/>
    </row>
    <row r="352" spans="1:16" s="81" customFormat="1" ht="15.75" customHeight="1" x14ac:dyDescent="0.35">
      <c r="A352" s="97">
        <v>1</v>
      </c>
      <c r="B352" s="97" t="s">
        <v>225</v>
      </c>
      <c r="C352" s="88" t="s">
        <v>185</v>
      </c>
      <c r="D352" s="88">
        <f>(1.35*1.78+3.2*5.64+2.29*2.83+3.05*3.35+3.31*4.55+3.05*3.75+4.14*1.05+1.82*1.05+(2.29*1.46+1.38*2.14+2.44*1.53)+(3.2*1.08+2.29*1.08)+(0.6*(3.05+3.31+1.8)))*10.764</f>
        <v>976.94279279999978</v>
      </c>
      <c r="E352" s="88">
        <v>0</v>
      </c>
      <c r="F352" s="88">
        <f t="shared" ref="F352:F357" si="10">D352*(($F$117)+1)+(IF(E352&lt;101,E352,IF(E352&lt;201,E352/2,IF(E352&lt;=301,E352/3,E352/4))))</f>
        <v>1465.4141891999998</v>
      </c>
      <c r="G352" s="97" t="str">
        <f>A351</f>
        <v>5th Floor (Part Refuge Area)</v>
      </c>
      <c r="H352" s="97"/>
      <c r="I352" s="25"/>
    </row>
    <row r="353" spans="1:16" s="81" customFormat="1" ht="15.75" customHeight="1" x14ac:dyDescent="0.35">
      <c r="A353" s="97">
        <v>2</v>
      </c>
      <c r="B353" s="97" t="s">
        <v>226</v>
      </c>
      <c r="C353" s="88" t="s">
        <v>185</v>
      </c>
      <c r="D353" s="88">
        <f>(1.35*1.78+3.2*5.64+2.29*2.83+3.05*3.35+3.31*4.55+3.05*3.75+4.14*1.05+1.82*1.05+(2.29*1.46+1.38*2.14+2.44*1.53)+(3.2*1.08+2.29*1.08)+(0.6*(3.05+3.31+1.8)))*10.764</f>
        <v>976.94279279999978</v>
      </c>
      <c r="E353" s="88">
        <v>0</v>
      </c>
      <c r="F353" s="88">
        <f t="shared" si="10"/>
        <v>1465.4141891999998</v>
      </c>
      <c r="G353" s="97"/>
      <c r="H353" s="97"/>
      <c r="I353" s="25"/>
    </row>
    <row r="354" spans="1:16" s="81" customFormat="1" ht="15.75" customHeight="1" x14ac:dyDescent="0.35">
      <c r="A354" s="97">
        <v>3</v>
      </c>
      <c r="B354" s="97" t="s">
        <v>226</v>
      </c>
      <c r="C354" s="88" t="s">
        <v>212</v>
      </c>
      <c r="D354" s="88">
        <f>(1.95*1.53+1.25*3.05+3*3.08+3.05*3.5+2.75*3.08+3.65*8.38+3.59*4.6+4.26*3.59+1*1.73+1*1.22+(1.53*2.29+1.38*2.44+2.44*1.53+2.44*1.53)+(3.9*1.53+2.75*1.53+1*1.53)+(0.6*(3+3.4+4.26+3.59+2.8)))*10.764</f>
        <v>1472.4850607999999</v>
      </c>
      <c r="E354" s="88">
        <v>0</v>
      </c>
      <c r="F354" s="88">
        <f t="shared" si="10"/>
        <v>2208.7275912</v>
      </c>
      <c r="G354" s="97"/>
      <c r="H354" s="97"/>
      <c r="I354" s="25"/>
    </row>
    <row r="355" spans="1:16" s="81" customFormat="1" ht="15.75" customHeight="1" x14ac:dyDescent="0.35">
      <c r="A355" s="97">
        <v>4</v>
      </c>
      <c r="B355" s="97" t="s">
        <v>227</v>
      </c>
      <c r="C355" s="97" t="s">
        <v>210</v>
      </c>
      <c r="D355" s="97">
        <f>(1.9*2.59+3.36*6.23+3.05*2.44+2.89*2.73+3.05*3.35+3.36*4.55+3.45*3.97+1.85*1.05+(1.38*2.14+1.38*1.06+2.85*1.53+2.29*1.38)+(3.36*1.07+1*2.44)+(0.6*(3.35+3.05+3.45)))*10.764</f>
        <v>1143.2648915999998</v>
      </c>
      <c r="E355" s="97">
        <v>0</v>
      </c>
      <c r="F355" s="97">
        <f t="shared" si="10"/>
        <v>1714.8973373999997</v>
      </c>
      <c r="G355" s="97"/>
      <c r="H355" s="97"/>
      <c r="I355" s="25"/>
    </row>
    <row r="356" spans="1:16" s="81" customFormat="1" ht="15.75" customHeight="1" x14ac:dyDescent="0.35">
      <c r="A356" s="97">
        <v>5</v>
      </c>
      <c r="B356" s="97" t="s">
        <v>228</v>
      </c>
      <c r="C356" s="88" t="s">
        <v>185</v>
      </c>
      <c r="D356" s="88">
        <f>(1.9*2.59+3.36*6.23+3.05*2.44+2.89*2.73+3.05*3.35+3.36*4.55+3.45*3.97+1.85*1.05+(1.38*2.14+1.38*1.06+2.85*1.53+2.29*1.38)+(3.36*1.07+1*2.44)+(0.6*(3.35+3.05+3.45)))*10.764</f>
        <v>1143.2648915999998</v>
      </c>
      <c r="E356" s="88">
        <v>0</v>
      </c>
      <c r="F356" s="88">
        <f t="shared" si="10"/>
        <v>1714.8973373999997</v>
      </c>
      <c r="G356" s="97"/>
      <c r="H356" s="97"/>
      <c r="I356" s="25"/>
    </row>
    <row r="357" spans="1:16" s="81" customFormat="1" ht="15.75" customHeight="1" x14ac:dyDescent="0.35">
      <c r="A357" s="97">
        <v>6</v>
      </c>
      <c r="B357" s="97" t="s">
        <v>229</v>
      </c>
      <c r="C357" s="88" t="s">
        <v>212</v>
      </c>
      <c r="D357" s="88">
        <f>(1.95*1.53+1.25*3.05+3*3.08+3.05*3.5+2.75*3.08+3.65*8.38+3.59*4.6+4.26*3.59+1*1.73+1*1.22+(1.53*2.29+1.38*2.44+2.44*1.53+2.44*1.53)+(3.9*1.53+2.75*1.53+1*1.53)+(0.6*(3+3.4+4.26+3.59+2.8)))*10.764</f>
        <v>1472.4850607999999</v>
      </c>
      <c r="E357" s="88">
        <v>0</v>
      </c>
      <c r="F357" s="88">
        <f t="shared" si="10"/>
        <v>2208.7275912</v>
      </c>
      <c r="G357" s="97"/>
      <c r="H357" s="97"/>
      <c r="I357" s="25"/>
    </row>
    <row r="358" spans="1:16" s="81" customFormat="1" ht="15.75" customHeight="1" x14ac:dyDescent="0.35">
      <c r="A358" s="117" t="s">
        <v>316</v>
      </c>
      <c r="B358" s="117"/>
      <c r="C358" s="117"/>
      <c r="D358" s="117"/>
      <c r="E358" s="117"/>
      <c r="F358" s="117"/>
      <c r="G358" s="117"/>
      <c r="H358" s="117"/>
      <c r="I358" s="25"/>
      <c r="P358" s="26"/>
    </row>
    <row r="359" spans="1:16" s="81" customFormat="1" ht="15.75" customHeight="1" x14ac:dyDescent="0.35">
      <c r="A359" s="97">
        <v>1</v>
      </c>
      <c r="B359" s="97" t="s">
        <v>225</v>
      </c>
      <c r="C359" s="88" t="s">
        <v>185</v>
      </c>
      <c r="D359" s="88">
        <f>(1.35*1.78+3.2*5.64+2.29*2.83+3.05*3.35+3.31*4.55+3.05*3.75+4.14*1.05+1.82*1.05+(2.29*1.46+1.38*2.14+2.44*1.53)+(3.2*1.08+2.29*1.08)+(0.6*(3.05+3.31+1.8)))*10.764</f>
        <v>976.94279279999978</v>
      </c>
      <c r="E359" s="88">
        <v>0</v>
      </c>
      <c r="F359" s="88">
        <f t="shared" ref="F359:F364" si="11">D359*(($F$117)+1)+(IF(E359&lt;101,E359,IF(E359&lt;201,E359/2,IF(E359&lt;=301,E359/3,E359/4))))</f>
        <v>1465.4141891999998</v>
      </c>
      <c r="G359" s="97" t="str">
        <f>A358</f>
        <v>9th, 13th, 17th, 32nd, 36th &amp; 40th Floor</v>
      </c>
      <c r="H359" s="97"/>
      <c r="I359" s="25"/>
    </row>
    <row r="360" spans="1:16" s="81" customFormat="1" ht="15.75" customHeight="1" x14ac:dyDescent="0.35">
      <c r="A360" s="97">
        <v>2</v>
      </c>
      <c r="B360" s="97" t="s">
        <v>226</v>
      </c>
      <c r="C360" s="88" t="s">
        <v>185</v>
      </c>
      <c r="D360" s="88">
        <f>(1.35*1.78+3.2*5.64+2.29*2.83+3.05*3.35+3.31*4.55+3.05*3.75+4.14*1.05+1.82*1.05+(2.29*1.46+1.38*2.14+2.44*1.53)+(3.2*1.08+2.29*1.08)+(0.6*(3.05+3.31+1.8)))*10.764</f>
        <v>976.94279279999978</v>
      </c>
      <c r="E360" s="88">
        <v>0</v>
      </c>
      <c r="F360" s="88">
        <f t="shared" si="11"/>
        <v>1465.4141891999998</v>
      </c>
      <c r="G360" s="97"/>
      <c r="H360" s="97"/>
      <c r="I360" s="25"/>
    </row>
    <row r="361" spans="1:16" s="81" customFormat="1" ht="15.75" customHeight="1" x14ac:dyDescent="0.35">
      <c r="A361" s="97">
        <v>3</v>
      </c>
      <c r="B361" s="97" t="s">
        <v>226</v>
      </c>
      <c r="C361" s="88" t="s">
        <v>212</v>
      </c>
      <c r="D361" s="88">
        <f>(1.95*1.53+1.25*3.05+3*3.08+3.05*3.5+2.75*3.08+3.65*8.38+3.59*4.6+4.26*3.59+1*1.73+1*1.22+(1.53*2.29+1.38*2.44+2.44*1.53+2.44*1.53)+(3.9*1.53+2.75*1.53+1*1.53)+(0.6*(3+3.4+4.26+3.59+2.8)))*10.764</f>
        <v>1472.4850607999999</v>
      </c>
      <c r="E361" s="88">
        <v>0</v>
      </c>
      <c r="F361" s="88">
        <f t="shared" si="11"/>
        <v>2208.7275912</v>
      </c>
      <c r="G361" s="97"/>
      <c r="H361" s="97"/>
      <c r="I361" s="25"/>
    </row>
    <row r="362" spans="1:16" s="81" customFormat="1" ht="15.75" customHeight="1" x14ac:dyDescent="0.35">
      <c r="A362" s="97">
        <v>4</v>
      </c>
      <c r="B362" s="97" t="s">
        <v>227</v>
      </c>
      <c r="C362" s="88" t="s">
        <v>185</v>
      </c>
      <c r="D362" s="88">
        <f>(1.9*2.59+3.36*6.23+3.05*2.44+2.89*2.73+3.05*3.35+3.36*4.55+3.45*3.97+1.85*1.05+(1.38*2.14+1.38*1.06+2.85*1.53+2.29*1.38)+(3.36*1.07+1*2.44)+(0.6*(3.35+3.05+3.45)))*10.764</f>
        <v>1143.2648915999998</v>
      </c>
      <c r="E362" s="88">
        <v>0</v>
      </c>
      <c r="F362" s="88">
        <f t="shared" si="11"/>
        <v>1714.8973373999997</v>
      </c>
      <c r="G362" s="97"/>
      <c r="H362" s="97"/>
      <c r="I362" s="25"/>
    </row>
    <row r="363" spans="1:16" s="81" customFormat="1" ht="15.75" customHeight="1" x14ac:dyDescent="0.35">
      <c r="A363" s="97">
        <v>5</v>
      </c>
      <c r="B363" s="97" t="s">
        <v>228</v>
      </c>
      <c r="C363" s="88" t="s">
        <v>185</v>
      </c>
      <c r="D363" s="88">
        <f>(1.9*2.59+3.36*6.23+3.05*2.44+2.89*2.73+3.05*3.35+3.36*4.55+3.45*3.97+1.85*1.05+(1.38*2.14+1.38*1.06+2.85*1.53+2.29*1.38)+(3.36*1.07+1*2.44)+(0.6*(3.35+3.05+3.45)))*10.764</f>
        <v>1143.2648915999998</v>
      </c>
      <c r="E363" s="88">
        <v>0</v>
      </c>
      <c r="F363" s="88">
        <f t="shared" si="11"/>
        <v>1714.8973373999997</v>
      </c>
      <c r="G363" s="97"/>
      <c r="H363" s="97"/>
      <c r="I363" s="25"/>
    </row>
    <row r="364" spans="1:16" s="81" customFormat="1" ht="15.75" customHeight="1" x14ac:dyDescent="0.35">
      <c r="A364" s="97">
        <v>6</v>
      </c>
      <c r="B364" s="97" t="s">
        <v>229</v>
      </c>
      <c r="C364" s="88" t="s">
        <v>212</v>
      </c>
      <c r="D364" s="88">
        <f>(1.95*1.53+1.25*3.05+3*3.08+3.05*3.5+2.75*3.08+3.65*8.38+3.59*4.6+4.26*3.59+1*1.73+1*1.22+(1.53*2.29+1.38*2.44+2.44*1.53+2.44*1.53)+(3.9*1.53+2.75*1.53+1*1.53)+(0.6*(3+3.4+4.26+3.59+2.8)))*10.764</f>
        <v>1472.4850607999999</v>
      </c>
      <c r="E364" s="88">
        <v>0</v>
      </c>
      <c r="F364" s="88">
        <f t="shared" si="11"/>
        <v>2208.7275912</v>
      </c>
      <c r="G364" s="97"/>
      <c r="H364" s="97"/>
      <c r="I364" s="25"/>
    </row>
    <row r="365" spans="1:16" s="81" customFormat="1" ht="15.75" customHeight="1" x14ac:dyDescent="0.35">
      <c r="A365" s="94" t="s">
        <v>317</v>
      </c>
      <c r="B365" s="95"/>
      <c r="C365" s="95"/>
      <c r="D365" s="95"/>
      <c r="E365" s="95"/>
      <c r="F365" s="95"/>
      <c r="G365" s="95"/>
      <c r="H365" s="96"/>
      <c r="I365" s="25"/>
      <c r="P365" s="26"/>
    </row>
    <row r="366" spans="1:16" s="81" customFormat="1" ht="15.75" customHeight="1" x14ac:dyDescent="0.35">
      <c r="A366" s="97">
        <v>1</v>
      </c>
      <c r="B366" s="97" t="s">
        <v>231</v>
      </c>
      <c r="C366" s="80" t="s">
        <v>250</v>
      </c>
      <c r="D366" s="80">
        <f>(1.85*1.63+6.55*5.64+2.29*2.83+6.51*3.35+5.36*1.2+3.05*3.75+2.29*2.83+3.05*3.35+3.31*4.85+3.05*3.75+(2.44*1.53+1.38*2.14+2.29*1.46+1.38*2.13+2.44*1.53+2.29*1.46)+(4.14*1.05+1.8*1.05+3.84*1.05+2.29*1.08+2.29*1.08)+6.55*1.08+(0.6*(2.44+2.59+2.69+2.44)))*10.764</f>
        <v>1923.9207624000001</v>
      </c>
      <c r="E366" s="80">
        <v>0</v>
      </c>
      <c r="F366" s="80">
        <f>D366*(($F$117)+1)+(IF(E366&lt;101,E366,IF(E366&lt;201,E366/2,IF(E366&lt;=301,E366/3,E366/4))))</f>
        <v>2885.8811436000001</v>
      </c>
      <c r="G366" s="98" t="str">
        <f>A365</f>
        <v>21st Floor</v>
      </c>
      <c r="H366" s="99"/>
    </row>
    <row r="367" spans="1:16" s="81" customFormat="1" ht="15.75" customHeight="1" x14ac:dyDescent="0.35">
      <c r="A367" s="97">
        <v>3</v>
      </c>
      <c r="B367" s="97" t="s">
        <v>233</v>
      </c>
      <c r="C367" s="80" t="s">
        <v>212</v>
      </c>
      <c r="D367" s="80">
        <f>(1.95*1.53+1.25*3.05+3*3.08+3.05*3.5+2.75*3.08+3.65*8.38+3.59*4.6+4.26*3.59+1*1.73+1*1.22+(1.53*2.29+1.38*2.44+2.44*1.53+2.44*1.53)+(3.9*1.53+2.75*1.53+1*1.53)+(0.6*(3+3.4+4.26+3.59+2.8)))*10.764</f>
        <v>1472.4850607999999</v>
      </c>
      <c r="E367" s="80">
        <v>0</v>
      </c>
      <c r="F367" s="80">
        <f>D367*(($F$117)+1)+(IF(E367&lt;101,E367,IF(E367&lt;201,E367/2,IF(E367&lt;=301,E367/3,E367/4))))</f>
        <v>2208.7275912</v>
      </c>
      <c r="G367" s="100"/>
      <c r="H367" s="101"/>
      <c r="I367" s="25"/>
    </row>
    <row r="368" spans="1:16" s="81" customFormat="1" ht="15.75" customHeight="1" x14ac:dyDescent="0.35">
      <c r="A368" s="97">
        <v>4</v>
      </c>
      <c r="B368" s="97" t="s">
        <v>234</v>
      </c>
      <c r="C368" s="80" t="s">
        <v>185</v>
      </c>
      <c r="D368" s="80">
        <f>(1.9*2.59+3.36*6.23+3.05*2.44+2.89*2.73+3.05*3.35+3.36*4.55+3.45*3.97+1.85*1.05+(1.38*2.14+1.38*1.06+2.85*1.53+2.29*1.38)+(3.36*1.07+1*2.44)+(0.6*(3.35+3.05+3.45)))*10.764</f>
        <v>1143.2648915999998</v>
      </c>
      <c r="E368" s="80">
        <v>0</v>
      </c>
      <c r="F368" s="80">
        <f>D368*(($F$117)+1)+(IF(E368&lt;101,E368,IF(E368&lt;201,E368/2,IF(E368&lt;=301,E368/3,E368/4))))</f>
        <v>1714.8973373999997</v>
      </c>
      <c r="G368" s="100"/>
      <c r="H368" s="101"/>
      <c r="I368" s="25"/>
    </row>
    <row r="369" spans="1:16" s="81" customFormat="1" ht="15.75" customHeight="1" x14ac:dyDescent="0.35">
      <c r="A369" s="97">
        <v>5</v>
      </c>
      <c r="B369" s="97" t="s">
        <v>235</v>
      </c>
      <c r="C369" s="80" t="s">
        <v>185</v>
      </c>
      <c r="D369" s="80">
        <f>(1.9*2.59+3.36*6.23+3.05*2.44+2.89*2.73+3.05*3.35+3.36*4.55+3.45*3.97+1.85*1.05+(1.38*2.14+1.38*1.06+2.85*1.53+2.29*1.38)+(3.36*1.07+1*2.44)+(0.6*(3.35+3.05+3.45)))*10.764</f>
        <v>1143.2648915999998</v>
      </c>
      <c r="E369" s="80">
        <v>0</v>
      </c>
      <c r="F369" s="80">
        <f>D369*(($F$117)+1)+(IF(E369&lt;101,E369,IF(E369&lt;201,E369/2,IF(E369&lt;=301,E369/3,E369/4))))</f>
        <v>1714.8973373999997</v>
      </c>
      <c r="G369" s="100"/>
      <c r="H369" s="101"/>
      <c r="I369" s="25"/>
    </row>
    <row r="370" spans="1:16" s="81" customFormat="1" ht="15.75" customHeight="1" x14ac:dyDescent="0.35">
      <c r="A370" s="97">
        <v>6</v>
      </c>
      <c r="B370" s="97" t="s">
        <v>236</v>
      </c>
      <c r="C370" s="80" t="s">
        <v>212</v>
      </c>
      <c r="D370" s="80">
        <f>(1.95*1.53+1.25*3.05+3*3.08+3.05*3.5+2.75*3.08+3.65*8.38+3.59*4.6+4.26*3.59+1*1.73+1*1.22+(1.53*2.29+1.38*2.44+2.44*1.53+2.44*1.53)+(3.9*1.53+2.75*1.53+1*1.53)+(0.6*(3+3.4+4.26+3.59+2.8)))*10.764</f>
        <v>1472.4850607999999</v>
      </c>
      <c r="E370" s="80">
        <v>0</v>
      </c>
      <c r="F370" s="80">
        <f>D370*(($F$117)+1)+(IF(E370&lt;101,E370,IF(E370&lt;201,E370/2,IF(E370&lt;=301,E370/3,E370/4))))</f>
        <v>2208.7275912</v>
      </c>
      <c r="G370" s="102"/>
      <c r="H370" s="103"/>
      <c r="I370" s="25"/>
    </row>
    <row r="371" spans="1:16" s="68" customFormat="1" ht="15.75" customHeight="1" x14ac:dyDescent="0.35">
      <c r="A371" s="94" t="s">
        <v>318</v>
      </c>
      <c r="B371" s="95"/>
      <c r="C371" s="95"/>
      <c r="D371" s="95"/>
      <c r="E371" s="95"/>
      <c r="F371" s="95"/>
      <c r="G371" s="95"/>
      <c r="H371" s="96"/>
      <c r="I371" s="25"/>
      <c r="P371" s="26"/>
    </row>
    <row r="372" spans="1:16" s="68" customFormat="1" ht="15.75" customHeight="1" x14ac:dyDescent="0.35">
      <c r="A372" s="97">
        <v>1</v>
      </c>
      <c r="B372" s="97" t="s">
        <v>225</v>
      </c>
      <c r="C372" s="67" t="s">
        <v>185</v>
      </c>
      <c r="D372" s="67">
        <f>(1.35*1.78+3.2*5.64+2.29*2.83+3.05*3.35+3.31*4.55+3.05*3.75+4.14*1.05+1.82*1.05+(2.29*1.46+1.38*2.14+2.44*1.53)+(3.2*1.08+2.29*1.08)+(0.6*(3.05+3.31+1.8)))*10.764</f>
        <v>976.94279279999978</v>
      </c>
      <c r="E372" s="67">
        <v>0</v>
      </c>
      <c r="F372" s="67">
        <f t="shared" ref="F372:F377" si="12">D372*(($F$117)+1)+(IF(E372&lt;101,E372,IF(E372&lt;201,E372/2,IF(E372&lt;=301,E372/3,E372/4))))</f>
        <v>1465.4141891999998</v>
      </c>
      <c r="G372" s="98" t="str">
        <f>A371</f>
        <v>10th, 15th, 29th &amp; 39th Floor (Part Refuge Area)</v>
      </c>
      <c r="H372" s="99"/>
      <c r="I372" s="25"/>
    </row>
    <row r="373" spans="1:16" s="68" customFormat="1" ht="15.75" customHeight="1" x14ac:dyDescent="0.35">
      <c r="A373" s="97">
        <v>2</v>
      </c>
      <c r="B373" s="97" t="s">
        <v>226</v>
      </c>
      <c r="C373" s="67" t="s">
        <v>185</v>
      </c>
      <c r="D373" s="67">
        <f>(1.35*1.78+3.2*5.64+2.29*2.83+3.05*3.35+3.31*4.55+3.05*3.75+4.14*1.05+1.82*1.05+(2.29*1.46+1.38*2.14+2.44*1.53)+(3.2*1.08+2.29*1.08)+(0.6*(3.05+3.31+1.8)))*10.764</f>
        <v>976.94279279999978</v>
      </c>
      <c r="E373" s="67">
        <v>0</v>
      </c>
      <c r="F373" s="67">
        <f t="shared" si="12"/>
        <v>1465.4141891999998</v>
      </c>
      <c r="G373" s="100"/>
      <c r="H373" s="101"/>
      <c r="I373" s="25"/>
    </row>
    <row r="374" spans="1:16" s="68" customFormat="1" ht="15.75" customHeight="1" x14ac:dyDescent="0.35">
      <c r="A374" s="97">
        <v>3</v>
      </c>
      <c r="B374" s="97" t="s">
        <v>226</v>
      </c>
      <c r="C374" s="67" t="s">
        <v>212</v>
      </c>
      <c r="D374" s="67">
        <f>(1.95*1.53+1.25*3.05+3*3.08+3.05*3.5+2.75*3.08+3.65*8.38+3.59*4.6+4.26*3.59+1*1.73+1*1.22+(1.53*2.29+1.38*2.44+2.44*1.53+2.44*1.53)+(3.9*1.53+2.75*1.53+1*1.53)+(0.6*(3+3.4+4.26+3.59+2.8)))*10.764</f>
        <v>1472.4850607999999</v>
      </c>
      <c r="E374" s="67">
        <v>0</v>
      </c>
      <c r="F374" s="67">
        <f t="shared" si="12"/>
        <v>2208.7275912</v>
      </c>
      <c r="G374" s="100"/>
      <c r="H374" s="101"/>
      <c r="I374" s="25"/>
    </row>
    <row r="375" spans="1:16" s="68" customFormat="1" ht="15.75" customHeight="1" x14ac:dyDescent="0.35">
      <c r="A375" s="97">
        <v>4</v>
      </c>
      <c r="B375" s="97" t="s">
        <v>227</v>
      </c>
      <c r="C375" s="104" t="s">
        <v>210</v>
      </c>
      <c r="D375" s="105">
        <f>(1.9*2.59+3.36*6.23+3.05*2.44+2.89*2.73+3.05*3.35+3.36*4.55+3.45*3.97+1.85*1.05+(1.38*2.14+1.38*1.06+2.85*1.53+2.29*1.38)+(3.36*1.07+1*2.44)+(0.6*(3.35+3.05+3.45)))*10.764</f>
        <v>1143.2648915999998</v>
      </c>
      <c r="E375" s="105">
        <v>0</v>
      </c>
      <c r="F375" s="106">
        <f t="shared" si="12"/>
        <v>1714.8973373999997</v>
      </c>
      <c r="G375" s="100"/>
      <c r="H375" s="101"/>
      <c r="I375" s="25"/>
    </row>
    <row r="376" spans="1:16" s="68" customFormat="1" ht="15.75" customHeight="1" x14ac:dyDescent="0.35">
      <c r="A376" s="97">
        <v>5</v>
      </c>
      <c r="B376" s="97" t="s">
        <v>228</v>
      </c>
      <c r="C376" s="67" t="s">
        <v>185</v>
      </c>
      <c r="D376" s="67">
        <f>(1.9*2.59+3.36*6.23+3.05*2.44+2.89*2.73+3.05*3.35+3.36*4.55+3.45*3.97+1.85*1.05+(1.38*2.14+1.38*1.06+2.85*1.53+2.29*1.38)+(3.36*1.07+1*2.44)+(0.6*(3.35+3.05+3.45)))*10.764</f>
        <v>1143.2648915999998</v>
      </c>
      <c r="E376" s="67">
        <v>0</v>
      </c>
      <c r="F376" s="67">
        <f t="shared" si="12"/>
        <v>1714.8973373999997</v>
      </c>
      <c r="G376" s="100"/>
      <c r="H376" s="101"/>
      <c r="I376" s="25"/>
    </row>
    <row r="377" spans="1:16" s="68" customFormat="1" ht="15.75" customHeight="1" x14ac:dyDescent="0.35">
      <c r="A377" s="97">
        <v>6</v>
      </c>
      <c r="B377" s="97" t="s">
        <v>229</v>
      </c>
      <c r="C377" s="67" t="s">
        <v>212</v>
      </c>
      <c r="D377" s="67">
        <f>(1.95*1.53+1.25*3.05+3*3.08+3.05*3.5+2.75*3.08+3.65*8.38+3.59*4.6+4.26*3.59+1*1.73+1*1.22+(1.53*2.29+1.38*2.44+2.44*1.53+2.44*1.53)+(3.9*1.53+2.75*1.53+1*1.53)+(0.6*(3+3.4+4.26+3.59+2.8)))*10.764</f>
        <v>1472.4850607999999</v>
      </c>
      <c r="E377" s="67">
        <v>0</v>
      </c>
      <c r="F377" s="67">
        <f t="shared" si="12"/>
        <v>2208.7275912</v>
      </c>
      <c r="G377" s="102"/>
      <c r="H377" s="103"/>
      <c r="I377" s="25"/>
    </row>
    <row r="378" spans="1:16" s="71" customFormat="1" ht="15.75" customHeight="1" x14ac:dyDescent="0.35">
      <c r="A378" s="94" t="s">
        <v>278</v>
      </c>
      <c r="B378" s="95"/>
      <c r="C378" s="95"/>
      <c r="D378" s="95"/>
      <c r="E378" s="95"/>
      <c r="F378" s="95"/>
      <c r="G378" s="95"/>
      <c r="H378" s="96"/>
      <c r="I378" s="25"/>
      <c r="P378" s="26"/>
    </row>
    <row r="379" spans="1:16" s="71" customFormat="1" ht="15.75" customHeight="1" x14ac:dyDescent="0.35">
      <c r="A379" s="97">
        <v>1</v>
      </c>
      <c r="B379" s="97" t="s">
        <v>225</v>
      </c>
      <c r="C379" s="70" t="s">
        <v>185</v>
      </c>
      <c r="D379" s="70">
        <f>(86.98+(0.6*(3.05+3.31+1.8)))*10.764</f>
        <v>988.95326399999999</v>
      </c>
      <c r="E379" s="70">
        <v>0</v>
      </c>
      <c r="F379" s="70">
        <f t="shared" ref="F379:F384" si="13">D379*(($F$117)+1)+(IF(E379&lt;101,E379,IF(E379&lt;201,E379/2,IF(E379&lt;=301,E379/3,E379/4))))</f>
        <v>1483.4298960000001</v>
      </c>
      <c r="G379" s="98" t="str">
        <f>A378</f>
        <v>32nd, 36th &amp; 40th Floor</v>
      </c>
      <c r="H379" s="99"/>
      <c r="I379" s="25"/>
    </row>
    <row r="380" spans="1:16" s="71" customFormat="1" ht="15.75" customHeight="1" x14ac:dyDescent="0.35">
      <c r="A380" s="97">
        <v>2</v>
      </c>
      <c r="B380" s="97" t="s">
        <v>226</v>
      </c>
      <c r="C380" s="70" t="s">
        <v>185</v>
      </c>
      <c r="D380" s="70">
        <f>(86.98+(0.6*(3.05+3.31+1.8)))*10.764</f>
        <v>988.95326399999999</v>
      </c>
      <c r="E380" s="70">
        <v>0</v>
      </c>
      <c r="F380" s="70">
        <f t="shared" si="13"/>
        <v>1483.4298960000001</v>
      </c>
      <c r="G380" s="100"/>
      <c r="H380" s="101"/>
      <c r="I380" s="25"/>
    </row>
    <row r="381" spans="1:16" s="71" customFormat="1" ht="15.75" customHeight="1" x14ac:dyDescent="0.35">
      <c r="A381" s="97">
        <v>3</v>
      </c>
      <c r="B381" s="97" t="s">
        <v>226</v>
      </c>
      <c r="C381" s="70" t="s">
        <v>212</v>
      </c>
      <c r="D381" s="70">
        <f>(129.6+(0.6*(3+3.4+4.26+3.59+2.8)))*10.764</f>
        <v>1505.1301199999998</v>
      </c>
      <c r="E381" s="70">
        <v>0</v>
      </c>
      <c r="F381" s="70">
        <f t="shared" si="13"/>
        <v>2257.6951799999997</v>
      </c>
      <c r="G381" s="100"/>
      <c r="H381" s="101"/>
      <c r="I381" s="25"/>
    </row>
    <row r="382" spans="1:16" s="71" customFormat="1" ht="15.75" customHeight="1" x14ac:dyDescent="0.35">
      <c r="A382" s="97">
        <v>4</v>
      </c>
      <c r="B382" s="97" t="s">
        <v>227</v>
      </c>
      <c r="C382" s="70" t="s">
        <v>185</v>
      </c>
      <c r="D382" s="70">
        <f>(101.5+(0.6*(3.35+3.05+3.45)))*10.764</f>
        <v>1156.1612399999999</v>
      </c>
      <c r="E382" s="70">
        <v>0</v>
      </c>
      <c r="F382" s="70">
        <f t="shared" si="13"/>
        <v>1734.2418599999999</v>
      </c>
      <c r="G382" s="100"/>
      <c r="H382" s="101"/>
      <c r="I382" s="25"/>
    </row>
    <row r="383" spans="1:16" s="71" customFormat="1" ht="15.75" customHeight="1" x14ac:dyDescent="0.35">
      <c r="A383" s="97">
        <v>5</v>
      </c>
      <c r="B383" s="97" t="s">
        <v>228</v>
      </c>
      <c r="C383" s="70" t="s">
        <v>185</v>
      </c>
      <c r="D383" s="70">
        <f>(101.5+(0.6*(3.35+3.05+3.45)))*10.764</f>
        <v>1156.1612399999999</v>
      </c>
      <c r="E383" s="70">
        <v>0</v>
      </c>
      <c r="F383" s="70">
        <f t="shared" si="13"/>
        <v>1734.2418599999999</v>
      </c>
      <c r="G383" s="100"/>
      <c r="H383" s="101"/>
      <c r="I383" s="25"/>
    </row>
    <row r="384" spans="1:16" s="71" customFormat="1" ht="15.75" customHeight="1" x14ac:dyDescent="0.35">
      <c r="A384" s="97">
        <v>6</v>
      </c>
      <c r="B384" s="97" t="s">
        <v>229</v>
      </c>
      <c r="C384" s="70" t="s">
        <v>212</v>
      </c>
      <c r="D384" s="70">
        <f>(129.6+(0.6*(3+3.4+4.26+3.59+2.8)))*10.764</f>
        <v>1505.1301199999998</v>
      </c>
      <c r="E384" s="70">
        <v>0</v>
      </c>
      <c r="F384" s="70">
        <f t="shared" si="13"/>
        <v>2257.6951799999997</v>
      </c>
      <c r="G384" s="102"/>
      <c r="H384" s="103"/>
      <c r="I384" s="25"/>
    </row>
    <row r="385" spans="1:16" s="81" customFormat="1" ht="15.75" customHeight="1" x14ac:dyDescent="0.35">
      <c r="A385" s="94" t="s">
        <v>319</v>
      </c>
      <c r="B385" s="95"/>
      <c r="C385" s="95"/>
      <c r="D385" s="95"/>
      <c r="E385" s="95"/>
      <c r="F385" s="95"/>
      <c r="G385" s="95"/>
      <c r="H385" s="96"/>
      <c r="I385" s="25"/>
      <c r="P385" s="26"/>
    </row>
    <row r="386" spans="1:16" s="81" customFormat="1" ht="15.75" customHeight="1" x14ac:dyDescent="0.35">
      <c r="A386" s="97">
        <v>1</v>
      </c>
      <c r="B386" s="97" t="s">
        <v>231</v>
      </c>
      <c r="C386" s="80" t="s">
        <v>250</v>
      </c>
      <c r="D386" s="80">
        <f>(1.85*1.63+6.55*5.64+2.29*2.83+6.51*3.35+5.36*1.2+3.05*3.75+2.29*2.83+3.05*3.35+3.31*4.85+3.05*3.75+(2.44*1.53+1.38*2.14+2.29*1.46+1.38*2.13+2.44*1.53+2.29*1.46)+(4.14*1.05+1.8*1.05+3.84*1.05+2.29*1.08+2.29*1.08)+6.55*1.08+(0.6*(2.44+2.59+2.69+2.44)))*10.764</f>
        <v>1923.9207624000001</v>
      </c>
      <c r="E386" s="80">
        <v>0</v>
      </c>
      <c r="F386" s="80">
        <f>D386*(($F$117)+1)+(IF(E386&lt;101,E386,IF(E386&lt;201,E386/2,IF(E386&lt;=301,E386/3,E386/4))))</f>
        <v>2885.8811436000001</v>
      </c>
      <c r="G386" s="98" t="str">
        <f>A385</f>
        <v>20th Floor (Part Refuge Area)</v>
      </c>
      <c r="H386" s="99"/>
    </row>
    <row r="387" spans="1:16" s="81" customFormat="1" ht="15.75" customHeight="1" x14ac:dyDescent="0.35">
      <c r="A387" s="97">
        <v>3</v>
      </c>
      <c r="B387" s="97" t="s">
        <v>232</v>
      </c>
      <c r="C387" s="80" t="s">
        <v>212</v>
      </c>
      <c r="D387" s="80">
        <f>(1.95*1.53+1.25*3.05+3*3.08+3.05*3.5+2.75*3.08+3.65*8.38+3.59*4.6+4.26*3.59+1*1.73+1*1.22+(1.53*2.29+1.38*2.44+2.44*1.53+2.44*1.53)+(3.9*1.53+2.75*1.53+1*1.53)+(0.6*(3+3.4+4.26+3.59+2.8)))*10.764</f>
        <v>1472.4850607999999</v>
      </c>
      <c r="E387" s="80">
        <v>0</v>
      </c>
      <c r="F387" s="80">
        <f>D387*(($F$117)+1)+(IF(E387&lt;101,E387,IF(E387&lt;201,E387/2,IF(E387&lt;=301,E387/3,E387/4))))</f>
        <v>2208.7275912</v>
      </c>
      <c r="G387" s="100"/>
      <c r="H387" s="101"/>
      <c r="I387" s="25"/>
    </row>
    <row r="388" spans="1:16" s="81" customFormat="1" ht="15.75" customHeight="1" x14ac:dyDescent="0.35">
      <c r="A388" s="97">
        <v>4</v>
      </c>
      <c r="B388" s="97" t="s">
        <v>234</v>
      </c>
      <c r="C388" s="104" t="s">
        <v>210</v>
      </c>
      <c r="D388" s="105"/>
      <c r="E388" s="105"/>
      <c r="F388" s="106"/>
      <c r="G388" s="100"/>
      <c r="H388" s="101"/>
      <c r="I388" s="25"/>
    </row>
    <row r="389" spans="1:16" s="81" customFormat="1" ht="15.75" customHeight="1" x14ac:dyDescent="0.35">
      <c r="A389" s="97">
        <v>5</v>
      </c>
      <c r="B389" s="97" t="s">
        <v>235</v>
      </c>
      <c r="C389" s="80" t="s">
        <v>212</v>
      </c>
      <c r="D389" s="80">
        <f>(1.9*2.59+3.36*6.23+3.05*2.44+2.89*2.73+3.05*3.35+3.36*4.55+3.45*3.97+1.85*1.05+3.36*4.7+3.36*1.07+1.37*2.89+3.91*2.81+2.29*1.37+1.05*3.91+(1.38*2.14+1.38*1.06+2.85*1.53+2.29*1.38)+(3.36*1.07+1*2.44)+(0.6*(3.35+3.05+3.45)))*10.764</f>
        <v>1590.7932611999997</v>
      </c>
      <c r="E389" s="80">
        <v>0</v>
      </c>
      <c r="F389" s="80">
        <f>D389*(($F$117)+1)+(IF(E389&lt;101,E389,IF(E389&lt;201,E389/2,IF(E389&lt;=301,E389/3,E389/4))))</f>
        <v>2386.1898917999997</v>
      </c>
      <c r="G389" s="100"/>
      <c r="H389" s="101"/>
      <c r="I389" s="25"/>
    </row>
    <row r="390" spans="1:16" s="81" customFormat="1" ht="15.75" customHeight="1" x14ac:dyDescent="0.35">
      <c r="A390" s="97">
        <v>6</v>
      </c>
      <c r="B390" s="97" t="s">
        <v>236</v>
      </c>
      <c r="C390" s="80" t="s">
        <v>212</v>
      </c>
      <c r="D390" s="80">
        <f>(1.95*1.53+1.25*3.05+3*3.08+3.05*3.5+2.75*3.08+3.65*8.38+3.59*4.6+4.26*3.59+1*1.73+1*1.22+(1.53*2.29+1.38*2.44+2.44*1.53+2.44*1.53)+(3.9*1.53+2.75*1.53+1*1.53)+(0.6*(3+3.4+4.26+3.59+2.8)))*10.764</f>
        <v>1472.4850607999999</v>
      </c>
      <c r="E390" s="80">
        <v>0</v>
      </c>
      <c r="F390" s="80">
        <f>D390*(($F$117)+1)+(IF(E390&lt;101,E390,IF(E390&lt;201,E390/2,IF(E390&lt;=301,E390/3,E390/4))))</f>
        <v>2208.7275912</v>
      </c>
      <c r="G390" s="102"/>
      <c r="H390" s="103"/>
      <c r="I390" s="25"/>
    </row>
    <row r="391" spans="1:16" s="81" customFormat="1" ht="15.75" customHeight="1" x14ac:dyDescent="0.35">
      <c r="A391" s="117" t="s">
        <v>320</v>
      </c>
      <c r="B391" s="117"/>
      <c r="C391" s="117"/>
      <c r="D391" s="117"/>
      <c r="E391" s="117"/>
      <c r="F391" s="117"/>
      <c r="G391" s="117"/>
      <c r="H391" s="117"/>
      <c r="I391" s="25"/>
      <c r="P391" s="26"/>
    </row>
    <row r="392" spans="1:16" s="81" customFormat="1" ht="15.75" customHeight="1" x14ac:dyDescent="0.35">
      <c r="A392" s="97">
        <v>1</v>
      </c>
      <c r="B392" s="97" t="s">
        <v>225</v>
      </c>
      <c r="C392" s="88" t="s">
        <v>185</v>
      </c>
      <c r="D392" s="88">
        <f>(86.98+(0.6*(3.05+3.31+1.8)))*10.764</f>
        <v>988.95326399999999</v>
      </c>
      <c r="E392" s="88">
        <v>0</v>
      </c>
      <c r="F392" s="88">
        <f>D392*(($F$117)+1)+(IF(E392&lt;101,E392,IF(E392&lt;201,E392/2,IF(E392&lt;=301,E392/3,E392/4))))</f>
        <v>1483.4298960000001</v>
      </c>
      <c r="G392" s="97" t="str">
        <f>A391</f>
        <v>18th Floor</v>
      </c>
      <c r="H392" s="97"/>
      <c r="I392" s="25"/>
    </row>
    <row r="393" spans="1:16" s="81" customFormat="1" ht="15.75" customHeight="1" x14ac:dyDescent="0.35">
      <c r="A393" s="97">
        <v>2</v>
      </c>
      <c r="B393" s="97" t="s">
        <v>226</v>
      </c>
      <c r="C393" s="88" t="s">
        <v>185</v>
      </c>
      <c r="D393" s="88">
        <f>(86.98+(0.6*(3.05+3.31+1.8)))*10.764</f>
        <v>988.95326399999999</v>
      </c>
      <c r="E393" s="88">
        <v>0</v>
      </c>
      <c r="F393" s="88">
        <f>D393*(($F$117)+1)+(IF(E393&lt;101,E393,IF(E393&lt;201,E393/2,IF(E393&lt;=301,E393/3,E393/4))))</f>
        <v>1483.4298960000001</v>
      </c>
      <c r="G393" s="97"/>
      <c r="H393" s="97"/>
      <c r="I393" s="25"/>
    </row>
    <row r="394" spans="1:16" s="81" customFormat="1" ht="15.75" customHeight="1" x14ac:dyDescent="0.35">
      <c r="A394" s="97">
        <v>3</v>
      </c>
      <c r="B394" s="97" t="s">
        <v>226</v>
      </c>
      <c r="C394" s="88" t="s">
        <v>212</v>
      </c>
      <c r="D394" s="88">
        <f>(1.95*1.53+1.25*3.05+3*3.08+3.05*3.5+2.75*3.08+3.65*8.38+3.59*4.6+4.26*3.59+1*1.73+1*1.22+(1.53*2.29+1.38*2.44+2.44*1.53+2.44*1.53)+(3.9*1.53+2.75*1.53+1*1.53)+(0.6*(3+3.4+4.26+3.59+2.8)))*10.764</f>
        <v>1472.4850607999999</v>
      </c>
      <c r="E394" s="88">
        <v>0</v>
      </c>
      <c r="F394" s="88">
        <f>D394*(($F$117)+1)+(IF(E394&lt;101,E394,IF(E394&lt;201,E394/2,IF(E394&lt;=301,E394/3,E394/4))))</f>
        <v>2208.7275912</v>
      </c>
      <c r="G394" s="97"/>
      <c r="H394" s="97"/>
      <c r="I394" s="25"/>
    </row>
    <row r="395" spans="1:16" s="81" customFormat="1" ht="15.75" customHeight="1" x14ac:dyDescent="0.35">
      <c r="A395" s="97">
        <v>5</v>
      </c>
      <c r="B395" s="97" t="s">
        <v>227</v>
      </c>
      <c r="C395" s="88" t="s">
        <v>250</v>
      </c>
      <c r="D395" s="88">
        <f>(1.9*2.47+3.05*4.12+6.55*4.55+3.36*3.35+7.2*3.97+3.36*4.7+3.05*3.35+3.35*4.55+3.35*3.97+1.6*3.97+(2.29*1.38+1.38*2.14+2.85*1.53+2.29*1.38+2.29*1.38+1.38*2.14+2.85*1.53+1.38*0.54+1.05*5.29+1.15*1.53+1.38*1.06+1.2*1.38+3.05*1.05+1*1.38)+(1*2.44+1*2.44+1.07*3.36+1.07*3.36)+(0.6*(6.55+7.2+3.05+3.35)))*10.764</f>
        <v>2280.1800996000002</v>
      </c>
      <c r="E395" s="88">
        <v>0</v>
      </c>
      <c r="F395" s="88">
        <f>D395*(($F$117)+1)+(IF(E395&lt;101,E395,IF(E395&lt;201,E395/2,IF(E395&lt;=301,E395/3,E395/4))))</f>
        <v>3420.2701494000003</v>
      </c>
      <c r="G395" s="97"/>
      <c r="H395" s="97"/>
      <c r="I395" s="25">
        <f>30000000/F395</f>
        <v>8771.2369753198418</v>
      </c>
    </row>
    <row r="396" spans="1:16" s="81" customFormat="1" ht="15.75" customHeight="1" x14ac:dyDescent="0.35">
      <c r="A396" s="97">
        <v>6</v>
      </c>
      <c r="B396" s="97" t="s">
        <v>228</v>
      </c>
      <c r="C396" s="88" t="s">
        <v>212</v>
      </c>
      <c r="D396" s="88">
        <f>(1.95*1.53+1.25*3.05+3*3.08+3.05*3.5+2.75*3.08+3.65*8.38+3.59*4.6+4.26*3.59+1*1.73+1*1.22+(1.53*2.29+1.38*2.44+2.44*1.53+2.44*1.53)+(3.9*1.53+2.75*1.53+1*1.53)+(0.6*(3+3.4+4.26+3.59+2.8)))*10.764</f>
        <v>1472.4850607999999</v>
      </c>
      <c r="E396" s="88">
        <v>0</v>
      </c>
      <c r="F396" s="88">
        <f>D396*(($F$117)+1)+(IF(E396&lt;101,E396,IF(E396&lt;201,E396/2,IF(E396&lt;=301,E396/3,E396/4))))</f>
        <v>2208.7275912</v>
      </c>
      <c r="G396" s="97"/>
      <c r="H396" s="97"/>
      <c r="I396" s="25">
        <f>22700000/F396</f>
        <v>10277.410437774768</v>
      </c>
    </row>
    <row r="397" spans="1:16" s="81" customFormat="1" ht="15.75" customHeight="1" x14ac:dyDescent="0.35">
      <c r="A397" s="117" t="s">
        <v>323</v>
      </c>
      <c r="B397" s="117"/>
      <c r="C397" s="117"/>
      <c r="D397" s="117"/>
      <c r="E397" s="117"/>
      <c r="F397" s="117"/>
      <c r="G397" s="117"/>
      <c r="H397" s="117"/>
      <c r="I397" s="25"/>
      <c r="P397" s="26"/>
    </row>
    <row r="398" spans="1:16" s="81" customFormat="1" ht="15.75" customHeight="1" x14ac:dyDescent="0.35">
      <c r="A398" s="97">
        <v>1</v>
      </c>
      <c r="B398" s="97" t="s">
        <v>225</v>
      </c>
      <c r="C398" s="88" t="s">
        <v>302</v>
      </c>
      <c r="D398" s="88">
        <f>(1.35*1.78+3.2*5.64+2.29*2.83+6.65*3.35+5.35*1.2+3.05*3.75+1.05*2.29+1.05*0.9+(2.29*1.46+1.38*2.14+2.44*1.53)+(3.2*1.08+2.29*1.08)+(0.6*(3.05+3.31+1.8)))*10.764</f>
        <v>982.44319679999967</v>
      </c>
      <c r="E398" s="88">
        <v>0</v>
      </c>
      <c r="F398" s="88">
        <f t="shared" ref="F398:F403" si="14">D398*(($F$117)+1)+(IF(E398&lt;101,E398,IF(E398&lt;201,E398/2,IF(E398&lt;=301,E398/3,E398/4))))</f>
        <v>1473.6647951999994</v>
      </c>
      <c r="G398" s="97" t="str">
        <f>A397</f>
        <v>23rd Floor</v>
      </c>
      <c r="H398" s="97"/>
      <c r="I398" s="25"/>
    </row>
    <row r="399" spans="1:16" s="81" customFormat="1" ht="15.75" customHeight="1" x14ac:dyDescent="0.35">
      <c r="A399" s="97">
        <v>2</v>
      </c>
      <c r="B399" s="97" t="s">
        <v>226</v>
      </c>
      <c r="C399" s="88" t="s">
        <v>185</v>
      </c>
      <c r="D399" s="88">
        <f>(86.98+(0.6*(3.05+3.31+1.8)))*10.764</f>
        <v>988.95326399999999</v>
      </c>
      <c r="E399" s="88">
        <v>0</v>
      </c>
      <c r="F399" s="88">
        <f t="shared" si="14"/>
        <v>1483.4298960000001</v>
      </c>
      <c r="G399" s="97"/>
      <c r="H399" s="97"/>
      <c r="I399" s="25"/>
    </row>
    <row r="400" spans="1:16" s="81" customFormat="1" ht="15.75" customHeight="1" x14ac:dyDescent="0.35">
      <c r="A400" s="97">
        <v>3</v>
      </c>
      <c r="B400" s="97" t="s">
        <v>226</v>
      </c>
      <c r="C400" s="88" t="s">
        <v>212</v>
      </c>
      <c r="D400" s="88">
        <f>(129.6+(0.6*(3+3.4+4.26+3.59+2.8)))*10.764</f>
        <v>1505.1301199999998</v>
      </c>
      <c r="E400" s="88">
        <v>0</v>
      </c>
      <c r="F400" s="88">
        <f t="shared" si="14"/>
        <v>2257.6951799999997</v>
      </c>
      <c r="G400" s="97"/>
      <c r="H400" s="97"/>
      <c r="I400" s="25"/>
    </row>
    <row r="401" spans="1:16" s="81" customFormat="1" ht="15.75" customHeight="1" x14ac:dyDescent="0.35">
      <c r="A401" s="97">
        <v>4</v>
      </c>
      <c r="B401" s="97" t="s">
        <v>227</v>
      </c>
      <c r="C401" s="88" t="s">
        <v>185</v>
      </c>
      <c r="D401" s="88">
        <f>(101.5+(0.6*(3.35+3.05+3.45)))*10.764</f>
        <v>1156.1612399999999</v>
      </c>
      <c r="E401" s="88">
        <v>0</v>
      </c>
      <c r="F401" s="88">
        <f t="shared" si="14"/>
        <v>1734.2418599999999</v>
      </c>
      <c r="G401" s="97"/>
      <c r="H401" s="97"/>
      <c r="I401" s="25"/>
    </row>
    <row r="402" spans="1:16" s="81" customFormat="1" ht="15.75" customHeight="1" x14ac:dyDescent="0.35">
      <c r="A402" s="97">
        <v>5</v>
      </c>
      <c r="B402" s="97" t="s">
        <v>228</v>
      </c>
      <c r="C402" s="88" t="s">
        <v>185</v>
      </c>
      <c r="D402" s="88">
        <f>(101.5+(0.6*(3.35+3.05+3.45)))*10.764</f>
        <v>1156.1612399999999</v>
      </c>
      <c r="E402" s="88">
        <v>0</v>
      </c>
      <c r="F402" s="88">
        <f t="shared" si="14"/>
        <v>1734.2418599999999</v>
      </c>
      <c r="G402" s="97"/>
      <c r="H402" s="97"/>
      <c r="I402" s="25"/>
    </row>
    <row r="403" spans="1:16" s="81" customFormat="1" ht="15.75" customHeight="1" x14ac:dyDescent="0.35">
      <c r="A403" s="97">
        <v>6</v>
      </c>
      <c r="B403" s="97" t="s">
        <v>229</v>
      </c>
      <c r="C403" s="88" t="s">
        <v>212</v>
      </c>
      <c r="D403" s="88">
        <f>(129.6+(0.6*(3+3.4+4.26+3.59+2.8)))*10.764</f>
        <v>1505.1301199999998</v>
      </c>
      <c r="E403" s="88">
        <v>0</v>
      </c>
      <c r="F403" s="88">
        <f t="shared" si="14"/>
        <v>2257.6951799999997</v>
      </c>
      <c r="G403" s="97"/>
      <c r="H403" s="97"/>
      <c r="I403" s="25"/>
    </row>
    <row r="404" spans="1:16" s="81" customFormat="1" ht="15.75" customHeight="1" x14ac:dyDescent="0.35">
      <c r="A404" s="94" t="s">
        <v>322</v>
      </c>
      <c r="B404" s="95"/>
      <c r="C404" s="95"/>
      <c r="D404" s="95"/>
      <c r="E404" s="95"/>
      <c r="F404" s="95"/>
      <c r="G404" s="95"/>
      <c r="H404" s="96"/>
      <c r="I404" s="25"/>
      <c r="P404" s="26"/>
    </row>
    <row r="405" spans="1:16" s="81" customFormat="1" ht="15.75" customHeight="1" x14ac:dyDescent="0.35">
      <c r="A405" s="97">
        <v>1</v>
      </c>
      <c r="B405" s="97" t="s">
        <v>231</v>
      </c>
      <c r="C405" s="80" t="s">
        <v>250</v>
      </c>
      <c r="D405" s="80">
        <f>(1.85*1.63+6.55*5.64+2.29*2.83+6.51*3.35+5.36*1.2+3.05*3.75+2.29*2.83+3.05*3.35+3.31*4.85+3.05*3.75+(2.44*1.53+1.38*2.14+2.29*1.46+1.38*2.13+2.44*1.53+2.29*1.46)+(4.14*1.05+1.8*1.05+3.84*1.05+2.29*1.08+2.29*1.08)+6.55*1.08+(0.6*(2.44+2.59+2.69+2.44)))*10.764</f>
        <v>1923.9207624000001</v>
      </c>
      <c r="E405" s="80">
        <v>0</v>
      </c>
      <c r="F405" s="80">
        <f>D405*(($F$117)+1)+(IF(E405&lt;101,E405,IF(E405&lt;201,E405/2,IF(E405&lt;=301,E405/3,E405/4))))</f>
        <v>2885.8811436000001</v>
      </c>
      <c r="G405" s="98" t="str">
        <f>A404</f>
        <v>25th Floor (Part Refuge Area)</v>
      </c>
      <c r="H405" s="99"/>
    </row>
    <row r="406" spans="1:16" s="81" customFormat="1" ht="15.75" customHeight="1" x14ac:dyDescent="0.35">
      <c r="A406" s="97">
        <v>3</v>
      </c>
      <c r="B406" s="97" t="s">
        <v>226</v>
      </c>
      <c r="C406" s="80" t="s">
        <v>212</v>
      </c>
      <c r="D406" s="80">
        <f>(129.6+(0.6*(3+3.4+4.26+3.59+2.8)))*10.764</f>
        <v>1505.1301199999998</v>
      </c>
      <c r="E406" s="80">
        <v>0</v>
      </c>
      <c r="F406" s="80">
        <f>D406*(($F$117)+1)+(IF(E406&lt;101,E406,IF(E406&lt;201,E406/2,IF(E406&lt;=301,E406/3,E406/4))))</f>
        <v>2257.6951799999997</v>
      </c>
      <c r="G406" s="100"/>
      <c r="H406" s="101"/>
      <c r="I406" s="25"/>
    </row>
    <row r="407" spans="1:16" s="81" customFormat="1" ht="15.75" customHeight="1" x14ac:dyDescent="0.35">
      <c r="A407" s="97">
        <v>4</v>
      </c>
      <c r="B407" s="97" t="s">
        <v>227</v>
      </c>
      <c r="C407" s="104" t="s">
        <v>210</v>
      </c>
      <c r="D407" s="105">
        <f>(1.9*2.59+3.36*6.23+3.05*2.44+2.89*2.73+3.05*3.35+3.36*4.55+3.45*3.97+1.85*1.05+(1.38*2.14+1.38*1.06+2.85*1.53+2.29*1.38)+(3.36*1.07+1*2.44)+(0.6*(3.35+3.05+3.45)))*10.764</f>
        <v>1143.2648915999998</v>
      </c>
      <c r="E407" s="105">
        <v>0</v>
      </c>
      <c r="F407" s="106">
        <f>D407*(($F$117)+1)+(IF(E407&lt;101,E407,IF(E407&lt;201,E407/2,IF(E407&lt;=301,E407/3,E407/4))))</f>
        <v>1714.8973373999997</v>
      </c>
      <c r="G407" s="100"/>
      <c r="H407" s="101"/>
      <c r="I407" s="25"/>
    </row>
    <row r="408" spans="1:16" s="81" customFormat="1" ht="15.75" customHeight="1" x14ac:dyDescent="0.35">
      <c r="A408" s="97">
        <v>5</v>
      </c>
      <c r="B408" s="97" t="s">
        <v>228</v>
      </c>
      <c r="C408" s="80" t="s">
        <v>185</v>
      </c>
      <c r="D408" s="80">
        <f>(101.5+(0.6*(3.35+3.05+3.45)))*10.764</f>
        <v>1156.1612399999999</v>
      </c>
      <c r="E408" s="80">
        <v>0</v>
      </c>
      <c r="F408" s="80">
        <f>D408*(($F$117)+1)+(IF(E408&lt;101,E408,IF(E408&lt;201,E408/2,IF(E408&lt;=301,E408/3,E408/4))))</f>
        <v>1734.2418599999999</v>
      </c>
      <c r="G408" s="100"/>
      <c r="H408" s="101"/>
      <c r="I408" s="25"/>
    </row>
    <row r="409" spans="1:16" s="81" customFormat="1" ht="15.75" customHeight="1" x14ac:dyDescent="0.35">
      <c r="A409" s="97">
        <v>6</v>
      </c>
      <c r="B409" s="97" t="s">
        <v>229</v>
      </c>
      <c r="C409" s="80" t="s">
        <v>212</v>
      </c>
      <c r="D409" s="80">
        <f>(129.6+(0.6*(3+3.4+4.26+3.59+2.8)))*10.764</f>
        <v>1505.1301199999998</v>
      </c>
      <c r="E409" s="80">
        <v>0</v>
      </c>
      <c r="F409" s="80">
        <f>D409*(($F$117)+1)+(IF(E409&lt;101,E409,IF(E409&lt;201,E409/2,IF(E409&lt;=301,E409/3,E409/4))))</f>
        <v>2257.6951799999997</v>
      </c>
      <c r="G409" s="102"/>
      <c r="H409" s="103"/>
      <c r="I409" s="25"/>
    </row>
    <row r="410" spans="1:16" s="81" customFormat="1" ht="15.75" customHeight="1" x14ac:dyDescent="0.35">
      <c r="A410" s="94" t="s">
        <v>321</v>
      </c>
      <c r="B410" s="95"/>
      <c r="C410" s="95"/>
      <c r="D410" s="95"/>
      <c r="E410" s="95"/>
      <c r="F410" s="95"/>
      <c r="G410" s="95"/>
      <c r="H410" s="96"/>
      <c r="I410" s="25"/>
      <c r="P410" s="26"/>
    </row>
    <row r="411" spans="1:16" s="81" customFormat="1" ht="15.75" customHeight="1" x14ac:dyDescent="0.35">
      <c r="A411" s="97">
        <v>1</v>
      </c>
      <c r="B411" s="97" t="s">
        <v>231</v>
      </c>
      <c r="C411" s="80" t="s">
        <v>250</v>
      </c>
      <c r="D411" s="80">
        <f>(1.85*1.63+6.55*5.64+2.29*2.83+6.51*3.35+5.36*1.2+3.05*3.75+2.29*2.83+3.05*3.35+3.31*4.85+3.05*3.75+(2.44*1.53+1.38*2.14+2.29*1.46+1.38*2.13+2.44*1.53+2.29*1.46)+(4.14*1.05+1.8*1.05+3.84*1.05+2.29*1.08+2.29*1.08)+6.55*1.08+(0.6*(2.44+2.59+2.69+2.44)))*10.764</f>
        <v>1923.9207624000001</v>
      </c>
      <c r="E411" s="80">
        <v>0</v>
      </c>
      <c r="F411" s="80">
        <f>D411*(($F$117)+1)+(IF(E411&lt;101,E411,IF(E411&lt;201,E411/2,IF(E411&lt;=301,E411/3,E411/4))))</f>
        <v>2885.8811436000001</v>
      </c>
      <c r="G411" s="98" t="str">
        <f>A410</f>
        <v>27th Floor</v>
      </c>
      <c r="H411" s="99"/>
    </row>
    <row r="412" spans="1:16" s="81" customFormat="1" ht="15.75" customHeight="1" x14ac:dyDescent="0.35">
      <c r="A412" s="97">
        <v>3</v>
      </c>
      <c r="B412" s="97" t="s">
        <v>226</v>
      </c>
      <c r="C412" s="80" t="s">
        <v>212</v>
      </c>
      <c r="D412" s="80">
        <f>(1.95*1.53+1.25*3.05+3*3.08+3.05*3.5+2.75*3.08+3.65*8.38+3.59*4.6+4.26*3.59+1*1.73+1*1.22+(1.53*2.29+1.38*2.44+2.44*1.53+2.44*1.53)+(3.9*1.53+2.75*1.53+1*1.53)+(0.6*(3+3.4+4.26+3.59+2.8)))*10.764</f>
        <v>1472.4850607999999</v>
      </c>
      <c r="E412" s="80">
        <v>0</v>
      </c>
      <c r="F412" s="80">
        <f>D412*(($F$117)+1)+(IF(E412&lt;101,E412,IF(E412&lt;201,E412/2,IF(E412&lt;=301,E412/3,E412/4))))</f>
        <v>2208.7275912</v>
      </c>
      <c r="G412" s="100"/>
      <c r="H412" s="101"/>
      <c r="I412" s="25"/>
    </row>
    <row r="413" spans="1:16" s="81" customFormat="1" ht="15.75" customHeight="1" x14ac:dyDescent="0.35">
      <c r="A413" s="97">
        <v>5</v>
      </c>
      <c r="B413" s="97" t="s">
        <v>227</v>
      </c>
      <c r="C413" s="80" t="s">
        <v>250</v>
      </c>
      <c r="D413" s="80">
        <f>(1.9*2.47+3.05*4.12+6.55*4.55+3.36*3.35+7.2*3.97+3.36*4.7+3.05*3.35+3.35*4.55+3.35*3.97+1.6*3.97+(2.29*1.38+1.38*2.14+2.85*1.53+2.29*1.38+2.29*1.38+1.38*2.14+2.85*1.53+1.38*0.54+1.05*5.29+1.15*1.53+1.38*1.06+1.2*1.38+3.05*1.05+1*1.38)+(1*2.44+1*2.44+1.07*3.36+1.07*3.36)+(0.6*(6.55+7.2+3.05+3.35)))*10.764</f>
        <v>2280.1800996000002</v>
      </c>
      <c r="E413" s="80">
        <v>0</v>
      </c>
      <c r="F413" s="80">
        <f>D413*(($F$117)+1)+(IF(E413&lt;101,E413,IF(E413&lt;201,E413/2,IF(E413&lt;=301,E413/3,E413/4))))</f>
        <v>3420.2701494000003</v>
      </c>
      <c r="G413" s="100"/>
      <c r="H413" s="101"/>
      <c r="I413" s="25">
        <f>30000000/F413</f>
        <v>8771.2369753198418</v>
      </c>
    </row>
    <row r="414" spans="1:16" s="81" customFormat="1" ht="15.75" customHeight="1" x14ac:dyDescent="0.35">
      <c r="A414" s="97">
        <v>6</v>
      </c>
      <c r="B414" s="97" t="s">
        <v>228</v>
      </c>
      <c r="C414" s="80" t="s">
        <v>212</v>
      </c>
      <c r="D414" s="80">
        <f>(1.95*1.53+1.25*3.05+3*3.08+3.05*3.5+2.75*3.08+3.65*8.38+3.59*4.6+4.26*3.59+1*1.73+1*1.22+(1.53*2.29+1.38*2.44+2.44*1.53+2.44*1.53)+(3.9*1.53+2.75*1.53+1*1.53)+(0.6*(3+3.4+4.26+3.59+2.8)))*10.764</f>
        <v>1472.4850607999999</v>
      </c>
      <c r="E414" s="80">
        <v>0</v>
      </c>
      <c r="F414" s="80">
        <f>D414*(($F$117)+1)+(IF(E414&lt;101,E414,IF(E414&lt;201,E414/2,IF(E414&lt;=301,E414/3,E414/4))))</f>
        <v>2208.7275912</v>
      </c>
      <c r="G414" s="102"/>
      <c r="H414" s="103"/>
      <c r="I414" s="25">
        <f>22700000/F414</f>
        <v>10277.410437774768</v>
      </c>
    </row>
    <row r="415" spans="1:16" s="81" customFormat="1" ht="15.75" customHeight="1" x14ac:dyDescent="0.35">
      <c r="A415" s="94" t="s">
        <v>251</v>
      </c>
      <c r="B415" s="95"/>
      <c r="C415" s="95"/>
      <c r="D415" s="95"/>
      <c r="E415" s="95"/>
      <c r="F415" s="95"/>
      <c r="G415" s="95"/>
      <c r="H415" s="96"/>
      <c r="I415" s="25"/>
      <c r="P415" s="26"/>
    </row>
    <row r="416" spans="1:16" s="81" customFormat="1" ht="49.5" customHeight="1" x14ac:dyDescent="0.35">
      <c r="A416" s="97">
        <v>1</v>
      </c>
      <c r="B416" s="97" t="s">
        <v>231</v>
      </c>
      <c r="C416" s="80" t="s">
        <v>324</v>
      </c>
      <c r="D416" s="80">
        <f>(1.9*2.47+3.05*4.12+6.55*4.55+3.36*3.35+7.2*3.97+3.36*4.7+3.05*3.35+3.35*4.55+3.35*3.97+1.6*3.97+(2.29*1.38+1.38*2.14+2.85*1.53+2.29*1.38+2.29*1.38+1.38*2.14+2.85*1.53+1.38*0.54+1.05*5.29+1.15*1.53+1.38*1.06+1.2*1.38+3.05*1.05+1*1.38)+(1*2.44+1*2.44+1.07*3.36+1.07*3.36)+(0.6*(6.55+7.2+3.05+3.35))+1.85*1.63+6.55*5.64+2.29*2.83+6.51*3.35+5.36*1.2+3.05*3.75+2.29*2.83+3.05*3.35+3.31*4.85+3.05*3.75+(2.44*1.53+1.38*2.14+2.29*1.46+1.38*2.13+2.44*1.53+2.29*1.46)+(4.14*1.05+1.8*1.05+3.84*1.05+2.29*1.08+2.29*1.08)+6.55*1.08+(0.6*(2.44+2.59+2.69+2.44)))*10.764</f>
        <v>4204.1008619999993</v>
      </c>
      <c r="E416" s="80">
        <v>0</v>
      </c>
      <c r="F416" s="80">
        <f>D416*(($F$117)+1)+(IF(E416&lt;101,E416,IF(E416&lt;201,E416/2,IF(E416&lt;=301,E416/3,E416/4))))</f>
        <v>6306.151292999999</v>
      </c>
      <c r="G416" s="98" t="str">
        <f>A415</f>
        <v>34th Floor (Part Refuge Area)</v>
      </c>
      <c r="H416" s="99"/>
    </row>
    <row r="417" spans="1:16" s="81" customFormat="1" ht="15.75" customHeight="1" x14ac:dyDescent="0.35">
      <c r="A417" s="97">
        <v>3</v>
      </c>
      <c r="B417" s="97" t="s">
        <v>226</v>
      </c>
      <c r="C417" s="80" t="s">
        <v>212</v>
      </c>
      <c r="D417" s="80">
        <f>(129.6+(0.6*(3+3.4+4.26+3.59+2.8)))*10.764</f>
        <v>1505.1301199999998</v>
      </c>
      <c r="E417" s="80">
        <v>0</v>
      </c>
      <c r="F417" s="80">
        <f>D417*(($F$117)+1)+(IF(E417&lt;101,E417,IF(E417&lt;201,E417/2,IF(E417&lt;=301,E417/3,E417/4))))</f>
        <v>2257.6951799999997</v>
      </c>
      <c r="G417" s="100"/>
      <c r="H417" s="101"/>
      <c r="I417" s="25"/>
    </row>
    <row r="418" spans="1:16" s="81" customFormat="1" ht="15.75" customHeight="1" x14ac:dyDescent="0.35">
      <c r="A418" s="97">
        <v>4</v>
      </c>
      <c r="B418" s="97" t="s">
        <v>227</v>
      </c>
      <c r="C418" s="104" t="s">
        <v>210</v>
      </c>
      <c r="D418" s="105">
        <f>(1.9*2.59+3.36*6.23+3.05*2.44+2.89*2.73+3.05*3.35+3.36*4.55+3.45*3.97+1.85*1.05+(1.38*2.14+1.38*1.06+2.85*1.53+2.29*1.38)+(3.36*1.07+1*2.44)+(0.6*(3.35+3.05+3.45)))*10.764</f>
        <v>1143.2648915999998</v>
      </c>
      <c r="E418" s="105">
        <v>0</v>
      </c>
      <c r="F418" s="106">
        <f>D418*(($F$117)+1)+(IF(E418&lt;101,E418,IF(E418&lt;201,E418/2,IF(E418&lt;=301,E418/3,E418/4))))</f>
        <v>1714.8973373999997</v>
      </c>
      <c r="G418" s="100"/>
      <c r="H418" s="101"/>
      <c r="I418" s="25"/>
    </row>
    <row r="419" spans="1:16" s="81" customFormat="1" ht="15.75" customHeight="1" x14ac:dyDescent="0.35">
      <c r="A419" s="97">
        <v>5</v>
      </c>
      <c r="B419" s="97" t="s">
        <v>228</v>
      </c>
      <c r="C419" s="80" t="s">
        <v>185</v>
      </c>
      <c r="D419" s="80">
        <f>(101.5+(0.6*(3.35+3.05+3.45)))*10.764</f>
        <v>1156.1612399999999</v>
      </c>
      <c r="E419" s="80">
        <v>0</v>
      </c>
      <c r="F419" s="80">
        <f>D419*(($F$117)+1)+(IF(E419&lt;101,E419,IF(E419&lt;201,E419/2,IF(E419&lt;=301,E419/3,E419/4))))</f>
        <v>1734.2418599999999</v>
      </c>
      <c r="G419" s="100"/>
      <c r="H419" s="101"/>
      <c r="I419" s="25"/>
    </row>
    <row r="420" spans="1:16" s="81" customFormat="1" ht="15.75" customHeight="1" x14ac:dyDescent="0.35">
      <c r="A420" s="97">
        <v>6</v>
      </c>
      <c r="B420" s="97" t="s">
        <v>229</v>
      </c>
      <c r="C420" s="80" t="s">
        <v>212</v>
      </c>
      <c r="D420" s="80">
        <f>(129.6+(0.6*(3+3.4+4.26+3.59+2.8)))*10.764</f>
        <v>1505.1301199999998</v>
      </c>
      <c r="E420" s="80">
        <v>0</v>
      </c>
      <c r="F420" s="80">
        <f>D420*(($F$117)+1)+(IF(E420&lt;101,E420,IF(E420&lt;201,E420/2,IF(E420&lt;=301,E420/3,E420/4))))</f>
        <v>2257.6951799999997</v>
      </c>
      <c r="G420" s="102"/>
      <c r="H420" s="103"/>
      <c r="I420" s="25"/>
    </row>
    <row r="421" spans="1:16" s="81" customFormat="1" ht="15.75" customHeight="1" x14ac:dyDescent="0.35">
      <c r="A421" s="94" t="s">
        <v>325</v>
      </c>
      <c r="B421" s="95"/>
      <c r="C421" s="95"/>
      <c r="D421" s="95"/>
      <c r="E421" s="95"/>
      <c r="F421" s="95"/>
      <c r="G421" s="95"/>
      <c r="H421" s="96"/>
      <c r="I421" s="25"/>
      <c r="P421" s="26"/>
    </row>
    <row r="422" spans="1:16" s="81" customFormat="1" ht="15.75" customHeight="1" x14ac:dyDescent="0.35">
      <c r="A422" s="97">
        <v>1</v>
      </c>
      <c r="B422" s="97" t="s">
        <v>225</v>
      </c>
      <c r="C422" s="104" t="s">
        <v>326</v>
      </c>
      <c r="D422" s="105"/>
      <c r="E422" s="105"/>
      <c r="F422" s="106"/>
      <c r="G422" s="98" t="str">
        <f>A421</f>
        <v>35th Floor</v>
      </c>
      <c r="H422" s="99"/>
      <c r="I422" s="25"/>
    </row>
    <row r="423" spans="1:16" s="81" customFormat="1" ht="15.75" customHeight="1" x14ac:dyDescent="0.35">
      <c r="A423" s="97">
        <v>3</v>
      </c>
      <c r="B423" s="97" t="s">
        <v>226</v>
      </c>
      <c r="C423" s="80" t="s">
        <v>212</v>
      </c>
      <c r="D423" s="80">
        <f>(129.6+(0.6*(3+3.4+4.26+3.59+2.8)))*10.764</f>
        <v>1505.1301199999998</v>
      </c>
      <c r="E423" s="80">
        <v>0</v>
      </c>
      <c r="F423" s="80">
        <f>D423*(($F$117)+1)+(IF(E423&lt;101,E423,IF(E423&lt;201,E423/2,IF(E423&lt;=301,E423/3,E423/4))))</f>
        <v>2257.6951799999997</v>
      </c>
      <c r="G423" s="100"/>
      <c r="H423" s="101"/>
      <c r="I423" s="25"/>
    </row>
    <row r="424" spans="1:16" s="81" customFormat="1" ht="15.75" customHeight="1" x14ac:dyDescent="0.35">
      <c r="A424" s="97">
        <v>4</v>
      </c>
      <c r="B424" s="97" t="s">
        <v>227</v>
      </c>
      <c r="C424" s="80" t="s">
        <v>185</v>
      </c>
      <c r="D424" s="80">
        <f>(101.5+(0.6*(3.35+3.05+3.45)))*10.764</f>
        <v>1156.1612399999999</v>
      </c>
      <c r="E424" s="80">
        <v>0</v>
      </c>
      <c r="F424" s="80">
        <f>D424*(($F$117)+1)+(IF(E424&lt;101,E424,IF(E424&lt;201,E424/2,IF(E424&lt;=301,E424/3,E424/4))))</f>
        <v>1734.2418599999999</v>
      </c>
      <c r="G424" s="100"/>
      <c r="H424" s="101"/>
      <c r="I424" s="25"/>
    </row>
    <row r="425" spans="1:16" s="81" customFormat="1" ht="15.75" customHeight="1" x14ac:dyDescent="0.35">
      <c r="A425" s="97">
        <v>5</v>
      </c>
      <c r="B425" s="97" t="s">
        <v>228</v>
      </c>
      <c r="C425" s="80" t="s">
        <v>185</v>
      </c>
      <c r="D425" s="80">
        <f>(101.5+(0.6*(3.35+3.05+3.45)))*10.764</f>
        <v>1156.1612399999999</v>
      </c>
      <c r="E425" s="80">
        <v>0</v>
      </c>
      <c r="F425" s="80">
        <f>D425*(($F$117)+1)+(IF(E425&lt;101,E425,IF(E425&lt;201,E425/2,IF(E425&lt;=301,E425/3,E425/4))))</f>
        <v>1734.2418599999999</v>
      </c>
      <c r="G425" s="100"/>
      <c r="H425" s="101"/>
      <c r="I425" s="25"/>
    </row>
    <row r="426" spans="1:16" s="81" customFormat="1" ht="15.75" customHeight="1" x14ac:dyDescent="0.35">
      <c r="A426" s="97">
        <v>6</v>
      </c>
      <c r="B426" s="97" t="s">
        <v>229</v>
      </c>
      <c r="C426" s="80" t="s">
        <v>212</v>
      </c>
      <c r="D426" s="80">
        <f>(129.6+(0.6*(3+3.4+4.26+3.59+2.8)))*10.764</f>
        <v>1505.1301199999998</v>
      </c>
      <c r="E426" s="80">
        <v>0</v>
      </c>
      <c r="F426" s="80">
        <f>D426*(($F$117)+1)+(IF(E426&lt;101,E426,IF(E426&lt;201,E426/2,IF(E426&lt;=301,E426/3,E426/4))))</f>
        <v>2257.6951799999997</v>
      </c>
      <c r="G426" s="102"/>
      <c r="H426" s="103"/>
      <c r="I426" s="25"/>
    </row>
    <row r="427" spans="1:16" s="72" customFormat="1" ht="15.75" customHeight="1" x14ac:dyDescent="0.35">
      <c r="A427" s="117" t="s">
        <v>279</v>
      </c>
      <c r="B427" s="117"/>
      <c r="C427" s="117"/>
      <c r="D427" s="117"/>
      <c r="E427" s="117"/>
      <c r="F427" s="117"/>
      <c r="G427" s="117"/>
      <c r="H427" s="117"/>
      <c r="I427" s="25"/>
      <c r="P427" s="26"/>
    </row>
    <row r="428" spans="1:16" s="72" customFormat="1" ht="15.75" customHeight="1" x14ac:dyDescent="0.35">
      <c r="A428" s="97">
        <v>1</v>
      </c>
      <c r="B428" s="97" t="s">
        <v>225</v>
      </c>
      <c r="C428" s="88" t="s">
        <v>185</v>
      </c>
      <c r="D428" s="88">
        <f>(86.98+(0.6*(3.05+3.31+1.8)))*10.764</f>
        <v>988.95326399999999</v>
      </c>
      <c r="E428" s="88">
        <v>0</v>
      </c>
      <c r="F428" s="88">
        <f t="shared" ref="F428:F433" si="15">D428*(($F$117)+1)+(IF(E428&lt;101,E428,IF(E428&lt;201,E428/2,IF(E428&lt;=301,E428/3,E428/4))))</f>
        <v>1483.4298960000001</v>
      </c>
      <c r="G428" s="97" t="str">
        <f>A427</f>
        <v>43rd Floor</v>
      </c>
      <c r="H428" s="97"/>
      <c r="I428" s="25"/>
    </row>
    <row r="429" spans="1:16" s="72" customFormat="1" ht="15.75" customHeight="1" x14ac:dyDescent="0.35">
      <c r="A429" s="97">
        <v>2</v>
      </c>
      <c r="B429" s="97" t="s">
        <v>226</v>
      </c>
      <c r="C429" s="88" t="s">
        <v>185</v>
      </c>
      <c r="D429" s="88">
        <f>(86.98+(0.6*(3.05+3.31+1.8)))*10.764</f>
        <v>988.95326399999999</v>
      </c>
      <c r="E429" s="88">
        <v>0</v>
      </c>
      <c r="F429" s="88">
        <f t="shared" si="15"/>
        <v>1483.4298960000001</v>
      </c>
      <c r="G429" s="97"/>
      <c r="H429" s="97"/>
      <c r="I429" s="25"/>
    </row>
    <row r="430" spans="1:16" s="72" customFormat="1" ht="45.75" customHeight="1" x14ac:dyDescent="0.35">
      <c r="A430" s="97">
        <v>3</v>
      </c>
      <c r="B430" s="97"/>
      <c r="C430" s="88" t="s">
        <v>280</v>
      </c>
      <c r="D430" s="88">
        <f>(272.57+(0.6*(3+3.4+4.26+3.05+4.26+4.8)))*10.764</f>
        <v>3081.0012479999996</v>
      </c>
      <c r="E430" s="88">
        <v>0</v>
      </c>
      <c r="F430" s="88">
        <f t="shared" si="15"/>
        <v>4621.5018719999989</v>
      </c>
      <c r="G430" s="97"/>
      <c r="H430" s="97"/>
      <c r="I430" s="25"/>
    </row>
    <row r="431" spans="1:16" s="81" customFormat="1" ht="15.75" customHeight="1" x14ac:dyDescent="0.35">
      <c r="A431" s="97">
        <v>4</v>
      </c>
      <c r="B431" s="97" t="s">
        <v>227</v>
      </c>
      <c r="C431" s="88" t="s">
        <v>185</v>
      </c>
      <c r="D431" s="88">
        <f>(101.5+(0.6*(3.35+3.05+3.45)))*10.764</f>
        <v>1156.1612399999999</v>
      </c>
      <c r="E431" s="88">
        <v>0</v>
      </c>
      <c r="F431" s="88">
        <f t="shared" si="15"/>
        <v>1734.2418599999999</v>
      </c>
      <c r="G431" s="97"/>
      <c r="H431" s="97"/>
      <c r="I431" s="25"/>
    </row>
    <row r="432" spans="1:16" s="81" customFormat="1" ht="15.75" customHeight="1" x14ac:dyDescent="0.35">
      <c r="A432" s="97">
        <v>5</v>
      </c>
      <c r="B432" s="97" t="s">
        <v>228</v>
      </c>
      <c r="C432" s="88" t="s">
        <v>185</v>
      </c>
      <c r="D432" s="88">
        <f>(101.5+(0.6*(3.35+3.05+3.45)))*10.764</f>
        <v>1156.1612399999999</v>
      </c>
      <c r="E432" s="88">
        <v>0</v>
      </c>
      <c r="F432" s="88">
        <f t="shared" si="15"/>
        <v>1734.2418599999999</v>
      </c>
      <c r="G432" s="97"/>
      <c r="H432" s="97"/>
      <c r="I432" s="25"/>
    </row>
    <row r="433" spans="1:16" s="72" customFormat="1" ht="47.25" customHeight="1" x14ac:dyDescent="0.35">
      <c r="A433" s="97">
        <v>6</v>
      </c>
      <c r="B433" s="97" t="s">
        <v>229</v>
      </c>
      <c r="C433" s="88" t="s">
        <v>280</v>
      </c>
      <c r="D433" s="88">
        <f>(273.09+(0.6*(3+3.4+4.26+3.05+4.26+4.8)))*10.764</f>
        <v>3086.5985279999991</v>
      </c>
      <c r="E433" s="88">
        <v>0</v>
      </c>
      <c r="F433" s="88">
        <f t="shared" si="15"/>
        <v>4629.8977919999988</v>
      </c>
      <c r="G433" s="97"/>
      <c r="H433" s="97"/>
      <c r="I433" s="25"/>
    </row>
    <row r="434" spans="1:16" s="72" customFormat="1" ht="15.75" customHeight="1" x14ac:dyDescent="0.35">
      <c r="A434" s="117" t="s">
        <v>255</v>
      </c>
      <c r="B434" s="117"/>
      <c r="C434" s="117"/>
      <c r="D434" s="117"/>
      <c r="E434" s="117"/>
      <c r="F434" s="117"/>
      <c r="G434" s="117"/>
      <c r="H434" s="117"/>
      <c r="I434" s="25"/>
      <c r="P434" s="26"/>
    </row>
    <row r="435" spans="1:16" s="72" customFormat="1" ht="15.75" customHeight="1" x14ac:dyDescent="0.35">
      <c r="A435" s="97">
        <v>1</v>
      </c>
      <c r="B435" s="97" t="s">
        <v>225</v>
      </c>
      <c r="C435" s="88" t="s">
        <v>185</v>
      </c>
      <c r="D435" s="88">
        <f>(86.98+(0.6*(3.05+3.31+1.8)))*10.764</f>
        <v>988.95326399999999</v>
      </c>
      <c r="E435" s="88">
        <v>0</v>
      </c>
      <c r="F435" s="88">
        <f t="shared" ref="F435:F440" si="16">D435*(($F$117)+1)+(IF(E435&lt;101,E435,IF(E435&lt;201,E435/2,IF(E435&lt;=301,E435/3,E435/4))))</f>
        <v>1483.4298960000001</v>
      </c>
      <c r="G435" s="97" t="str">
        <f>A434</f>
        <v>44th Floor (Part Refuge Area)</v>
      </c>
      <c r="H435" s="97"/>
      <c r="I435" s="25"/>
    </row>
    <row r="436" spans="1:16" s="72" customFormat="1" ht="15.75" customHeight="1" x14ac:dyDescent="0.35">
      <c r="A436" s="97">
        <v>2</v>
      </c>
      <c r="B436" s="97" t="s">
        <v>226</v>
      </c>
      <c r="C436" s="88" t="s">
        <v>185</v>
      </c>
      <c r="D436" s="88">
        <f>(86.98+(0.6*(3.05+3.31+1.8)))*10.764</f>
        <v>988.95326399999999</v>
      </c>
      <c r="E436" s="88">
        <v>0</v>
      </c>
      <c r="F436" s="88">
        <f t="shared" si="16"/>
        <v>1483.4298960000001</v>
      </c>
      <c r="G436" s="97"/>
      <c r="H436" s="97"/>
      <c r="I436" s="25"/>
    </row>
    <row r="437" spans="1:16" s="72" customFormat="1" ht="15.75" customHeight="1" x14ac:dyDescent="0.35">
      <c r="A437" s="97">
        <v>3</v>
      </c>
      <c r="B437" s="97" t="s">
        <v>226</v>
      </c>
      <c r="C437" s="97" t="s">
        <v>282</v>
      </c>
      <c r="D437" s="97">
        <f>(1.9*2.59+3.36*6.23+3.05*2.44+2.89*2.73+3.05*3.35+3.36*4.55+3.45*3.97+1.85*1.05+(1.38*2.14+1.38*1.06+2.85*1.53+2.29*1.38)+(3.36*1.07+1*2.44)+(0.6*(3.35+3.05+3.45)))*10.764</f>
        <v>1143.2648915999998</v>
      </c>
      <c r="E437" s="97">
        <v>-1</v>
      </c>
      <c r="F437" s="97">
        <f t="shared" si="16"/>
        <v>1713.8973373999997</v>
      </c>
      <c r="G437" s="97"/>
      <c r="H437" s="97"/>
      <c r="I437" s="25"/>
    </row>
    <row r="438" spans="1:16" s="72" customFormat="1" ht="15.75" customHeight="1" x14ac:dyDescent="0.35">
      <c r="A438" s="97">
        <v>4</v>
      </c>
      <c r="B438" s="97" t="s">
        <v>227</v>
      </c>
      <c r="C438" s="97" t="s">
        <v>281</v>
      </c>
      <c r="D438" s="97">
        <f>(1.9*2.59+3.36*6.23+3.05*2.44+2.89*2.73+3.05*3.35+3.36*4.55+3.45*3.97+1.85*1.05+(1.38*2.14+1.38*1.06+2.85*1.53+2.29*1.38)+(3.36*1.07+1*2.44)+(0.6*(3.35+3.05+3.45)))*10.764</f>
        <v>1143.2648915999998</v>
      </c>
      <c r="E438" s="97">
        <v>0</v>
      </c>
      <c r="F438" s="97">
        <f t="shared" si="16"/>
        <v>1714.8973373999997</v>
      </c>
      <c r="G438" s="97"/>
      <c r="H438" s="97"/>
      <c r="I438" s="25"/>
    </row>
    <row r="439" spans="1:16" s="81" customFormat="1" ht="15.75" customHeight="1" x14ac:dyDescent="0.35">
      <c r="A439" s="97">
        <v>5</v>
      </c>
      <c r="B439" s="97" t="s">
        <v>228</v>
      </c>
      <c r="C439" s="88" t="s">
        <v>212</v>
      </c>
      <c r="D439" s="88">
        <f>(101.5+1*3.91+3.91*2.82+2.29*1.38+3.36*4.7+1.38*2.81+1.07*3.36+(0.6*(3.35+3.05+3.45)))*10.764</f>
        <v>1601.3753495999999</v>
      </c>
      <c r="E439" s="88">
        <v>0</v>
      </c>
      <c r="F439" s="88">
        <f t="shared" si="16"/>
        <v>2402.0630243999999</v>
      </c>
      <c r="G439" s="97"/>
      <c r="H439" s="97"/>
      <c r="I439" s="25"/>
    </row>
    <row r="440" spans="1:16" s="72" customFormat="1" ht="15.75" customHeight="1" x14ac:dyDescent="0.35">
      <c r="A440" s="97">
        <v>6</v>
      </c>
      <c r="B440" s="97" t="s">
        <v>229</v>
      </c>
      <c r="C440" s="97" t="s">
        <v>282</v>
      </c>
      <c r="D440" s="97">
        <f>(1.9*2.59+3.36*6.23+3.05*2.44+2.89*2.73+3.05*3.35+3.36*4.55+3.45*3.97+1.85*1.05+(1.38*2.14+1.38*1.06+2.85*1.53+2.29*1.38)+(3.36*1.07+1*2.44)+(0.6*(3.35+3.05+3.45)))*10.764</f>
        <v>1143.2648915999998</v>
      </c>
      <c r="E440" s="97">
        <v>-1</v>
      </c>
      <c r="F440" s="97">
        <f t="shared" si="16"/>
        <v>1713.8973373999997</v>
      </c>
      <c r="G440" s="97"/>
      <c r="H440" s="97"/>
      <c r="I440" s="25"/>
    </row>
    <row r="441" spans="1:16" s="74" customFormat="1" ht="15.75" customHeight="1" x14ac:dyDescent="0.35">
      <c r="A441" s="94" t="s">
        <v>327</v>
      </c>
      <c r="B441" s="95"/>
      <c r="C441" s="95"/>
      <c r="D441" s="95"/>
      <c r="E441" s="95"/>
      <c r="F441" s="95"/>
      <c r="G441" s="95"/>
      <c r="H441" s="96"/>
      <c r="I441" s="25"/>
      <c r="P441" s="26"/>
    </row>
    <row r="442" spans="1:16" s="74" customFormat="1" ht="15.75" customHeight="1" x14ac:dyDescent="0.35">
      <c r="A442" s="97">
        <v>1</v>
      </c>
      <c r="B442" s="97" t="s">
        <v>225</v>
      </c>
      <c r="C442" s="73" t="s">
        <v>250</v>
      </c>
      <c r="D442" s="73">
        <f>(175.1+(0.6*(3.05+3.31+1.8+3.31+3.05)))*10.764</f>
        <v>1978.5523679999997</v>
      </c>
      <c r="E442" s="73">
        <v>0</v>
      </c>
      <c r="F442" s="73">
        <f>D442*(($F$117)+1)+(IF(E442&lt;101,E442,IF(E442&lt;201,E442/2,IF(E442&lt;=301,E442/3,E442/4))))</f>
        <v>2967.8285519999995</v>
      </c>
      <c r="G442" s="98" t="str">
        <f>A441</f>
        <v>48th Floor (Part Refuge Area)</v>
      </c>
      <c r="H442" s="99"/>
      <c r="I442" s="25"/>
    </row>
    <row r="443" spans="1:16" s="74" customFormat="1" ht="45.75" customHeight="1" x14ac:dyDescent="0.35">
      <c r="A443" s="97">
        <v>3</v>
      </c>
      <c r="B443" s="97" t="s">
        <v>226</v>
      </c>
      <c r="C443" s="73" t="s">
        <v>284</v>
      </c>
      <c r="D443" s="73">
        <f>(272.57+(0.6*(3+3.4+4.26+3.05+4.26+4.8)))*10.764</f>
        <v>3081.0012479999996</v>
      </c>
      <c r="E443" s="73">
        <v>0</v>
      </c>
      <c r="F443" s="73">
        <f>D443*(($F$117)+1)+(IF(E443&lt;101,E443,IF(E443&lt;201,E443/2,IF(E443&lt;=301,E443/3,E443/4))))</f>
        <v>4621.5018719999989</v>
      </c>
      <c r="G443" s="100"/>
      <c r="H443" s="101"/>
      <c r="I443" s="25"/>
    </row>
    <row r="444" spans="1:16" s="74" customFormat="1" x14ac:dyDescent="0.35">
      <c r="A444" s="97">
        <v>4</v>
      </c>
      <c r="B444" s="97" t="s">
        <v>227</v>
      </c>
      <c r="C444" s="104" t="s">
        <v>210</v>
      </c>
      <c r="D444" s="105"/>
      <c r="E444" s="105"/>
      <c r="F444" s="106"/>
      <c r="G444" s="100"/>
      <c r="H444" s="101"/>
      <c r="I444" s="25"/>
    </row>
    <row r="445" spans="1:16" s="74" customFormat="1" x14ac:dyDescent="0.35">
      <c r="A445" s="97">
        <v>5</v>
      </c>
      <c r="B445" s="97" t="s">
        <v>228</v>
      </c>
      <c r="C445" s="80" t="s">
        <v>212</v>
      </c>
      <c r="D445" s="80">
        <f>(101.5+1*3.91+3.91*2.82+2.29*1.38+3.36*4.7+1.38*2.81+1.07*3.36+(0.6*(3.35+3.05+3.45)))*10.764</f>
        <v>1601.3753495999999</v>
      </c>
      <c r="E445" s="73">
        <v>0</v>
      </c>
      <c r="F445" s="73">
        <f>D445*(($F$117)+1)+(IF(E445&lt;101,E445,IF(E445&lt;201,E445/2,IF(E445&lt;=301,E445/3,E445/4))))</f>
        <v>2402.0630243999999</v>
      </c>
      <c r="G445" s="100"/>
      <c r="H445" s="101"/>
      <c r="I445" s="25"/>
    </row>
    <row r="446" spans="1:16" s="74" customFormat="1" ht="47.25" customHeight="1" x14ac:dyDescent="0.35">
      <c r="A446" s="97">
        <v>6</v>
      </c>
      <c r="B446" s="97" t="s">
        <v>229</v>
      </c>
      <c r="C446" s="73" t="s">
        <v>284</v>
      </c>
      <c r="D446" s="73">
        <f>(273.09+(0.6*(3+3.4+4.26+3.05+4.26+4.8)))*10.764</f>
        <v>3086.5985279999991</v>
      </c>
      <c r="E446" s="73">
        <v>0</v>
      </c>
      <c r="F446" s="73">
        <f>D446*(($F$117)+1)+(IF(E446&lt;101,E446,IF(E446&lt;201,E446/2,IF(E446&lt;=301,E446/3,E446/4))))</f>
        <v>4629.8977919999988</v>
      </c>
      <c r="G446" s="102"/>
      <c r="H446" s="103"/>
      <c r="I446" s="25"/>
    </row>
    <row r="447" spans="1:16" s="74" customFormat="1" ht="15.75" customHeight="1" x14ac:dyDescent="0.35">
      <c r="A447" s="94" t="s">
        <v>285</v>
      </c>
      <c r="B447" s="95"/>
      <c r="C447" s="95"/>
      <c r="D447" s="95"/>
      <c r="E447" s="95"/>
      <c r="F447" s="95"/>
      <c r="G447" s="95"/>
      <c r="H447" s="96"/>
      <c r="I447" s="25"/>
      <c r="P447" s="26"/>
    </row>
    <row r="448" spans="1:16" s="74" customFormat="1" ht="15.75" customHeight="1" x14ac:dyDescent="0.35">
      <c r="A448" s="97">
        <v>1</v>
      </c>
      <c r="B448" s="97" t="s">
        <v>225</v>
      </c>
      <c r="C448" s="73" t="s">
        <v>250</v>
      </c>
      <c r="D448" s="73">
        <f>(175.1+(0.6*(3.05+3.31+1.8+3.31+3.05)))*10.764</f>
        <v>1978.5523679999997</v>
      </c>
      <c r="E448" s="73">
        <v>0</v>
      </c>
      <c r="F448" s="73">
        <f>D448*(($F$117)+1)+(IF(E448&lt;101,E448,IF(E448&lt;201,E448/2,IF(E448&lt;=301,E448/3,E448/4))))</f>
        <v>2967.8285519999995</v>
      </c>
      <c r="G448" s="98" t="str">
        <f>A447</f>
        <v>49th Floor</v>
      </c>
      <c r="H448" s="99"/>
      <c r="I448" s="25"/>
    </row>
    <row r="449" spans="1:16" s="74" customFormat="1" ht="15.75" customHeight="1" x14ac:dyDescent="0.35">
      <c r="A449" s="97">
        <v>3</v>
      </c>
      <c r="B449" s="97" t="s">
        <v>226</v>
      </c>
      <c r="C449" s="104" t="s">
        <v>290</v>
      </c>
      <c r="D449" s="105">
        <f>(1.9*2.59+3.36*6.23+3.05*2.44+2.89*2.73+3.05*3.35+3.36*4.55+3.45*3.97+1.85*1.05+(1.38*2.14+1.38*1.06+2.85*1.53+2.29*1.38)+(3.36*1.07+1*2.44)+(0.6*(3.35+3.05+3.45)))*10.764</f>
        <v>1143.2648915999998</v>
      </c>
      <c r="E449" s="105">
        <v>-1</v>
      </c>
      <c r="F449" s="106">
        <f>D449*(($F$117)+1)+(IF(E449&lt;101,E449,IF(E449&lt;201,E449/2,IF(E449&lt;=301,E449/3,E449/4))))</f>
        <v>1713.8973373999997</v>
      </c>
      <c r="G449" s="100"/>
      <c r="H449" s="101"/>
      <c r="I449" s="25"/>
    </row>
    <row r="450" spans="1:16" s="74" customFormat="1" ht="15.75" customHeight="1" x14ac:dyDescent="0.35">
      <c r="A450" s="97">
        <v>4</v>
      </c>
      <c r="B450" s="97" t="s">
        <v>227</v>
      </c>
      <c r="C450" s="104" t="s">
        <v>291</v>
      </c>
      <c r="D450" s="105">
        <f>(1.9*2.59+3.36*6.23+3.05*2.44+2.89*2.73+3.05*3.35+3.36*4.55+3.45*3.97+1.85*1.05+(1.38*2.14+1.38*1.06+2.85*1.53+2.29*1.38)+(3.36*1.07+1*2.44)+(0.6*(3.35+3.05+3.45)))*10.764</f>
        <v>1143.2648915999998</v>
      </c>
      <c r="E450" s="105">
        <v>0</v>
      </c>
      <c r="F450" s="106">
        <f>D450*(($F$117)+1)+(IF(E450&lt;101,E450,IF(E450&lt;201,E450/2,IF(E450&lt;=301,E450/3,E450/4))))</f>
        <v>1714.8973373999997</v>
      </c>
      <c r="G450" s="100"/>
      <c r="H450" s="101"/>
      <c r="I450" s="80">
        <f>(1.9*2.47+3.05*4.12+6.55*4.55+3.36*3.35+7.2*3.97+3.36*4.7+3.05*3.35+3.35*4.55+3.35*3.97+1.6*3.97+(2.29*1.38+1.38*2.14+2.85*1.53+2.29*1.38+2.29*1.38+1.38*2.14+2.85*1.53+1.38*0.54+1.05*5.29+1.15*1.53+1.38*1.06+1.2*1.38+3.05*1.05+1*1.38)+(1*2.44+1*2.44+1.07*3.36+1.07*3.36)+(0.6*(6.55+7.2+3.05+3.35)))*10.764</f>
        <v>2280.1800996000002</v>
      </c>
    </row>
    <row r="451" spans="1:16" s="74" customFormat="1" ht="15.75" customHeight="1" x14ac:dyDescent="0.35">
      <c r="A451" s="97">
        <v>5</v>
      </c>
      <c r="B451" s="97" t="s">
        <v>228</v>
      </c>
      <c r="C451" s="80" t="s">
        <v>212</v>
      </c>
      <c r="D451" s="80">
        <f>(1.9*2.47+3.05*4.12+6.55*4.55+3.36*3.35+7.2*3.97+3.36*4.7+3.05*3.35+3.35*4.55+3.35*3.97+1.6*3.97+(2.29*1.38+1.38*2.14+2.85*1.53+2.29*1.38+2.29*1.38+1.38*2.14+2.85*1.53+1.38*0.54+1.05*5.29+1.15*1.53+1.38*1.06+1.2*1.38+3.05*1.05+1*1.38)+(1*2.44+1*2.44+1.07*3.36+1.07*3.36)+(0.6*(6.55+7.2+3.05+3.35)))*10.764</f>
        <v>2280.1800996000002</v>
      </c>
      <c r="E451" s="81">
        <v>0</v>
      </c>
      <c r="F451" s="80">
        <f>D451*(($F$117)+1)+(IF(E451&lt;101,E451,IF(E451&lt;201,E451/2,IF(E451&lt;=301,E451/3,E451/4))))</f>
        <v>3420.2701494000003</v>
      </c>
      <c r="G451" s="100"/>
      <c r="H451" s="101"/>
      <c r="I451" s="25"/>
    </row>
    <row r="452" spans="1:16" s="74" customFormat="1" ht="15.75" customHeight="1" x14ac:dyDescent="0.35">
      <c r="A452" s="97">
        <v>6</v>
      </c>
      <c r="B452" s="97" t="s">
        <v>229</v>
      </c>
      <c r="C452" s="104" t="s">
        <v>290</v>
      </c>
      <c r="D452" s="105">
        <f>(1.9*2.59+3.36*6.23+3.05*2.44+2.89*2.73+3.05*3.35+3.36*4.55+3.45*3.97+1.85*1.05+(1.38*2.14+1.38*1.06+2.85*1.53+2.29*1.38)+(3.36*1.07+1*2.44)+(0.6*(3.35+3.05+3.45)))*10.764</f>
        <v>1143.2648915999998</v>
      </c>
      <c r="E452" s="105">
        <v>-1</v>
      </c>
      <c r="F452" s="106">
        <f>D452*(($F$117)+1)+(IF(E452&lt;101,E452,IF(E452&lt;201,E452/2,IF(E452&lt;=301,E452/3,E452/4))))</f>
        <v>1713.8973373999997</v>
      </c>
      <c r="G452" s="102"/>
      <c r="H452" s="103"/>
      <c r="I452" s="25"/>
    </row>
    <row r="453" spans="1:16" s="76" customFormat="1" ht="15.75" customHeight="1" x14ac:dyDescent="0.35">
      <c r="A453" s="94" t="s">
        <v>257</v>
      </c>
      <c r="B453" s="95"/>
      <c r="C453" s="95"/>
      <c r="D453" s="95"/>
      <c r="E453" s="95"/>
      <c r="F453" s="95"/>
      <c r="G453" s="95"/>
      <c r="H453" s="96"/>
      <c r="I453" s="25"/>
      <c r="P453" s="26"/>
    </row>
    <row r="454" spans="1:16" s="76" customFormat="1" ht="15.75" customHeight="1" x14ac:dyDescent="0.35">
      <c r="A454" s="97">
        <v>1</v>
      </c>
      <c r="B454" s="97" t="s">
        <v>225</v>
      </c>
      <c r="C454" s="75" t="s">
        <v>250</v>
      </c>
      <c r="D454" s="75">
        <f>(175.1+(0.6*(3.05+3.31+1.8+3.31+3.05)))*10.764</f>
        <v>1978.5523679999997</v>
      </c>
      <c r="E454" s="75">
        <v>0</v>
      </c>
      <c r="F454" s="75">
        <f>D454*(($F$117)+1)+(IF(E454&lt;101,E454,IF(E454&lt;201,E454/2,IF(E454&lt;=301,E454/3,E454/4))))</f>
        <v>2967.8285519999995</v>
      </c>
      <c r="G454" s="98" t="str">
        <f>A453</f>
        <v>50th Floor</v>
      </c>
      <c r="H454" s="99"/>
      <c r="I454" s="25"/>
    </row>
    <row r="455" spans="1:16" s="76" customFormat="1" ht="45.75" customHeight="1" x14ac:dyDescent="0.35">
      <c r="A455" s="97">
        <v>3</v>
      </c>
      <c r="B455" s="97" t="s">
        <v>226</v>
      </c>
      <c r="C455" s="75" t="s">
        <v>286</v>
      </c>
      <c r="D455" s="75">
        <f>(272.57+(0.6*(3+3.4+4.26+3.05+4.26+4.8)))*10.764</f>
        <v>3081.0012479999996</v>
      </c>
      <c r="E455" s="75">
        <v>0</v>
      </c>
      <c r="F455" s="75">
        <f>D455*(($F$117)+1)+(IF(E455&lt;101,E455,IF(E455&lt;201,E455/2,IF(E455&lt;=301,E455/3,E455/4))))</f>
        <v>4621.5018719999989</v>
      </c>
      <c r="G455" s="100"/>
      <c r="H455" s="101"/>
      <c r="I455" s="25"/>
    </row>
    <row r="456" spans="1:16" s="76" customFormat="1" ht="47.25" customHeight="1" x14ac:dyDescent="0.35">
      <c r="A456" s="97">
        <v>4</v>
      </c>
      <c r="B456" s="97" t="s">
        <v>227</v>
      </c>
      <c r="C456" s="75" t="s">
        <v>287</v>
      </c>
      <c r="D456" s="75">
        <f>(433.31+(0.6*(6.8+3.36+3.36+6.8+6.55+3.05+3.35+12.61)))*10.764</f>
        <v>4960.4602320000004</v>
      </c>
      <c r="E456" s="75">
        <v>0</v>
      </c>
      <c r="F456" s="75">
        <f>D456*(($F$117)+1)+(IF(E456&lt;101,E456,IF(E456&lt;201,E456/2,IF(E456&lt;=301,E456/3,E456/4))))</f>
        <v>7440.6903480000001</v>
      </c>
      <c r="G456" s="100"/>
      <c r="H456" s="101"/>
      <c r="I456" s="25"/>
    </row>
    <row r="457" spans="1:16" s="76" customFormat="1" ht="47.25" customHeight="1" x14ac:dyDescent="0.35">
      <c r="A457" s="97">
        <v>6</v>
      </c>
      <c r="B457" s="97" t="s">
        <v>229</v>
      </c>
      <c r="C457" s="75" t="s">
        <v>286</v>
      </c>
      <c r="D457" s="75">
        <f>(273.09+(0.6*(3+3.4+4.26+3.05+4.26+4.8)))*10.764</f>
        <v>3086.5985279999991</v>
      </c>
      <c r="E457" s="75">
        <v>0</v>
      </c>
      <c r="F457" s="75">
        <f>D457*(($F$117)+1)+(IF(E457&lt;101,E457,IF(E457&lt;201,E457/2,IF(E457&lt;=301,E457/3,E457/4))))</f>
        <v>4629.8977919999988</v>
      </c>
      <c r="G457" s="102"/>
      <c r="H457" s="103"/>
      <c r="I457" s="25"/>
    </row>
    <row r="458" spans="1:16" s="76" customFormat="1" ht="15.75" customHeight="1" x14ac:dyDescent="0.35">
      <c r="A458" s="94" t="s">
        <v>260</v>
      </c>
      <c r="B458" s="95"/>
      <c r="C458" s="95"/>
      <c r="D458" s="95"/>
      <c r="E458" s="95"/>
      <c r="F458" s="95"/>
      <c r="G458" s="95"/>
      <c r="H458" s="96"/>
      <c r="I458" s="25"/>
      <c r="P458" s="26"/>
    </row>
    <row r="459" spans="1:16" s="76" customFormat="1" ht="15.75" customHeight="1" x14ac:dyDescent="0.35">
      <c r="A459" s="97">
        <v>1</v>
      </c>
      <c r="B459" s="97" t="s">
        <v>225</v>
      </c>
      <c r="C459" s="75" t="s">
        <v>250</v>
      </c>
      <c r="D459" s="75">
        <f>(175.1+(0.6*(3.05+3.31+1.8+3.31+3.05)))*10.764</f>
        <v>1978.5523679999997</v>
      </c>
      <c r="E459" s="75">
        <v>0</v>
      </c>
      <c r="F459" s="75">
        <f>D459*(($F$117)+1)+(IF(E459&lt;101,E459,IF(E459&lt;201,E459/2,IF(E459&lt;=301,E459/3,E459/4))))</f>
        <v>2967.8285519999995</v>
      </c>
      <c r="G459" s="98" t="str">
        <f>A458</f>
        <v>51st Floor</v>
      </c>
      <c r="H459" s="99"/>
      <c r="I459" s="25"/>
    </row>
    <row r="460" spans="1:16" s="76" customFormat="1" ht="15.75" customHeight="1" x14ac:dyDescent="0.35">
      <c r="A460" s="97">
        <v>3</v>
      </c>
      <c r="B460" s="97" t="s">
        <v>226</v>
      </c>
      <c r="C460" s="104" t="s">
        <v>288</v>
      </c>
      <c r="D460" s="105">
        <f>(1.9*2.59+3.36*6.23+3.05*2.44+2.89*2.73+3.05*3.35+3.36*4.55+3.45*3.97+1.85*1.05+(1.38*2.14+1.38*1.06+2.85*1.53+2.29*1.38)+(3.36*1.07+1*2.44)+(0.6*(3.35+3.05+3.45)))*10.764</f>
        <v>1143.2648915999998</v>
      </c>
      <c r="E460" s="105">
        <v>-1</v>
      </c>
      <c r="F460" s="106">
        <f>D460*(($F$117)+1)+(IF(E460&lt;101,E460,IF(E460&lt;201,E460/2,IF(E460&lt;=301,E460/3,E460/4))))</f>
        <v>1713.8973373999997</v>
      </c>
      <c r="G460" s="100"/>
      <c r="H460" s="101"/>
      <c r="I460" s="25"/>
    </row>
    <row r="461" spans="1:16" s="76" customFormat="1" ht="15.75" customHeight="1" x14ac:dyDescent="0.35">
      <c r="A461" s="97">
        <v>4</v>
      </c>
      <c r="B461" s="97" t="s">
        <v>227</v>
      </c>
      <c r="C461" s="104" t="s">
        <v>289</v>
      </c>
      <c r="D461" s="105">
        <f>(1.9*2.59+3.36*6.23+3.05*2.44+2.89*2.73+3.05*3.35+3.36*4.55+3.45*3.97+1.85*1.05+(1.38*2.14+1.38*1.06+2.85*1.53+2.29*1.38)+(3.36*1.07+1*2.44)+(0.6*(3.35+3.05+3.45)))*10.764</f>
        <v>1143.2648915999998</v>
      </c>
      <c r="E461" s="105">
        <v>0</v>
      </c>
      <c r="F461" s="106">
        <f>D461*(($F$117)+1)+(IF(E461&lt;101,E461,IF(E461&lt;201,E461/2,IF(E461&lt;=301,E461/3,E461/4))))</f>
        <v>1714.8973373999997</v>
      </c>
      <c r="G461" s="100"/>
      <c r="H461" s="101"/>
      <c r="I461" s="25"/>
    </row>
    <row r="462" spans="1:16" s="76" customFormat="1" ht="15.75" customHeight="1" x14ac:dyDescent="0.35">
      <c r="A462" s="97">
        <v>6</v>
      </c>
      <c r="B462" s="97" t="s">
        <v>229</v>
      </c>
      <c r="C462" s="104" t="s">
        <v>288</v>
      </c>
      <c r="D462" s="105">
        <f>(1.9*2.59+3.36*6.23+3.05*2.44+2.89*2.73+3.05*3.35+3.36*4.55+3.45*3.97+1.85*1.05+(1.38*2.14+1.38*1.06+2.85*1.53+2.29*1.38)+(3.36*1.07+1*2.44)+(0.6*(3.35+3.05+3.45)))*10.764</f>
        <v>1143.2648915999998</v>
      </c>
      <c r="E462" s="105">
        <v>-1</v>
      </c>
      <c r="F462" s="106">
        <f>D462*(($F$117)+1)+(IF(E462&lt;101,E462,IF(E462&lt;201,E462/2,IF(E462&lt;=301,E462/3,E462/4))))</f>
        <v>1713.8973373999997</v>
      </c>
      <c r="G462" s="102"/>
      <c r="H462" s="103"/>
      <c r="I462" s="25"/>
    </row>
    <row r="463" spans="1:16" s="1" customFormat="1" x14ac:dyDescent="0.35">
      <c r="A463" s="173" t="s">
        <v>72</v>
      </c>
      <c r="B463" s="173"/>
      <c r="C463" s="173"/>
      <c r="D463" s="173"/>
      <c r="E463" s="173"/>
      <c r="F463" s="173"/>
      <c r="G463" s="173"/>
      <c r="H463" s="173"/>
    </row>
    <row r="464" spans="1:16" s="1" customFormat="1" ht="31.15" customHeight="1" x14ac:dyDescent="0.35">
      <c r="A464" s="52" t="s">
        <v>158</v>
      </c>
      <c r="B464" s="107" t="s">
        <v>342</v>
      </c>
      <c r="C464" s="108"/>
      <c r="D464" s="108"/>
      <c r="E464" s="108"/>
      <c r="F464" s="108"/>
      <c r="G464" s="108"/>
      <c r="H464" s="109"/>
    </row>
    <row r="465" spans="1:8" s="1" customFormat="1" x14ac:dyDescent="0.35">
      <c r="A465" s="52" t="s">
        <v>158</v>
      </c>
      <c r="B465" s="107" t="str">
        <f>(IF(F116="Saleable area Loading :","We have considered Saleable area of Flats as per our Calculation.","We considered Saleable area of Flat as per Builder area Sheet."))</f>
        <v>We have considered Saleable area of Flats as per our Calculation.</v>
      </c>
      <c r="C465" s="108"/>
      <c r="D465" s="108"/>
      <c r="E465" s="108"/>
      <c r="F465" s="108"/>
      <c r="G465" s="108"/>
      <c r="H465" s="109"/>
    </row>
    <row r="466" spans="1:8" s="1" customFormat="1" x14ac:dyDescent="0.35">
      <c r="A466" s="52" t="s">
        <v>158</v>
      </c>
      <c r="B466" s="90" t="s">
        <v>129</v>
      </c>
      <c r="C466" s="91"/>
      <c r="D466" s="91"/>
      <c r="E466" s="91"/>
      <c r="F466" s="91"/>
      <c r="G466" s="91"/>
      <c r="H466" s="92"/>
    </row>
    <row r="467" spans="1:8" s="1" customFormat="1" x14ac:dyDescent="0.35">
      <c r="A467" s="52" t="s">
        <v>158</v>
      </c>
      <c r="B467" s="90" t="s">
        <v>239</v>
      </c>
      <c r="C467" s="91"/>
      <c r="D467" s="91"/>
      <c r="E467" s="91"/>
      <c r="F467" s="91"/>
      <c r="G467" s="91"/>
      <c r="H467" s="92"/>
    </row>
    <row r="468" spans="1:8" s="1" customFormat="1" x14ac:dyDescent="0.35">
      <c r="A468" s="52" t="s">
        <v>158</v>
      </c>
      <c r="B468" s="90" t="s">
        <v>157</v>
      </c>
      <c r="C468" s="91"/>
      <c r="D468" s="91"/>
      <c r="E468" s="91"/>
      <c r="F468" s="91"/>
      <c r="G468" s="91"/>
      <c r="H468" s="92"/>
    </row>
    <row r="469" spans="1:8" s="1" customFormat="1" x14ac:dyDescent="0.35">
      <c r="A469" s="52" t="s">
        <v>158</v>
      </c>
      <c r="B469" s="90" t="s">
        <v>130</v>
      </c>
      <c r="C469" s="91"/>
      <c r="D469" s="91"/>
      <c r="E469" s="91"/>
      <c r="F469" s="91"/>
      <c r="G469" s="91"/>
      <c r="H469" s="92"/>
    </row>
    <row r="470" spans="1:8" s="1" customFormat="1" ht="32.25" customHeight="1" x14ac:dyDescent="0.35">
      <c r="A470" s="52" t="s">
        <v>158</v>
      </c>
      <c r="B470" s="90" t="s">
        <v>160</v>
      </c>
      <c r="C470" s="91"/>
      <c r="D470" s="91"/>
      <c r="E470" s="91"/>
      <c r="F470" s="91"/>
      <c r="G470" s="91"/>
      <c r="H470" s="92"/>
    </row>
    <row r="471" spans="1:8" s="1" customFormat="1" x14ac:dyDescent="0.35">
      <c r="A471" s="52" t="s">
        <v>158</v>
      </c>
      <c r="B471" s="90" t="s">
        <v>131</v>
      </c>
      <c r="C471" s="91"/>
      <c r="D471" s="91"/>
      <c r="E471" s="91"/>
      <c r="F471" s="91"/>
      <c r="G471" s="91"/>
      <c r="H471" s="92"/>
    </row>
    <row r="472" spans="1:8" s="1" customFormat="1" hidden="1" x14ac:dyDescent="0.35">
      <c r="A472" s="52" t="s">
        <v>158</v>
      </c>
      <c r="B472" s="107" t="s">
        <v>270</v>
      </c>
      <c r="C472" s="108"/>
      <c r="D472" s="108"/>
      <c r="E472" s="108"/>
      <c r="F472" s="108"/>
      <c r="G472" s="108"/>
      <c r="H472" s="109"/>
    </row>
    <row r="473" spans="1:8" s="1" customFormat="1" hidden="1" x14ac:dyDescent="0.35">
      <c r="A473" s="52" t="s">
        <v>158</v>
      </c>
      <c r="B473" s="90" t="s">
        <v>267</v>
      </c>
      <c r="C473" s="91"/>
      <c r="D473" s="91"/>
      <c r="E473" s="91"/>
      <c r="F473" s="91"/>
      <c r="G473" s="91"/>
      <c r="H473" s="92"/>
    </row>
    <row r="474" spans="1:8" s="1" customFormat="1" x14ac:dyDescent="0.35">
      <c r="A474" s="52" t="s">
        <v>158</v>
      </c>
      <c r="B474" s="90" t="s">
        <v>271</v>
      </c>
      <c r="C474" s="91"/>
      <c r="D474" s="91"/>
      <c r="E474" s="91"/>
      <c r="F474" s="91"/>
      <c r="G474" s="91"/>
      <c r="H474" s="92"/>
    </row>
    <row r="475" spans="1:8" s="1" customFormat="1" x14ac:dyDescent="0.35">
      <c r="A475" s="77" t="s">
        <v>158</v>
      </c>
      <c r="B475" s="90" t="s">
        <v>341</v>
      </c>
      <c r="C475" s="91"/>
      <c r="D475" s="91"/>
      <c r="E475" s="91"/>
      <c r="F475" s="91"/>
      <c r="G475" s="91"/>
      <c r="H475" s="92"/>
    </row>
    <row r="476" spans="1:8" s="1" customFormat="1" x14ac:dyDescent="0.35">
      <c r="A476" s="82" t="s">
        <v>158</v>
      </c>
      <c r="B476" s="90" t="s">
        <v>328</v>
      </c>
      <c r="C476" s="91"/>
      <c r="D476" s="91"/>
      <c r="E476" s="91"/>
      <c r="F476" s="91"/>
      <c r="G476" s="91"/>
      <c r="H476" s="92"/>
    </row>
    <row r="477" spans="1:8" s="1" customFormat="1" x14ac:dyDescent="0.35">
      <c r="A477" s="83" t="s">
        <v>158</v>
      </c>
      <c r="B477" s="90" t="s">
        <v>332</v>
      </c>
      <c r="C477" s="91"/>
      <c r="D477" s="91"/>
      <c r="E477" s="91"/>
      <c r="F477" s="91"/>
      <c r="G477" s="91"/>
      <c r="H477" s="92"/>
    </row>
    <row r="478" spans="1:8" s="1" customFormat="1" x14ac:dyDescent="0.35">
      <c r="A478" s="86" t="s">
        <v>158</v>
      </c>
      <c r="B478" s="90" t="s">
        <v>340</v>
      </c>
      <c r="C478" s="91"/>
      <c r="D478" s="91"/>
      <c r="E478" s="91"/>
      <c r="F478" s="91"/>
      <c r="G478" s="91"/>
      <c r="H478" s="92"/>
    </row>
    <row r="479" spans="1:8" x14ac:dyDescent="0.35">
      <c r="A479" s="159" t="s">
        <v>65</v>
      </c>
      <c r="B479" s="159"/>
      <c r="C479" s="159"/>
      <c r="D479" s="159"/>
      <c r="E479" s="159"/>
      <c r="F479" s="159"/>
      <c r="G479" s="159"/>
      <c r="H479" s="159"/>
    </row>
    <row r="480" spans="1:8" x14ac:dyDescent="0.35">
      <c r="A480" s="93" t="s">
        <v>66</v>
      </c>
      <c r="B480" s="93"/>
      <c r="C480" s="93"/>
      <c r="D480" s="93"/>
      <c r="E480" s="93"/>
      <c r="F480" s="93"/>
      <c r="G480" s="93"/>
      <c r="H480" s="93"/>
    </row>
    <row r="481" spans="1:8" ht="15.75" customHeight="1" x14ac:dyDescent="0.35">
      <c r="A481" s="145" t="s">
        <v>67</v>
      </c>
      <c r="B481" s="145"/>
      <c r="C481" s="145"/>
      <c r="D481" s="145"/>
      <c r="E481" s="145"/>
      <c r="F481" s="145"/>
      <c r="G481" s="145"/>
      <c r="H481" s="145"/>
    </row>
    <row r="482" spans="1:8" x14ac:dyDescent="0.35">
      <c r="A482" s="93" t="s">
        <v>68</v>
      </c>
      <c r="B482" s="93"/>
      <c r="C482" s="93"/>
      <c r="D482" s="93"/>
      <c r="E482" s="93"/>
      <c r="F482" s="93"/>
      <c r="G482" s="93"/>
      <c r="H482" s="93"/>
    </row>
    <row r="483" spans="1:8" x14ac:dyDescent="0.35">
      <c r="A483" s="93" t="s">
        <v>69</v>
      </c>
      <c r="B483" s="93"/>
      <c r="C483" s="93"/>
      <c r="D483" s="93"/>
      <c r="E483" s="93"/>
      <c r="F483" s="93"/>
      <c r="G483" s="93"/>
      <c r="H483" s="93"/>
    </row>
    <row r="484" spans="1:8" x14ac:dyDescent="0.35">
      <c r="A484" s="93" t="s">
        <v>132</v>
      </c>
      <c r="B484" s="93"/>
      <c r="C484" s="93"/>
      <c r="D484" s="93"/>
      <c r="E484" s="93"/>
      <c r="F484" s="93"/>
      <c r="G484" s="93"/>
      <c r="H484" s="93"/>
    </row>
    <row r="485" spans="1:8" ht="35.25" hidden="1" customHeight="1" x14ac:dyDescent="0.35">
      <c r="A485" s="138" t="s">
        <v>133</v>
      </c>
      <c r="B485" s="138"/>
      <c r="C485" s="138"/>
      <c r="D485" s="138"/>
      <c r="E485" s="138"/>
      <c r="F485" s="138"/>
      <c r="G485" s="138"/>
      <c r="H485" s="138"/>
    </row>
    <row r="486" spans="1:8" x14ac:dyDescent="0.35">
      <c r="A486" s="170" t="s">
        <v>79</v>
      </c>
      <c r="B486" s="170"/>
      <c r="C486" s="170" t="s">
        <v>335</v>
      </c>
      <c r="D486" s="170"/>
      <c r="E486" s="170" t="s">
        <v>112</v>
      </c>
      <c r="F486" s="170"/>
      <c r="G486" s="170" t="s">
        <v>344</v>
      </c>
      <c r="H486" s="170"/>
    </row>
    <row r="487" spans="1:8" x14ac:dyDescent="0.35">
      <c r="A487" s="169" t="s">
        <v>81</v>
      </c>
      <c r="B487" s="169"/>
      <c r="C487" s="169"/>
      <c r="D487" s="169"/>
      <c r="E487" s="169"/>
      <c r="F487" s="169"/>
      <c r="G487" s="169"/>
      <c r="H487" s="169"/>
    </row>
    <row r="488" spans="1:8" x14ac:dyDescent="0.35">
      <c r="A488" s="169"/>
      <c r="B488" s="169"/>
      <c r="C488" s="169"/>
      <c r="D488" s="169"/>
      <c r="E488" s="169"/>
      <c r="F488" s="169"/>
      <c r="G488" s="169"/>
      <c r="H488" s="169"/>
    </row>
    <row r="489" spans="1:8" x14ac:dyDescent="0.35">
      <c r="A489" s="169"/>
      <c r="B489" s="169"/>
      <c r="C489" s="169"/>
      <c r="D489" s="169"/>
      <c r="E489" s="169"/>
      <c r="F489" s="169"/>
      <c r="G489" s="169"/>
      <c r="H489" s="169"/>
    </row>
    <row r="490" spans="1:8" x14ac:dyDescent="0.35">
      <c r="A490" s="169"/>
      <c r="B490" s="169"/>
      <c r="C490" s="169"/>
      <c r="D490" s="169"/>
      <c r="E490" s="169"/>
      <c r="F490" s="169"/>
      <c r="G490" s="169"/>
      <c r="H490" s="169"/>
    </row>
    <row r="491" spans="1:8" x14ac:dyDescent="0.35">
      <c r="A491" s="62" t="s">
        <v>70</v>
      </c>
      <c r="B491" s="63"/>
      <c r="C491" s="63"/>
      <c r="D491" s="62" t="str">
        <f>E8</f>
        <v>The Address by GS Tower A &amp; B</v>
      </c>
      <c r="E491" s="64"/>
      <c r="F491" s="63"/>
      <c r="G491" s="63"/>
      <c r="H491" s="63"/>
    </row>
    <row r="492" spans="1:8" x14ac:dyDescent="0.35">
      <c r="A492" s="63"/>
      <c r="B492" s="63"/>
      <c r="C492" s="63"/>
      <c r="D492" s="63"/>
      <c r="E492" s="63"/>
      <c r="F492" s="63"/>
      <c r="G492" s="63"/>
      <c r="H492" s="63"/>
    </row>
    <row r="493" spans="1:8" x14ac:dyDescent="0.35">
      <c r="A493" s="63"/>
      <c r="B493" s="63"/>
      <c r="C493" s="63"/>
      <c r="D493" s="63"/>
      <c r="E493" s="63"/>
      <c r="F493" s="63"/>
      <c r="G493" s="63"/>
      <c r="H493" s="63"/>
    </row>
    <row r="494" spans="1:8" ht="15" customHeight="1" x14ac:dyDescent="0.35">
      <c r="A494" s="64"/>
      <c r="B494" s="64"/>
      <c r="C494" s="64"/>
      <c r="D494" s="64"/>
      <c r="E494" s="64"/>
      <c r="F494" s="64"/>
      <c r="G494" s="64"/>
      <c r="H494" s="64"/>
    </row>
    <row r="495" spans="1:8" x14ac:dyDescent="0.35">
      <c r="A495" s="64"/>
      <c r="B495" s="64"/>
      <c r="C495" s="64"/>
      <c r="D495" s="64"/>
      <c r="E495" s="64"/>
      <c r="F495" s="64"/>
      <c r="G495" s="64"/>
      <c r="H495" s="64"/>
    </row>
    <row r="496" spans="1:8" x14ac:dyDescent="0.35">
      <c r="A496" s="64"/>
      <c r="B496" s="64"/>
      <c r="C496" s="64"/>
      <c r="D496" s="64"/>
      <c r="E496" s="64"/>
      <c r="F496" s="64"/>
      <c r="G496" s="64"/>
      <c r="H496" s="64"/>
    </row>
    <row r="497" spans="1:8" x14ac:dyDescent="0.35">
      <c r="A497" s="64"/>
      <c r="B497" s="64"/>
      <c r="C497" s="64"/>
      <c r="D497" s="64"/>
      <c r="E497" s="64"/>
      <c r="F497" s="64"/>
      <c r="G497" s="64"/>
      <c r="H497" s="64"/>
    </row>
    <row r="498" spans="1:8" x14ac:dyDescent="0.35">
      <c r="A498" s="64"/>
      <c r="B498" s="64"/>
      <c r="C498" s="64"/>
      <c r="D498" s="64"/>
      <c r="E498" s="64"/>
      <c r="F498" s="64"/>
      <c r="G498" s="64"/>
      <c r="H498" s="64"/>
    </row>
    <row r="499" spans="1:8" x14ac:dyDescent="0.35">
      <c r="A499" s="64"/>
      <c r="B499" s="64"/>
      <c r="C499" s="64"/>
      <c r="D499" s="64"/>
      <c r="E499" s="64"/>
      <c r="F499" s="64"/>
      <c r="G499" s="64"/>
      <c r="H499" s="64"/>
    </row>
    <row r="500" spans="1:8" x14ac:dyDescent="0.35">
      <c r="A500" s="64"/>
      <c r="B500" s="64"/>
      <c r="C500" s="64"/>
      <c r="D500" s="64"/>
      <c r="E500" s="64"/>
      <c r="F500" s="64"/>
      <c r="G500" s="64"/>
      <c r="H500" s="64"/>
    </row>
    <row r="501" spans="1:8" x14ac:dyDescent="0.35">
      <c r="A501" s="64"/>
      <c r="B501" s="64"/>
      <c r="C501" s="64"/>
      <c r="D501" s="64"/>
      <c r="E501" s="64"/>
      <c r="F501" s="64"/>
      <c r="G501" s="64"/>
      <c r="H501" s="64"/>
    </row>
    <row r="502" spans="1:8" x14ac:dyDescent="0.35">
      <c r="A502" s="64"/>
      <c r="B502" s="64"/>
      <c r="C502" s="64"/>
      <c r="D502" s="64"/>
      <c r="E502" s="64"/>
      <c r="F502" s="64"/>
      <c r="G502" s="64"/>
      <c r="H502" s="64"/>
    </row>
    <row r="503" spans="1:8" x14ac:dyDescent="0.35">
      <c r="A503" s="64"/>
      <c r="B503" s="64"/>
      <c r="C503" s="64"/>
      <c r="D503" s="64"/>
      <c r="E503" s="64"/>
      <c r="F503" s="64"/>
      <c r="G503" s="64"/>
      <c r="H503" s="64"/>
    </row>
    <row r="504" spans="1:8" x14ac:dyDescent="0.35">
      <c r="A504" s="64"/>
      <c r="B504" s="64"/>
      <c r="C504" s="64"/>
      <c r="D504" s="64"/>
      <c r="E504" s="64"/>
      <c r="F504" s="64"/>
      <c r="G504" s="64"/>
      <c r="H504" s="64"/>
    </row>
    <row r="505" spans="1:8" x14ac:dyDescent="0.35">
      <c r="A505" s="64"/>
      <c r="B505" s="64"/>
      <c r="C505" s="64"/>
      <c r="D505" s="64"/>
      <c r="E505" s="64"/>
      <c r="F505" s="64"/>
      <c r="G505" s="64"/>
      <c r="H505" s="64"/>
    </row>
    <row r="506" spans="1:8" x14ac:dyDescent="0.35">
      <c r="A506" s="64"/>
      <c r="B506" s="64"/>
      <c r="C506" s="64"/>
      <c r="D506" s="64"/>
      <c r="E506" s="64"/>
      <c r="F506" s="64"/>
      <c r="G506" s="64"/>
      <c r="H506" s="64"/>
    </row>
    <row r="507" spans="1:8" x14ac:dyDescent="0.35">
      <c r="A507" s="64"/>
      <c r="B507" s="64"/>
      <c r="C507" s="64"/>
      <c r="D507" s="64"/>
      <c r="E507" s="64"/>
      <c r="F507" s="64"/>
      <c r="G507" s="64"/>
      <c r="H507" s="64"/>
    </row>
    <row r="508" spans="1:8" x14ac:dyDescent="0.35">
      <c r="A508" s="64"/>
      <c r="B508" s="64"/>
      <c r="C508" s="64"/>
      <c r="D508" s="64"/>
      <c r="E508" s="64"/>
      <c r="F508" s="64"/>
      <c r="G508" s="64"/>
      <c r="H508" s="64"/>
    </row>
    <row r="509" spans="1:8" x14ac:dyDescent="0.35">
      <c r="A509" s="64"/>
      <c r="B509" s="64"/>
      <c r="C509" s="64"/>
      <c r="D509" s="64"/>
      <c r="E509" s="64"/>
      <c r="F509" s="64"/>
      <c r="G509" s="64"/>
      <c r="H509" s="64"/>
    </row>
    <row r="510" spans="1:8" x14ac:dyDescent="0.35">
      <c r="A510" s="64"/>
      <c r="B510" s="64"/>
      <c r="C510" s="64"/>
      <c r="D510" s="64"/>
      <c r="E510" s="64"/>
      <c r="F510" s="64"/>
      <c r="G510" s="64"/>
      <c r="H510" s="64"/>
    </row>
    <row r="511" spans="1:8" x14ac:dyDescent="0.35">
      <c r="A511" s="64"/>
      <c r="B511" s="64"/>
      <c r="C511" s="64"/>
      <c r="D511" s="64"/>
      <c r="E511" s="64"/>
      <c r="F511" s="64"/>
      <c r="G511" s="64"/>
      <c r="H511" s="64"/>
    </row>
    <row r="512" spans="1:8" x14ac:dyDescent="0.35">
      <c r="A512" s="64"/>
      <c r="B512" s="64"/>
      <c r="C512" s="64"/>
      <c r="D512" s="64"/>
      <c r="E512" s="64"/>
      <c r="F512" s="64"/>
      <c r="G512" s="64"/>
      <c r="H512" s="64"/>
    </row>
    <row r="513" spans="1:8" x14ac:dyDescent="0.35">
      <c r="A513" s="64"/>
      <c r="B513" s="64"/>
      <c r="C513" s="64"/>
      <c r="D513" s="64"/>
      <c r="E513" s="64"/>
      <c r="F513" s="64"/>
      <c r="G513" s="64"/>
      <c r="H513" s="64"/>
    </row>
    <row r="514" spans="1:8" x14ac:dyDescent="0.35">
      <c r="A514" s="64"/>
      <c r="B514" s="64"/>
      <c r="C514" s="64"/>
      <c r="D514" s="64"/>
      <c r="E514" s="64"/>
      <c r="F514" s="64"/>
      <c r="G514" s="64"/>
      <c r="H514" s="64"/>
    </row>
    <row r="515" spans="1:8" x14ac:dyDescent="0.35">
      <c r="A515" s="64"/>
      <c r="B515" s="64"/>
      <c r="C515" s="64"/>
      <c r="D515" s="64"/>
      <c r="E515" s="64"/>
      <c r="F515" s="64"/>
      <c r="G515" s="64"/>
      <c r="H515" s="64"/>
    </row>
    <row r="516" spans="1:8" x14ac:dyDescent="0.35">
      <c r="A516" s="64"/>
      <c r="B516" s="64"/>
      <c r="C516" s="64"/>
      <c r="D516" s="64"/>
      <c r="E516" s="64"/>
      <c r="F516" s="64"/>
      <c r="G516" s="64"/>
      <c r="H516" s="64"/>
    </row>
    <row r="517" spans="1:8" x14ac:dyDescent="0.35">
      <c r="A517" s="64"/>
      <c r="B517" s="64"/>
      <c r="C517" s="64"/>
      <c r="D517" s="64"/>
      <c r="E517" s="64"/>
      <c r="F517" s="64"/>
      <c r="G517" s="64"/>
      <c r="H517" s="64"/>
    </row>
    <row r="518" spans="1:8" x14ac:dyDescent="0.35">
      <c r="A518" s="64"/>
      <c r="B518" s="64"/>
      <c r="C518" s="64"/>
      <c r="D518" s="64"/>
      <c r="E518" s="64"/>
      <c r="F518" s="64"/>
      <c r="G518" s="64"/>
      <c r="H518" s="64"/>
    </row>
    <row r="519" spans="1:8" x14ac:dyDescent="0.35">
      <c r="A519" s="64"/>
      <c r="B519" s="64"/>
      <c r="C519" s="64"/>
      <c r="D519" s="64"/>
      <c r="E519" s="64"/>
      <c r="F519" s="64"/>
      <c r="G519" s="64"/>
      <c r="H519" s="64"/>
    </row>
    <row r="520" spans="1:8" x14ac:dyDescent="0.35">
      <c r="A520" s="64"/>
      <c r="B520" s="64"/>
      <c r="C520" s="64"/>
      <c r="D520" s="64"/>
      <c r="E520" s="64"/>
      <c r="F520" s="64"/>
      <c r="G520" s="64"/>
      <c r="H520" s="64"/>
    </row>
    <row r="521" spans="1:8" x14ac:dyDescent="0.35">
      <c r="A521" s="64"/>
      <c r="B521" s="64"/>
      <c r="C521" s="64"/>
      <c r="D521" s="64"/>
      <c r="E521" s="64"/>
      <c r="F521" s="64"/>
      <c r="G521" s="64"/>
      <c r="H521" s="64"/>
    </row>
    <row r="522" spans="1:8" x14ac:dyDescent="0.35">
      <c r="A522" s="64"/>
      <c r="B522" s="64"/>
      <c r="C522" s="64"/>
      <c r="D522" s="64"/>
      <c r="E522" s="64"/>
      <c r="F522" s="64"/>
      <c r="G522" s="64"/>
      <c r="H522" s="64"/>
    </row>
    <row r="523" spans="1:8" x14ac:dyDescent="0.35">
      <c r="A523" s="64"/>
      <c r="B523" s="64"/>
      <c r="C523" s="64"/>
      <c r="D523" s="64"/>
      <c r="E523" s="64"/>
      <c r="F523" s="64"/>
      <c r="G523" s="64"/>
      <c r="H523" s="64"/>
    </row>
    <row r="524" spans="1:8" x14ac:dyDescent="0.35">
      <c r="A524" s="64"/>
      <c r="B524" s="64"/>
      <c r="C524" s="64"/>
      <c r="D524" s="64"/>
      <c r="E524" s="64"/>
      <c r="F524" s="64"/>
      <c r="G524" s="64"/>
      <c r="H524" s="64"/>
    </row>
    <row r="525" spans="1:8" x14ac:dyDescent="0.35">
      <c r="A525" s="64"/>
      <c r="B525" s="64"/>
      <c r="C525" s="64"/>
      <c r="D525" s="64"/>
      <c r="E525" s="64"/>
      <c r="F525" s="64"/>
      <c r="G525" s="64"/>
      <c r="H525" s="64"/>
    </row>
    <row r="526" spans="1:8" x14ac:dyDescent="0.35">
      <c r="A526" s="64"/>
      <c r="B526" s="64"/>
      <c r="C526" s="64"/>
      <c r="D526" s="64"/>
      <c r="E526" s="64"/>
      <c r="F526" s="64"/>
      <c r="G526" s="64"/>
      <c r="H526" s="64"/>
    </row>
    <row r="527" spans="1:8" x14ac:dyDescent="0.35">
      <c r="A527" s="64"/>
      <c r="B527" s="64"/>
      <c r="C527" s="64"/>
      <c r="D527" s="64"/>
      <c r="E527" s="64"/>
      <c r="F527" s="64"/>
      <c r="G527" s="64"/>
      <c r="H527" s="64"/>
    </row>
    <row r="528" spans="1:8" x14ac:dyDescent="0.35">
      <c r="A528" s="64"/>
      <c r="B528" s="64"/>
      <c r="C528" s="64"/>
      <c r="D528" s="64"/>
      <c r="E528" s="64"/>
      <c r="F528" s="64"/>
      <c r="G528" s="64"/>
      <c r="H528" s="64"/>
    </row>
    <row r="529" spans="1:8" x14ac:dyDescent="0.35">
      <c r="A529" s="64"/>
      <c r="B529" s="64"/>
      <c r="C529" s="64"/>
      <c r="D529" s="64"/>
      <c r="E529" s="64"/>
      <c r="F529" s="64"/>
      <c r="G529" s="64"/>
      <c r="H529" s="64"/>
    </row>
    <row r="530" spans="1:8" x14ac:dyDescent="0.35">
      <c r="A530" s="64"/>
      <c r="B530" s="64"/>
      <c r="C530" s="64"/>
      <c r="D530" s="64"/>
      <c r="E530" s="64"/>
      <c r="F530" s="64"/>
      <c r="G530" s="64"/>
      <c r="H530" s="64"/>
    </row>
    <row r="531" spans="1:8" x14ac:dyDescent="0.35">
      <c r="A531" s="64"/>
      <c r="B531" s="64"/>
      <c r="C531" s="64"/>
      <c r="D531" s="64"/>
      <c r="E531" s="64"/>
      <c r="F531" s="64"/>
      <c r="G531" s="64"/>
      <c r="H531" s="64"/>
    </row>
    <row r="532" spans="1:8" x14ac:dyDescent="0.35">
      <c r="A532" s="64"/>
      <c r="B532" s="64"/>
      <c r="C532" s="64"/>
      <c r="D532" s="64"/>
      <c r="E532" s="64"/>
      <c r="F532" s="64"/>
      <c r="G532" s="64"/>
      <c r="H532" s="64"/>
    </row>
    <row r="533" spans="1:8" x14ac:dyDescent="0.35">
      <c r="A533" s="64"/>
      <c r="B533" s="64"/>
      <c r="C533" s="64"/>
      <c r="D533" s="64"/>
      <c r="E533" s="64"/>
      <c r="F533" s="64"/>
      <c r="G533" s="64"/>
      <c r="H533" s="64"/>
    </row>
    <row r="534" spans="1:8" x14ac:dyDescent="0.35">
      <c r="A534" s="65" t="s">
        <v>71</v>
      </c>
      <c r="B534" s="64"/>
      <c r="C534" s="64"/>
      <c r="D534" s="64"/>
      <c r="E534" s="64"/>
      <c r="F534" s="64"/>
      <c r="G534" s="64"/>
      <c r="H534" s="64"/>
    </row>
    <row r="535" spans="1:8" x14ac:dyDescent="0.35">
      <c r="A535" s="64"/>
      <c r="B535" s="64"/>
      <c r="C535" s="64"/>
      <c r="D535" s="64"/>
      <c r="E535" s="64"/>
      <c r="F535" s="64"/>
      <c r="G535" s="64"/>
      <c r="H535" s="64"/>
    </row>
    <row r="536" spans="1:8" x14ac:dyDescent="0.35">
      <c r="A536" s="64"/>
      <c r="B536" s="64"/>
      <c r="C536" s="64"/>
      <c r="D536" s="64"/>
      <c r="E536" s="64"/>
      <c r="F536" s="64"/>
      <c r="G536" s="64"/>
      <c r="H536" s="64"/>
    </row>
    <row r="537" spans="1:8" x14ac:dyDescent="0.35">
      <c r="A537" s="64"/>
      <c r="B537" s="64"/>
      <c r="C537" s="64"/>
      <c r="D537" s="64"/>
      <c r="E537" s="64"/>
      <c r="F537" s="64"/>
      <c r="G537" s="64"/>
      <c r="H537" s="64"/>
    </row>
    <row r="538" spans="1:8" x14ac:dyDescent="0.35">
      <c r="A538" s="64"/>
      <c r="B538" s="64"/>
      <c r="C538" s="64"/>
      <c r="D538" s="64"/>
      <c r="E538" s="64"/>
      <c r="F538" s="64"/>
      <c r="G538" s="64"/>
      <c r="H538" s="64"/>
    </row>
    <row r="539" spans="1:8" x14ac:dyDescent="0.35">
      <c r="A539" s="64"/>
      <c r="B539" s="64"/>
      <c r="C539" s="64"/>
      <c r="D539" s="64"/>
      <c r="E539" s="64"/>
      <c r="F539" s="64"/>
      <c r="G539" s="64"/>
      <c r="H539" s="64"/>
    </row>
    <row r="540" spans="1:8" x14ac:dyDescent="0.35">
      <c r="A540" s="64"/>
      <c r="B540" s="64"/>
      <c r="C540" s="64"/>
      <c r="D540" s="64"/>
      <c r="E540" s="64"/>
      <c r="F540" s="64"/>
      <c r="G540" s="64"/>
      <c r="H540" s="64"/>
    </row>
    <row r="541" spans="1:8" x14ac:dyDescent="0.35">
      <c r="A541" s="64"/>
      <c r="B541" s="64"/>
      <c r="C541" s="64"/>
      <c r="D541" s="64"/>
      <c r="E541" s="64"/>
      <c r="F541" s="64"/>
      <c r="G541" s="64"/>
      <c r="H541" s="64"/>
    </row>
    <row r="542" spans="1:8" x14ac:dyDescent="0.35">
      <c r="A542" s="64"/>
      <c r="B542" s="64"/>
      <c r="C542" s="64"/>
      <c r="D542" s="64"/>
      <c r="E542" s="64"/>
      <c r="F542" s="64"/>
      <c r="G542" s="64"/>
      <c r="H542" s="64"/>
    </row>
    <row r="543" spans="1:8" x14ac:dyDescent="0.35">
      <c r="A543" s="64"/>
      <c r="B543" s="64"/>
      <c r="C543" s="64"/>
      <c r="D543" s="64"/>
      <c r="E543" s="64"/>
      <c r="F543" s="64"/>
      <c r="G543" s="64"/>
      <c r="H543" s="64"/>
    </row>
    <row r="544" spans="1:8" x14ac:dyDescent="0.35">
      <c r="A544" s="64"/>
      <c r="B544" s="64"/>
      <c r="C544" s="64"/>
      <c r="D544" s="64"/>
      <c r="E544" s="64"/>
      <c r="F544" s="64"/>
      <c r="G544" s="64"/>
      <c r="H544" s="64"/>
    </row>
    <row r="545" spans="1:8" x14ac:dyDescent="0.35">
      <c r="A545" s="64"/>
      <c r="B545" s="64"/>
      <c r="C545" s="64"/>
      <c r="D545" s="64"/>
      <c r="E545" s="64"/>
      <c r="F545" s="64"/>
      <c r="G545" s="64"/>
      <c r="H545" s="64"/>
    </row>
    <row r="546" spans="1:8" x14ac:dyDescent="0.35">
      <c r="A546" s="64"/>
      <c r="B546" s="64"/>
      <c r="C546" s="64"/>
      <c r="D546" s="64"/>
      <c r="E546" s="64"/>
      <c r="F546" s="64"/>
      <c r="G546" s="64"/>
      <c r="H546" s="64"/>
    </row>
    <row r="547" spans="1:8" x14ac:dyDescent="0.35">
      <c r="A547" s="64"/>
      <c r="B547" s="64"/>
      <c r="C547" s="64"/>
      <c r="D547" s="64"/>
      <c r="E547" s="64"/>
      <c r="F547" s="64"/>
      <c r="G547" s="64"/>
      <c r="H547" s="64"/>
    </row>
    <row r="548" spans="1:8" x14ac:dyDescent="0.35">
      <c r="A548" s="64"/>
      <c r="B548" s="64"/>
      <c r="C548" s="64"/>
      <c r="D548" s="64"/>
      <c r="E548" s="64"/>
      <c r="F548" s="64"/>
      <c r="G548" s="64"/>
      <c r="H548" s="64"/>
    </row>
    <row r="549" spans="1:8" x14ac:dyDescent="0.35">
      <c r="A549" s="64"/>
      <c r="B549" s="64"/>
      <c r="C549" s="64"/>
      <c r="D549" s="64"/>
      <c r="E549" s="64"/>
      <c r="F549" s="64"/>
      <c r="G549" s="64"/>
      <c r="H549" s="64"/>
    </row>
    <row r="550" spans="1:8" x14ac:dyDescent="0.35">
      <c r="A550" s="64"/>
      <c r="B550" s="64"/>
      <c r="C550" s="64"/>
      <c r="D550" s="64"/>
      <c r="E550" s="64"/>
      <c r="F550" s="64"/>
      <c r="G550" s="64"/>
      <c r="H550" s="64"/>
    </row>
    <row r="551" spans="1:8" x14ac:dyDescent="0.35">
      <c r="A551" s="64"/>
      <c r="B551" s="64"/>
      <c r="C551" s="64"/>
      <c r="D551" s="64"/>
      <c r="E551" s="64"/>
      <c r="F551" s="64"/>
      <c r="G551" s="64"/>
      <c r="H551" s="64"/>
    </row>
    <row r="552" spans="1:8" x14ac:dyDescent="0.35">
      <c r="A552" s="64"/>
      <c r="B552" s="64"/>
      <c r="C552" s="64"/>
      <c r="D552" s="64"/>
      <c r="E552" s="64"/>
      <c r="F552" s="64"/>
      <c r="G552" s="64"/>
      <c r="H552" s="64"/>
    </row>
    <row r="553" spans="1:8" x14ac:dyDescent="0.35">
      <c r="A553" s="64"/>
      <c r="B553" s="64"/>
      <c r="C553" s="64"/>
      <c r="D553" s="64"/>
      <c r="E553" s="64"/>
      <c r="F553" s="64"/>
      <c r="G553" s="64"/>
      <c r="H553" s="64"/>
    </row>
    <row r="554" spans="1:8" x14ac:dyDescent="0.35">
      <c r="A554" s="64"/>
      <c r="B554" s="64"/>
      <c r="C554" s="64"/>
      <c r="D554" s="64"/>
      <c r="E554" s="64"/>
      <c r="F554" s="64"/>
      <c r="G554" s="64"/>
      <c r="H554" s="64"/>
    </row>
    <row r="555" spans="1:8" x14ac:dyDescent="0.35">
      <c r="A555" s="64"/>
      <c r="B555" s="64"/>
      <c r="C555" s="64"/>
      <c r="D555" s="64"/>
      <c r="E555" s="64"/>
      <c r="F555" s="64"/>
      <c r="G555" s="64"/>
      <c r="H555" s="64"/>
    </row>
    <row r="556" spans="1:8" x14ac:dyDescent="0.35">
      <c r="A556" s="64"/>
      <c r="B556" s="64"/>
      <c r="C556" s="64"/>
      <c r="D556" s="64"/>
      <c r="E556" s="64"/>
      <c r="F556" s="64"/>
      <c r="G556" s="64"/>
      <c r="H556" s="64"/>
    </row>
    <row r="557" spans="1:8" x14ac:dyDescent="0.35">
      <c r="A557" s="64"/>
      <c r="B557" s="64"/>
      <c r="C557" s="64"/>
      <c r="D557" s="64"/>
      <c r="E557" s="64"/>
      <c r="F557" s="64"/>
      <c r="G557" s="64"/>
      <c r="H557" s="64"/>
    </row>
    <row r="558" spans="1:8" x14ac:dyDescent="0.35">
      <c r="A558" s="64"/>
      <c r="B558" s="64"/>
      <c r="C558" s="64"/>
      <c r="D558" s="64"/>
      <c r="E558" s="64"/>
      <c r="F558" s="64"/>
      <c r="G558" s="64"/>
      <c r="H558" s="64"/>
    </row>
    <row r="559" spans="1:8" x14ac:dyDescent="0.35">
      <c r="A559" s="64"/>
      <c r="B559" s="64"/>
      <c r="C559" s="64"/>
      <c r="D559" s="64"/>
      <c r="E559" s="64"/>
      <c r="F559" s="64"/>
      <c r="G559" s="64"/>
      <c r="H559" s="64"/>
    </row>
    <row r="560" spans="1:8" x14ac:dyDescent="0.35">
      <c r="A560" s="64"/>
      <c r="B560" s="64"/>
      <c r="C560" s="64"/>
      <c r="D560" s="64"/>
      <c r="E560" s="64"/>
      <c r="F560" s="64"/>
      <c r="G560" s="64"/>
      <c r="H560" s="64"/>
    </row>
    <row r="561" spans="1:8" x14ac:dyDescent="0.35">
      <c r="A561" s="64"/>
      <c r="B561" s="64"/>
      <c r="C561" s="64"/>
      <c r="D561" s="64"/>
      <c r="E561" s="64"/>
      <c r="F561" s="64"/>
      <c r="G561" s="64"/>
      <c r="H561" s="64"/>
    </row>
    <row r="562" spans="1:8" x14ac:dyDescent="0.35">
      <c r="A562" s="64"/>
      <c r="B562" s="64"/>
      <c r="C562" s="64"/>
      <c r="D562" s="64"/>
      <c r="E562" s="64"/>
      <c r="F562" s="64"/>
      <c r="G562" s="64"/>
      <c r="H562" s="64"/>
    </row>
    <row r="563" spans="1:8" x14ac:dyDescent="0.35">
      <c r="A563" s="64"/>
      <c r="B563" s="64"/>
      <c r="C563" s="64"/>
      <c r="D563" s="64"/>
      <c r="E563" s="64"/>
      <c r="F563" s="64"/>
      <c r="G563" s="64"/>
      <c r="H563" s="64"/>
    </row>
    <row r="564" spans="1:8" x14ac:dyDescent="0.35">
      <c r="A564" s="64"/>
      <c r="B564" s="64"/>
      <c r="C564" s="64"/>
      <c r="D564" s="64"/>
      <c r="E564" s="64"/>
      <c r="F564" s="64"/>
      <c r="G564" s="64"/>
      <c r="H564" s="64"/>
    </row>
    <row r="565" spans="1:8" x14ac:dyDescent="0.35">
      <c r="A565" s="64"/>
      <c r="B565" s="64"/>
      <c r="C565" s="64"/>
      <c r="D565" s="64"/>
      <c r="E565" s="64"/>
      <c r="F565" s="64"/>
      <c r="G565" s="64"/>
      <c r="H565" s="64"/>
    </row>
    <row r="566" spans="1:8" x14ac:dyDescent="0.35">
      <c r="A566" s="64"/>
      <c r="B566" s="64"/>
      <c r="C566" s="64"/>
      <c r="D566" s="64"/>
      <c r="E566" s="64"/>
      <c r="F566" s="64"/>
      <c r="G566" s="64"/>
      <c r="H566" s="64"/>
    </row>
    <row r="567" spans="1:8" x14ac:dyDescent="0.35">
      <c r="A567" s="64"/>
      <c r="B567" s="64"/>
      <c r="C567" s="64"/>
      <c r="D567" s="64"/>
      <c r="E567" s="64"/>
      <c r="F567" s="64"/>
      <c r="G567" s="64"/>
      <c r="H567" s="64"/>
    </row>
    <row r="568" spans="1:8" x14ac:dyDescent="0.35">
      <c r="A568" s="64"/>
      <c r="B568" s="64"/>
      <c r="C568" s="64"/>
      <c r="D568" s="64"/>
      <c r="E568" s="64"/>
      <c r="F568" s="64"/>
      <c r="G568" s="64"/>
      <c r="H568" s="64"/>
    </row>
    <row r="569" spans="1:8" x14ac:dyDescent="0.35">
      <c r="A569" s="64"/>
      <c r="B569" s="64"/>
      <c r="C569" s="64"/>
      <c r="D569" s="64"/>
      <c r="E569" s="64"/>
      <c r="F569" s="64"/>
      <c r="G569" s="64"/>
      <c r="H569" s="64"/>
    </row>
    <row r="570" spans="1:8" x14ac:dyDescent="0.35">
      <c r="A570" s="64"/>
      <c r="B570" s="64"/>
      <c r="C570" s="64"/>
      <c r="D570" s="64"/>
      <c r="E570" s="64"/>
      <c r="F570" s="64"/>
      <c r="G570" s="64"/>
      <c r="H570" s="64"/>
    </row>
    <row r="571" spans="1:8" x14ac:dyDescent="0.35">
      <c r="A571" s="64"/>
      <c r="B571" s="64"/>
      <c r="C571" s="64"/>
      <c r="D571" s="64"/>
      <c r="E571" s="64"/>
      <c r="F571" s="64"/>
      <c r="G571" s="64"/>
      <c r="H571" s="64"/>
    </row>
    <row r="572" spans="1:8" x14ac:dyDescent="0.35">
      <c r="A572" s="64"/>
      <c r="B572" s="64"/>
      <c r="C572" s="64"/>
      <c r="D572" s="64"/>
      <c r="E572" s="64"/>
      <c r="F572" s="64"/>
      <c r="G572" s="64"/>
      <c r="H572" s="64"/>
    </row>
    <row r="573" spans="1:8" x14ac:dyDescent="0.35">
      <c r="A573" s="64"/>
      <c r="B573" s="64"/>
      <c r="C573" s="64"/>
      <c r="D573" s="64"/>
      <c r="E573" s="64"/>
      <c r="F573" s="64"/>
      <c r="G573" s="64"/>
      <c r="H573" s="64"/>
    </row>
    <row r="574" spans="1:8" x14ac:dyDescent="0.35">
      <c r="A574" s="64"/>
      <c r="B574" s="64"/>
      <c r="C574" s="64"/>
      <c r="D574" s="64"/>
      <c r="E574" s="64"/>
      <c r="F574" s="64"/>
      <c r="G574" s="64"/>
      <c r="H574" s="64"/>
    </row>
    <row r="575" spans="1:8" x14ac:dyDescent="0.35">
      <c r="A575" s="64"/>
      <c r="B575" s="64"/>
      <c r="C575" s="64"/>
      <c r="D575" s="64"/>
      <c r="E575" s="64"/>
      <c r="F575" s="64"/>
      <c r="G575" s="64"/>
      <c r="H575" s="64"/>
    </row>
    <row r="576" spans="1:8" x14ac:dyDescent="0.35">
      <c r="A576" s="64"/>
      <c r="B576" s="64"/>
      <c r="C576" s="64"/>
      <c r="D576" s="64"/>
      <c r="E576" s="64"/>
      <c r="F576" s="64"/>
      <c r="G576" s="64"/>
      <c r="H576" s="64"/>
    </row>
  </sheetData>
  <mergeCells count="724">
    <mergeCell ref="B478:H478"/>
    <mergeCell ref="A397:H397"/>
    <mergeCell ref="A398:B398"/>
    <mergeCell ref="G398:H403"/>
    <mergeCell ref="A399:B399"/>
    <mergeCell ref="A401:B401"/>
    <mergeCell ref="A402:B402"/>
    <mergeCell ref="A403:B403"/>
    <mergeCell ref="A415:H415"/>
    <mergeCell ref="A416:B416"/>
    <mergeCell ref="G416:H420"/>
    <mergeCell ref="A417:B417"/>
    <mergeCell ref="A418:B418"/>
    <mergeCell ref="C418:F418"/>
    <mergeCell ref="A419:B419"/>
    <mergeCell ref="A420:B420"/>
    <mergeCell ref="A412:B412"/>
    <mergeCell ref="A413:B413"/>
    <mergeCell ref="A414:B414"/>
    <mergeCell ref="A411:B411"/>
    <mergeCell ref="G411:H414"/>
    <mergeCell ref="A404:H404"/>
    <mergeCell ref="A407:B407"/>
    <mergeCell ref="C407:F407"/>
    <mergeCell ref="A408:B408"/>
    <mergeCell ref="A409:B409"/>
    <mergeCell ref="A405:B405"/>
    <mergeCell ref="G405:H409"/>
    <mergeCell ref="A366:B366"/>
    <mergeCell ref="G366:H370"/>
    <mergeCell ref="A367:B367"/>
    <mergeCell ref="A368:B368"/>
    <mergeCell ref="A369:B369"/>
    <mergeCell ref="A370:B370"/>
    <mergeCell ref="A385:H385"/>
    <mergeCell ref="A386:B386"/>
    <mergeCell ref="G386:H390"/>
    <mergeCell ref="A387:B387"/>
    <mergeCell ref="A388:B388"/>
    <mergeCell ref="C388:F388"/>
    <mergeCell ref="A389:B389"/>
    <mergeCell ref="A390:B390"/>
    <mergeCell ref="A383:B383"/>
    <mergeCell ref="A384:B384"/>
    <mergeCell ref="A378:H378"/>
    <mergeCell ref="A379:B379"/>
    <mergeCell ref="G379:H384"/>
    <mergeCell ref="A380:B380"/>
    <mergeCell ref="A381:B381"/>
    <mergeCell ref="A382:B382"/>
    <mergeCell ref="A358:H358"/>
    <mergeCell ref="A359:B359"/>
    <mergeCell ref="G359:H364"/>
    <mergeCell ref="A360:B360"/>
    <mergeCell ref="A361:B361"/>
    <mergeCell ref="A362:B362"/>
    <mergeCell ref="A363:B363"/>
    <mergeCell ref="A364:B364"/>
    <mergeCell ref="A365:H365"/>
    <mergeCell ref="A372:B372"/>
    <mergeCell ref="G372:H377"/>
    <mergeCell ref="A373:B373"/>
    <mergeCell ref="A374:B374"/>
    <mergeCell ref="A375:B375"/>
    <mergeCell ref="A376:B376"/>
    <mergeCell ref="A351:H351"/>
    <mergeCell ref="A352:B352"/>
    <mergeCell ref="G352:H357"/>
    <mergeCell ref="A353:B353"/>
    <mergeCell ref="A354:B354"/>
    <mergeCell ref="A355:B355"/>
    <mergeCell ref="C355:F355"/>
    <mergeCell ref="A356:B356"/>
    <mergeCell ref="A357:B357"/>
    <mergeCell ref="A252:B252"/>
    <mergeCell ref="A253:B253"/>
    <mergeCell ref="A254:B254"/>
    <mergeCell ref="G251:H254"/>
    <mergeCell ref="A257:B257"/>
    <mergeCell ref="A347:B347"/>
    <mergeCell ref="A348:B348"/>
    <mergeCell ref="A349:B349"/>
    <mergeCell ref="A350:B350"/>
    <mergeCell ref="A274:H274"/>
    <mergeCell ref="A275:B275"/>
    <mergeCell ref="A276:B276"/>
    <mergeCell ref="A277:B277"/>
    <mergeCell ref="C277:F277"/>
    <mergeCell ref="A278:B278"/>
    <mergeCell ref="A258:B258"/>
    <mergeCell ref="A259:B259"/>
    <mergeCell ref="C259:F259"/>
    <mergeCell ref="A260:B260"/>
    <mergeCell ref="A268:H268"/>
    <mergeCell ref="A269:B269"/>
    <mergeCell ref="G269:H273"/>
    <mergeCell ref="A264:B264"/>
    <mergeCell ref="A270:B270"/>
    <mergeCell ref="A215:H215"/>
    <mergeCell ref="A216:B216"/>
    <mergeCell ref="G216:H221"/>
    <mergeCell ref="A217:B217"/>
    <mergeCell ref="A218:B218"/>
    <mergeCell ref="A219:B219"/>
    <mergeCell ref="A220:B220"/>
    <mergeCell ref="A221:B221"/>
    <mergeCell ref="A213:B213"/>
    <mergeCell ref="A214:B214"/>
    <mergeCell ref="G210:H214"/>
    <mergeCell ref="C444:F444"/>
    <mergeCell ref="A177:B177"/>
    <mergeCell ref="A178:B178"/>
    <mergeCell ref="A179:B179"/>
    <mergeCell ref="C179:F179"/>
    <mergeCell ref="A180:B180"/>
    <mergeCell ref="A181:B181"/>
    <mergeCell ref="A189:H189"/>
    <mergeCell ref="A190:B190"/>
    <mergeCell ref="G190:H195"/>
    <mergeCell ref="A191:B191"/>
    <mergeCell ref="A192:B192"/>
    <mergeCell ref="A193:B193"/>
    <mergeCell ref="A194:B194"/>
    <mergeCell ref="A195:B195"/>
    <mergeCell ref="A182:H182"/>
    <mergeCell ref="A183:B183"/>
    <mergeCell ref="G183:H188"/>
    <mergeCell ref="A184:B184"/>
    <mergeCell ref="A185:B185"/>
    <mergeCell ref="A186:B186"/>
    <mergeCell ref="A187:B187"/>
    <mergeCell ref="A188:B188"/>
    <mergeCell ref="A203:H203"/>
    <mergeCell ref="A434:H434"/>
    <mergeCell ref="A430:B430"/>
    <mergeCell ref="A431:B431"/>
    <mergeCell ref="A432:B432"/>
    <mergeCell ref="A435:B435"/>
    <mergeCell ref="G435:H440"/>
    <mergeCell ref="A436:B436"/>
    <mergeCell ref="A448:B448"/>
    <mergeCell ref="G448:H452"/>
    <mergeCell ref="A449:B449"/>
    <mergeCell ref="C449:F449"/>
    <mergeCell ref="A450:B450"/>
    <mergeCell ref="C450:F450"/>
    <mergeCell ref="A451:B451"/>
    <mergeCell ref="A452:B452"/>
    <mergeCell ref="C452:F452"/>
    <mergeCell ref="A437:B437"/>
    <mergeCell ref="A438:B438"/>
    <mergeCell ref="C438:F438"/>
    <mergeCell ref="A440:B440"/>
    <mergeCell ref="C437:F437"/>
    <mergeCell ref="C440:F440"/>
    <mergeCell ref="A447:H447"/>
    <mergeCell ref="A439:B439"/>
    <mergeCell ref="A427:H427"/>
    <mergeCell ref="A428:B428"/>
    <mergeCell ref="G428:H433"/>
    <mergeCell ref="A429:B429"/>
    <mergeCell ref="A433:B433"/>
    <mergeCell ref="A421:H421"/>
    <mergeCell ref="A422:B422"/>
    <mergeCell ref="A423:B423"/>
    <mergeCell ref="A424:B424"/>
    <mergeCell ref="A425:B425"/>
    <mergeCell ref="G422:H426"/>
    <mergeCell ref="A426:B426"/>
    <mergeCell ref="C422:F422"/>
    <mergeCell ref="A222:H222"/>
    <mergeCell ref="A223:B223"/>
    <mergeCell ref="G223:H228"/>
    <mergeCell ref="A224:B224"/>
    <mergeCell ref="A225:B225"/>
    <mergeCell ref="A226:B226"/>
    <mergeCell ref="A227:B227"/>
    <mergeCell ref="A228:B228"/>
    <mergeCell ref="A229:H229"/>
    <mergeCell ref="A393:B393"/>
    <mergeCell ref="G392:H396"/>
    <mergeCell ref="A410:H410"/>
    <mergeCell ref="A400:B400"/>
    <mergeCell ref="A406:B406"/>
    <mergeCell ref="A255:H255"/>
    <mergeCell ref="A256:B256"/>
    <mergeCell ref="A230:B230"/>
    <mergeCell ref="G230:H235"/>
    <mergeCell ref="A231:B231"/>
    <mergeCell ref="A232:B232"/>
    <mergeCell ref="A236:H236"/>
    <mergeCell ref="A237:B237"/>
    <mergeCell ref="A239:B239"/>
    <mergeCell ref="A233:B233"/>
    <mergeCell ref="C233:F233"/>
    <mergeCell ref="A234:B234"/>
    <mergeCell ref="A235:B235"/>
    <mergeCell ref="A238:B238"/>
    <mergeCell ref="G237:H242"/>
    <mergeCell ref="A250:H250"/>
    <mergeCell ref="A261:B261"/>
    <mergeCell ref="G256:H261"/>
    <mergeCell ref="A251:B251"/>
    <mergeCell ref="A156:B156"/>
    <mergeCell ref="G156:H160"/>
    <mergeCell ref="G149:H154"/>
    <mergeCell ref="A153:B153"/>
    <mergeCell ref="A154:B154"/>
    <mergeCell ref="A159:B159"/>
    <mergeCell ref="A160:B160"/>
    <mergeCell ref="A441:H441"/>
    <mergeCell ref="A442:B442"/>
    <mergeCell ref="G442:H446"/>
    <mergeCell ref="A443:B443"/>
    <mergeCell ref="A444:B444"/>
    <mergeCell ref="A445:B445"/>
    <mergeCell ref="A446:B446"/>
    <mergeCell ref="A240:B240"/>
    <mergeCell ref="A241:B241"/>
    <mergeCell ref="A242:B242"/>
    <mergeCell ref="A243:H243"/>
    <mergeCell ref="A244:B244"/>
    <mergeCell ref="A391:H391"/>
    <mergeCell ref="A394:B394"/>
    <mergeCell ref="A395:B395"/>
    <mergeCell ref="A396:B396"/>
    <mergeCell ref="A392:B392"/>
    <mergeCell ref="B464:H464"/>
    <mergeCell ref="A133:B133"/>
    <mergeCell ref="A134:B134"/>
    <mergeCell ref="A135:H135"/>
    <mergeCell ref="A139:B139"/>
    <mergeCell ref="A140:B140"/>
    <mergeCell ref="A141:H141"/>
    <mergeCell ref="A145:B145"/>
    <mergeCell ref="A146:B146"/>
    <mergeCell ref="C145:F145"/>
    <mergeCell ref="A147:B147"/>
    <mergeCell ref="A148:H148"/>
    <mergeCell ref="A152:B152"/>
    <mergeCell ref="A142:B142"/>
    <mergeCell ref="C142:F142"/>
    <mergeCell ref="A143:B143"/>
    <mergeCell ref="C143:F143"/>
    <mergeCell ref="A144:B144"/>
    <mergeCell ref="C144:F144"/>
    <mergeCell ref="A170:B170"/>
    <mergeCell ref="A171:B171"/>
    <mergeCell ref="C150:F150"/>
    <mergeCell ref="A151:B151"/>
    <mergeCell ref="C151:F151"/>
    <mergeCell ref="A155:H155"/>
    <mergeCell ref="L135:M135"/>
    <mergeCell ref="L141:M141"/>
    <mergeCell ref="A138:B138"/>
    <mergeCell ref="C138:F138"/>
    <mergeCell ref="C113:D113"/>
    <mergeCell ref="E113:F113"/>
    <mergeCell ref="G113:H113"/>
    <mergeCell ref="A118:H118"/>
    <mergeCell ref="A121:H121"/>
    <mergeCell ref="A122:H122"/>
    <mergeCell ref="C124:F124"/>
    <mergeCell ref="C125:F125"/>
    <mergeCell ref="C126:F126"/>
    <mergeCell ref="A113:B113"/>
    <mergeCell ref="A136:B136"/>
    <mergeCell ref="C136:F136"/>
    <mergeCell ref="A137:B137"/>
    <mergeCell ref="C137:F137"/>
    <mergeCell ref="L148:M148"/>
    <mergeCell ref="A149:B149"/>
    <mergeCell ref="C149:F149"/>
    <mergeCell ref="A150:B150"/>
    <mergeCell ref="L155:M155"/>
    <mergeCell ref="E39:H39"/>
    <mergeCell ref="A39:D39"/>
    <mergeCell ref="A46:B46"/>
    <mergeCell ref="C46:E46"/>
    <mergeCell ref="G46:H46"/>
    <mergeCell ref="G49:H49"/>
    <mergeCell ref="D55:H55"/>
    <mergeCell ref="C49:E49"/>
    <mergeCell ref="L129:M129"/>
    <mergeCell ref="F98:H98"/>
    <mergeCell ref="A103:E103"/>
    <mergeCell ref="A98:E98"/>
    <mergeCell ref="A43:D43"/>
    <mergeCell ref="A44:H44"/>
    <mergeCell ref="D57:H57"/>
    <mergeCell ref="A57:C57"/>
    <mergeCell ref="G47:H47"/>
    <mergeCell ref="A49:B50"/>
    <mergeCell ref="A47:B47"/>
    <mergeCell ref="A54:H54"/>
    <mergeCell ref="A55:C55"/>
    <mergeCell ref="A56:C56"/>
    <mergeCell ref="D56:H56"/>
    <mergeCell ref="G53:H53"/>
    <mergeCell ref="C50:H50"/>
    <mergeCell ref="A65:C65"/>
    <mergeCell ref="D65:H65"/>
    <mergeCell ref="A71:B71"/>
    <mergeCell ref="G70:H70"/>
    <mergeCell ref="A69:B69"/>
    <mergeCell ref="L123:M123"/>
    <mergeCell ref="C111:D111"/>
    <mergeCell ref="E111:F111"/>
    <mergeCell ref="G111:H111"/>
    <mergeCell ref="F103:H103"/>
    <mergeCell ref="F106:H106"/>
    <mergeCell ref="F104:H104"/>
    <mergeCell ref="A105:E105"/>
    <mergeCell ref="F99:H99"/>
    <mergeCell ref="F105:H105"/>
    <mergeCell ref="A106:E106"/>
    <mergeCell ref="A101:E101"/>
    <mergeCell ref="F101:H101"/>
    <mergeCell ref="A102:E102"/>
    <mergeCell ref="A104:E104"/>
    <mergeCell ref="A112:B112"/>
    <mergeCell ref="C112:D112"/>
    <mergeCell ref="E112:F112"/>
    <mergeCell ref="G112:H112"/>
    <mergeCell ref="A34:H34"/>
    <mergeCell ref="A33:B33"/>
    <mergeCell ref="C33:E33"/>
    <mergeCell ref="F30:H30"/>
    <mergeCell ref="F31:H31"/>
    <mergeCell ref="A37:H37"/>
    <mergeCell ref="A60:C60"/>
    <mergeCell ref="A61:C61"/>
    <mergeCell ref="D60:H60"/>
    <mergeCell ref="D61:H61"/>
    <mergeCell ref="A40:D40"/>
    <mergeCell ref="E40:H40"/>
    <mergeCell ref="E41:H41"/>
    <mergeCell ref="E42:H42"/>
    <mergeCell ref="E43:H43"/>
    <mergeCell ref="A45:B45"/>
    <mergeCell ref="C45:H45"/>
    <mergeCell ref="F33:H33"/>
    <mergeCell ref="A35:B35"/>
    <mergeCell ref="A41:D41"/>
    <mergeCell ref="C53:E53"/>
    <mergeCell ref="A38:D38"/>
    <mergeCell ref="E38:H38"/>
    <mergeCell ref="A42:D42"/>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C29:E29"/>
    <mergeCell ref="F32:H32"/>
    <mergeCell ref="F29:H29"/>
    <mergeCell ref="A30:B30"/>
    <mergeCell ref="A29:B29"/>
    <mergeCell ref="C30:E30"/>
    <mergeCell ref="A31:B31"/>
    <mergeCell ref="C31:E31"/>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H1"/>
    <mergeCell ref="A2:H2"/>
    <mergeCell ref="A3:D3"/>
    <mergeCell ref="E3:H3"/>
    <mergeCell ref="A4:D4"/>
    <mergeCell ref="A8:D8"/>
    <mergeCell ref="E8:H8"/>
    <mergeCell ref="A9:D9"/>
    <mergeCell ref="E9:H9"/>
    <mergeCell ref="E4:H4"/>
    <mergeCell ref="A487:H490"/>
    <mergeCell ref="A486:B486"/>
    <mergeCell ref="E486:F486"/>
    <mergeCell ref="C486:D486"/>
    <mergeCell ref="G486:H486"/>
    <mergeCell ref="A107:E107"/>
    <mergeCell ref="F107:H107"/>
    <mergeCell ref="A108:E108"/>
    <mergeCell ref="F108:H108"/>
    <mergeCell ref="A123:H123"/>
    <mergeCell ref="A111:B111"/>
    <mergeCell ref="A482:H482"/>
    <mergeCell ref="A109:H109"/>
    <mergeCell ref="A485:H485"/>
    <mergeCell ref="A483:H483"/>
    <mergeCell ref="A463:H463"/>
    <mergeCell ref="A129:H129"/>
    <mergeCell ref="A116:A117"/>
    <mergeCell ref="A128:B128"/>
    <mergeCell ref="A125:B125"/>
    <mergeCell ref="A126:B126"/>
    <mergeCell ref="A127:B127"/>
    <mergeCell ref="B116:B117"/>
    <mergeCell ref="A120:H120"/>
    <mergeCell ref="B468:H468"/>
    <mergeCell ref="A157:B157"/>
    <mergeCell ref="B473:H473"/>
    <mergeCell ref="A172:B172"/>
    <mergeCell ref="A480:H480"/>
    <mergeCell ref="E110:F110"/>
    <mergeCell ref="A114:H114"/>
    <mergeCell ref="A169:B169"/>
    <mergeCell ref="G124:H128"/>
    <mergeCell ref="G130:H134"/>
    <mergeCell ref="G136:H140"/>
    <mergeCell ref="G142:H147"/>
    <mergeCell ref="G169:H174"/>
    <mergeCell ref="A161:H161"/>
    <mergeCell ref="A164:B164"/>
    <mergeCell ref="A165:B165"/>
    <mergeCell ref="A166:B166"/>
    <mergeCell ref="A167:B167"/>
    <mergeCell ref="A162:B162"/>
    <mergeCell ref="A163:B163"/>
    <mergeCell ref="G162:H167"/>
    <mergeCell ref="A115:H115"/>
    <mergeCell ref="C116:C117"/>
    <mergeCell ref="B471:H471"/>
    <mergeCell ref="B472:H472"/>
    <mergeCell ref="A119:H119"/>
    <mergeCell ref="A130:B130"/>
    <mergeCell ref="C130:F130"/>
    <mergeCell ref="A131:B131"/>
    <mergeCell ref="C131:F131"/>
    <mergeCell ref="A132:B132"/>
    <mergeCell ref="C132:F132"/>
    <mergeCell ref="A168:H168"/>
    <mergeCell ref="A173:B173"/>
    <mergeCell ref="A174:B174"/>
    <mergeCell ref="B470:H470"/>
    <mergeCell ref="B469:H469"/>
    <mergeCell ref="A209:H209"/>
    <mergeCell ref="A210:B210"/>
    <mergeCell ref="C157:F157"/>
    <mergeCell ref="A158:B158"/>
    <mergeCell ref="A246:B246"/>
    <mergeCell ref="A247:B247"/>
    <mergeCell ref="A248:B248"/>
    <mergeCell ref="A249:B249"/>
    <mergeCell ref="C249:F249"/>
    <mergeCell ref="G244:H249"/>
    <mergeCell ref="A197:B197"/>
    <mergeCell ref="A479:H479"/>
    <mergeCell ref="E70:F70"/>
    <mergeCell ref="A63:C63"/>
    <mergeCell ref="D63:H63"/>
    <mergeCell ref="A66:C66"/>
    <mergeCell ref="D66:H66"/>
    <mergeCell ref="A64:C64"/>
    <mergeCell ref="D64:H64"/>
    <mergeCell ref="A78:B78"/>
    <mergeCell ref="F102:H102"/>
    <mergeCell ref="A96:E96"/>
    <mergeCell ref="F97:H97"/>
    <mergeCell ref="A97:E97"/>
    <mergeCell ref="A99:E99"/>
    <mergeCell ref="A100:E100"/>
    <mergeCell ref="F100:H100"/>
    <mergeCell ref="A91:B91"/>
    <mergeCell ref="A92:B92"/>
    <mergeCell ref="A93:B93"/>
    <mergeCell ref="A94:B94"/>
    <mergeCell ref="A175:H175"/>
    <mergeCell ref="A176:B176"/>
    <mergeCell ref="G176:H181"/>
    <mergeCell ref="A245:B245"/>
    <mergeCell ref="A484:H484"/>
    <mergeCell ref="A481:H481"/>
    <mergeCell ref="A124:B124"/>
    <mergeCell ref="A110:B110"/>
    <mergeCell ref="D116:D117"/>
    <mergeCell ref="E116:E117"/>
    <mergeCell ref="G116:H117"/>
    <mergeCell ref="A76:B76"/>
    <mergeCell ref="F96:H96"/>
    <mergeCell ref="A95:H95"/>
    <mergeCell ref="C110:D110"/>
    <mergeCell ref="G110:H110"/>
    <mergeCell ref="B474:H474"/>
    <mergeCell ref="A84:B84"/>
    <mergeCell ref="E84:F84"/>
    <mergeCell ref="G84:H84"/>
    <mergeCell ref="A85:B85"/>
    <mergeCell ref="E85:F94"/>
    <mergeCell ref="G85:H94"/>
    <mergeCell ref="A86:B86"/>
    <mergeCell ref="A87:B87"/>
    <mergeCell ref="A88:B88"/>
    <mergeCell ref="A89:B89"/>
    <mergeCell ref="A90:B90"/>
    <mergeCell ref="D58:H58"/>
    <mergeCell ref="C47:E47"/>
    <mergeCell ref="A53:B53"/>
    <mergeCell ref="D59:H59"/>
    <mergeCell ref="A58:C59"/>
    <mergeCell ref="A81:B81"/>
    <mergeCell ref="C81:H81"/>
    <mergeCell ref="A83:B83"/>
    <mergeCell ref="C83:H83"/>
    <mergeCell ref="A67:B67"/>
    <mergeCell ref="C67:H67"/>
    <mergeCell ref="A75:B75"/>
    <mergeCell ref="A62:C62"/>
    <mergeCell ref="D62:H62"/>
    <mergeCell ref="C69:H69"/>
    <mergeCell ref="A72:B72"/>
    <mergeCell ref="A74:B74"/>
    <mergeCell ref="E71:F80"/>
    <mergeCell ref="G71:H80"/>
    <mergeCell ref="A79:B79"/>
    <mergeCell ref="A80:B80"/>
    <mergeCell ref="A77:B77"/>
    <mergeCell ref="A70:B70"/>
    <mergeCell ref="A73:B73"/>
    <mergeCell ref="A196:H196"/>
    <mergeCell ref="A199:B199"/>
    <mergeCell ref="A200:B200"/>
    <mergeCell ref="A201:B201"/>
    <mergeCell ref="A202:B202"/>
    <mergeCell ref="C200:F200"/>
    <mergeCell ref="G197:H202"/>
    <mergeCell ref="A211:B211"/>
    <mergeCell ref="A212:B212"/>
    <mergeCell ref="A198:B198"/>
    <mergeCell ref="A204:B204"/>
    <mergeCell ref="G204:H208"/>
    <mergeCell ref="A205:B205"/>
    <mergeCell ref="A206:B206"/>
    <mergeCell ref="A207:B207"/>
    <mergeCell ref="A208:B208"/>
    <mergeCell ref="A271:B271"/>
    <mergeCell ref="A272:B272"/>
    <mergeCell ref="A273:B273"/>
    <mergeCell ref="A262:H262"/>
    <mergeCell ref="A263:B263"/>
    <mergeCell ref="G263:H267"/>
    <mergeCell ref="A265:B265"/>
    <mergeCell ref="A266:B266"/>
    <mergeCell ref="A267:B267"/>
    <mergeCell ref="C287:F287"/>
    <mergeCell ref="C288:F288"/>
    <mergeCell ref="C289:F289"/>
    <mergeCell ref="A295:H295"/>
    <mergeCell ref="A279:B279"/>
    <mergeCell ref="G275:H279"/>
    <mergeCell ref="A280:H280"/>
    <mergeCell ref="A281:B281"/>
    <mergeCell ref="G281:H284"/>
    <mergeCell ref="A282:B282"/>
    <mergeCell ref="A283:B283"/>
    <mergeCell ref="A284:B284"/>
    <mergeCell ref="A285:H285"/>
    <mergeCell ref="A287:B287"/>
    <mergeCell ref="A289:B289"/>
    <mergeCell ref="A303:B303"/>
    <mergeCell ref="C303:F303"/>
    <mergeCell ref="A304:B304"/>
    <mergeCell ref="C304:F304"/>
    <mergeCell ref="A305:B305"/>
    <mergeCell ref="A306:B306"/>
    <mergeCell ref="A307:H307"/>
    <mergeCell ref="G302:H306"/>
    <mergeCell ref="L295:M295"/>
    <mergeCell ref="A296:B296"/>
    <mergeCell ref="C296:F296"/>
    <mergeCell ref="A297:B297"/>
    <mergeCell ref="C297:F297"/>
    <mergeCell ref="A298:B298"/>
    <mergeCell ref="C298:F298"/>
    <mergeCell ref="A299:B299"/>
    <mergeCell ref="A300:B300"/>
    <mergeCell ref="G296:H300"/>
    <mergeCell ref="A301:H301"/>
    <mergeCell ref="L301:M301"/>
    <mergeCell ref="A302:B302"/>
    <mergeCell ref="C302:F302"/>
    <mergeCell ref="G332:H337"/>
    <mergeCell ref="A333:B333"/>
    <mergeCell ref="A334:B334"/>
    <mergeCell ref="A335:B335"/>
    <mergeCell ref="A336:B336"/>
    <mergeCell ref="A337:B337"/>
    <mergeCell ref="L319:M319"/>
    <mergeCell ref="A319:H319"/>
    <mergeCell ref="L325:M325"/>
    <mergeCell ref="A326:B326"/>
    <mergeCell ref="G326:H330"/>
    <mergeCell ref="A327:B327"/>
    <mergeCell ref="A328:B328"/>
    <mergeCell ref="A329:B329"/>
    <mergeCell ref="A330:B330"/>
    <mergeCell ref="A331:H331"/>
    <mergeCell ref="A322:B322"/>
    <mergeCell ref="L313:M313"/>
    <mergeCell ref="A314:B314"/>
    <mergeCell ref="C314:F314"/>
    <mergeCell ref="A315:B315"/>
    <mergeCell ref="C315:F315"/>
    <mergeCell ref="G314:H318"/>
    <mergeCell ref="A316:B316"/>
    <mergeCell ref="L307:M307"/>
    <mergeCell ref="A308:B308"/>
    <mergeCell ref="C308:F308"/>
    <mergeCell ref="A313:H313"/>
    <mergeCell ref="A48:B48"/>
    <mergeCell ref="C48:E48"/>
    <mergeCell ref="G48:H48"/>
    <mergeCell ref="A338:H338"/>
    <mergeCell ref="A339:B339"/>
    <mergeCell ref="G339:H344"/>
    <mergeCell ref="A340:B340"/>
    <mergeCell ref="A342:B342"/>
    <mergeCell ref="A343:B343"/>
    <mergeCell ref="A344:B344"/>
    <mergeCell ref="A325:H325"/>
    <mergeCell ref="A317:B317"/>
    <mergeCell ref="A341:B341"/>
    <mergeCell ref="C317:F317"/>
    <mergeCell ref="A318:B318"/>
    <mergeCell ref="A320:B320"/>
    <mergeCell ref="C320:F320"/>
    <mergeCell ref="G320:H324"/>
    <mergeCell ref="A321:B321"/>
    <mergeCell ref="C321:F321"/>
    <mergeCell ref="A323:B323"/>
    <mergeCell ref="A286:B286"/>
    <mergeCell ref="G286:H289"/>
    <mergeCell ref="A324:B324"/>
    <mergeCell ref="A51:B52"/>
    <mergeCell ref="C51:E51"/>
    <mergeCell ref="G51:H51"/>
    <mergeCell ref="C52:H52"/>
    <mergeCell ref="A377:B377"/>
    <mergeCell ref="C375:F375"/>
    <mergeCell ref="A309:B309"/>
    <mergeCell ref="C309:F309"/>
    <mergeCell ref="A310:B310"/>
    <mergeCell ref="C310:F310"/>
    <mergeCell ref="A311:B311"/>
    <mergeCell ref="A312:B312"/>
    <mergeCell ref="G308:H312"/>
    <mergeCell ref="A290:H290"/>
    <mergeCell ref="A291:H291"/>
    <mergeCell ref="A292:H292"/>
    <mergeCell ref="A293:H293"/>
    <mergeCell ref="A294:H294"/>
    <mergeCell ref="A371:H371"/>
    <mergeCell ref="A345:H345"/>
    <mergeCell ref="A346:B346"/>
    <mergeCell ref="G346:H350"/>
    <mergeCell ref="A288:B288"/>
    <mergeCell ref="A332:B332"/>
    <mergeCell ref="C35:H35"/>
    <mergeCell ref="B477:H477"/>
    <mergeCell ref="B476:H476"/>
    <mergeCell ref="A36:B36"/>
    <mergeCell ref="C36:H36"/>
    <mergeCell ref="B475:H475"/>
    <mergeCell ref="A453:H453"/>
    <mergeCell ref="A454:B454"/>
    <mergeCell ref="G454:H457"/>
    <mergeCell ref="A455:B455"/>
    <mergeCell ref="A456:B456"/>
    <mergeCell ref="A457:B457"/>
    <mergeCell ref="A458:H458"/>
    <mergeCell ref="A459:B459"/>
    <mergeCell ref="G459:H462"/>
    <mergeCell ref="A460:B460"/>
    <mergeCell ref="C460:F460"/>
    <mergeCell ref="A461:B461"/>
    <mergeCell ref="C461:F461"/>
    <mergeCell ref="A462:B462"/>
    <mergeCell ref="C462:F462"/>
    <mergeCell ref="B465:H465"/>
    <mergeCell ref="B466:H466"/>
    <mergeCell ref="B467:H467"/>
  </mergeCells>
  <hyperlinks>
    <hyperlink ref="C36" r:id="rId1"/>
  </hyperlinks>
  <printOptions horizontalCentered="1"/>
  <pageMargins left="0.39370078740157483" right="0.39370078740157483" top="0.98425196850393704" bottom="0.59055118110236227" header="0.19685039370078741" footer="0.19685039370078741"/>
  <pageSetup paperSize="2" orientation="portrait" r:id="rId2"/>
  <headerFooter>
    <oddHeader>&amp;C&amp;G</oddHeader>
    <oddFooter>&amp;L&amp;"Times New Roman,Bold"&amp;12Ref No: &amp;F&amp;C&amp;G&amp;R&amp;"Times New Roman,Bold"&amp;12&amp;P</oddFooter>
  </headerFooter>
  <rowBreaks count="2" manualBreakCount="2">
    <brk id="490" max="16383" man="1"/>
    <brk id="5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5" zoomScale="85" zoomScaleNormal="85" workbookViewId="0">
      <selection activeCell="H39" sqref="H39"/>
    </sheetView>
  </sheetViews>
  <sheetFormatPr defaultColWidth="8.7265625" defaultRowHeight="14.5" x14ac:dyDescent="0.35"/>
  <cols>
    <col min="1" max="1" width="8.7265625" style="11"/>
    <col min="2" max="2" width="22.26953125" style="11" customWidth="1"/>
    <col min="3" max="3" width="37" style="11" customWidth="1"/>
    <col min="4" max="5" width="11.453125" style="11" customWidth="1"/>
    <col min="6" max="6" width="14" style="11" customWidth="1"/>
    <col min="7" max="7" width="20" style="11" customWidth="1"/>
    <col min="8" max="8" width="16.453125" style="11" customWidth="1"/>
    <col min="9" max="16384" width="8.7265625" style="11"/>
  </cols>
  <sheetData>
    <row r="1" spans="1:9" ht="15" customHeight="1" x14ac:dyDescent="0.35">
      <c r="A1" s="10"/>
      <c r="B1" s="10"/>
      <c r="C1" s="10"/>
      <c r="D1" s="10"/>
      <c r="E1" s="10"/>
      <c r="F1" s="10"/>
      <c r="G1" s="10"/>
      <c r="H1" s="10"/>
    </row>
    <row r="2" spans="1:9" ht="15" customHeight="1" x14ac:dyDescent="0.35">
      <c r="A2" s="12"/>
      <c r="B2" s="12"/>
      <c r="C2" s="12"/>
      <c r="D2" s="12"/>
      <c r="E2" s="12"/>
      <c r="F2" s="12"/>
      <c r="G2" s="12"/>
      <c r="H2" s="12"/>
    </row>
    <row r="3" spans="1:9" ht="15.75" customHeight="1" x14ac:dyDescent="0.35">
      <c r="A3" s="12"/>
      <c r="B3" s="197" t="s">
        <v>113</v>
      </c>
      <c r="C3" s="197"/>
      <c r="D3" s="197"/>
      <c r="E3" s="197"/>
      <c r="F3" s="197"/>
      <c r="G3" s="197"/>
      <c r="H3" s="197"/>
    </row>
    <row r="4" spans="1:9" x14ac:dyDescent="0.35">
      <c r="A4" s="12"/>
      <c r="B4" s="13" t="s">
        <v>114</v>
      </c>
      <c r="C4" s="13" t="s">
        <v>115</v>
      </c>
      <c r="D4" s="13" t="s">
        <v>73</v>
      </c>
      <c r="E4" s="13" t="s">
        <v>116</v>
      </c>
      <c r="F4" s="13" t="s">
        <v>122</v>
      </c>
      <c r="G4" s="13" t="s">
        <v>123</v>
      </c>
      <c r="H4" s="13" t="s">
        <v>117</v>
      </c>
    </row>
    <row r="5" spans="1:9" ht="15" customHeight="1" x14ac:dyDescent="0.35">
      <c r="A5" s="12"/>
      <c r="B5" s="15" t="s">
        <v>118</v>
      </c>
      <c r="C5" s="16"/>
      <c r="D5" s="47" t="s">
        <v>240</v>
      </c>
      <c r="E5" s="15">
        <v>1082</v>
      </c>
      <c r="F5" s="17">
        <f>E5*1.5</f>
        <v>1623</v>
      </c>
      <c r="G5" s="17">
        <f>H5/F5</f>
        <v>14294.516327788047</v>
      </c>
      <c r="H5" s="18">
        <v>23200000</v>
      </c>
    </row>
    <row r="6" spans="1:9" x14ac:dyDescent="0.35">
      <c r="A6" s="12"/>
      <c r="B6" s="15" t="s">
        <v>118</v>
      </c>
      <c r="C6" s="19"/>
      <c r="D6" s="47" t="s">
        <v>241</v>
      </c>
      <c r="E6" s="15">
        <v>1345</v>
      </c>
      <c r="F6" s="17">
        <f>E6*1.5</f>
        <v>2017.5</v>
      </c>
      <c r="G6" s="17">
        <f t="shared" ref="G6:G11" si="0">H6/F6</f>
        <v>16852.54027261462</v>
      </c>
      <c r="H6" s="18">
        <v>34000000</v>
      </c>
    </row>
    <row r="7" spans="1:9" ht="15" customHeight="1" x14ac:dyDescent="0.35">
      <c r="A7" s="12"/>
      <c r="B7" s="15" t="s">
        <v>118</v>
      </c>
      <c r="C7" s="16"/>
      <c r="D7" s="15"/>
      <c r="E7" s="15"/>
      <c r="F7" s="17">
        <f>E7*1.6</f>
        <v>0</v>
      </c>
      <c r="G7" s="17" t="e">
        <f t="shared" si="0"/>
        <v>#DIV/0!</v>
      </c>
      <c r="H7" s="18"/>
    </row>
    <row r="8" spans="1:9" x14ac:dyDescent="0.35">
      <c r="A8" s="12"/>
      <c r="B8" s="15" t="s">
        <v>118</v>
      </c>
      <c r="C8" s="19"/>
      <c r="D8" s="15"/>
      <c r="E8" s="15"/>
      <c r="F8" s="17">
        <f>E8*1.6</f>
        <v>0</v>
      </c>
      <c r="G8" s="17" t="e">
        <f t="shared" si="0"/>
        <v>#DIV/0!</v>
      </c>
      <c r="H8" s="18"/>
    </row>
    <row r="9" spans="1:9" ht="15" customHeight="1" x14ac:dyDescent="0.35">
      <c r="A9" s="12"/>
      <c r="B9" s="15" t="s">
        <v>118</v>
      </c>
      <c r="C9" s="19"/>
      <c r="D9" s="15"/>
      <c r="E9" s="15"/>
      <c r="F9" s="17">
        <f>E9*1.6</f>
        <v>0</v>
      </c>
      <c r="G9" s="17" t="e">
        <f t="shared" si="0"/>
        <v>#DIV/0!</v>
      </c>
      <c r="H9" s="18"/>
    </row>
    <row r="10" spans="1:9" ht="15" customHeight="1" x14ac:dyDescent="0.35">
      <c r="A10" s="12"/>
      <c r="B10" s="15" t="s">
        <v>119</v>
      </c>
      <c r="C10" s="16"/>
      <c r="D10" s="15"/>
      <c r="E10" s="15"/>
      <c r="F10" s="17">
        <f>E10*1.6</f>
        <v>0</v>
      </c>
      <c r="G10" s="17" t="e">
        <f t="shared" si="0"/>
        <v>#DIV/0!</v>
      </c>
      <c r="H10" s="18"/>
    </row>
    <row r="11" spans="1:9" ht="15" customHeight="1" x14ac:dyDescent="0.35">
      <c r="A11" s="12"/>
      <c r="B11" s="15" t="s">
        <v>119</v>
      </c>
      <c r="C11" s="16"/>
      <c r="D11" s="15"/>
      <c r="E11" s="15"/>
      <c r="F11" s="17">
        <f>E11*1.6</f>
        <v>0</v>
      </c>
      <c r="G11" s="17" t="e">
        <f t="shared" si="0"/>
        <v>#DIV/0!</v>
      </c>
      <c r="H11" s="18"/>
    </row>
    <row r="12" spans="1:9" ht="15" customHeight="1" x14ac:dyDescent="0.35">
      <c r="A12" s="12"/>
      <c r="B12" s="20" t="s">
        <v>120</v>
      </c>
      <c r="C12" s="15"/>
      <c r="D12" s="15"/>
      <c r="E12" s="15"/>
      <c r="F12" s="15"/>
      <c r="G12" s="21" t="e">
        <f>AVERAGE(G5:G11)</f>
        <v>#DIV/0!</v>
      </c>
      <c r="H12" s="15"/>
    </row>
    <row r="13" spans="1:9" ht="15" customHeight="1" x14ac:dyDescent="0.35">
      <c r="A13" s="10"/>
      <c r="B13" s="20" t="s">
        <v>121</v>
      </c>
      <c r="C13" s="22"/>
      <c r="D13" s="22"/>
      <c r="E13" s="22"/>
      <c r="F13" s="23"/>
      <c r="G13" s="20"/>
      <c r="H13" s="20"/>
      <c r="I13" s="14"/>
    </row>
    <row r="14" spans="1:9" ht="15" customHeight="1" x14ac:dyDescent="0.35">
      <c r="B14" s="10"/>
      <c r="C14" s="10"/>
      <c r="D14" s="10"/>
      <c r="E14" s="10"/>
    </row>
    <row r="15" spans="1:9" ht="15" customHeight="1" x14ac:dyDescent="0.35">
      <c r="B15" s="10"/>
      <c r="C15" s="10"/>
      <c r="D15" s="10"/>
      <c r="E15" s="10"/>
    </row>
    <row r="16" spans="1:9" ht="15" customHeight="1" x14ac:dyDescent="0.35">
      <c r="B16" s="10"/>
      <c r="C16" s="10"/>
      <c r="D16" s="10"/>
      <c r="E16" s="10"/>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M7"/>
  <sheetViews>
    <sheetView zoomScale="70" zoomScaleNormal="70" workbookViewId="0">
      <selection activeCell="M2" sqref="M2:M7"/>
    </sheetView>
  </sheetViews>
  <sheetFormatPr defaultRowHeight="14.5" x14ac:dyDescent="0.35"/>
  <cols>
    <col min="3" max="3" width="61.453125" customWidth="1"/>
    <col min="13" max="13" width="29.7265625" customWidth="1"/>
  </cols>
  <sheetData>
    <row r="2" spans="1:13" x14ac:dyDescent="0.35">
      <c r="A2">
        <v>1</v>
      </c>
      <c r="C2" t="str">
        <f t="shared" ref="C2:C7" si="0">(500+A2)&amp;",…., "&amp;(2900+A2)</f>
        <v>501,…., 2901</v>
      </c>
      <c r="E2" t="s">
        <v>219</v>
      </c>
      <c r="H2" t="s">
        <v>225</v>
      </c>
      <c r="K2" t="s">
        <v>231</v>
      </c>
      <c r="M2" t="s">
        <v>231</v>
      </c>
    </row>
    <row r="3" spans="1:13" x14ac:dyDescent="0.35">
      <c r="A3">
        <v>2</v>
      </c>
      <c r="C3" t="str">
        <f t="shared" si="0"/>
        <v>502,…., 2902</v>
      </c>
      <c r="E3" t="s">
        <v>220</v>
      </c>
      <c r="H3" t="s">
        <v>226</v>
      </c>
      <c r="K3" t="s">
        <v>231</v>
      </c>
      <c r="M3" t="s">
        <v>232</v>
      </c>
    </row>
    <row r="4" spans="1:13" x14ac:dyDescent="0.35">
      <c r="A4">
        <v>3</v>
      </c>
      <c r="C4" t="str">
        <f t="shared" si="0"/>
        <v>503,…., 2903</v>
      </c>
      <c r="E4" t="s">
        <v>221</v>
      </c>
      <c r="H4" t="s">
        <v>227</v>
      </c>
      <c r="K4" t="s">
        <v>231</v>
      </c>
      <c r="M4" t="s">
        <v>233</v>
      </c>
    </row>
    <row r="5" spans="1:13" x14ac:dyDescent="0.35">
      <c r="A5">
        <v>4</v>
      </c>
      <c r="C5" t="str">
        <f t="shared" si="0"/>
        <v>504,…., 2904</v>
      </c>
      <c r="E5" t="s">
        <v>222</v>
      </c>
      <c r="H5" t="s">
        <v>228</v>
      </c>
      <c r="K5" t="s">
        <v>231</v>
      </c>
      <c r="M5" t="s">
        <v>234</v>
      </c>
    </row>
    <row r="6" spans="1:13" x14ac:dyDescent="0.35">
      <c r="A6">
        <v>5</v>
      </c>
      <c r="C6" t="str">
        <f t="shared" si="0"/>
        <v>505,…., 2905</v>
      </c>
      <c r="E6" t="s">
        <v>223</v>
      </c>
      <c r="H6" t="s">
        <v>229</v>
      </c>
      <c r="K6" t="s">
        <v>231</v>
      </c>
      <c r="M6" t="s">
        <v>235</v>
      </c>
    </row>
    <row r="7" spans="1:13" x14ac:dyDescent="0.35">
      <c r="A7">
        <v>6</v>
      </c>
      <c r="C7" t="str">
        <f t="shared" si="0"/>
        <v>506,…., 2906</v>
      </c>
      <c r="E7" t="s">
        <v>224</v>
      </c>
      <c r="H7" t="s">
        <v>230</v>
      </c>
      <c r="K7" t="s">
        <v>231</v>
      </c>
      <c r="M7"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2025-06-12T09:42:41Z</cp:lastPrinted>
  <dcterms:created xsi:type="dcterms:W3CDTF">2019-07-16T09:29:46Z</dcterms:created>
  <dcterms:modified xsi:type="dcterms:W3CDTF">2025-09-05T05:47:40Z</dcterms:modified>
</cp:coreProperties>
</file>