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Old\New folder (2)\"/>
    </mc:Choice>
  </mc:AlternateContent>
  <xr:revisionPtr revIDLastSave="0" documentId="13_ncr:1_{368D4E9A-DBD3-43A4-9F65-572ABC66322E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3" i="1" l="1"/>
  <c r="E182" i="1"/>
  <c r="I190" i="1" l="1"/>
  <c r="D150" i="1" l="1"/>
  <c r="D135" i="1" l="1"/>
  <c r="D136" i="1"/>
  <c r="E187" i="1" l="1"/>
  <c r="D187" i="1"/>
  <c r="E186" i="1"/>
  <c r="D186" i="1"/>
  <c r="F186" i="1" s="1"/>
  <c r="E185" i="1"/>
  <c r="D185" i="1"/>
  <c r="E184" i="1"/>
  <c r="D184" i="1"/>
  <c r="F184" i="1" s="1"/>
  <c r="D183" i="1"/>
  <c r="F183" i="1" s="1"/>
  <c r="D182" i="1"/>
  <c r="E181" i="1"/>
  <c r="D181" i="1"/>
  <c r="F181" i="1" s="1"/>
  <c r="E180" i="1"/>
  <c r="D180" i="1"/>
  <c r="F180" i="1" s="1"/>
  <c r="E179" i="1"/>
  <c r="D179" i="1"/>
  <c r="F179" i="1" s="1"/>
  <c r="E178" i="1"/>
  <c r="D178" i="1"/>
  <c r="E177" i="1"/>
  <c r="D177" i="1"/>
  <c r="F177" i="1" s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1" i="1"/>
  <c r="D160" i="1"/>
  <c r="D159" i="1"/>
  <c r="D158" i="1"/>
  <c r="D157" i="1"/>
  <c r="D156" i="1"/>
  <c r="D155" i="1"/>
  <c r="D154" i="1"/>
  <c r="D152" i="1"/>
  <c r="D151" i="1"/>
  <c r="D149" i="1"/>
  <c r="D147" i="1"/>
  <c r="D146" i="1"/>
  <c r="D145" i="1"/>
  <c r="D144" i="1"/>
  <c r="D143" i="1"/>
  <c r="D142" i="1"/>
  <c r="D141" i="1"/>
  <c r="D140" i="1"/>
  <c r="D139" i="1"/>
  <c r="D138" i="1"/>
  <c r="D137" i="1"/>
  <c r="D133" i="1"/>
  <c r="D132" i="1"/>
  <c r="D131" i="1"/>
  <c r="D130" i="1"/>
  <c r="D129" i="1"/>
  <c r="I177" i="1"/>
  <c r="A178" i="1"/>
  <c r="A179" i="1" s="1"/>
  <c r="A180" i="1" s="1"/>
  <c r="A181" i="1" s="1"/>
  <c r="A182" i="1" s="1"/>
  <c r="A184" i="1" s="1"/>
  <c r="A185" i="1" s="1"/>
  <c r="A186" i="1" s="1"/>
  <c r="A187" i="1" s="1"/>
  <c r="G177" i="1"/>
  <c r="I168" i="1"/>
  <c r="A160" i="1"/>
  <c r="A161" i="1" s="1"/>
  <c r="A155" i="1"/>
  <c r="A156" i="1" s="1"/>
  <c r="A157" i="1" s="1"/>
  <c r="A158" i="1" s="1"/>
  <c r="A150" i="1"/>
  <c r="A151" i="1" s="1"/>
  <c r="A152" i="1" s="1"/>
  <c r="A153" i="1" s="1"/>
  <c r="G149" i="1"/>
  <c r="A141" i="1"/>
  <c r="A142" i="1" s="1"/>
  <c r="A143" i="1" s="1"/>
  <c r="A144" i="1" s="1"/>
  <c r="A146" i="1"/>
  <c r="A147" i="1" s="1"/>
  <c r="A136" i="1"/>
  <c r="A137" i="1" s="1"/>
  <c r="A138" i="1" s="1"/>
  <c r="A139" i="1" s="1"/>
  <c r="G135" i="1"/>
  <c r="E133" i="1"/>
  <c r="E132" i="1"/>
  <c r="E131" i="1"/>
  <c r="I129" i="1"/>
  <c r="E122" i="1"/>
  <c r="E120" i="1"/>
  <c r="E119" i="1"/>
  <c r="E118" i="1"/>
  <c r="E116" i="1"/>
  <c r="D116" i="1"/>
  <c r="D112" i="1"/>
  <c r="D111" i="1"/>
  <c r="J76" i="1"/>
  <c r="J75" i="1"/>
  <c r="J74" i="1"/>
  <c r="J73" i="1"/>
  <c r="F185" i="1" l="1"/>
  <c r="G99" i="1" s="1"/>
  <c r="G100" i="1" s="1"/>
  <c r="F116" i="1"/>
  <c r="F178" i="1"/>
  <c r="F187" i="1"/>
  <c r="E99" i="1"/>
  <c r="E100" i="1" s="1"/>
  <c r="C99" i="1"/>
  <c r="C100" i="1" s="1"/>
  <c r="C65" i="1"/>
  <c r="E41" i="1"/>
  <c r="L164" i="1" l="1"/>
  <c r="L165" i="1"/>
  <c r="L166" i="1"/>
  <c r="L167" i="1"/>
  <c r="L168" i="1"/>
  <c r="L169" i="1"/>
  <c r="L170" i="1"/>
  <c r="L171" i="1"/>
  <c r="L172" i="1"/>
  <c r="L173" i="1"/>
  <c r="L174" i="1"/>
  <c r="L175" i="1"/>
  <c r="L163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29" i="1"/>
  <c r="I149" i="1"/>
  <c r="L107" i="1"/>
  <c r="K167" i="1"/>
  <c r="K164" i="1"/>
  <c r="K175" i="1"/>
  <c r="K174" i="1"/>
  <c r="K173" i="1"/>
  <c r="K172" i="1"/>
  <c r="K171" i="1"/>
  <c r="K170" i="1"/>
  <c r="K169" i="1"/>
  <c r="K168" i="1"/>
  <c r="K166" i="1"/>
  <c r="K165" i="1"/>
  <c r="K163" i="1"/>
  <c r="I163" i="1"/>
  <c r="G163" i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49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E130" i="1"/>
  <c r="K133" i="1"/>
  <c r="K132" i="1"/>
  <c r="K131" i="1"/>
  <c r="K130" i="1"/>
  <c r="K129" i="1"/>
  <c r="G129" i="1"/>
  <c r="A130" i="1"/>
  <c r="A131" i="1" s="1"/>
  <c r="A132" i="1" s="1"/>
  <c r="A133" i="1" s="1"/>
  <c r="E124" i="1"/>
  <c r="L124" i="1" s="1"/>
  <c r="E123" i="1"/>
  <c r="L123" i="1" s="1"/>
  <c r="L122" i="1"/>
  <c r="E121" i="1"/>
  <c r="L121" i="1" s="1"/>
  <c r="L120" i="1"/>
  <c r="L119" i="1"/>
  <c r="L118" i="1"/>
  <c r="E117" i="1"/>
  <c r="L117" i="1" s="1"/>
  <c r="L116" i="1"/>
  <c r="M116" i="1" s="1"/>
  <c r="E115" i="1"/>
  <c r="L115" i="1" s="1"/>
  <c r="E114" i="1"/>
  <c r="L114" i="1" s="1"/>
  <c r="E113" i="1"/>
  <c r="L113" i="1" s="1"/>
  <c r="E112" i="1"/>
  <c r="E111" i="1"/>
  <c r="E110" i="1"/>
  <c r="L110" i="1" s="1"/>
  <c r="E109" i="1"/>
  <c r="L109" i="1" s="1"/>
  <c r="E108" i="1"/>
  <c r="L108" i="1" s="1"/>
  <c r="D124" i="1"/>
  <c r="D123" i="1"/>
  <c r="D122" i="1"/>
  <c r="D121" i="1"/>
  <c r="D120" i="1"/>
  <c r="D119" i="1"/>
  <c r="D118" i="1"/>
  <c r="D117" i="1"/>
  <c r="K116" i="1"/>
  <c r="D115" i="1"/>
  <c r="D114" i="1"/>
  <c r="D113" i="1"/>
  <c r="K112" i="1"/>
  <c r="K111" i="1"/>
  <c r="K118" i="1" l="1"/>
  <c r="F118" i="1"/>
  <c r="K114" i="1"/>
  <c r="F114" i="1"/>
  <c r="K122" i="1"/>
  <c r="F122" i="1"/>
  <c r="N122" i="1" s="1"/>
  <c r="K119" i="1"/>
  <c r="F119" i="1"/>
  <c r="K124" i="1"/>
  <c r="F124" i="1"/>
  <c r="K115" i="1"/>
  <c r="F115" i="1"/>
  <c r="K123" i="1"/>
  <c r="F123" i="1"/>
  <c r="K120" i="1"/>
  <c r="F120" i="1"/>
  <c r="L111" i="1"/>
  <c r="M111" i="1" s="1"/>
  <c r="F111" i="1"/>
  <c r="K113" i="1"/>
  <c r="F113" i="1"/>
  <c r="K117" i="1"/>
  <c r="F117" i="1"/>
  <c r="K121" i="1"/>
  <c r="F121" i="1"/>
  <c r="L112" i="1"/>
  <c r="M112" i="1" s="1"/>
  <c r="F112" i="1"/>
  <c r="M120" i="1"/>
  <c r="M124" i="1"/>
  <c r="M113" i="1"/>
  <c r="M117" i="1"/>
  <c r="M121" i="1"/>
  <c r="M118" i="1"/>
  <c r="M114" i="1"/>
  <c r="M122" i="1"/>
  <c r="M115" i="1"/>
  <c r="M119" i="1"/>
  <c r="M123" i="1"/>
  <c r="D110" i="1"/>
  <c r="D109" i="1"/>
  <c r="D108" i="1"/>
  <c r="D107" i="1"/>
  <c r="K109" i="1" l="1"/>
  <c r="F109" i="1"/>
  <c r="K110" i="1"/>
  <c r="F110" i="1"/>
  <c r="M107" i="1"/>
  <c r="F107" i="1"/>
  <c r="C95" i="1"/>
  <c r="C96" i="1" s="1"/>
  <c r="C101" i="1" s="1"/>
  <c r="E95" i="1"/>
  <c r="E96" i="1" s="1"/>
  <c r="E101" i="1" s="1"/>
  <c r="K108" i="1"/>
  <c r="F108" i="1"/>
  <c r="M110" i="1"/>
  <c r="M108" i="1"/>
  <c r="M109" i="1"/>
  <c r="K107" i="1"/>
  <c r="G95" i="1" l="1"/>
  <c r="G96" i="1" s="1"/>
  <c r="G101" i="1" s="1"/>
  <c r="B192" i="1"/>
  <c r="C14" i="1" l="1"/>
  <c r="E29" i="1" l="1"/>
  <c r="F9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3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G107" i="1"/>
  <c r="D54" i="1"/>
  <c r="G49" i="1"/>
  <c r="G50" i="1" s="1"/>
  <c r="C49" i="1"/>
  <c r="E42" i="1"/>
  <c r="E43" i="1" s="1"/>
  <c r="E26" i="1"/>
  <c r="E24" i="1"/>
  <c r="E7" i="1"/>
  <c r="E3" i="1"/>
  <c r="J69" i="1" l="1"/>
  <c r="J68" i="1"/>
  <c r="J71" i="1"/>
  <c r="J72" i="1" s="1"/>
  <c r="J77" i="1" s="1"/>
  <c r="J78" i="1" s="1"/>
  <c r="J65" i="1"/>
  <c r="J67" i="1" s="1"/>
  <c r="J70" i="1"/>
  <c r="D59" i="1"/>
  <c r="D78" i="1"/>
  <c r="D76" i="1"/>
  <c r="D75" i="1"/>
  <c r="D74" i="1"/>
  <c r="D72" i="1"/>
  <c r="D77" i="1"/>
  <c r="D73" i="1"/>
  <c r="C69" i="1"/>
  <c r="D71" i="1" l="1"/>
  <c r="D69" i="1"/>
  <c r="C70" i="1" l="1"/>
  <c r="G69" i="1" l="1"/>
  <c r="D63" i="1" s="1"/>
  <c r="F64" i="1" s="1"/>
  <c r="J66" i="1"/>
  <c r="E69" i="1"/>
  <c r="D70" i="1"/>
  <c r="I66" i="1" s="1"/>
  <c r="D64" i="1" l="1"/>
  <c r="I67" i="1"/>
  <c r="I65" i="1" s="1"/>
  <c r="C67" i="1" s="1"/>
</calcChain>
</file>

<file path=xl/sharedStrings.xml><?xml version="1.0" encoding="utf-8"?>
<sst xmlns="http://schemas.openxmlformats.org/spreadsheetml/2006/main" count="355" uniqueCount="240">
  <si>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</si>
  <si>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</si>
  <si>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</si>
  <si>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</si>
  <si>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</si>
  <si>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</si>
  <si>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</si>
  <si>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</si>
  <si>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</si>
  <si>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</si>
  <si>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</si>
  <si>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</si>
  <si>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</si>
  <si>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</si>
  <si>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</si>
  <si>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</si>
  <si>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</si>
  <si>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</si>
  <si>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</si>
  <si>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</si>
  <si>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</si>
  <si>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</si>
  <si>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</si>
  <si>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</si>
  <si>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</si>
  <si>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</si>
  <si>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</si>
  <si>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</si>
  <si>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</si>
  <si>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</si>
  <si>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</si>
  <si>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</si>
  <si>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</si>
  <si>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</si>
  <si>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</si>
  <si>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</si>
  <si>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</si>
  <si>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</si>
  <si>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</si>
  <si>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</si>
  <si>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</si>
  <si>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</si>
  <si>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</si>
  <si>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</si>
  <si>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</si>
  <si>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</si>
  <si>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</si>
  <si>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</si>
  <si>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</si>
  <si>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</si>
  <si>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</si>
  <si>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</si>
  <si>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</si>
  <si>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</si>
  <si>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</si>
  <si>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</si>
  <si>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</si>
  <si>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</si>
  <si>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</si>
  <si>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</si>
  <si>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</si>
  <si>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</si>
  <si>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</si>
  <si>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</si>
  <si>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</si>
  <si>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</si>
  <si>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</si>
  <si>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</si>
  <si>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</si>
  <si>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</si>
  <si>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</si>
  <si>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</si>
  <si>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</si>
  <si>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</si>
  <si>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</si>
  <si>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</si>
  <si>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</si>
  <si>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</si>
  <si>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</si>
  <si>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</si>
  <si>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</si>
  <si>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</si>
  <si>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</si>
  <si>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</si>
  <si>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</si>
  <si>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</si>
  <si>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</si>
  <si>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</si>
  <si>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</si>
  <si>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</si>
  <si>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</si>
  <si>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</si>
  <si>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</si>
  <si>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</si>
  <si>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</si>
  <si>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</si>
  <si>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</si>
  <si>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</si>
  <si>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</si>
  <si>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</si>
  <si>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</si>
  <si>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</si>
  <si>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</si>
  <si>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</si>
  <si>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</si>
  <si>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</si>
  <si>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</si>
  <si>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</si>
  <si>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</si>
  <si>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</si>
  <si>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</si>
  <si>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</si>
  <si>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</si>
  <si>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</si>
  <si>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</si>
  <si>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</si>
  <si>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</si>
  <si>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</si>
  <si>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</si>
  <si>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</si>
  <si>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</si>
  <si>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</si>
  <si>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</si>
  <si>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</si>
  <si>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</si>
  <si>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</si>
  <si>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</si>
  <si>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</si>
  <si>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</si>
  <si>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</si>
  <si>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</si>
  <si>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</si>
  <si>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</si>
  <si>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</si>
  <si>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</si>
  <si>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</si>
  <si>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</si>
  <si>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</si>
  <si>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</si>
  <si>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</si>
  <si>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</si>
  <si>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</si>
  <si>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</si>
  <si>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</si>
  <si>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</si>
  <si>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</si>
  <si>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</si>
  <si>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</si>
  <si>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</si>
  <si>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</si>
  <si>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</si>
  <si>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</si>
  <si>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</si>
  <si>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</si>
  <si>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</si>
  <si>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</si>
  <si>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</si>
  <si>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</si>
  <si>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</si>
  <si>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</si>
  <si>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</si>
  <si>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</si>
  <si>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</si>
  <si>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</si>
  <si>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Shop</t>
  </si>
  <si>
    <t>2BHK</t>
  </si>
  <si>
    <t>1BHK</t>
  </si>
  <si>
    <t>Refuge Area</t>
  </si>
  <si>
    <t>Axis Sanpada</t>
  </si>
  <si>
    <t>M/s. Mahaveer Realty</t>
  </si>
  <si>
    <t>Mahaveer Empire</t>
  </si>
  <si>
    <t>1 Building</t>
  </si>
  <si>
    <t>P52000045990</t>
  </si>
  <si>
    <t>Survey No</t>
  </si>
  <si>
    <t>23/2.</t>
  </si>
  <si>
    <t>Ghot</t>
  </si>
  <si>
    <t>Panvel</t>
  </si>
  <si>
    <t>Raigad</t>
  </si>
  <si>
    <t>4.6KM from Taloja Panchnand Railway Station</t>
  </si>
  <si>
    <t>Ghot gaon</t>
  </si>
  <si>
    <t>Ghot road</t>
  </si>
  <si>
    <t>Taloja Panchnand East</t>
  </si>
  <si>
    <t>Krushna Kunj</t>
  </si>
  <si>
    <t>Open plot</t>
  </si>
  <si>
    <t>Panvel Municipal Corporation</t>
  </si>
  <si>
    <t>As per RERA - 31/12/2026</t>
  </si>
  <si>
    <t>Club house &amp; Society Charges</t>
  </si>
  <si>
    <t>rate sheet</t>
  </si>
  <si>
    <t>visitor</t>
  </si>
  <si>
    <t>cost sheet</t>
  </si>
  <si>
    <t>99A</t>
  </si>
  <si>
    <t>MIS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</si>
  <si>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</si>
  <si>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Site Meet Person Contact Details ( Name &amp; Contact No.)</t>
  </si>
  <si>
    <t>As per Layout</t>
  </si>
  <si>
    <t>Latitude &amp; Longitude</t>
  </si>
  <si>
    <t>19.085406,73.114737</t>
  </si>
  <si>
    <t>https://maps.app.goo.gl/y95QPkSVG2KGbmMr7</t>
  </si>
  <si>
    <t>Layout:</t>
  </si>
  <si>
    <t xml:space="preserve">Details of Residential &amp; Commercial in Building   </t>
  </si>
  <si>
    <t>Building Details Floor Wise</t>
  </si>
  <si>
    <t>PMP/NRV/16300/JK 1733/2023</t>
  </si>
  <si>
    <t>PMC/TP/Ghot/23/2/21-23/16300/1733/2023</t>
  </si>
  <si>
    <t xml:space="preserve">Commencement-CC No
Valid Up to: </t>
  </si>
  <si>
    <t>G/St + 1st to 11th Floor</t>
  </si>
  <si>
    <t>Ground Floor For Commercial &amp; Parking</t>
  </si>
  <si>
    <t>1st Floor For Residential, Fitness Center, Driver Room, Open Space &amp; Parking</t>
  </si>
  <si>
    <t xml:space="preserve">2nd to 7th &amp; 9th Floor </t>
  </si>
  <si>
    <t>8th Floor For  (Part Refuge Area)</t>
  </si>
  <si>
    <t>10th Floor</t>
  </si>
  <si>
    <t>1RK</t>
  </si>
  <si>
    <t>Saleable area Loading :</t>
  </si>
  <si>
    <t>Total</t>
  </si>
  <si>
    <t>Grand Total</t>
  </si>
  <si>
    <t>Flats - 132, Shops - 18</t>
  </si>
  <si>
    <t>We considered Gross carpet area = Net carpet + Loft + Enclose Balcony + Balcony Area.</t>
  </si>
  <si>
    <t>24.00 Mt Wide Road</t>
  </si>
  <si>
    <t>Other Plot</t>
  </si>
  <si>
    <t>Internal Road</t>
  </si>
  <si>
    <t>1.5BHK</t>
  </si>
  <si>
    <t>Chajja is not Considered</t>
  </si>
  <si>
    <t>Builder
Saleable
Area</t>
  </si>
  <si>
    <t>Loading</t>
  </si>
  <si>
    <t>We have considered saleble area of Flat (1st to 10th Floor) as per Builder Area Sheet.</t>
  </si>
  <si>
    <t>We have considered Saleable area of Flat (11th Floor) as per our Calculation</t>
  </si>
  <si>
    <t>We have updated revised approved Plan &amp; CC on 06/05/2024</t>
  </si>
  <si>
    <t>11th Floor</t>
  </si>
  <si>
    <t>Area Changed by smith 10/05/2024</t>
  </si>
  <si>
    <t>Flat No. 1105 Area Changed by smith 10/05/2024</t>
  </si>
  <si>
    <t>2L to 3L smith 10/05/2024</t>
  </si>
  <si>
    <t>5000 to 5100</t>
  </si>
  <si>
    <t>Smith</t>
  </si>
  <si>
    <t>Verbal</t>
  </si>
  <si>
    <t xml:space="preserve">Recommended Rates / Other charges of the Property have been revised on 10/05/2024.
</t>
  </si>
  <si>
    <t>Gr + 1st to 11th Upper Floor (BUA = 8076.28sqmt)
Residential - 132 Nos &amp; Commercial - 18 Nos.</t>
  </si>
  <si>
    <t>Sunil Peravi</t>
  </si>
  <si>
    <t>Mr. Mahendra : 8149451804</t>
  </si>
  <si>
    <t>Mr. Vinod : 8104692416</t>
  </si>
  <si>
    <t>Construction work is in process at the time of Visit.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</si>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</sst>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vertical="center"/>
    </xf>
    <xf numFmtId="2" fontId="7" fillId="0" borderId="0" xfId="1" applyNumberFormat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0" fontId="17" fillId="0" borderId="0" xfId="0" applyFont="1" applyProtection="1">
      <protection hidden="1"/>
    </xf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0" fontId="17" fillId="0" borderId="8" xfId="0" applyFont="1" applyBorder="1" applyProtection="1">
      <protection hidden="1"/>
    </xf>
    <xf numFmtId="1" fontId="0" fillId="0" borderId="9" xfId="0" applyNumberFormat="1" applyBorder="1"/>
    <xf numFmtId="9" fontId="13" fillId="0" borderId="13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1" fontId="13" fillId="0" borderId="0" xfId="0" applyNumberFormat="1" applyFont="1" applyAlignment="1" applyProtection="1">
      <alignment vertical="top" wrapText="1"/>
      <protection locked="0"/>
    </xf>
    <xf numFmtId="0" fontId="10" fillId="0" borderId="0" xfId="1" applyFont="1"/>
    <xf numFmtId="14" fontId="0" fillId="0" borderId="0" xfId="0" applyNumberFormat="1"/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5" xfId="1" applyNumberFormat="1" applyFont="1" applyBorder="1" applyAlignment="1" applyProtection="1">
      <alignment horizontal="center" vertical="top" wrapText="1"/>
      <protection locked="0"/>
    </xf>
    <xf numFmtId="1" fontId="8" fillId="0" borderId="6" xfId="1" applyNumberFormat="1" applyFont="1" applyBorder="1" applyAlignment="1" applyProtection="1">
      <alignment horizontal="center" vertical="top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68" fontId="6" fillId="0" borderId="5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4" xfId="1" applyNumberFormat="1" applyFont="1" applyBorder="1" applyAlignment="1" applyProtection="1">
      <alignment horizontal="center" vertical="center" wrapText="1"/>
      <protection locked="0"/>
    </xf>
    <xf numFmtId="1" fontId="12" fillId="0" borderId="15" xfId="1" applyNumberFormat="1" applyFont="1" applyBorder="1" applyAlignment="1" applyProtection="1">
      <alignment horizontal="center" vertical="center" wrapText="1"/>
      <protection locked="0"/>
    </xf>
    <xf numFmtId="1" fontId="12" fillId="0" borderId="22" xfId="1" applyNumberFormat="1" applyFont="1" applyBorder="1" applyAlignment="1" applyProtection="1">
      <alignment horizontal="center" vertical="center" wrapText="1"/>
      <protection locked="0"/>
    </xf>
    <xf numFmtId="1" fontId="12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12" fillId="0" borderId="5" xfId="1" applyNumberFormat="1" applyFont="1" applyBorder="1" applyAlignment="1" applyProtection="1">
      <alignment horizontal="left" vertical="top" wrapText="1"/>
      <protection locked="0"/>
    </xf>
    <xf numFmtId="14" fontId="12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13" fillId="0" borderId="5" xfId="1" applyNumberFormat="1" applyFont="1" applyBorder="1" applyAlignment="1" applyProtection="1">
      <alignment horizontal="left" vertical="top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6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0" fillId="0" borderId="0" xfId="0" applyAlignment="1">
      <alignment horizontal="center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718703</xdr:colOff>
      <xdr:row>295</xdr:row>
      <xdr:rowOff>138545</xdr:rowOff>
    </xdr:from>
    <xdr:to>
      <xdr:col>7</xdr:col>
      <xdr:colOff>173181</xdr:colOff>
      <xdr:row>313</xdr:row>
      <xdr:rowOff>73602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409" t="4047" r="10442"/>
        <a:stretch/>
      </xdr:blipFill>
      <xdr:spPr>
        <a:xfrm>
          <a:off x="718703" y="58466181"/>
          <a:ext cx="5134842" cy="36757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369435</xdr:colOff>
      <xdr:row>314</xdr:row>
      <xdr:rowOff>27214</xdr:rowOff>
    </xdr:from>
    <xdr:to>
      <xdr:col>7</xdr:col>
      <xdr:colOff>571500</xdr:colOff>
      <xdr:row>335</xdr:row>
      <xdr:rowOff>174652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69435" y="63425614"/>
          <a:ext cx="6084705" cy="4307958"/>
          <a:chOff x="304801" y="59426474"/>
          <a:chExt cx="5791200" cy="4003703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4801" y="59426474"/>
            <a:ext cx="5791200" cy="400370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 rot="20679612">
            <a:off x="2553125" y="60915456"/>
            <a:ext cx="561128" cy="785373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1</xdr:col>
      <xdr:colOff>266206</xdr:colOff>
      <xdr:row>271</xdr:row>
      <xdr:rowOff>185333</xdr:rowOff>
    </xdr:from>
    <xdr:to>
      <xdr:col>6</xdr:col>
      <xdr:colOff>481199</xdr:colOff>
      <xdr:row>290</xdr:row>
      <xdr:rowOff>180150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051066" y="55064573"/>
          <a:ext cx="4505053" cy="3759097"/>
          <a:chOff x="941615" y="51755114"/>
          <a:chExt cx="4364580" cy="377168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41615" y="51755114"/>
            <a:ext cx="4364580" cy="3771686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 rot="8568592">
            <a:off x="4944716" y="54938542"/>
            <a:ext cx="359227" cy="549779"/>
            <a:chOff x="26903" y="-29837"/>
            <a:chExt cx="221944" cy="688514"/>
          </a:xfrm>
        </xdr:grpSpPr>
        <xdr:sp macro="" textlink="">
          <xdr:nvSpPr>
            <xdr:cNvPr id="16" name="TextBox 7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26903" y="-29837"/>
              <a:ext cx="221944" cy="3099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600" b="1"/>
                <a:t>N</a:t>
              </a:r>
            </a:p>
          </xdr:txBody>
        </xdr:sp>
        <xdr:cxnSp macro="">
          <xdr:nvCxnSpPr>
            <xdr:cNvPr id="17" name="Straight Arrow Connector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CxnSpPr/>
          </xdr:nvCxnSpPr>
          <xdr:spPr>
            <a:xfrm flipV="1">
              <a:off x="121015" y="334676"/>
              <a:ext cx="0" cy="324001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264213</xdr:colOff>
      <xdr:row>256</xdr:row>
      <xdr:rowOff>138546</xdr:rowOff>
    </xdr:from>
    <xdr:to>
      <xdr:col>5</xdr:col>
      <xdr:colOff>363683</xdr:colOff>
      <xdr:row>271</xdr:row>
      <xdr:rowOff>11789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72033" y="52045986"/>
          <a:ext cx="2758850" cy="2845043"/>
          <a:chOff x="1691080" y="48375446"/>
          <a:chExt cx="2883204" cy="318052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691080" y="48375446"/>
            <a:ext cx="2883204" cy="318052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4108174" y="50904911"/>
            <a:ext cx="359227" cy="549779"/>
            <a:chOff x="26903" y="-29837"/>
            <a:chExt cx="221944" cy="688514"/>
          </a:xfrm>
        </xdr:grpSpPr>
        <xdr:sp macro="" textlink="">
          <xdr:nvSpPr>
            <xdr:cNvPr id="20" name="TextBox 7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26903" y="-29837"/>
              <a:ext cx="221944" cy="3099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sz="1600" b="1"/>
                <a:t>N</a:t>
              </a:r>
            </a:p>
          </xdr:txBody>
        </xdr:sp>
        <xdr:cxnSp macro="">
          <xdr:nvCxnSpPr>
            <xdr:cNvPr id="21" name="Straight Arrow Connector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 flipV="1">
              <a:off x="121015" y="334676"/>
              <a:ext cx="0" cy="324001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8</xdr:col>
      <xdr:colOff>124043</xdr:colOff>
      <xdr:row>49</xdr:row>
      <xdr:rowOff>239343</xdr:rowOff>
    </xdr:from>
    <xdr:to>
      <xdr:col>16</xdr:col>
      <xdr:colOff>496802</xdr:colOff>
      <xdr:row>53</xdr:row>
      <xdr:rowOff>25435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48668" y="11297868"/>
          <a:ext cx="6773559" cy="1052917"/>
        </a:xfrm>
        <a:prstGeom prst="rect">
          <a:avLst/>
        </a:prstGeom>
      </xdr:spPr>
    </xdr:pic>
    <xdr:clientData/>
  </xdr:twoCellAnchor>
  <xdr:twoCellAnchor editAs="oneCell">
    <xdr:from>
      <xdr:col>8</xdr:col>
      <xdr:colOff>46920</xdr:colOff>
      <xdr:row>37</xdr:row>
      <xdr:rowOff>193686</xdr:rowOff>
    </xdr:from>
    <xdr:to>
      <xdr:col>12</xdr:col>
      <xdr:colOff>702049</xdr:colOff>
      <xdr:row>49</xdr:row>
      <xdr:rowOff>194270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1545" y="8623311"/>
          <a:ext cx="3988879" cy="2629484"/>
        </a:xfrm>
        <a:prstGeom prst="rect">
          <a:avLst/>
        </a:prstGeom>
      </xdr:spPr>
    </xdr:pic>
    <xdr:clientData/>
  </xdr:twoCellAnchor>
  <xdr:twoCellAnchor editAs="oneCell">
    <xdr:from>
      <xdr:col>9</xdr:col>
      <xdr:colOff>23532</xdr:colOff>
      <xdr:row>103</xdr:row>
      <xdr:rowOff>175372</xdr:rowOff>
    </xdr:from>
    <xdr:to>
      <xdr:col>18</xdr:col>
      <xdr:colOff>533811</xdr:colOff>
      <xdr:row>123</xdr:row>
      <xdr:rowOff>195039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10207" y="21568522"/>
          <a:ext cx="6968229" cy="4420218"/>
        </a:xfrm>
        <a:prstGeom prst="rect">
          <a:avLst/>
        </a:prstGeom>
      </xdr:spPr>
    </xdr:pic>
    <xdr:clientData/>
  </xdr:twoCellAnchor>
  <xdr:twoCellAnchor editAs="oneCell">
    <xdr:from>
      <xdr:col>8</xdr:col>
      <xdr:colOff>990600</xdr:colOff>
      <xdr:row>125</xdr:row>
      <xdr:rowOff>361949</xdr:rowOff>
    </xdr:from>
    <xdr:to>
      <xdr:col>16</xdr:col>
      <xdr:colOff>142875</xdr:colOff>
      <xdr:row>131</xdr:row>
      <xdr:rowOff>85910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15106" r="1700"/>
        <a:stretch/>
      </xdr:blipFill>
      <xdr:spPr>
        <a:xfrm>
          <a:off x="7515225" y="25984199"/>
          <a:ext cx="5553075" cy="1124135"/>
        </a:xfrm>
        <a:prstGeom prst="rect">
          <a:avLst/>
        </a:prstGeom>
      </xdr:spPr>
    </xdr:pic>
    <xdr:clientData/>
  </xdr:twoCellAnchor>
  <xdr:twoCellAnchor editAs="oneCell">
    <xdr:from>
      <xdr:col>8</xdr:col>
      <xdr:colOff>460864</xdr:colOff>
      <xdr:row>130</xdr:row>
      <xdr:rowOff>152599</xdr:rowOff>
    </xdr:from>
    <xdr:to>
      <xdr:col>16</xdr:col>
      <xdr:colOff>596792</xdr:colOff>
      <xdr:row>145</xdr:row>
      <xdr:rowOff>26977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85489" y="27746524"/>
          <a:ext cx="6536728" cy="2874753"/>
        </a:xfrm>
        <a:prstGeom prst="rect">
          <a:avLst/>
        </a:prstGeom>
      </xdr:spPr>
    </xdr:pic>
    <xdr:clientData/>
  </xdr:twoCellAnchor>
  <xdr:twoCellAnchor editAs="oneCell">
    <xdr:from>
      <xdr:col>14</xdr:col>
      <xdr:colOff>168729</xdr:colOff>
      <xdr:row>150</xdr:row>
      <xdr:rowOff>189139</xdr:rowOff>
    </xdr:from>
    <xdr:to>
      <xdr:col>26</xdr:col>
      <xdr:colOff>377999</xdr:colOff>
      <xdr:row>166</xdr:row>
      <xdr:rowOff>75270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639550" y="32084282"/>
          <a:ext cx="7761235" cy="3151845"/>
        </a:xfrm>
        <a:prstGeom prst="rect">
          <a:avLst/>
        </a:prstGeom>
      </xdr:spPr>
    </xdr:pic>
    <xdr:clientData/>
  </xdr:twoCellAnchor>
  <xdr:twoCellAnchor editAs="oneCell">
    <xdr:from>
      <xdr:col>12</xdr:col>
      <xdr:colOff>487136</xdr:colOff>
      <xdr:row>152</xdr:row>
      <xdr:rowOff>137433</xdr:rowOff>
    </xdr:from>
    <xdr:to>
      <xdr:col>22</xdr:col>
      <xdr:colOff>278496</xdr:colOff>
      <xdr:row>168</xdr:row>
      <xdr:rowOff>71195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25100" y="32440790"/>
          <a:ext cx="6526896" cy="3199476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175</xdr:row>
      <xdr:rowOff>38100</xdr:rowOff>
    </xdr:from>
    <xdr:to>
      <xdr:col>22</xdr:col>
      <xdr:colOff>505792</xdr:colOff>
      <xdr:row>188</xdr:row>
      <xdr:rowOff>57516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63175" y="36433125"/>
          <a:ext cx="6925642" cy="2619741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80</xdr:row>
      <xdr:rowOff>123825</xdr:rowOff>
    </xdr:from>
    <xdr:to>
      <xdr:col>15</xdr:col>
      <xdr:colOff>324132</xdr:colOff>
      <xdr:row>99</xdr:row>
      <xdr:rowOff>114634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448925" y="18316575"/>
          <a:ext cx="2019582" cy="2391109"/>
        </a:xfrm>
        <a:prstGeom prst="rect">
          <a:avLst/>
        </a:prstGeom>
      </xdr:spPr>
    </xdr:pic>
    <xdr:clientData/>
  </xdr:twoCellAnchor>
  <xdr:twoCellAnchor editAs="oneCell">
    <xdr:from>
      <xdr:col>8</xdr:col>
      <xdr:colOff>647700</xdr:colOff>
      <xdr:row>11</xdr:row>
      <xdr:rowOff>180975</xdr:rowOff>
    </xdr:from>
    <xdr:to>
      <xdr:col>14</xdr:col>
      <xdr:colOff>29181</xdr:colOff>
      <xdr:row>15</xdr:row>
      <xdr:rowOff>76357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72325" y="2771775"/>
          <a:ext cx="4344006" cy="1124107"/>
        </a:xfrm>
        <a:prstGeom prst="rect">
          <a:avLst/>
        </a:prstGeom>
      </xdr:spPr>
    </xdr:pic>
    <xdr:clientData/>
  </xdr:twoCellAnchor>
  <xdr:twoCellAnchor>
    <xdr:from>
      <xdr:col>8</xdr:col>
      <xdr:colOff>877570</xdr:colOff>
      <xdr:row>212</xdr:row>
      <xdr:rowOff>157480</xdr:rowOff>
    </xdr:from>
    <xdr:to>
      <xdr:col>17</xdr:col>
      <xdr:colOff>5362</xdr:colOff>
      <xdr:row>252</xdr:row>
      <xdr:rowOff>158002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078470" y="43347640"/>
          <a:ext cx="6336312" cy="7925322"/>
          <a:chOff x="488950" y="43281600"/>
          <a:chExt cx="6429022" cy="7874522"/>
        </a:xfrm>
      </xdr:grpSpPr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78944" y="4899612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1339" y="432816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8109" y="432816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1476" y="4899612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9724" y="432816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60700" y="4899612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8950" y="4613886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68108" y="4613886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9724" y="4613886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640080</xdr:colOff>
      <xdr:row>214</xdr:row>
      <xdr:rowOff>15240</xdr:rowOff>
    </xdr:from>
    <xdr:to>
      <xdr:col>7</xdr:col>
      <xdr:colOff>760271</xdr:colOff>
      <xdr:row>251</xdr:row>
      <xdr:rowOff>1680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ACBDFFE5-499B-0507-B78E-47232CC88A3B}"/>
            </a:ext>
          </a:extLst>
        </xdr:cNvPr>
        <xdr:cNvGrpSpPr/>
      </xdr:nvGrpSpPr>
      <xdr:grpSpPr>
        <a:xfrm>
          <a:off x="640080" y="43601640"/>
          <a:ext cx="6002831" cy="7316880"/>
          <a:chOff x="-7460" y="289560"/>
          <a:chExt cx="6002831" cy="7316880"/>
        </a:xfrm>
      </xdr:grpSpPr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11AFE99B-CAF1-D848-DC85-C6A823AD7B2E}"/>
              </a:ext>
            </a:extLst>
          </xdr:cNvPr>
          <xdr:cNvGrpSpPr/>
        </xdr:nvGrpSpPr>
        <xdr:grpSpPr>
          <a:xfrm>
            <a:off x="277104" y="5794440"/>
            <a:ext cx="5433702" cy="1812000"/>
            <a:chOff x="-262334" y="5794440"/>
            <a:chExt cx="5433702" cy="1812000"/>
          </a:xfrm>
        </xdr:grpSpPr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18244AD0-40A7-948D-546B-38D06797F2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04812" y="58064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C6876187-842F-ECD4-EE45-6639448F41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22774" y="58064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9256A0A7-152C-0105-2499-9F06F4CBE7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262334" y="5794440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B9E45119-3FFF-FD93-AD75-D03E537DE22A}"/>
              </a:ext>
            </a:extLst>
          </xdr:cNvPr>
          <xdr:cNvGrpSpPr/>
        </xdr:nvGrpSpPr>
        <xdr:grpSpPr>
          <a:xfrm>
            <a:off x="-7460" y="289560"/>
            <a:ext cx="6002831" cy="2520000"/>
            <a:chOff x="247413" y="289560"/>
            <a:chExt cx="6002831" cy="2520000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53A68BEB-9086-0875-062E-3178FF646B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2213" y="2895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AEC7023D-E269-29BC-36E3-AF92B27FC85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04813" y="2895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82F68614-0F60-4BD8-945C-329216FC928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7413" y="2895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34C5B3CC-C59B-458A-1EB6-ADC25AE0288A}"/>
              </a:ext>
            </a:extLst>
          </xdr:cNvPr>
          <xdr:cNvGrpSpPr/>
        </xdr:nvGrpSpPr>
        <xdr:grpSpPr>
          <a:xfrm>
            <a:off x="-7459" y="3042000"/>
            <a:ext cx="6002829" cy="2520000"/>
            <a:chOff x="247413" y="3048000"/>
            <a:chExt cx="6002829" cy="2520000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100C1171-1504-8436-C3C8-C75E20E66A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2211" y="3048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B792C6D2-FE25-51E2-0DCB-9C95A1865F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7413" y="3048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6DF9BDDD-8D4C-CE8C-B6F6-CCE99DE4D9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04812" y="30480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599248</xdr:colOff>
      <xdr:row>14</xdr:row>
      <xdr:rowOff>0</xdr:rowOff>
    </xdr:from>
    <xdr:to>
      <xdr:col>15</xdr:col>
      <xdr:colOff>491756</xdr:colOff>
      <xdr:row>32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0513" y="2678206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y95QPkSVG2KGbmMr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95"/>
  <sheetViews>
    <sheetView tabSelected="1" showWhiteSpace="0" view="pageBreakPreview" zoomScaleNormal="100" zoomScaleSheetLayoutView="100" workbookViewId="0">
      <selection activeCell="N4" sqref="N4"/>
    </sheetView>
  </sheetViews>
  <sheetFormatPr defaultColWidth="9.21875" defaultRowHeight="15.6" x14ac:dyDescent="0.3"/>
  <cols>
    <col min="1" max="1" width="11.44140625" style="29" customWidth="1"/>
    <col min="2" max="2" width="12" style="29" customWidth="1"/>
    <col min="3" max="3" width="12.77734375" style="29" customWidth="1"/>
    <col min="4" max="4" width="14.21875" style="29" customWidth="1"/>
    <col min="5" max="7" width="11.77734375" style="29" customWidth="1"/>
    <col min="8" max="8" width="19.21875" style="29" customWidth="1"/>
    <col min="9" max="9" width="17.44140625" style="15" customWidth="1"/>
    <col min="10" max="10" width="11.44140625" style="15" customWidth="1"/>
    <col min="11" max="11" width="10.5546875" style="15" bestFit="1" customWidth="1"/>
    <col min="12" max="12" width="10.5546875" style="15" customWidth="1"/>
    <col min="13" max="13" width="11.77734375" style="15" customWidth="1"/>
    <col min="14" max="14" width="12.5546875" style="15" customWidth="1"/>
    <col min="15" max="15" width="9.77734375" style="15" customWidth="1"/>
    <col min="16" max="16" width="11.77734375" style="15" customWidth="1"/>
    <col min="17" max="247" width="9.21875" style="15"/>
    <col min="248" max="248" width="8.77734375" style="15" customWidth="1"/>
    <col min="249" max="249" width="9.77734375" style="15" customWidth="1"/>
    <col min="250" max="250" width="14.44140625" style="15" customWidth="1"/>
    <col min="251" max="251" width="7.21875" style="15" customWidth="1"/>
    <col min="252" max="252" width="5.5546875" style="15" customWidth="1"/>
    <col min="253" max="253" width="9" style="15" customWidth="1"/>
    <col min="254" max="255" width="9.77734375" style="15" customWidth="1"/>
    <col min="256" max="256" width="11.21875" style="15" customWidth="1"/>
    <col min="257" max="257" width="2.77734375" style="15" customWidth="1"/>
    <col min="258" max="258" width="3.5546875" style="15" customWidth="1"/>
    <col min="259" max="503" width="9.21875" style="15"/>
    <col min="504" max="504" width="8.77734375" style="15" customWidth="1"/>
    <col min="505" max="505" width="9.77734375" style="15" customWidth="1"/>
    <col min="506" max="506" width="14.44140625" style="15" customWidth="1"/>
    <col min="507" max="507" width="7.21875" style="15" customWidth="1"/>
    <col min="508" max="508" width="5.5546875" style="15" customWidth="1"/>
    <col min="509" max="509" width="9" style="15" customWidth="1"/>
    <col min="510" max="511" width="9.77734375" style="15" customWidth="1"/>
    <col min="512" max="512" width="11.21875" style="15" customWidth="1"/>
    <col min="513" max="513" width="2.77734375" style="15" customWidth="1"/>
    <col min="514" max="514" width="3.5546875" style="15" customWidth="1"/>
    <col min="515" max="759" width="9.21875" style="15"/>
    <col min="760" max="760" width="8.77734375" style="15" customWidth="1"/>
    <col min="761" max="761" width="9.77734375" style="15" customWidth="1"/>
    <col min="762" max="762" width="14.44140625" style="15" customWidth="1"/>
    <col min="763" max="763" width="7.21875" style="15" customWidth="1"/>
    <col min="764" max="764" width="5.5546875" style="15" customWidth="1"/>
    <col min="765" max="765" width="9" style="15" customWidth="1"/>
    <col min="766" max="767" width="9.77734375" style="15" customWidth="1"/>
    <col min="768" max="768" width="11.21875" style="15" customWidth="1"/>
    <col min="769" max="769" width="2.77734375" style="15" customWidth="1"/>
    <col min="770" max="770" width="3.5546875" style="15" customWidth="1"/>
    <col min="771" max="1015" width="9.21875" style="15"/>
    <col min="1016" max="1016" width="8.77734375" style="15" customWidth="1"/>
    <col min="1017" max="1017" width="9.77734375" style="15" customWidth="1"/>
    <col min="1018" max="1018" width="14.44140625" style="15" customWidth="1"/>
    <col min="1019" max="1019" width="7.21875" style="15" customWidth="1"/>
    <col min="1020" max="1020" width="5.5546875" style="15" customWidth="1"/>
    <col min="1021" max="1021" width="9" style="15" customWidth="1"/>
    <col min="1022" max="1023" width="9.77734375" style="15" customWidth="1"/>
    <col min="1024" max="1024" width="11.21875" style="15" customWidth="1"/>
    <col min="1025" max="1025" width="2.77734375" style="15" customWidth="1"/>
    <col min="1026" max="1026" width="3.5546875" style="15" customWidth="1"/>
    <col min="1027" max="1271" width="9.21875" style="15"/>
    <col min="1272" max="1272" width="8.77734375" style="15" customWidth="1"/>
    <col min="1273" max="1273" width="9.77734375" style="15" customWidth="1"/>
    <col min="1274" max="1274" width="14.44140625" style="15" customWidth="1"/>
    <col min="1275" max="1275" width="7.21875" style="15" customWidth="1"/>
    <col min="1276" max="1276" width="5.5546875" style="15" customWidth="1"/>
    <col min="1277" max="1277" width="9" style="15" customWidth="1"/>
    <col min="1278" max="1279" width="9.77734375" style="15" customWidth="1"/>
    <col min="1280" max="1280" width="11.21875" style="15" customWidth="1"/>
    <col min="1281" max="1281" width="2.77734375" style="15" customWidth="1"/>
    <col min="1282" max="1282" width="3.5546875" style="15" customWidth="1"/>
    <col min="1283" max="1527" width="9.21875" style="15"/>
    <col min="1528" max="1528" width="8.77734375" style="15" customWidth="1"/>
    <col min="1529" max="1529" width="9.77734375" style="15" customWidth="1"/>
    <col min="1530" max="1530" width="14.44140625" style="15" customWidth="1"/>
    <col min="1531" max="1531" width="7.21875" style="15" customWidth="1"/>
    <col min="1532" max="1532" width="5.5546875" style="15" customWidth="1"/>
    <col min="1533" max="1533" width="9" style="15" customWidth="1"/>
    <col min="1534" max="1535" width="9.77734375" style="15" customWidth="1"/>
    <col min="1536" max="1536" width="11.21875" style="15" customWidth="1"/>
    <col min="1537" max="1537" width="2.77734375" style="15" customWidth="1"/>
    <col min="1538" max="1538" width="3.5546875" style="15" customWidth="1"/>
    <col min="1539" max="1783" width="9.21875" style="15"/>
    <col min="1784" max="1784" width="8.77734375" style="15" customWidth="1"/>
    <col min="1785" max="1785" width="9.77734375" style="15" customWidth="1"/>
    <col min="1786" max="1786" width="14.44140625" style="15" customWidth="1"/>
    <col min="1787" max="1787" width="7.21875" style="15" customWidth="1"/>
    <col min="1788" max="1788" width="5.5546875" style="15" customWidth="1"/>
    <col min="1789" max="1789" width="9" style="15" customWidth="1"/>
    <col min="1790" max="1791" width="9.77734375" style="15" customWidth="1"/>
    <col min="1792" max="1792" width="11.21875" style="15" customWidth="1"/>
    <col min="1793" max="1793" width="2.77734375" style="15" customWidth="1"/>
    <col min="1794" max="1794" width="3.5546875" style="15" customWidth="1"/>
    <col min="1795" max="2039" width="9.21875" style="15"/>
    <col min="2040" max="2040" width="8.77734375" style="15" customWidth="1"/>
    <col min="2041" max="2041" width="9.77734375" style="15" customWidth="1"/>
    <col min="2042" max="2042" width="14.44140625" style="15" customWidth="1"/>
    <col min="2043" max="2043" width="7.21875" style="15" customWidth="1"/>
    <col min="2044" max="2044" width="5.5546875" style="15" customWidth="1"/>
    <col min="2045" max="2045" width="9" style="15" customWidth="1"/>
    <col min="2046" max="2047" width="9.77734375" style="15" customWidth="1"/>
    <col min="2048" max="2048" width="11.21875" style="15" customWidth="1"/>
    <col min="2049" max="2049" width="2.77734375" style="15" customWidth="1"/>
    <col min="2050" max="2050" width="3.5546875" style="15" customWidth="1"/>
    <col min="2051" max="2295" width="9.21875" style="15"/>
    <col min="2296" max="2296" width="8.77734375" style="15" customWidth="1"/>
    <col min="2297" max="2297" width="9.77734375" style="15" customWidth="1"/>
    <col min="2298" max="2298" width="14.44140625" style="15" customWidth="1"/>
    <col min="2299" max="2299" width="7.21875" style="15" customWidth="1"/>
    <col min="2300" max="2300" width="5.5546875" style="15" customWidth="1"/>
    <col min="2301" max="2301" width="9" style="15" customWidth="1"/>
    <col min="2302" max="2303" width="9.77734375" style="15" customWidth="1"/>
    <col min="2304" max="2304" width="11.21875" style="15" customWidth="1"/>
    <col min="2305" max="2305" width="2.77734375" style="15" customWidth="1"/>
    <col min="2306" max="2306" width="3.5546875" style="15" customWidth="1"/>
    <col min="2307" max="2551" width="9.21875" style="15"/>
    <col min="2552" max="2552" width="8.77734375" style="15" customWidth="1"/>
    <col min="2553" max="2553" width="9.77734375" style="15" customWidth="1"/>
    <col min="2554" max="2554" width="14.44140625" style="15" customWidth="1"/>
    <col min="2555" max="2555" width="7.21875" style="15" customWidth="1"/>
    <col min="2556" max="2556" width="5.5546875" style="15" customWidth="1"/>
    <col min="2557" max="2557" width="9" style="15" customWidth="1"/>
    <col min="2558" max="2559" width="9.77734375" style="15" customWidth="1"/>
    <col min="2560" max="2560" width="11.21875" style="15" customWidth="1"/>
    <col min="2561" max="2561" width="2.77734375" style="15" customWidth="1"/>
    <col min="2562" max="2562" width="3.5546875" style="15" customWidth="1"/>
    <col min="2563" max="2807" width="9.21875" style="15"/>
    <col min="2808" max="2808" width="8.77734375" style="15" customWidth="1"/>
    <col min="2809" max="2809" width="9.77734375" style="15" customWidth="1"/>
    <col min="2810" max="2810" width="14.44140625" style="15" customWidth="1"/>
    <col min="2811" max="2811" width="7.21875" style="15" customWidth="1"/>
    <col min="2812" max="2812" width="5.5546875" style="15" customWidth="1"/>
    <col min="2813" max="2813" width="9" style="15" customWidth="1"/>
    <col min="2814" max="2815" width="9.77734375" style="15" customWidth="1"/>
    <col min="2816" max="2816" width="11.21875" style="15" customWidth="1"/>
    <col min="2817" max="2817" width="2.77734375" style="15" customWidth="1"/>
    <col min="2818" max="2818" width="3.5546875" style="15" customWidth="1"/>
    <col min="2819" max="3063" width="9.21875" style="15"/>
    <col min="3064" max="3064" width="8.77734375" style="15" customWidth="1"/>
    <col min="3065" max="3065" width="9.77734375" style="15" customWidth="1"/>
    <col min="3066" max="3066" width="14.44140625" style="15" customWidth="1"/>
    <col min="3067" max="3067" width="7.21875" style="15" customWidth="1"/>
    <col min="3068" max="3068" width="5.5546875" style="15" customWidth="1"/>
    <col min="3069" max="3069" width="9" style="15" customWidth="1"/>
    <col min="3070" max="3071" width="9.77734375" style="15" customWidth="1"/>
    <col min="3072" max="3072" width="11.21875" style="15" customWidth="1"/>
    <col min="3073" max="3073" width="2.77734375" style="15" customWidth="1"/>
    <col min="3074" max="3074" width="3.5546875" style="15" customWidth="1"/>
    <col min="3075" max="3319" width="9.21875" style="15"/>
    <col min="3320" max="3320" width="8.77734375" style="15" customWidth="1"/>
    <col min="3321" max="3321" width="9.77734375" style="15" customWidth="1"/>
    <col min="3322" max="3322" width="14.44140625" style="15" customWidth="1"/>
    <col min="3323" max="3323" width="7.21875" style="15" customWidth="1"/>
    <col min="3324" max="3324" width="5.5546875" style="15" customWidth="1"/>
    <col min="3325" max="3325" width="9" style="15" customWidth="1"/>
    <col min="3326" max="3327" width="9.77734375" style="15" customWidth="1"/>
    <col min="3328" max="3328" width="11.21875" style="15" customWidth="1"/>
    <col min="3329" max="3329" width="2.77734375" style="15" customWidth="1"/>
    <col min="3330" max="3330" width="3.5546875" style="15" customWidth="1"/>
    <col min="3331" max="3575" width="9.21875" style="15"/>
    <col min="3576" max="3576" width="8.77734375" style="15" customWidth="1"/>
    <col min="3577" max="3577" width="9.77734375" style="15" customWidth="1"/>
    <col min="3578" max="3578" width="14.44140625" style="15" customWidth="1"/>
    <col min="3579" max="3579" width="7.21875" style="15" customWidth="1"/>
    <col min="3580" max="3580" width="5.5546875" style="15" customWidth="1"/>
    <col min="3581" max="3581" width="9" style="15" customWidth="1"/>
    <col min="3582" max="3583" width="9.77734375" style="15" customWidth="1"/>
    <col min="3584" max="3584" width="11.21875" style="15" customWidth="1"/>
    <col min="3585" max="3585" width="2.77734375" style="15" customWidth="1"/>
    <col min="3586" max="3586" width="3.5546875" style="15" customWidth="1"/>
    <col min="3587" max="3831" width="9.21875" style="15"/>
    <col min="3832" max="3832" width="8.77734375" style="15" customWidth="1"/>
    <col min="3833" max="3833" width="9.77734375" style="15" customWidth="1"/>
    <col min="3834" max="3834" width="14.44140625" style="15" customWidth="1"/>
    <col min="3835" max="3835" width="7.21875" style="15" customWidth="1"/>
    <col min="3836" max="3836" width="5.5546875" style="15" customWidth="1"/>
    <col min="3837" max="3837" width="9" style="15" customWidth="1"/>
    <col min="3838" max="3839" width="9.77734375" style="15" customWidth="1"/>
    <col min="3840" max="3840" width="11.21875" style="15" customWidth="1"/>
    <col min="3841" max="3841" width="2.77734375" style="15" customWidth="1"/>
    <col min="3842" max="3842" width="3.5546875" style="15" customWidth="1"/>
    <col min="3843" max="4087" width="9.21875" style="15"/>
    <col min="4088" max="4088" width="8.77734375" style="15" customWidth="1"/>
    <col min="4089" max="4089" width="9.77734375" style="15" customWidth="1"/>
    <col min="4090" max="4090" width="14.44140625" style="15" customWidth="1"/>
    <col min="4091" max="4091" width="7.21875" style="15" customWidth="1"/>
    <col min="4092" max="4092" width="5.5546875" style="15" customWidth="1"/>
    <col min="4093" max="4093" width="9" style="15" customWidth="1"/>
    <col min="4094" max="4095" width="9.77734375" style="15" customWidth="1"/>
    <col min="4096" max="4096" width="11.21875" style="15" customWidth="1"/>
    <col min="4097" max="4097" width="2.77734375" style="15" customWidth="1"/>
    <col min="4098" max="4098" width="3.5546875" style="15" customWidth="1"/>
    <col min="4099" max="4343" width="9.21875" style="15"/>
    <col min="4344" max="4344" width="8.77734375" style="15" customWidth="1"/>
    <col min="4345" max="4345" width="9.77734375" style="15" customWidth="1"/>
    <col min="4346" max="4346" width="14.44140625" style="15" customWidth="1"/>
    <col min="4347" max="4347" width="7.21875" style="15" customWidth="1"/>
    <col min="4348" max="4348" width="5.5546875" style="15" customWidth="1"/>
    <col min="4349" max="4349" width="9" style="15" customWidth="1"/>
    <col min="4350" max="4351" width="9.77734375" style="15" customWidth="1"/>
    <col min="4352" max="4352" width="11.21875" style="15" customWidth="1"/>
    <col min="4353" max="4353" width="2.77734375" style="15" customWidth="1"/>
    <col min="4354" max="4354" width="3.5546875" style="15" customWidth="1"/>
    <col min="4355" max="4599" width="9.21875" style="15"/>
    <col min="4600" max="4600" width="8.77734375" style="15" customWidth="1"/>
    <col min="4601" max="4601" width="9.77734375" style="15" customWidth="1"/>
    <col min="4602" max="4602" width="14.44140625" style="15" customWidth="1"/>
    <col min="4603" max="4603" width="7.21875" style="15" customWidth="1"/>
    <col min="4604" max="4604" width="5.5546875" style="15" customWidth="1"/>
    <col min="4605" max="4605" width="9" style="15" customWidth="1"/>
    <col min="4606" max="4607" width="9.77734375" style="15" customWidth="1"/>
    <col min="4608" max="4608" width="11.21875" style="15" customWidth="1"/>
    <col min="4609" max="4609" width="2.77734375" style="15" customWidth="1"/>
    <col min="4610" max="4610" width="3.5546875" style="15" customWidth="1"/>
    <col min="4611" max="4855" width="9.21875" style="15"/>
    <col min="4856" max="4856" width="8.77734375" style="15" customWidth="1"/>
    <col min="4857" max="4857" width="9.77734375" style="15" customWidth="1"/>
    <col min="4858" max="4858" width="14.44140625" style="15" customWidth="1"/>
    <col min="4859" max="4859" width="7.21875" style="15" customWidth="1"/>
    <col min="4860" max="4860" width="5.5546875" style="15" customWidth="1"/>
    <col min="4861" max="4861" width="9" style="15" customWidth="1"/>
    <col min="4862" max="4863" width="9.77734375" style="15" customWidth="1"/>
    <col min="4864" max="4864" width="11.21875" style="15" customWidth="1"/>
    <col min="4865" max="4865" width="2.77734375" style="15" customWidth="1"/>
    <col min="4866" max="4866" width="3.5546875" style="15" customWidth="1"/>
    <col min="4867" max="5111" width="9.21875" style="15"/>
    <col min="5112" max="5112" width="8.77734375" style="15" customWidth="1"/>
    <col min="5113" max="5113" width="9.77734375" style="15" customWidth="1"/>
    <col min="5114" max="5114" width="14.44140625" style="15" customWidth="1"/>
    <col min="5115" max="5115" width="7.21875" style="15" customWidth="1"/>
    <col min="5116" max="5116" width="5.5546875" style="15" customWidth="1"/>
    <col min="5117" max="5117" width="9" style="15" customWidth="1"/>
    <col min="5118" max="5119" width="9.77734375" style="15" customWidth="1"/>
    <col min="5120" max="5120" width="11.21875" style="15" customWidth="1"/>
    <col min="5121" max="5121" width="2.77734375" style="15" customWidth="1"/>
    <col min="5122" max="5122" width="3.5546875" style="15" customWidth="1"/>
    <col min="5123" max="5367" width="9.21875" style="15"/>
    <col min="5368" max="5368" width="8.77734375" style="15" customWidth="1"/>
    <col min="5369" max="5369" width="9.77734375" style="15" customWidth="1"/>
    <col min="5370" max="5370" width="14.44140625" style="15" customWidth="1"/>
    <col min="5371" max="5371" width="7.21875" style="15" customWidth="1"/>
    <col min="5372" max="5372" width="5.5546875" style="15" customWidth="1"/>
    <col min="5373" max="5373" width="9" style="15" customWidth="1"/>
    <col min="5374" max="5375" width="9.77734375" style="15" customWidth="1"/>
    <col min="5376" max="5376" width="11.21875" style="15" customWidth="1"/>
    <col min="5377" max="5377" width="2.77734375" style="15" customWidth="1"/>
    <col min="5378" max="5378" width="3.5546875" style="15" customWidth="1"/>
    <col min="5379" max="5623" width="9.21875" style="15"/>
    <col min="5624" max="5624" width="8.77734375" style="15" customWidth="1"/>
    <col min="5625" max="5625" width="9.77734375" style="15" customWidth="1"/>
    <col min="5626" max="5626" width="14.44140625" style="15" customWidth="1"/>
    <col min="5627" max="5627" width="7.21875" style="15" customWidth="1"/>
    <col min="5628" max="5628" width="5.5546875" style="15" customWidth="1"/>
    <col min="5629" max="5629" width="9" style="15" customWidth="1"/>
    <col min="5630" max="5631" width="9.77734375" style="15" customWidth="1"/>
    <col min="5632" max="5632" width="11.21875" style="15" customWidth="1"/>
    <col min="5633" max="5633" width="2.77734375" style="15" customWidth="1"/>
    <col min="5634" max="5634" width="3.5546875" style="15" customWidth="1"/>
    <col min="5635" max="5879" width="9.21875" style="15"/>
    <col min="5880" max="5880" width="8.77734375" style="15" customWidth="1"/>
    <col min="5881" max="5881" width="9.77734375" style="15" customWidth="1"/>
    <col min="5882" max="5882" width="14.44140625" style="15" customWidth="1"/>
    <col min="5883" max="5883" width="7.21875" style="15" customWidth="1"/>
    <col min="5884" max="5884" width="5.5546875" style="15" customWidth="1"/>
    <col min="5885" max="5885" width="9" style="15" customWidth="1"/>
    <col min="5886" max="5887" width="9.77734375" style="15" customWidth="1"/>
    <col min="5888" max="5888" width="11.21875" style="15" customWidth="1"/>
    <col min="5889" max="5889" width="2.77734375" style="15" customWidth="1"/>
    <col min="5890" max="5890" width="3.5546875" style="15" customWidth="1"/>
    <col min="5891" max="6135" width="9.21875" style="15"/>
    <col min="6136" max="6136" width="8.77734375" style="15" customWidth="1"/>
    <col min="6137" max="6137" width="9.77734375" style="15" customWidth="1"/>
    <col min="6138" max="6138" width="14.44140625" style="15" customWidth="1"/>
    <col min="6139" max="6139" width="7.21875" style="15" customWidth="1"/>
    <col min="6140" max="6140" width="5.5546875" style="15" customWidth="1"/>
    <col min="6141" max="6141" width="9" style="15" customWidth="1"/>
    <col min="6142" max="6143" width="9.77734375" style="15" customWidth="1"/>
    <col min="6144" max="6144" width="11.21875" style="15" customWidth="1"/>
    <col min="6145" max="6145" width="2.77734375" style="15" customWidth="1"/>
    <col min="6146" max="6146" width="3.5546875" style="15" customWidth="1"/>
    <col min="6147" max="6391" width="9.21875" style="15"/>
    <col min="6392" max="6392" width="8.77734375" style="15" customWidth="1"/>
    <col min="6393" max="6393" width="9.77734375" style="15" customWidth="1"/>
    <col min="6394" max="6394" width="14.44140625" style="15" customWidth="1"/>
    <col min="6395" max="6395" width="7.21875" style="15" customWidth="1"/>
    <col min="6396" max="6396" width="5.5546875" style="15" customWidth="1"/>
    <col min="6397" max="6397" width="9" style="15" customWidth="1"/>
    <col min="6398" max="6399" width="9.77734375" style="15" customWidth="1"/>
    <col min="6400" max="6400" width="11.21875" style="15" customWidth="1"/>
    <col min="6401" max="6401" width="2.77734375" style="15" customWidth="1"/>
    <col min="6402" max="6402" width="3.5546875" style="15" customWidth="1"/>
    <col min="6403" max="6647" width="9.21875" style="15"/>
    <col min="6648" max="6648" width="8.77734375" style="15" customWidth="1"/>
    <col min="6649" max="6649" width="9.77734375" style="15" customWidth="1"/>
    <col min="6650" max="6650" width="14.44140625" style="15" customWidth="1"/>
    <col min="6651" max="6651" width="7.21875" style="15" customWidth="1"/>
    <col min="6652" max="6652" width="5.5546875" style="15" customWidth="1"/>
    <col min="6653" max="6653" width="9" style="15" customWidth="1"/>
    <col min="6654" max="6655" width="9.77734375" style="15" customWidth="1"/>
    <col min="6656" max="6656" width="11.21875" style="15" customWidth="1"/>
    <col min="6657" max="6657" width="2.77734375" style="15" customWidth="1"/>
    <col min="6658" max="6658" width="3.5546875" style="15" customWidth="1"/>
    <col min="6659" max="6903" width="9.21875" style="15"/>
    <col min="6904" max="6904" width="8.77734375" style="15" customWidth="1"/>
    <col min="6905" max="6905" width="9.77734375" style="15" customWidth="1"/>
    <col min="6906" max="6906" width="14.44140625" style="15" customWidth="1"/>
    <col min="6907" max="6907" width="7.21875" style="15" customWidth="1"/>
    <col min="6908" max="6908" width="5.5546875" style="15" customWidth="1"/>
    <col min="6909" max="6909" width="9" style="15" customWidth="1"/>
    <col min="6910" max="6911" width="9.77734375" style="15" customWidth="1"/>
    <col min="6912" max="6912" width="11.21875" style="15" customWidth="1"/>
    <col min="6913" max="6913" width="2.77734375" style="15" customWidth="1"/>
    <col min="6914" max="6914" width="3.5546875" style="15" customWidth="1"/>
    <col min="6915" max="7159" width="9.21875" style="15"/>
    <col min="7160" max="7160" width="8.77734375" style="15" customWidth="1"/>
    <col min="7161" max="7161" width="9.77734375" style="15" customWidth="1"/>
    <col min="7162" max="7162" width="14.44140625" style="15" customWidth="1"/>
    <col min="7163" max="7163" width="7.21875" style="15" customWidth="1"/>
    <col min="7164" max="7164" width="5.5546875" style="15" customWidth="1"/>
    <col min="7165" max="7165" width="9" style="15" customWidth="1"/>
    <col min="7166" max="7167" width="9.77734375" style="15" customWidth="1"/>
    <col min="7168" max="7168" width="11.21875" style="15" customWidth="1"/>
    <col min="7169" max="7169" width="2.77734375" style="15" customWidth="1"/>
    <col min="7170" max="7170" width="3.5546875" style="15" customWidth="1"/>
    <col min="7171" max="7415" width="9.21875" style="15"/>
    <col min="7416" max="7416" width="8.77734375" style="15" customWidth="1"/>
    <col min="7417" max="7417" width="9.77734375" style="15" customWidth="1"/>
    <col min="7418" max="7418" width="14.44140625" style="15" customWidth="1"/>
    <col min="7419" max="7419" width="7.21875" style="15" customWidth="1"/>
    <col min="7420" max="7420" width="5.5546875" style="15" customWidth="1"/>
    <col min="7421" max="7421" width="9" style="15" customWidth="1"/>
    <col min="7422" max="7423" width="9.77734375" style="15" customWidth="1"/>
    <col min="7424" max="7424" width="11.21875" style="15" customWidth="1"/>
    <col min="7425" max="7425" width="2.77734375" style="15" customWidth="1"/>
    <col min="7426" max="7426" width="3.5546875" style="15" customWidth="1"/>
    <col min="7427" max="7671" width="9.21875" style="15"/>
    <col min="7672" max="7672" width="8.77734375" style="15" customWidth="1"/>
    <col min="7673" max="7673" width="9.77734375" style="15" customWidth="1"/>
    <col min="7674" max="7674" width="14.44140625" style="15" customWidth="1"/>
    <col min="7675" max="7675" width="7.21875" style="15" customWidth="1"/>
    <col min="7676" max="7676" width="5.5546875" style="15" customWidth="1"/>
    <col min="7677" max="7677" width="9" style="15" customWidth="1"/>
    <col min="7678" max="7679" width="9.77734375" style="15" customWidth="1"/>
    <col min="7680" max="7680" width="11.21875" style="15" customWidth="1"/>
    <col min="7681" max="7681" width="2.77734375" style="15" customWidth="1"/>
    <col min="7682" max="7682" width="3.5546875" style="15" customWidth="1"/>
    <col min="7683" max="7927" width="9.21875" style="15"/>
    <col min="7928" max="7928" width="8.77734375" style="15" customWidth="1"/>
    <col min="7929" max="7929" width="9.77734375" style="15" customWidth="1"/>
    <col min="7930" max="7930" width="14.44140625" style="15" customWidth="1"/>
    <col min="7931" max="7931" width="7.21875" style="15" customWidth="1"/>
    <col min="7932" max="7932" width="5.5546875" style="15" customWidth="1"/>
    <col min="7933" max="7933" width="9" style="15" customWidth="1"/>
    <col min="7934" max="7935" width="9.77734375" style="15" customWidth="1"/>
    <col min="7936" max="7936" width="11.21875" style="15" customWidth="1"/>
    <col min="7937" max="7937" width="2.77734375" style="15" customWidth="1"/>
    <col min="7938" max="7938" width="3.5546875" style="15" customWidth="1"/>
    <col min="7939" max="8183" width="9.21875" style="15"/>
    <col min="8184" max="8184" width="8.77734375" style="15" customWidth="1"/>
    <col min="8185" max="8185" width="9.77734375" style="15" customWidth="1"/>
    <col min="8186" max="8186" width="14.44140625" style="15" customWidth="1"/>
    <col min="8187" max="8187" width="7.21875" style="15" customWidth="1"/>
    <col min="8188" max="8188" width="5.5546875" style="15" customWidth="1"/>
    <col min="8189" max="8189" width="9" style="15" customWidth="1"/>
    <col min="8190" max="8191" width="9.77734375" style="15" customWidth="1"/>
    <col min="8192" max="8192" width="11.21875" style="15" customWidth="1"/>
    <col min="8193" max="8193" width="2.77734375" style="15" customWidth="1"/>
    <col min="8194" max="8194" width="3.5546875" style="15" customWidth="1"/>
    <col min="8195" max="8439" width="9.21875" style="15"/>
    <col min="8440" max="8440" width="8.77734375" style="15" customWidth="1"/>
    <col min="8441" max="8441" width="9.77734375" style="15" customWidth="1"/>
    <col min="8442" max="8442" width="14.44140625" style="15" customWidth="1"/>
    <col min="8443" max="8443" width="7.21875" style="15" customWidth="1"/>
    <col min="8444" max="8444" width="5.5546875" style="15" customWidth="1"/>
    <col min="8445" max="8445" width="9" style="15" customWidth="1"/>
    <col min="8446" max="8447" width="9.77734375" style="15" customWidth="1"/>
    <col min="8448" max="8448" width="11.21875" style="15" customWidth="1"/>
    <col min="8449" max="8449" width="2.77734375" style="15" customWidth="1"/>
    <col min="8450" max="8450" width="3.5546875" style="15" customWidth="1"/>
    <col min="8451" max="8695" width="9.21875" style="15"/>
    <col min="8696" max="8696" width="8.77734375" style="15" customWidth="1"/>
    <col min="8697" max="8697" width="9.77734375" style="15" customWidth="1"/>
    <col min="8698" max="8698" width="14.44140625" style="15" customWidth="1"/>
    <col min="8699" max="8699" width="7.21875" style="15" customWidth="1"/>
    <col min="8700" max="8700" width="5.5546875" style="15" customWidth="1"/>
    <col min="8701" max="8701" width="9" style="15" customWidth="1"/>
    <col min="8702" max="8703" width="9.77734375" style="15" customWidth="1"/>
    <col min="8704" max="8704" width="11.21875" style="15" customWidth="1"/>
    <col min="8705" max="8705" width="2.77734375" style="15" customWidth="1"/>
    <col min="8706" max="8706" width="3.5546875" style="15" customWidth="1"/>
    <col min="8707" max="8951" width="9.21875" style="15"/>
    <col min="8952" max="8952" width="8.77734375" style="15" customWidth="1"/>
    <col min="8953" max="8953" width="9.77734375" style="15" customWidth="1"/>
    <col min="8954" max="8954" width="14.44140625" style="15" customWidth="1"/>
    <col min="8955" max="8955" width="7.21875" style="15" customWidth="1"/>
    <col min="8956" max="8956" width="5.5546875" style="15" customWidth="1"/>
    <col min="8957" max="8957" width="9" style="15" customWidth="1"/>
    <col min="8958" max="8959" width="9.77734375" style="15" customWidth="1"/>
    <col min="8960" max="8960" width="11.21875" style="15" customWidth="1"/>
    <col min="8961" max="8961" width="2.77734375" style="15" customWidth="1"/>
    <col min="8962" max="8962" width="3.5546875" style="15" customWidth="1"/>
    <col min="8963" max="9207" width="9.21875" style="15"/>
    <col min="9208" max="9208" width="8.77734375" style="15" customWidth="1"/>
    <col min="9209" max="9209" width="9.77734375" style="15" customWidth="1"/>
    <col min="9210" max="9210" width="14.44140625" style="15" customWidth="1"/>
    <col min="9211" max="9211" width="7.21875" style="15" customWidth="1"/>
    <col min="9212" max="9212" width="5.5546875" style="15" customWidth="1"/>
    <col min="9213" max="9213" width="9" style="15" customWidth="1"/>
    <col min="9214" max="9215" width="9.77734375" style="15" customWidth="1"/>
    <col min="9216" max="9216" width="11.21875" style="15" customWidth="1"/>
    <col min="9217" max="9217" width="2.77734375" style="15" customWidth="1"/>
    <col min="9218" max="9218" width="3.5546875" style="15" customWidth="1"/>
    <col min="9219" max="9463" width="9.21875" style="15"/>
    <col min="9464" max="9464" width="8.77734375" style="15" customWidth="1"/>
    <col min="9465" max="9465" width="9.77734375" style="15" customWidth="1"/>
    <col min="9466" max="9466" width="14.44140625" style="15" customWidth="1"/>
    <col min="9467" max="9467" width="7.21875" style="15" customWidth="1"/>
    <col min="9468" max="9468" width="5.5546875" style="15" customWidth="1"/>
    <col min="9469" max="9469" width="9" style="15" customWidth="1"/>
    <col min="9470" max="9471" width="9.77734375" style="15" customWidth="1"/>
    <col min="9472" max="9472" width="11.21875" style="15" customWidth="1"/>
    <col min="9473" max="9473" width="2.77734375" style="15" customWidth="1"/>
    <col min="9474" max="9474" width="3.5546875" style="15" customWidth="1"/>
    <col min="9475" max="9719" width="9.21875" style="15"/>
    <col min="9720" max="9720" width="8.77734375" style="15" customWidth="1"/>
    <col min="9721" max="9721" width="9.77734375" style="15" customWidth="1"/>
    <col min="9722" max="9722" width="14.44140625" style="15" customWidth="1"/>
    <col min="9723" max="9723" width="7.21875" style="15" customWidth="1"/>
    <col min="9724" max="9724" width="5.5546875" style="15" customWidth="1"/>
    <col min="9725" max="9725" width="9" style="15" customWidth="1"/>
    <col min="9726" max="9727" width="9.77734375" style="15" customWidth="1"/>
    <col min="9728" max="9728" width="11.21875" style="15" customWidth="1"/>
    <col min="9729" max="9729" width="2.77734375" style="15" customWidth="1"/>
    <col min="9730" max="9730" width="3.5546875" style="15" customWidth="1"/>
    <col min="9731" max="9975" width="9.21875" style="15"/>
    <col min="9976" max="9976" width="8.77734375" style="15" customWidth="1"/>
    <col min="9977" max="9977" width="9.77734375" style="15" customWidth="1"/>
    <col min="9978" max="9978" width="14.44140625" style="15" customWidth="1"/>
    <col min="9979" max="9979" width="7.21875" style="15" customWidth="1"/>
    <col min="9980" max="9980" width="5.5546875" style="15" customWidth="1"/>
    <col min="9981" max="9981" width="9" style="15" customWidth="1"/>
    <col min="9982" max="9983" width="9.77734375" style="15" customWidth="1"/>
    <col min="9984" max="9984" width="11.21875" style="15" customWidth="1"/>
    <col min="9985" max="9985" width="2.77734375" style="15" customWidth="1"/>
    <col min="9986" max="9986" width="3.5546875" style="15" customWidth="1"/>
    <col min="9987" max="10231" width="9.21875" style="15"/>
    <col min="10232" max="10232" width="8.77734375" style="15" customWidth="1"/>
    <col min="10233" max="10233" width="9.77734375" style="15" customWidth="1"/>
    <col min="10234" max="10234" width="14.44140625" style="15" customWidth="1"/>
    <col min="10235" max="10235" width="7.21875" style="15" customWidth="1"/>
    <col min="10236" max="10236" width="5.5546875" style="15" customWidth="1"/>
    <col min="10237" max="10237" width="9" style="15" customWidth="1"/>
    <col min="10238" max="10239" width="9.77734375" style="15" customWidth="1"/>
    <col min="10240" max="10240" width="11.21875" style="15" customWidth="1"/>
    <col min="10241" max="10241" width="2.77734375" style="15" customWidth="1"/>
    <col min="10242" max="10242" width="3.5546875" style="15" customWidth="1"/>
    <col min="10243" max="10487" width="9.21875" style="15"/>
    <col min="10488" max="10488" width="8.77734375" style="15" customWidth="1"/>
    <col min="10489" max="10489" width="9.77734375" style="15" customWidth="1"/>
    <col min="10490" max="10490" width="14.44140625" style="15" customWidth="1"/>
    <col min="10491" max="10491" width="7.21875" style="15" customWidth="1"/>
    <col min="10492" max="10492" width="5.5546875" style="15" customWidth="1"/>
    <col min="10493" max="10493" width="9" style="15" customWidth="1"/>
    <col min="10494" max="10495" width="9.77734375" style="15" customWidth="1"/>
    <col min="10496" max="10496" width="11.21875" style="15" customWidth="1"/>
    <col min="10497" max="10497" width="2.77734375" style="15" customWidth="1"/>
    <col min="10498" max="10498" width="3.5546875" style="15" customWidth="1"/>
    <col min="10499" max="10743" width="9.21875" style="15"/>
    <col min="10744" max="10744" width="8.77734375" style="15" customWidth="1"/>
    <col min="10745" max="10745" width="9.77734375" style="15" customWidth="1"/>
    <col min="10746" max="10746" width="14.44140625" style="15" customWidth="1"/>
    <col min="10747" max="10747" width="7.21875" style="15" customWidth="1"/>
    <col min="10748" max="10748" width="5.5546875" style="15" customWidth="1"/>
    <col min="10749" max="10749" width="9" style="15" customWidth="1"/>
    <col min="10750" max="10751" width="9.77734375" style="15" customWidth="1"/>
    <col min="10752" max="10752" width="11.21875" style="15" customWidth="1"/>
    <col min="10753" max="10753" width="2.77734375" style="15" customWidth="1"/>
    <col min="10754" max="10754" width="3.5546875" style="15" customWidth="1"/>
    <col min="10755" max="10999" width="9.21875" style="15"/>
    <col min="11000" max="11000" width="8.77734375" style="15" customWidth="1"/>
    <col min="11001" max="11001" width="9.77734375" style="15" customWidth="1"/>
    <col min="11002" max="11002" width="14.44140625" style="15" customWidth="1"/>
    <col min="11003" max="11003" width="7.21875" style="15" customWidth="1"/>
    <col min="11004" max="11004" width="5.5546875" style="15" customWidth="1"/>
    <col min="11005" max="11005" width="9" style="15" customWidth="1"/>
    <col min="11006" max="11007" width="9.77734375" style="15" customWidth="1"/>
    <col min="11008" max="11008" width="11.21875" style="15" customWidth="1"/>
    <col min="11009" max="11009" width="2.77734375" style="15" customWidth="1"/>
    <col min="11010" max="11010" width="3.5546875" style="15" customWidth="1"/>
    <col min="11011" max="11255" width="9.21875" style="15"/>
    <col min="11256" max="11256" width="8.77734375" style="15" customWidth="1"/>
    <col min="11257" max="11257" width="9.77734375" style="15" customWidth="1"/>
    <col min="11258" max="11258" width="14.44140625" style="15" customWidth="1"/>
    <col min="11259" max="11259" width="7.21875" style="15" customWidth="1"/>
    <col min="11260" max="11260" width="5.5546875" style="15" customWidth="1"/>
    <col min="11261" max="11261" width="9" style="15" customWidth="1"/>
    <col min="11262" max="11263" width="9.77734375" style="15" customWidth="1"/>
    <col min="11264" max="11264" width="11.21875" style="15" customWidth="1"/>
    <col min="11265" max="11265" width="2.77734375" style="15" customWidth="1"/>
    <col min="11266" max="11266" width="3.5546875" style="15" customWidth="1"/>
    <col min="11267" max="11511" width="9.21875" style="15"/>
    <col min="11512" max="11512" width="8.77734375" style="15" customWidth="1"/>
    <col min="11513" max="11513" width="9.77734375" style="15" customWidth="1"/>
    <col min="11514" max="11514" width="14.44140625" style="15" customWidth="1"/>
    <col min="11515" max="11515" width="7.21875" style="15" customWidth="1"/>
    <col min="11516" max="11516" width="5.5546875" style="15" customWidth="1"/>
    <col min="11517" max="11517" width="9" style="15" customWidth="1"/>
    <col min="11518" max="11519" width="9.77734375" style="15" customWidth="1"/>
    <col min="11520" max="11520" width="11.21875" style="15" customWidth="1"/>
    <col min="11521" max="11521" width="2.77734375" style="15" customWidth="1"/>
    <col min="11522" max="11522" width="3.5546875" style="15" customWidth="1"/>
    <col min="11523" max="11767" width="9.21875" style="15"/>
    <col min="11768" max="11768" width="8.77734375" style="15" customWidth="1"/>
    <col min="11769" max="11769" width="9.77734375" style="15" customWidth="1"/>
    <col min="11770" max="11770" width="14.44140625" style="15" customWidth="1"/>
    <col min="11771" max="11771" width="7.21875" style="15" customWidth="1"/>
    <col min="11772" max="11772" width="5.5546875" style="15" customWidth="1"/>
    <col min="11773" max="11773" width="9" style="15" customWidth="1"/>
    <col min="11774" max="11775" width="9.77734375" style="15" customWidth="1"/>
    <col min="11776" max="11776" width="11.21875" style="15" customWidth="1"/>
    <col min="11777" max="11777" width="2.77734375" style="15" customWidth="1"/>
    <col min="11778" max="11778" width="3.5546875" style="15" customWidth="1"/>
    <col min="11779" max="12023" width="9.21875" style="15"/>
    <col min="12024" max="12024" width="8.77734375" style="15" customWidth="1"/>
    <col min="12025" max="12025" width="9.77734375" style="15" customWidth="1"/>
    <col min="12026" max="12026" width="14.44140625" style="15" customWidth="1"/>
    <col min="12027" max="12027" width="7.21875" style="15" customWidth="1"/>
    <col min="12028" max="12028" width="5.5546875" style="15" customWidth="1"/>
    <col min="12029" max="12029" width="9" style="15" customWidth="1"/>
    <col min="12030" max="12031" width="9.77734375" style="15" customWidth="1"/>
    <col min="12032" max="12032" width="11.21875" style="15" customWidth="1"/>
    <col min="12033" max="12033" width="2.77734375" style="15" customWidth="1"/>
    <col min="12034" max="12034" width="3.5546875" style="15" customWidth="1"/>
    <col min="12035" max="12279" width="9.21875" style="15"/>
    <col min="12280" max="12280" width="8.77734375" style="15" customWidth="1"/>
    <col min="12281" max="12281" width="9.77734375" style="15" customWidth="1"/>
    <col min="12282" max="12282" width="14.44140625" style="15" customWidth="1"/>
    <col min="12283" max="12283" width="7.21875" style="15" customWidth="1"/>
    <col min="12284" max="12284" width="5.5546875" style="15" customWidth="1"/>
    <col min="12285" max="12285" width="9" style="15" customWidth="1"/>
    <col min="12286" max="12287" width="9.77734375" style="15" customWidth="1"/>
    <col min="12288" max="12288" width="11.21875" style="15" customWidth="1"/>
    <col min="12289" max="12289" width="2.77734375" style="15" customWidth="1"/>
    <col min="12290" max="12290" width="3.5546875" style="15" customWidth="1"/>
    <col min="12291" max="12535" width="9.21875" style="15"/>
    <col min="12536" max="12536" width="8.77734375" style="15" customWidth="1"/>
    <col min="12537" max="12537" width="9.77734375" style="15" customWidth="1"/>
    <col min="12538" max="12538" width="14.44140625" style="15" customWidth="1"/>
    <col min="12539" max="12539" width="7.21875" style="15" customWidth="1"/>
    <col min="12540" max="12540" width="5.5546875" style="15" customWidth="1"/>
    <col min="12541" max="12541" width="9" style="15" customWidth="1"/>
    <col min="12542" max="12543" width="9.77734375" style="15" customWidth="1"/>
    <col min="12544" max="12544" width="11.21875" style="15" customWidth="1"/>
    <col min="12545" max="12545" width="2.77734375" style="15" customWidth="1"/>
    <col min="12546" max="12546" width="3.5546875" style="15" customWidth="1"/>
    <col min="12547" max="12791" width="9.21875" style="15"/>
    <col min="12792" max="12792" width="8.77734375" style="15" customWidth="1"/>
    <col min="12793" max="12793" width="9.77734375" style="15" customWidth="1"/>
    <col min="12794" max="12794" width="14.44140625" style="15" customWidth="1"/>
    <col min="12795" max="12795" width="7.21875" style="15" customWidth="1"/>
    <col min="12796" max="12796" width="5.5546875" style="15" customWidth="1"/>
    <col min="12797" max="12797" width="9" style="15" customWidth="1"/>
    <col min="12798" max="12799" width="9.77734375" style="15" customWidth="1"/>
    <col min="12800" max="12800" width="11.21875" style="15" customWidth="1"/>
    <col min="12801" max="12801" width="2.77734375" style="15" customWidth="1"/>
    <col min="12802" max="12802" width="3.5546875" style="15" customWidth="1"/>
    <col min="12803" max="13047" width="9.21875" style="15"/>
    <col min="13048" max="13048" width="8.77734375" style="15" customWidth="1"/>
    <col min="13049" max="13049" width="9.77734375" style="15" customWidth="1"/>
    <col min="13050" max="13050" width="14.44140625" style="15" customWidth="1"/>
    <col min="13051" max="13051" width="7.21875" style="15" customWidth="1"/>
    <col min="13052" max="13052" width="5.5546875" style="15" customWidth="1"/>
    <col min="13053" max="13053" width="9" style="15" customWidth="1"/>
    <col min="13054" max="13055" width="9.77734375" style="15" customWidth="1"/>
    <col min="13056" max="13056" width="11.21875" style="15" customWidth="1"/>
    <col min="13057" max="13057" width="2.77734375" style="15" customWidth="1"/>
    <col min="13058" max="13058" width="3.5546875" style="15" customWidth="1"/>
    <col min="13059" max="13303" width="9.21875" style="15"/>
    <col min="13304" max="13304" width="8.77734375" style="15" customWidth="1"/>
    <col min="13305" max="13305" width="9.77734375" style="15" customWidth="1"/>
    <col min="13306" max="13306" width="14.44140625" style="15" customWidth="1"/>
    <col min="13307" max="13307" width="7.21875" style="15" customWidth="1"/>
    <col min="13308" max="13308" width="5.5546875" style="15" customWidth="1"/>
    <col min="13309" max="13309" width="9" style="15" customWidth="1"/>
    <col min="13310" max="13311" width="9.77734375" style="15" customWidth="1"/>
    <col min="13312" max="13312" width="11.21875" style="15" customWidth="1"/>
    <col min="13313" max="13313" width="2.77734375" style="15" customWidth="1"/>
    <col min="13314" max="13314" width="3.5546875" style="15" customWidth="1"/>
    <col min="13315" max="13559" width="9.21875" style="15"/>
    <col min="13560" max="13560" width="8.77734375" style="15" customWidth="1"/>
    <col min="13561" max="13561" width="9.77734375" style="15" customWidth="1"/>
    <col min="13562" max="13562" width="14.44140625" style="15" customWidth="1"/>
    <col min="13563" max="13563" width="7.21875" style="15" customWidth="1"/>
    <col min="13564" max="13564" width="5.5546875" style="15" customWidth="1"/>
    <col min="13565" max="13565" width="9" style="15" customWidth="1"/>
    <col min="13566" max="13567" width="9.77734375" style="15" customWidth="1"/>
    <col min="13568" max="13568" width="11.21875" style="15" customWidth="1"/>
    <col min="13569" max="13569" width="2.77734375" style="15" customWidth="1"/>
    <col min="13570" max="13570" width="3.5546875" style="15" customWidth="1"/>
    <col min="13571" max="13815" width="9.21875" style="15"/>
    <col min="13816" max="13816" width="8.77734375" style="15" customWidth="1"/>
    <col min="13817" max="13817" width="9.77734375" style="15" customWidth="1"/>
    <col min="13818" max="13818" width="14.44140625" style="15" customWidth="1"/>
    <col min="13819" max="13819" width="7.21875" style="15" customWidth="1"/>
    <col min="13820" max="13820" width="5.5546875" style="15" customWidth="1"/>
    <col min="13821" max="13821" width="9" style="15" customWidth="1"/>
    <col min="13822" max="13823" width="9.77734375" style="15" customWidth="1"/>
    <col min="13824" max="13824" width="11.21875" style="15" customWidth="1"/>
    <col min="13825" max="13825" width="2.77734375" style="15" customWidth="1"/>
    <col min="13826" max="13826" width="3.5546875" style="15" customWidth="1"/>
    <col min="13827" max="14071" width="9.21875" style="15"/>
    <col min="14072" max="14072" width="8.77734375" style="15" customWidth="1"/>
    <col min="14073" max="14073" width="9.77734375" style="15" customWidth="1"/>
    <col min="14074" max="14074" width="14.44140625" style="15" customWidth="1"/>
    <col min="14075" max="14075" width="7.21875" style="15" customWidth="1"/>
    <col min="14076" max="14076" width="5.5546875" style="15" customWidth="1"/>
    <col min="14077" max="14077" width="9" style="15" customWidth="1"/>
    <col min="14078" max="14079" width="9.77734375" style="15" customWidth="1"/>
    <col min="14080" max="14080" width="11.21875" style="15" customWidth="1"/>
    <col min="14081" max="14081" width="2.77734375" style="15" customWidth="1"/>
    <col min="14082" max="14082" width="3.5546875" style="15" customWidth="1"/>
    <col min="14083" max="14327" width="9.21875" style="15"/>
    <col min="14328" max="14328" width="8.77734375" style="15" customWidth="1"/>
    <col min="14329" max="14329" width="9.77734375" style="15" customWidth="1"/>
    <col min="14330" max="14330" width="14.44140625" style="15" customWidth="1"/>
    <col min="14331" max="14331" width="7.21875" style="15" customWidth="1"/>
    <col min="14332" max="14332" width="5.5546875" style="15" customWidth="1"/>
    <col min="14333" max="14333" width="9" style="15" customWidth="1"/>
    <col min="14334" max="14335" width="9.77734375" style="15" customWidth="1"/>
    <col min="14336" max="14336" width="11.21875" style="15" customWidth="1"/>
    <col min="14337" max="14337" width="2.77734375" style="15" customWidth="1"/>
    <col min="14338" max="14338" width="3.5546875" style="15" customWidth="1"/>
    <col min="14339" max="14583" width="9.21875" style="15"/>
    <col min="14584" max="14584" width="8.77734375" style="15" customWidth="1"/>
    <col min="14585" max="14585" width="9.77734375" style="15" customWidth="1"/>
    <col min="14586" max="14586" width="14.44140625" style="15" customWidth="1"/>
    <col min="14587" max="14587" width="7.21875" style="15" customWidth="1"/>
    <col min="14588" max="14588" width="5.5546875" style="15" customWidth="1"/>
    <col min="14589" max="14589" width="9" style="15" customWidth="1"/>
    <col min="14590" max="14591" width="9.77734375" style="15" customWidth="1"/>
    <col min="14592" max="14592" width="11.21875" style="15" customWidth="1"/>
    <col min="14593" max="14593" width="2.77734375" style="15" customWidth="1"/>
    <col min="14594" max="14594" width="3.5546875" style="15" customWidth="1"/>
    <col min="14595" max="14839" width="9.21875" style="15"/>
    <col min="14840" max="14840" width="8.77734375" style="15" customWidth="1"/>
    <col min="14841" max="14841" width="9.77734375" style="15" customWidth="1"/>
    <col min="14842" max="14842" width="14.44140625" style="15" customWidth="1"/>
    <col min="14843" max="14843" width="7.21875" style="15" customWidth="1"/>
    <col min="14844" max="14844" width="5.5546875" style="15" customWidth="1"/>
    <col min="14845" max="14845" width="9" style="15" customWidth="1"/>
    <col min="14846" max="14847" width="9.77734375" style="15" customWidth="1"/>
    <col min="14848" max="14848" width="11.21875" style="15" customWidth="1"/>
    <col min="14849" max="14849" width="2.77734375" style="15" customWidth="1"/>
    <col min="14850" max="14850" width="3.5546875" style="15" customWidth="1"/>
    <col min="14851" max="15095" width="9.21875" style="15"/>
    <col min="15096" max="15096" width="8.77734375" style="15" customWidth="1"/>
    <col min="15097" max="15097" width="9.77734375" style="15" customWidth="1"/>
    <col min="15098" max="15098" width="14.44140625" style="15" customWidth="1"/>
    <col min="15099" max="15099" width="7.21875" style="15" customWidth="1"/>
    <col min="15100" max="15100" width="5.5546875" style="15" customWidth="1"/>
    <col min="15101" max="15101" width="9" style="15" customWidth="1"/>
    <col min="15102" max="15103" width="9.77734375" style="15" customWidth="1"/>
    <col min="15104" max="15104" width="11.21875" style="15" customWidth="1"/>
    <col min="15105" max="15105" width="2.77734375" style="15" customWidth="1"/>
    <col min="15106" max="15106" width="3.5546875" style="15" customWidth="1"/>
    <col min="15107" max="15351" width="9.21875" style="15"/>
    <col min="15352" max="15352" width="8.77734375" style="15" customWidth="1"/>
    <col min="15353" max="15353" width="9.77734375" style="15" customWidth="1"/>
    <col min="15354" max="15354" width="14.44140625" style="15" customWidth="1"/>
    <col min="15355" max="15355" width="7.21875" style="15" customWidth="1"/>
    <col min="15356" max="15356" width="5.5546875" style="15" customWidth="1"/>
    <col min="15357" max="15357" width="9" style="15" customWidth="1"/>
    <col min="15358" max="15359" width="9.77734375" style="15" customWidth="1"/>
    <col min="15360" max="15360" width="11.21875" style="15" customWidth="1"/>
    <col min="15361" max="15361" width="2.77734375" style="15" customWidth="1"/>
    <col min="15362" max="15362" width="3.5546875" style="15" customWidth="1"/>
    <col min="15363" max="15607" width="9.21875" style="15"/>
    <col min="15608" max="15608" width="8.77734375" style="15" customWidth="1"/>
    <col min="15609" max="15609" width="9.77734375" style="15" customWidth="1"/>
    <col min="15610" max="15610" width="14.44140625" style="15" customWidth="1"/>
    <col min="15611" max="15611" width="7.21875" style="15" customWidth="1"/>
    <col min="15612" max="15612" width="5.5546875" style="15" customWidth="1"/>
    <col min="15613" max="15613" width="9" style="15" customWidth="1"/>
    <col min="15614" max="15615" width="9.77734375" style="15" customWidth="1"/>
    <col min="15616" max="15616" width="11.21875" style="15" customWidth="1"/>
    <col min="15617" max="15617" width="2.77734375" style="15" customWidth="1"/>
    <col min="15618" max="15618" width="3.5546875" style="15" customWidth="1"/>
    <col min="15619" max="15863" width="9.21875" style="15"/>
    <col min="15864" max="15864" width="8.77734375" style="15" customWidth="1"/>
    <col min="15865" max="15865" width="9.77734375" style="15" customWidth="1"/>
    <col min="15866" max="15866" width="14.44140625" style="15" customWidth="1"/>
    <col min="15867" max="15867" width="7.21875" style="15" customWidth="1"/>
    <col min="15868" max="15868" width="5.5546875" style="15" customWidth="1"/>
    <col min="15869" max="15869" width="9" style="15" customWidth="1"/>
    <col min="15870" max="15871" width="9.77734375" style="15" customWidth="1"/>
    <col min="15872" max="15872" width="11.21875" style="15" customWidth="1"/>
    <col min="15873" max="15873" width="2.77734375" style="15" customWidth="1"/>
    <col min="15874" max="15874" width="3.5546875" style="15" customWidth="1"/>
    <col min="15875" max="16119" width="9.21875" style="15"/>
    <col min="16120" max="16120" width="8.77734375" style="15" customWidth="1"/>
    <col min="16121" max="16121" width="9.77734375" style="15" customWidth="1"/>
    <col min="16122" max="16122" width="14.44140625" style="15" customWidth="1"/>
    <col min="16123" max="16123" width="7.21875" style="15" customWidth="1"/>
    <col min="16124" max="16124" width="5.5546875" style="15" customWidth="1"/>
    <col min="16125" max="16125" width="9" style="15" customWidth="1"/>
    <col min="16126" max="16127" width="9.77734375" style="15" customWidth="1"/>
    <col min="16128" max="16128" width="11.21875" style="15" customWidth="1"/>
    <col min="16129" max="16129" width="2.77734375" style="15" customWidth="1"/>
    <col min="16130" max="16130" width="3.5546875" style="15" customWidth="1"/>
    <col min="16131" max="16384" width="9.21875" style="15"/>
  </cols>
  <sheetData>
    <row r="1" spans="1:12" ht="46.5" customHeight="1" x14ac:dyDescent="0.3">
      <c r="A1" s="145" t="s">
        <v>192</v>
      </c>
      <c r="B1" s="145"/>
      <c r="C1" s="145"/>
      <c r="D1" s="145"/>
      <c r="E1" s="145"/>
      <c r="F1" s="145"/>
      <c r="G1" s="145"/>
      <c r="H1" s="145"/>
    </row>
    <row r="2" spans="1:12" ht="16.5" customHeight="1" x14ac:dyDescent="0.3">
      <c r="A2" s="108" t="s">
        <v>0</v>
      </c>
      <c r="B2" s="108"/>
      <c r="C2" s="108"/>
      <c r="D2" s="108"/>
      <c r="E2" s="108"/>
      <c r="F2" s="108"/>
      <c r="G2" s="108"/>
      <c r="H2" s="108"/>
    </row>
    <row r="3" spans="1:12" x14ac:dyDescent="0.3">
      <c r="A3" s="118" t="s">
        <v>1</v>
      </c>
      <c r="B3" s="118"/>
      <c r="C3" s="118"/>
      <c r="D3" s="118"/>
      <c r="E3" s="118" t="str">
        <f ca="1">TEXT(TODAY(),"DD/MM/YYYY")</f>
        <v>04/09/2025</v>
      </c>
      <c r="F3" s="118"/>
      <c r="G3" s="118"/>
      <c r="H3" s="118"/>
    </row>
    <row r="4" spans="1:12" ht="15" customHeight="1" x14ac:dyDescent="0.3">
      <c r="A4" s="118" t="s">
        <v>2</v>
      </c>
      <c r="B4" s="118"/>
      <c r="C4" s="118"/>
      <c r="D4" s="118"/>
      <c r="E4" s="118" t="s">
        <v>168</v>
      </c>
      <c r="F4" s="118"/>
      <c r="G4" s="118"/>
      <c r="H4" s="118"/>
    </row>
    <row r="5" spans="1:12" x14ac:dyDescent="0.3">
      <c r="A5" s="118" t="s">
        <v>3</v>
      </c>
      <c r="B5" s="118"/>
      <c r="C5" s="118"/>
      <c r="D5" s="118"/>
      <c r="E5" s="144">
        <v>45904</v>
      </c>
      <c r="F5" s="118"/>
      <c r="G5" s="118"/>
      <c r="H5" s="118"/>
    </row>
    <row r="6" spans="1:12" ht="16.5" customHeight="1" x14ac:dyDescent="0.3">
      <c r="A6" s="118" t="s">
        <v>4</v>
      </c>
      <c r="B6" s="118"/>
      <c r="C6" s="118"/>
      <c r="D6" s="118"/>
      <c r="E6" s="118" t="s">
        <v>169</v>
      </c>
      <c r="F6" s="118"/>
      <c r="G6" s="118"/>
      <c r="H6" s="118"/>
      <c r="I6" s="62" t="s">
        <v>220</v>
      </c>
    </row>
    <row r="7" spans="1:12" ht="15" customHeight="1" x14ac:dyDescent="0.3">
      <c r="A7" s="118" t="s">
        <v>5</v>
      </c>
      <c r="B7" s="118"/>
      <c r="C7" s="118"/>
      <c r="D7" s="118"/>
      <c r="E7" s="118" t="str">
        <f>E6</f>
        <v>M/s. Mahaveer Realty</v>
      </c>
      <c r="F7" s="118"/>
      <c r="G7" s="118"/>
      <c r="H7" s="118"/>
    </row>
    <row r="8" spans="1:12" x14ac:dyDescent="0.3">
      <c r="A8" s="118" t="s">
        <v>6</v>
      </c>
      <c r="B8" s="118"/>
      <c r="C8" s="118"/>
      <c r="D8" s="118"/>
      <c r="E8" s="146" t="s">
        <v>170</v>
      </c>
      <c r="F8" s="146"/>
      <c r="G8" s="146"/>
      <c r="H8" s="146"/>
    </row>
    <row r="9" spans="1:12" x14ac:dyDescent="0.3">
      <c r="A9" s="118" t="s">
        <v>119</v>
      </c>
      <c r="B9" s="118"/>
      <c r="C9" s="118"/>
      <c r="D9" s="118"/>
      <c r="E9" s="118">
        <v>8104395863</v>
      </c>
      <c r="F9" s="118"/>
      <c r="G9" s="118"/>
      <c r="H9" s="118"/>
    </row>
    <row r="10" spans="1:12" x14ac:dyDescent="0.3">
      <c r="A10" s="118" t="s">
        <v>193</v>
      </c>
      <c r="B10" s="118"/>
      <c r="C10" s="118"/>
      <c r="D10" s="118"/>
      <c r="E10" s="118" t="s">
        <v>237</v>
      </c>
      <c r="F10" s="118"/>
      <c r="G10" s="118"/>
      <c r="H10" s="118"/>
      <c r="I10" s="65" t="s">
        <v>236</v>
      </c>
      <c r="J10" s="66"/>
      <c r="K10" s="66"/>
      <c r="L10" s="67"/>
    </row>
    <row r="11" spans="1:12" x14ac:dyDescent="0.3">
      <c r="A11" s="118" t="s">
        <v>7</v>
      </c>
      <c r="B11" s="118"/>
      <c r="C11" s="118"/>
      <c r="D11" s="118"/>
      <c r="E11" s="118" t="s">
        <v>171</v>
      </c>
      <c r="F11" s="118"/>
      <c r="G11" s="118"/>
      <c r="H11" s="118"/>
    </row>
    <row r="12" spans="1:12" ht="32.25" customHeight="1" x14ac:dyDescent="0.3">
      <c r="A12" s="118" t="s">
        <v>8</v>
      </c>
      <c r="B12" s="118"/>
      <c r="C12" s="118"/>
      <c r="D12" s="118"/>
      <c r="E12" s="126" t="s">
        <v>103</v>
      </c>
      <c r="F12" s="126"/>
      <c r="G12" s="126"/>
      <c r="H12" s="126"/>
    </row>
    <row r="13" spans="1:12" x14ac:dyDescent="0.3">
      <c r="A13" s="118" t="s">
        <v>9</v>
      </c>
      <c r="B13" s="118"/>
      <c r="C13" s="118"/>
      <c r="D13" s="118"/>
      <c r="E13" s="126" t="s">
        <v>172</v>
      </c>
      <c r="F13" s="118"/>
      <c r="G13" s="118"/>
      <c r="H13" s="118"/>
    </row>
    <row r="14" spans="1:12" ht="33" customHeight="1" x14ac:dyDescent="0.3">
      <c r="A14" s="126" t="s">
        <v>10</v>
      </c>
      <c r="B14" s="126"/>
      <c r="C14" s="12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Mahaveer Empire, Survey No.23/2., near Krushna Kunj, Ghot road, Ghot gaon, Ghot, Taloja Panchnand East, Panvel, Raigad - 410208.</v>
      </c>
      <c r="D14" s="126"/>
      <c r="E14" s="126"/>
      <c r="F14" s="126"/>
      <c r="G14" s="126"/>
      <c r="H14" s="126"/>
    </row>
    <row r="15" spans="1:12" x14ac:dyDescent="0.3">
      <c r="A15" s="126" t="s">
        <v>173</v>
      </c>
      <c r="B15" s="126"/>
      <c r="C15" s="142" t="s">
        <v>174</v>
      </c>
      <c r="D15" s="126"/>
      <c r="E15" s="126"/>
      <c r="F15" s="126"/>
      <c r="G15" s="126"/>
      <c r="H15" s="126"/>
    </row>
    <row r="16" spans="1:12" ht="15.75" customHeight="1" x14ac:dyDescent="0.3">
      <c r="A16" s="99" t="s">
        <v>161</v>
      </c>
      <c r="B16" s="100"/>
      <c r="C16" s="99" t="s">
        <v>179</v>
      </c>
      <c r="D16" s="101"/>
      <c r="E16" s="101"/>
      <c r="F16" s="101"/>
      <c r="G16" s="101"/>
      <c r="H16" s="100"/>
    </row>
    <row r="17" spans="1:8" ht="15.75" customHeight="1" x14ac:dyDescent="0.3">
      <c r="A17" s="126" t="s">
        <v>11</v>
      </c>
      <c r="B17" s="126"/>
      <c r="C17" s="118" t="s">
        <v>180</v>
      </c>
      <c r="D17" s="118"/>
      <c r="E17" s="126" t="s">
        <v>162</v>
      </c>
      <c r="F17" s="126"/>
      <c r="G17" s="126" t="s">
        <v>175</v>
      </c>
      <c r="H17" s="126"/>
    </row>
    <row r="18" spans="1:8" x14ac:dyDescent="0.3">
      <c r="A18" s="118" t="s">
        <v>13</v>
      </c>
      <c r="B18" s="118"/>
      <c r="C18" s="126" t="s">
        <v>181</v>
      </c>
      <c r="D18" s="126"/>
      <c r="E18" s="126" t="s">
        <v>12</v>
      </c>
      <c r="F18" s="126"/>
      <c r="G18" s="143" t="s">
        <v>177</v>
      </c>
      <c r="H18" s="143"/>
    </row>
    <row r="19" spans="1:8" x14ac:dyDescent="0.3">
      <c r="A19" s="102" t="s">
        <v>71</v>
      </c>
      <c r="B19" s="102"/>
      <c r="C19" s="126" t="s">
        <v>176</v>
      </c>
      <c r="D19" s="126"/>
      <c r="E19" s="111" t="s">
        <v>14</v>
      </c>
      <c r="F19" s="111"/>
      <c r="G19" s="126">
        <v>410208</v>
      </c>
      <c r="H19" s="126"/>
    </row>
    <row r="20" spans="1:8" ht="32.25" customHeight="1" x14ac:dyDescent="0.3">
      <c r="A20" s="102" t="s">
        <v>120</v>
      </c>
      <c r="B20" s="102"/>
      <c r="C20" s="126" t="s">
        <v>182</v>
      </c>
      <c r="D20" s="126"/>
      <c r="E20" s="111" t="s">
        <v>15</v>
      </c>
      <c r="F20" s="111"/>
      <c r="G20" s="126" t="s">
        <v>178</v>
      </c>
      <c r="H20" s="126"/>
    </row>
    <row r="21" spans="1:8" ht="15" customHeight="1" x14ac:dyDescent="0.3">
      <c r="A21" s="111" t="s">
        <v>74</v>
      </c>
      <c r="B21" s="111"/>
      <c r="C21" s="111"/>
      <c r="D21" s="111"/>
      <c r="E21" s="118" t="s">
        <v>16</v>
      </c>
      <c r="F21" s="118"/>
      <c r="G21" s="118"/>
      <c r="H21" s="118"/>
    </row>
    <row r="22" spans="1:8" ht="18.75" customHeight="1" x14ac:dyDescent="0.3">
      <c r="A22" s="111"/>
      <c r="B22" s="111"/>
      <c r="C22" s="111"/>
      <c r="D22" s="111"/>
      <c r="E22" s="118"/>
      <c r="F22" s="118"/>
      <c r="G22" s="118"/>
      <c r="H22" s="118"/>
    </row>
    <row r="23" spans="1:8" ht="15" customHeight="1" x14ac:dyDescent="0.3">
      <c r="A23" s="111" t="s">
        <v>17</v>
      </c>
      <c r="B23" s="111"/>
      <c r="C23" s="111"/>
      <c r="D23" s="111"/>
      <c r="E23" s="126" t="s">
        <v>18</v>
      </c>
      <c r="F23" s="126"/>
      <c r="G23" s="126"/>
      <c r="H23" s="126"/>
    </row>
    <row r="24" spans="1:8" ht="15" customHeight="1" x14ac:dyDescent="0.3">
      <c r="A24" s="102" t="s">
        <v>19</v>
      </c>
      <c r="B24" s="102"/>
      <c r="C24" s="102"/>
      <c r="D24" s="102"/>
      <c r="E24" s="126" t="str">
        <f>IF(AND(G18="Mumbai"),"Upper Class","Middle Class")</f>
        <v>Middle Class</v>
      </c>
      <c r="F24" s="126"/>
      <c r="G24" s="126"/>
      <c r="H24" s="126"/>
    </row>
    <row r="25" spans="1:8" x14ac:dyDescent="0.3">
      <c r="A25" s="102" t="s">
        <v>20</v>
      </c>
      <c r="B25" s="102"/>
      <c r="C25" s="102"/>
      <c r="D25" s="102"/>
      <c r="E25" s="126" t="s">
        <v>21</v>
      </c>
      <c r="F25" s="126"/>
      <c r="G25" s="126"/>
      <c r="H25" s="126"/>
    </row>
    <row r="26" spans="1:8" ht="15.75" customHeight="1" x14ac:dyDescent="0.3">
      <c r="A26" s="102" t="s">
        <v>22</v>
      </c>
      <c r="B26" s="102"/>
      <c r="C26" s="102"/>
      <c r="D26" s="102"/>
      <c r="E26" s="126" t="str">
        <f>IF(AND(G18="Mumbai"),"Developed","Developing")</f>
        <v>Developing</v>
      </c>
      <c r="F26" s="126"/>
      <c r="G26" s="126"/>
      <c r="H26" s="126"/>
    </row>
    <row r="27" spans="1:8" x14ac:dyDescent="0.3">
      <c r="A27" s="102" t="s">
        <v>23</v>
      </c>
      <c r="B27" s="102"/>
      <c r="C27" s="102"/>
      <c r="D27" s="102"/>
      <c r="E27" s="126" t="s">
        <v>24</v>
      </c>
      <c r="F27" s="126"/>
      <c r="G27" s="126"/>
      <c r="H27" s="126"/>
    </row>
    <row r="28" spans="1:8" ht="15.75" customHeight="1" x14ac:dyDescent="0.3">
      <c r="A28" s="102" t="s">
        <v>79</v>
      </c>
      <c r="B28" s="102"/>
      <c r="C28" s="102"/>
      <c r="D28" s="102"/>
      <c r="E28" s="126" t="s">
        <v>80</v>
      </c>
      <c r="F28" s="126"/>
      <c r="G28" s="126"/>
      <c r="H28" s="126"/>
    </row>
    <row r="29" spans="1:8" ht="15" customHeight="1" x14ac:dyDescent="0.3">
      <c r="A29" s="102" t="s">
        <v>32</v>
      </c>
      <c r="B29" s="102"/>
      <c r="C29" s="102"/>
      <c r="D29" s="102"/>
      <c r="E29" s="12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26"/>
      <c r="G29" s="126"/>
      <c r="H29" s="126"/>
    </row>
    <row r="30" spans="1:8" ht="15.75" customHeight="1" x14ac:dyDescent="0.3">
      <c r="A30" s="102" t="s">
        <v>91</v>
      </c>
      <c r="B30" s="102"/>
      <c r="C30" s="102"/>
      <c r="D30" s="102"/>
      <c r="E30" s="126" t="s">
        <v>33</v>
      </c>
      <c r="F30" s="126"/>
      <c r="G30" s="126"/>
      <c r="H30" s="126"/>
    </row>
    <row r="31" spans="1:8" s="16" customFormat="1" x14ac:dyDescent="0.3">
      <c r="A31" s="141" t="s">
        <v>92</v>
      </c>
      <c r="B31" s="141"/>
      <c r="C31" s="140" t="s">
        <v>194</v>
      </c>
      <c r="D31" s="140"/>
      <c r="E31" s="140"/>
      <c r="F31" s="140" t="s">
        <v>30</v>
      </c>
      <c r="G31" s="140"/>
      <c r="H31" s="140"/>
    </row>
    <row r="32" spans="1:8" s="16" customFormat="1" x14ac:dyDescent="0.3">
      <c r="A32" s="122" t="s">
        <v>25</v>
      </c>
      <c r="B32" s="122" t="s">
        <v>29</v>
      </c>
      <c r="C32" s="123" t="s">
        <v>216</v>
      </c>
      <c r="D32" s="123"/>
      <c r="E32" s="123"/>
      <c r="F32" s="123" t="s">
        <v>218</v>
      </c>
      <c r="G32" s="123"/>
      <c r="H32" s="123"/>
    </row>
    <row r="33" spans="1:8" x14ac:dyDescent="0.3">
      <c r="A33" s="122" t="s">
        <v>26</v>
      </c>
      <c r="B33" s="122" t="s">
        <v>29</v>
      </c>
      <c r="C33" s="123" t="s">
        <v>217</v>
      </c>
      <c r="D33" s="123"/>
      <c r="E33" s="123"/>
      <c r="F33" s="123" t="s">
        <v>183</v>
      </c>
      <c r="G33" s="123"/>
      <c r="H33" s="123"/>
    </row>
    <row r="34" spans="1:8" s="16" customFormat="1" x14ac:dyDescent="0.3">
      <c r="A34" s="122" t="s">
        <v>28</v>
      </c>
      <c r="B34" s="122" t="s">
        <v>29</v>
      </c>
      <c r="C34" s="123" t="s">
        <v>217</v>
      </c>
      <c r="D34" s="123"/>
      <c r="E34" s="123"/>
      <c r="F34" s="123" t="s">
        <v>183</v>
      </c>
      <c r="G34" s="123"/>
      <c r="H34" s="123"/>
    </row>
    <row r="35" spans="1:8" x14ac:dyDescent="0.3">
      <c r="A35" s="122" t="s">
        <v>27</v>
      </c>
      <c r="B35" s="122" t="s">
        <v>29</v>
      </c>
      <c r="C35" s="123" t="s">
        <v>217</v>
      </c>
      <c r="D35" s="123"/>
      <c r="E35" s="123"/>
      <c r="F35" s="123" t="s">
        <v>183</v>
      </c>
      <c r="G35" s="123"/>
      <c r="H35" s="123"/>
    </row>
    <row r="36" spans="1:8" x14ac:dyDescent="0.3">
      <c r="A36" s="102" t="s">
        <v>31</v>
      </c>
      <c r="B36" s="102"/>
      <c r="C36" s="102"/>
      <c r="D36" s="102"/>
      <c r="E36" s="102"/>
      <c r="F36" s="102"/>
      <c r="G36" s="102"/>
      <c r="H36" s="102"/>
    </row>
    <row r="37" spans="1:8" ht="15.75" customHeight="1" x14ac:dyDescent="0.3">
      <c r="A37" s="102" t="s">
        <v>195</v>
      </c>
      <c r="B37" s="102"/>
      <c r="C37" s="127" t="s">
        <v>196</v>
      </c>
      <c r="D37" s="127"/>
      <c r="E37" s="127"/>
      <c r="F37" s="127"/>
      <c r="G37" s="127"/>
      <c r="H37" s="127"/>
    </row>
    <row r="38" spans="1:8" x14ac:dyDescent="0.3">
      <c r="A38" s="102" t="s">
        <v>160</v>
      </c>
      <c r="B38" s="102"/>
      <c r="C38" s="103" t="s">
        <v>197</v>
      </c>
      <c r="D38" s="104"/>
      <c r="E38" s="104"/>
      <c r="F38" s="104"/>
      <c r="G38" s="104"/>
      <c r="H38" s="104"/>
    </row>
    <row r="39" spans="1:8" x14ac:dyDescent="0.3">
      <c r="A39" s="125" t="s">
        <v>34</v>
      </c>
      <c r="B39" s="125"/>
      <c r="C39" s="125"/>
      <c r="D39" s="125"/>
      <c r="E39" s="125"/>
      <c r="F39" s="125"/>
      <c r="G39" s="125"/>
      <c r="H39" s="125"/>
    </row>
    <row r="40" spans="1:8" x14ac:dyDescent="0.3">
      <c r="A40" s="102" t="s">
        <v>35</v>
      </c>
      <c r="B40" s="102"/>
      <c r="C40" s="102"/>
      <c r="D40" s="102"/>
      <c r="E40" s="124">
        <v>2838.95</v>
      </c>
      <c r="F40" s="124"/>
      <c r="G40" s="124"/>
      <c r="H40" s="124"/>
    </row>
    <row r="41" spans="1:8" x14ac:dyDescent="0.3">
      <c r="A41" s="102" t="s">
        <v>36</v>
      </c>
      <c r="B41" s="102"/>
      <c r="C41" s="102"/>
      <c r="D41" s="102"/>
      <c r="E41" s="116">
        <f>3122.845/E40</f>
        <v>1.1000000000000001</v>
      </c>
      <c r="F41" s="116"/>
      <c r="G41" s="116"/>
      <c r="H41" s="116"/>
    </row>
    <row r="42" spans="1:8" x14ac:dyDescent="0.3">
      <c r="A42" s="102" t="s">
        <v>37</v>
      </c>
      <c r="B42" s="102"/>
      <c r="C42" s="102"/>
      <c r="D42" s="102"/>
      <c r="E42" s="116">
        <f>E44/E40-E41</f>
        <v>1.7448123425914512</v>
      </c>
      <c r="F42" s="116"/>
      <c r="G42" s="116"/>
      <c r="H42" s="116"/>
    </row>
    <row r="43" spans="1:8" x14ac:dyDescent="0.3">
      <c r="A43" s="102" t="s">
        <v>38</v>
      </c>
      <c r="B43" s="102"/>
      <c r="C43" s="102"/>
      <c r="D43" s="102"/>
      <c r="E43" s="116">
        <f>E41+E42</f>
        <v>2.8448123425914513</v>
      </c>
      <c r="F43" s="116"/>
      <c r="G43" s="116"/>
      <c r="H43" s="116"/>
    </row>
    <row r="44" spans="1:8" x14ac:dyDescent="0.3">
      <c r="A44" s="102" t="s">
        <v>90</v>
      </c>
      <c r="B44" s="102"/>
      <c r="C44" s="102"/>
      <c r="D44" s="102"/>
      <c r="E44" s="117">
        <v>8076.28</v>
      </c>
      <c r="F44" s="117"/>
      <c r="G44" s="117"/>
      <c r="H44" s="117"/>
    </row>
    <row r="45" spans="1:8" x14ac:dyDescent="0.3">
      <c r="A45" s="118" t="s">
        <v>39</v>
      </c>
      <c r="B45" s="118"/>
      <c r="C45" s="118"/>
      <c r="D45" s="118"/>
      <c r="E45" s="118" t="s">
        <v>171</v>
      </c>
      <c r="F45" s="118"/>
      <c r="G45" s="118"/>
      <c r="H45" s="118"/>
    </row>
    <row r="46" spans="1:8" x14ac:dyDescent="0.3">
      <c r="A46" s="125" t="s">
        <v>40</v>
      </c>
      <c r="B46" s="125"/>
      <c r="C46" s="125"/>
      <c r="D46" s="125"/>
      <c r="E46" s="125"/>
      <c r="F46" s="125"/>
      <c r="G46" s="125"/>
      <c r="H46" s="125"/>
    </row>
    <row r="47" spans="1:8" ht="33.75" customHeight="1" x14ac:dyDescent="0.3">
      <c r="A47" s="99" t="s">
        <v>148</v>
      </c>
      <c r="B47" s="100"/>
      <c r="C47" s="119" t="s">
        <v>184</v>
      </c>
      <c r="D47" s="120"/>
      <c r="E47" s="120"/>
      <c r="F47" s="120"/>
      <c r="G47" s="120"/>
      <c r="H47" s="121"/>
    </row>
    <row r="48" spans="1:8" ht="15.75" customHeight="1" x14ac:dyDescent="0.3">
      <c r="A48" s="99" t="s">
        <v>41</v>
      </c>
      <c r="B48" s="100"/>
      <c r="C48" s="99" t="s">
        <v>201</v>
      </c>
      <c r="D48" s="101"/>
      <c r="E48" s="100"/>
      <c r="F48" s="34" t="s">
        <v>42</v>
      </c>
      <c r="G48" s="133">
        <v>45112</v>
      </c>
      <c r="H48" s="100"/>
    </row>
    <row r="49" spans="1:14" x14ac:dyDescent="0.3">
      <c r="A49" s="99" t="s">
        <v>43</v>
      </c>
      <c r="B49" s="100"/>
      <c r="C49" s="99" t="str">
        <f>C48</f>
        <v>PMP/NRV/16300/JK 1733/2023</v>
      </c>
      <c r="D49" s="101"/>
      <c r="E49" s="100"/>
      <c r="F49" s="34" t="s">
        <v>42</v>
      </c>
      <c r="G49" s="133">
        <f>G48</f>
        <v>45112</v>
      </c>
      <c r="H49" s="134"/>
    </row>
    <row r="50" spans="1:14" s="17" customFormat="1" ht="33.75" customHeight="1" x14ac:dyDescent="0.3">
      <c r="A50" s="130" t="s">
        <v>203</v>
      </c>
      <c r="B50" s="132"/>
      <c r="C50" s="99" t="s">
        <v>202</v>
      </c>
      <c r="D50" s="101"/>
      <c r="E50" s="100"/>
      <c r="F50" s="34" t="s">
        <v>42</v>
      </c>
      <c r="G50" s="133">
        <f>G49</f>
        <v>45112</v>
      </c>
      <c r="H50" s="134"/>
    </row>
    <row r="51" spans="1:14" s="17" customFormat="1" ht="34.5" customHeight="1" x14ac:dyDescent="0.3">
      <c r="A51" s="135"/>
      <c r="B51" s="136"/>
      <c r="C51" s="99" t="s">
        <v>234</v>
      </c>
      <c r="D51" s="101"/>
      <c r="E51" s="101"/>
      <c r="F51" s="101"/>
      <c r="G51" s="101"/>
      <c r="H51" s="100"/>
    </row>
    <row r="52" spans="1:14" x14ac:dyDescent="0.3">
      <c r="A52" s="138" t="s">
        <v>163</v>
      </c>
      <c r="B52" s="139"/>
      <c r="C52" s="171" t="s">
        <v>29</v>
      </c>
      <c r="D52" s="172"/>
      <c r="E52" s="173"/>
      <c r="F52" s="45" t="s">
        <v>42</v>
      </c>
      <c r="G52" s="137" t="s">
        <v>29</v>
      </c>
      <c r="H52" s="121"/>
    </row>
    <row r="53" spans="1:14" x14ac:dyDescent="0.3">
      <c r="A53" s="165" t="s">
        <v>45</v>
      </c>
      <c r="B53" s="165"/>
      <c r="C53" s="165"/>
      <c r="D53" s="165"/>
      <c r="E53" s="165"/>
      <c r="F53" s="165"/>
      <c r="G53" s="165"/>
      <c r="H53" s="165"/>
    </row>
    <row r="54" spans="1:14" x14ac:dyDescent="0.3">
      <c r="A54" s="111" t="s">
        <v>89</v>
      </c>
      <c r="B54" s="111"/>
      <c r="C54" s="111"/>
      <c r="D54" s="102">
        <f>E44</f>
        <v>8076.28</v>
      </c>
      <c r="E54" s="102"/>
      <c r="F54" s="102"/>
      <c r="G54" s="102"/>
      <c r="H54" s="102"/>
    </row>
    <row r="55" spans="1:14" x14ac:dyDescent="0.3">
      <c r="A55" s="126" t="s">
        <v>46</v>
      </c>
      <c r="B55" s="118"/>
      <c r="C55" s="118"/>
      <c r="D55" s="118" t="s">
        <v>214</v>
      </c>
      <c r="E55" s="118"/>
      <c r="F55" s="118"/>
      <c r="G55" s="118"/>
      <c r="H55" s="118"/>
      <c r="I55" s="18"/>
    </row>
    <row r="56" spans="1:14" x14ac:dyDescent="0.3">
      <c r="A56" s="130" t="s">
        <v>47</v>
      </c>
      <c r="B56" s="131"/>
      <c r="C56" s="132"/>
      <c r="D56" s="128" t="s">
        <v>204</v>
      </c>
      <c r="E56" s="129"/>
      <c r="F56" s="129"/>
      <c r="G56" s="129"/>
      <c r="H56" s="129"/>
    </row>
    <row r="57" spans="1:14" ht="15.75" customHeight="1" x14ac:dyDescent="0.3">
      <c r="A57" s="130" t="s">
        <v>87</v>
      </c>
      <c r="B57" s="131"/>
      <c r="C57" s="131"/>
      <c r="D57" s="99" t="s">
        <v>204</v>
      </c>
      <c r="E57" s="101"/>
      <c r="F57" s="101"/>
      <c r="G57" s="101"/>
      <c r="H57" s="100"/>
    </row>
    <row r="58" spans="1:14" ht="15.75" customHeight="1" x14ac:dyDescent="0.3">
      <c r="A58" s="102" t="s">
        <v>44</v>
      </c>
      <c r="B58" s="102"/>
      <c r="C58" s="102"/>
      <c r="D58" s="126" t="s">
        <v>185</v>
      </c>
      <c r="E58" s="126"/>
      <c r="F58" s="126"/>
      <c r="G58" s="126"/>
      <c r="H58" s="126"/>
      <c r="J58" s="19"/>
      <c r="K58" s="18"/>
      <c r="N58" s="18"/>
    </row>
    <row r="59" spans="1:14" ht="15.75" customHeight="1" x14ac:dyDescent="0.3">
      <c r="A59" s="102" t="s">
        <v>85</v>
      </c>
      <c r="B59" s="102"/>
      <c r="C59" s="102"/>
      <c r="D59" s="115" t="str">
        <f>(IF(G52="NA","60 Years After Completion",IF(G52&lt;&gt;"NA",""&amp;60-ROUNDDOWN((E3-G52)/360,0)&amp;" Years"," ")))</f>
        <v>60 Years After Completion</v>
      </c>
      <c r="E59" s="115"/>
      <c r="F59" s="115"/>
      <c r="G59" s="115"/>
      <c r="H59" s="115"/>
      <c r="N59" s="18"/>
    </row>
    <row r="60" spans="1:14" ht="15.75" customHeight="1" x14ac:dyDescent="0.3">
      <c r="A60" s="102" t="s">
        <v>86</v>
      </c>
      <c r="B60" s="102"/>
      <c r="C60" s="102"/>
      <c r="D60" s="111" t="s">
        <v>24</v>
      </c>
      <c r="E60" s="111"/>
      <c r="F60" s="111"/>
      <c r="G60" s="111"/>
      <c r="H60" s="111"/>
      <c r="J60" s="20"/>
      <c r="K60" s="20"/>
    </row>
    <row r="61" spans="1:14" ht="15" hidden="1" customHeight="1" x14ac:dyDescent="0.3">
      <c r="A61" s="102" t="s">
        <v>72</v>
      </c>
      <c r="B61" s="102"/>
      <c r="C61" s="102"/>
      <c r="D61" s="126" t="s">
        <v>146</v>
      </c>
      <c r="E61" s="111"/>
      <c r="F61" s="111"/>
      <c r="G61" s="111"/>
      <c r="H61" s="111"/>
    </row>
    <row r="62" spans="1:14" x14ac:dyDescent="0.3">
      <c r="A62" s="111" t="s">
        <v>147</v>
      </c>
      <c r="B62" s="111"/>
      <c r="C62" s="111"/>
      <c r="D62" s="111" t="s">
        <v>29</v>
      </c>
      <c r="E62" s="111"/>
      <c r="F62" s="111"/>
      <c r="G62" s="111"/>
      <c r="H62" s="111"/>
      <c r="I62" s="21"/>
      <c r="J62" s="21"/>
      <c r="K62" s="21"/>
      <c r="L62" s="21"/>
      <c r="M62" s="21"/>
      <c r="N62" s="21"/>
    </row>
    <row r="63" spans="1:14" ht="15.75" customHeight="1" x14ac:dyDescent="0.3">
      <c r="A63" s="109" t="s">
        <v>84</v>
      </c>
      <c r="B63" s="109"/>
      <c r="C63" s="109"/>
      <c r="D63" s="128" t="str">
        <f>(IF(G69&gt;95%,"Nothing",IF(G69&gt;0%,"Cement, Aggregate, Steel, etc",IF(G69=0%,"Work not yet Started"))))</f>
        <v>Cement, Aggregate, Steel, etc</v>
      </c>
      <c r="E63" s="128"/>
      <c r="F63" s="128"/>
      <c r="G63" s="128"/>
      <c r="H63" s="128"/>
      <c r="J63" s="20"/>
    </row>
    <row r="64" spans="1:14" ht="33.75" customHeight="1" thickBot="1" x14ac:dyDescent="0.35">
      <c r="A64" s="150" t="s">
        <v>116</v>
      </c>
      <c r="B64" s="150"/>
      <c r="C64" s="150"/>
      <c r="D64" s="128" t="str">
        <f>(IF(D63="Nothing","Yes",IF(D63="Cement, Aggregate, Steel, etc","Under Construction",IF(D63="Work not yet Started","Work not yet Started"))))</f>
        <v>Under Construction</v>
      </c>
      <c r="E64" s="128"/>
      <c r="F64" s="128" t="str">
        <f>(IF(D63="Nothing","Yes",IF(D63="Cement, Aggregate, Steel, etc","Under Construction",IF(D63="Work not yet Started","Work not yet Started"))))</f>
        <v>Under Construction</v>
      </c>
      <c r="G64" s="128"/>
      <c r="H64" s="128"/>
    </row>
    <row r="65" spans="1:12" ht="15.75" customHeight="1" x14ac:dyDescent="0.3">
      <c r="A65" s="155" t="s">
        <v>138</v>
      </c>
      <c r="B65" s="156"/>
      <c r="C65" s="157" t="str">
        <f>D57</f>
        <v>G/St + 1st to 11th Floor</v>
      </c>
      <c r="D65" s="158"/>
      <c r="E65" s="158"/>
      <c r="F65" s="158"/>
      <c r="G65" s="158"/>
      <c r="H65" s="159"/>
      <c r="I65" s="46" t="str">
        <f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10 Floor, Flooring upto 9 Floor Completed</v>
      </c>
      <c r="J65" s="47" t="str">
        <f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10 Floor, Flooring upto 9 Floor</v>
      </c>
    </row>
    <row r="66" spans="1:12" x14ac:dyDescent="0.3">
      <c r="A66" s="13" t="s">
        <v>140</v>
      </c>
      <c r="B66" s="43">
        <v>0</v>
      </c>
      <c r="C66" s="43" t="s">
        <v>70</v>
      </c>
      <c r="D66" s="43">
        <v>1</v>
      </c>
      <c r="E66" s="43" t="s">
        <v>69</v>
      </c>
      <c r="F66" s="43">
        <v>0</v>
      </c>
      <c r="G66" s="43" t="s">
        <v>78</v>
      </c>
      <c r="H66" s="14">
        <v>11</v>
      </c>
      <c r="I66" s="48" t="str">
        <f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49" t="str">
        <f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33.6" customHeight="1" x14ac:dyDescent="0.3">
      <c r="A67" s="154" t="s">
        <v>88</v>
      </c>
      <c r="B67" s="146"/>
      <c r="C67" s="179" t="str">
        <f>I65</f>
        <v>Excavation, Plinth, RCC Slab, Brickwork, Internal Plaster Completed, External Plaster upto 10 Floor, Flooring upto 9 Floor Completed</v>
      </c>
      <c r="D67" s="179"/>
      <c r="E67" s="179"/>
      <c r="F67" s="179"/>
      <c r="G67" s="179"/>
      <c r="H67" s="180"/>
      <c r="I67" s="48" t="str">
        <f>IF(I66&lt;&gt;""," Completed","")</f>
        <v xml:space="preserve"> Completed</v>
      </c>
      <c r="J67" s="49" t="str">
        <f>IF(J65&lt;&gt;"","Completed","")</f>
        <v>Completed</v>
      </c>
    </row>
    <row r="68" spans="1:12" ht="15.75" customHeight="1" x14ac:dyDescent="0.3">
      <c r="A68" s="153" t="s">
        <v>48</v>
      </c>
      <c r="B68" s="106"/>
      <c r="C68" s="42" t="s">
        <v>137</v>
      </c>
      <c r="D68" s="42" t="s">
        <v>81</v>
      </c>
      <c r="E68" s="106" t="s">
        <v>83</v>
      </c>
      <c r="F68" s="106"/>
      <c r="G68" s="106" t="s">
        <v>82</v>
      </c>
      <c r="H68" s="151"/>
      <c r="I68" s="50" t="s">
        <v>139</v>
      </c>
      <c r="J68" s="51">
        <f>H66*25%</f>
        <v>2.75</v>
      </c>
    </row>
    <row r="69" spans="1:12" x14ac:dyDescent="0.3">
      <c r="A69" s="106" t="s">
        <v>126</v>
      </c>
      <c r="B69" s="106"/>
      <c r="C69" s="42">
        <f>J70</f>
        <v>11</v>
      </c>
      <c r="D69" s="35">
        <f>((100/H66)*C69)/100</f>
        <v>1.0000000000000002</v>
      </c>
      <c r="E69" s="152">
        <f>(((C70/H66*10)+(40/(D66+F66+H66)*C71)+(7.5/(H66)*C72)+(7.5/(H66)*C73)+(10/H66*C74)+(10/H66*C75)+(5/H66*C76)+(5/H66*C77)+(5/H66*C78))/100)</f>
        <v>0.82272727272727275</v>
      </c>
      <c r="F69" s="152"/>
      <c r="G69" s="152">
        <f>((((C69/H66)*20)+((C70/H66)*25)+(30/(H66+F66+D66)*C71)+(5/H66*C72)+(5/H66*C73)+(5/H66*C74)+(5/H66*C75)+(0/H66*C76)+(0/H66*C77)+(5/H66*C78))/100)</f>
        <v>0.9363636363636364</v>
      </c>
      <c r="H69" s="152"/>
      <c r="I69" s="50" t="s">
        <v>98</v>
      </c>
      <c r="J69" s="52">
        <f>H66*50%</f>
        <v>5.5</v>
      </c>
    </row>
    <row r="70" spans="1:12" x14ac:dyDescent="0.3">
      <c r="A70" s="106" t="s">
        <v>49</v>
      </c>
      <c r="B70" s="106"/>
      <c r="C70" s="36">
        <f>J78</f>
        <v>11</v>
      </c>
      <c r="D70" s="35">
        <f>((100/H66)*C70)/100</f>
        <v>1.0000000000000002</v>
      </c>
      <c r="E70" s="152"/>
      <c r="F70" s="152"/>
      <c r="G70" s="152"/>
      <c r="H70" s="152"/>
      <c r="I70" s="50" t="s">
        <v>99</v>
      </c>
      <c r="J70" s="52">
        <f>H66</f>
        <v>11</v>
      </c>
    </row>
    <row r="71" spans="1:12" ht="15.75" customHeight="1" x14ac:dyDescent="0.3">
      <c r="A71" s="106" t="s">
        <v>127</v>
      </c>
      <c r="B71" s="106"/>
      <c r="C71" s="42">
        <v>12</v>
      </c>
      <c r="D71" s="35">
        <f>((100/(D66+F66+H66))*C71)/100</f>
        <v>1</v>
      </c>
      <c r="E71" s="152"/>
      <c r="F71" s="152"/>
      <c r="G71" s="152"/>
      <c r="H71" s="152"/>
      <c r="I71" s="50" t="s">
        <v>100</v>
      </c>
      <c r="J71" s="53">
        <f>(IF(B66&gt;1,(H66/(B66+2)),H66/4))</f>
        <v>2.75</v>
      </c>
    </row>
    <row r="72" spans="1:12" ht="15.75" customHeight="1" x14ac:dyDescent="0.3">
      <c r="A72" s="106" t="s">
        <v>134</v>
      </c>
      <c r="B72" s="106" t="s">
        <v>128</v>
      </c>
      <c r="C72" s="42">
        <v>11</v>
      </c>
      <c r="D72" s="35">
        <f>((100/H66)*C72)/100</f>
        <v>1.0000000000000002</v>
      </c>
      <c r="E72" s="152"/>
      <c r="F72" s="152"/>
      <c r="G72" s="152"/>
      <c r="H72" s="152"/>
      <c r="I72" s="50" t="s">
        <v>101</v>
      </c>
      <c r="J72" s="53">
        <f>(IF(B66&gt;1,(H66/(B66+2)+J71),H66/4+J71))</f>
        <v>5.5</v>
      </c>
    </row>
    <row r="73" spans="1:12" ht="15.75" customHeight="1" x14ac:dyDescent="0.3">
      <c r="A73" s="106" t="s">
        <v>135</v>
      </c>
      <c r="B73" s="106" t="s">
        <v>128</v>
      </c>
      <c r="C73" s="42">
        <v>11</v>
      </c>
      <c r="D73" s="35">
        <f>((100/H66)*C73)/100</f>
        <v>1.0000000000000002</v>
      </c>
      <c r="E73" s="152"/>
      <c r="F73" s="152"/>
      <c r="G73" s="152"/>
      <c r="H73" s="152"/>
      <c r="I73" s="50" t="s">
        <v>144</v>
      </c>
      <c r="J73" s="53">
        <f>(IF(B66&gt;1,(H66/(B66+2)+J72),0))</f>
        <v>0</v>
      </c>
    </row>
    <row r="74" spans="1:12" ht="15" customHeight="1" x14ac:dyDescent="0.3">
      <c r="A74" s="106" t="s">
        <v>133</v>
      </c>
      <c r="B74" s="106" t="s">
        <v>130</v>
      </c>
      <c r="C74" s="42">
        <v>10</v>
      </c>
      <c r="D74" s="35">
        <f>((100/(H66))*C74)/100</f>
        <v>0.90909090909090917</v>
      </c>
      <c r="E74" s="152"/>
      <c r="F74" s="152"/>
      <c r="G74" s="152"/>
      <c r="H74" s="152"/>
      <c r="I74" s="50" t="s">
        <v>141</v>
      </c>
      <c r="J74" s="53">
        <f>(IF(B66&gt;2,(H66/(B66+2)+J73),0))</f>
        <v>0</v>
      </c>
    </row>
    <row r="75" spans="1:12" ht="15.75" customHeight="1" x14ac:dyDescent="0.3">
      <c r="A75" s="106" t="s">
        <v>129</v>
      </c>
      <c r="B75" s="106" t="s">
        <v>129</v>
      </c>
      <c r="C75" s="42">
        <v>9</v>
      </c>
      <c r="D75" s="35">
        <f>((100/H66)*C75)/100</f>
        <v>0.81818181818181823</v>
      </c>
      <c r="E75" s="152"/>
      <c r="F75" s="152"/>
      <c r="G75" s="152"/>
      <c r="H75" s="152"/>
      <c r="I75" s="50" t="s">
        <v>142</v>
      </c>
      <c r="J75" s="54">
        <f>(IF(B66&gt;3,(H66/(B66+2)+J74),0))</f>
        <v>0</v>
      </c>
    </row>
    <row r="76" spans="1:12" ht="15.75" customHeight="1" x14ac:dyDescent="0.3">
      <c r="A76" s="106" t="s">
        <v>136</v>
      </c>
      <c r="B76" s="106"/>
      <c r="C76" s="42">
        <v>0</v>
      </c>
      <c r="D76" s="35">
        <f>((100/H66)*C76)/100</f>
        <v>0</v>
      </c>
      <c r="E76" s="152"/>
      <c r="F76" s="152"/>
      <c r="G76" s="152"/>
      <c r="H76" s="152"/>
      <c r="I76" s="50" t="s">
        <v>143</v>
      </c>
      <c r="J76" s="53">
        <f>(IF(B66&gt;4,(H66/(B66+2)+J75),0))</f>
        <v>0</v>
      </c>
    </row>
    <row r="77" spans="1:12" ht="15.75" customHeight="1" x14ac:dyDescent="0.3">
      <c r="A77" s="106" t="s">
        <v>131</v>
      </c>
      <c r="B77" s="106" t="s">
        <v>131</v>
      </c>
      <c r="C77" s="42">
        <v>0</v>
      </c>
      <c r="D77" s="35">
        <f>((100/(H66))*C77)/100</f>
        <v>0</v>
      </c>
      <c r="E77" s="152"/>
      <c r="F77" s="152"/>
      <c r="G77" s="152"/>
      <c r="H77" s="152"/>
      <c r="I77" s="50" t="s">
        <v>145</v>
      </c>
      <c r="J77" s="53">
        <f>(IF(B66=1,(H66/(B66+3)+J72),IF(B66=0,(H66/4+J72),IF(B66&gt;1,0))))</f>
        <v>8.25</v>
      </c>
    </row>
    <row r="78" spans="1:12" ht="16.2" thickBot="1" x14ac:dyDescent="0.35">
      <c r="A78" s="106" t="s">
        <v>132</v>
      </c>
      <c r="B78" s="106"/>
      <c r="C78" s="42">
        <v>0</v>
      </c>
      <c r="D78" s="35">
        <f>((100/(H66))*C78)/100</f>
        <v>0</v>
      </c>
      <c r="E78" s="152"/>
      <c r="F78" s="152"/>
      <c r="G78" s="152"/>
      <c r="H78" s="152"/>
      <c r="I78" s="55" t="s">
        <v>102</v>
      </c>
      <c r="J78" s="56">
        <f>(IF(B66&gt;1.5,(H66/(B66+2)+J72+MAX(0,J73-J72)+MAX(0,J74-J73)+MAX(0,J75-J74)+MAX(0,J76-J75)+MAX(0,J77-J76)),IF(B66=1,(H66/(B66+3)+J77),IF(B66=0,H66/4+J77))))</f>
        <v>11</v>
      </c>
    </row>
    <row r="79" spans="1:12" x14ac:dyDescent="0.3">
      <c r="A79" s="125" t="s">
        <v>153</v>
      </c>
      <c r="B79" s="125"/>
      <c r="C79" s="125"/>
      <c r="D79" s="125"/>
      <c r="E79" s="125"/>
      <c r="F79" s="108" t="s">
        <v>158</v>
      </c>
      <c r="G79" s="108"/>
      <c r="H79" s="108"/>
    </row>
    <row r="80" spans="1:12" x14ac:dyDescent="0.3">
      <c r="A80" s="102" t="s">
        <v>156</v>
      </c>
      <c r="B80" s="102"/>
      <c r="C80" s="102"/>
      <c r="D80" s="102"/>
      <c r="E80" s="102"/>
      <c r="F80" s="170">
        <v>5100</v>
      </c>
      <c r="G80" s="170"/>
      <c r="H80" s="170"/>
      <c r="I80" s="15" t="s">
        <v>230</v>
      </c>
      <c r="J80" s="19">
        <v>45422</v>
      </c>
      <c r="K80" s="15" t="s">
        <v>231</v>
      </c>
      <c r="L80" s="15" t="s">
        <v>232</v>
      </c>
    </row>
    <row r="81" spans="1:12" x14ac:dyDescent="0.3">
      <c r="A81" s="102" t="s">
        <v>155</v>
      </c>
      <c r="B81" s="102"/>
      <c r="C81" s="102"/>
      <c r="D81" s="102"/>
      <c r="E81" s="102"/>
      <c r="F81" s="105">
        <v>8000</v>
      </c>
      <c r="G81" s="105"/>
      <c r="H81" s="105"/>
    </row>
    <row r="82" spans="1:12" hidden="1" x14ac:dyDescent="0.3">
      <c r="A82" s="102" t="s">
        <v>157</v>
      </c>
      <c r="B82" s="102"/>
      <c r="C82" s="102"/>
      <c r="D82" s="102"/>
      <c r="E82" s="102"/>
      <c r="F82" s="105"/>
      <c r="G82" s="105"/>
      <c r="H82" s="105"/>
    </row>
    <row r="83" spans="1:12" s="22" customFormat="1" hidden="1" x14ac:dyDescent="0.25">
      <c r="A83" s="102" t="s">
        <v>154</v>
      </c>
      <c r="B83" s="102"/>
      <c r="C83" s="102"/>
      <c r="D83" s="102"/>
      <c r="E83" s="102"/>
      <c r="F83" s="105"/>
      <c r="G83" s="105"/>
      <c r="H83" s="105"/>
    </row>
    <row r="84" spans="1:12" s="22" customFormat="1" x14ac:dyDescent="0.25">
      <c r="A84" s="102" t="s">
        <v>93</v>
      </c>
      <c r="B84" s="102"/>
      <c r="C84" s="102"/>
      <c r="D84" s="102"/>
      <c r="E84" s="102"/>
      <c r="F84" s="105">
        <v>200000</v>
      </c>
      <c r="G84" s="105"/>
      <c r="H84" s="105"/>
    </row>
    <row r="85" spans="1:12" s="22" customFormat="1" hidden="1" x14ac:dyDescent="0.25">
      <c r="A85" s="102" t="s">
        <v>94</v>
      </c>
      <c r="B85" s="102"/>
      <c r="C85" s="102"/>
      <c r="D85" s="102"/>
      <c r="E85" s="102"/>
      <c r="F85" s="105"/>
      <c r="G85" s="105"/>
      <c r="H85" s="105"/>
    </row>
    <row r="86" spans="1:12" s="22" customFormat="1" hidden="1" x14ac:dyDescent="0.25">
      <c r="A86" s="102" t="s">
        <v>159</v>
      </c>
      <c r="B86" s="102"/>
      <c r="C86" s="102"/>
      <c r="D86" s="102"/>
      <c r="E86" s="102"/>
      <c r="F86" s="105"/>
      <c r="G86" s="105"/>
      <c r="H86" s="105"/>
    </row>
    <row r="87" spans="1:12" s="22" customFormat="1" hidden="1" x14ac:dyDescent="0.25">
      <c r="A87" s="102" t="s">
        <v>95</v>
      </c>
      <c r="B87" s="102"/>
      <c r="C87" s="102"/>
      <c r="D87" s="102"/>
      <c r="E87" s="102"/>
      <c r="F87" s="105"/>
      <c r="G87" s="105"/>
      <c r="H87" s="105"/>
    </row>
    <row r="88" spans="1:12" s="22" customFormat="1" hidden="1" x14ac:dyDescent="0.25">
      <c r="A88" s="102" t="s">
        <v>96</v>
      </c>
      <c r="B88" s="102"/>
      <c r="C88" s="102"/>
      <c r="D88" s="102"/>
      <c r="E88" s="102"/>
      <c r="F88" s="105"/>
      <c r="G88" s="105"/>
      <c r="H88" s="105"/>
    </row>
    <row r="89" spans="1:12" s="22" customFormat="1" x14ac:dyDescent="0.25">
      <c r="A89" s="102" t="s">
        <v>186</v>
      </c>
      <c r="B89" s="102"/>
      <c r="C89" s="102"/>
      <c r="D89" s="102"/>
      <c r="E89" s="102"/>
      <c r="F89" s="105">
        <v>150000</v>
      </c>
      <c r="G89" s="105"/>
      <c r="H89" s="105"/>
    </row>
    <row r="90" spans="1:12" s="22" customFormat="1" hidden="1" x14ac:dyDescent="0.25">
      <c r="A90" s="102" t="s">
        <v>97</v>
      </c>
      <c r="B90" s="102"/>
      <c r="C90" s="102"/>
      <c r="D90" s="102"/>
      <c r="E90" s="102"/>
      <c r="F90" s="105"/>
      <c r="G90" s="105"/>
      <c r="H90" s="105"/>
    </row>
    <row r="91" spans="1:12" x14ac:dyDescent="0.3">
      <c r="A91" s="102" t="s">
        <v>50</v>
      </c>
      <c r="B91" s="102"/>
      <c r="C91" s="102"/>
      <c r="D91" s="102"/>
      <c r="E91" s="102"/>
      <c r="F91" s="105">
        <v>300000</v>
      </c>
      <c r="G91" s="105"/>
      <c r="H91" s="105"/>
      <c r="J91" s="15" t="s">
        <v>229</v>
      </c>
    </row>
    <row r="92" spans="1:12" s="23" customFormat="1" x14ac:dyDescent="0.3">
      <c r="A92" s="125" t="s">
        <v>51</v>
      </c>
      <c r="B92" s="125"/>
      <c r="C92" s="125"/>
      <c r="D92" s="125"/>
      <c r="E92" s="125"/>
      <c r="F92" s="105">
        <f>F80*0.8</f>
        <v>4080</v>
      </c>
      <c r="G92" s="105"/>
      <c r="H92" s="105"/>
    </row>
    <row r="93" spans="1:12" s="24" customFormat="1" ht="15.75" customHeight="1" x14ac:dyDescent="0.3">
      <c r="A93" s="78" t="s">
        <v>73</v>
      </c>
      <c r="B93" s="78"/>
      <c r="C93" s="78"/>
      <c r="D93" s="78"/>
      <c r="E93" s="78"/>
      <c r="F93" s="78"/>
      <c r="G93" s="78"/>
      <c r="H93" s="78"/>
    </row>
    <row r="94" spans="1:12" s="24" customFormat="1" ht="15.75" customHeight="1" x14ac:dyDescent="0.3">
      <c r="A94" s="110" t="s">
        <v>52</v>
      </c>
      <c r="B94" s="110"/>
      <c r="C94" s="80" t="s">
        <v>76</v>
      </c>
      <c r="D94" s="80"/>
      <c r="E94" s="82" t="s">
        <v>53</v>
      </c>
      <c r="F94" s="82"/>
      <c r="G94" s="110" t="s">
        <v>54</v>
      </c>
      <c r="H94" s="110"/>
      <c r="J94" s="24" t="s">
        <v>187</v>
      </c>
    </row>
    <row r="95" spans="1:12" s="24" customFormat="1" x14ac:dyDescent="0.3">
      <c r="A95" s="164" t="s">
        <v>164</v>
      </c>
      <c r="B95" s="164"/>
      <c r="C95" s="160">
        <f>COUNT(D107:D124)</f>
        <v>18</v>
      </c>
      <c r="D95" s="112"/>
      <c r="E95" s="107">
        <f>SUM(D107:D124)</f>
        <v>4607.7777719999995</v>
      </c>
      <c r="F95" s="161"/>
      <c r="G95" s="107">
        <f>SUM(F107:F124)</f>
        <v>9383.1338016000009</v>
      </c>
      <c r="H95" s="161"/>
      <c r="J95" s="24" t="s">
        <v>188</v>
      </c>
      <c r="K95" s="24" t="s">
        <v>189</v>
      </c>
      <c r="L95" s="24" t="s">
        <v>191</v>
      </c>
    </row>
    <row r="96" spans="1:12" s="24" customFormat="1" x14ac:dyDescent="0.3">
      <c r="A96" s="78" t="s">
        <v>212</v>
      </c>
      <c r="B96" s="78"/>
      <c r="C96" s="79">
        <f t="shared" ref="C96:G96" si="0">SUM(C95)</f>
        <v>18</v>
      </c>
      <c r="D96" s="80"/>
      <c r="E96" s="81">
        <f t="shared" si="0"/>
        <v>4607.7777719999995</v>
      </c>
      <c r="F96" s="82"/>
      <c r="G96" s="81">
        <f t="shared" si="0"/>
        <v>9383.1338016000009</v>
      </c>
      <c r="H96" s="82"/>
    </row>
    <row r="97" spans="1:14" s="24" customFormat="1" x14ac:dyDescent="0.3">
      <c r="A97" s="78" t="s">
        <v>68</v>
      </c>
      <c r="B97" s="78"/>
      <c r="C97" s="78"/>
      <c r="D97" s="78"/>
      <c r="E97" s="78"/>
      <c r="F97" s="78"/>
      <c r="G97" s="78"/>
      <c r="H97" s="78"/>
      <c r="J97" s="24">
        <v>6500</v>
      </c>
      <c r="K97" s="24">
        <v>5000</v>
      </c>
      <c r="L97" s="24">
        <v>5200</v>
      </c>
    </row>
    <row r="98" spans="1:14" s="24" customFormat="1" ht="15.75" customHeight="1" x14ac:dyDescent="0.3">
      <c r="A98" s="110" t="s">
        <v>52</v>
      </c>
      <c r="B98" s="110"/>
      <c r="C98" s="80" t="s">
        <v>76</v>
      </c>
      <c r="D98" s="80"/>
      <c r="E98" s="82" t="s">
        <v>53</v>
      </c>
      <c r="F98" s="82"/>
      <c r="G98" s="110" t="s">
        <v>54</v>
      </c>
      <c r="H98" s="110"/>
    </row>
    <row r="99" spans="1:14" s="24" customFormat="1" x14ac:dyDescent="0.3">
      <c r="A99" s="164" t="s">
        <v>67</v>
      </c>
      <c r="B99" s="164"/>
      <c r="C99" s="112">
        <f>COUNT(D129:D133)+COUNT(D135:D147)*7+COUNT(D149:D152,D154:D161)+COUNT(D163:D175)+COUNT(D177:D182,D183:D187)</f>
        <v>132</v>
      </c>
      <c r="D99" s="112"/>
      <c r="E99" s="107">
        <f>SUM(D129:D133)+SUM(D135:D147)*7+SUM(D149:D152,D154:D161)+SUM(D163:D175)+SUM(D177:D182,D183:D187)</f>
        <v>60199.026264</v>
      </c>
      <c r="F99" s="107"/>
      <c r="G99" s="107">
        <f>SUM(F129:F133)+SUM(F135:F147)*7+SUM(F149:F152,F154:F161)+SUM(F163:F175)+SUM(F177:F182,F183:F187)</f>
        <v>100980.46063916</v>
      </c>
      <c r="H99" s="107"/>
    </row>
    <row r="100" spans="1:14" s="24" customFormat="1" x14ac:dyDescent="0.3">
      <c r="A100" s="78" t="s">
        <v>212</v>
      </c>
      <c r="B100" s="78"/>
      <c r="C100" s="79">
        <f t="shared" ref="C100:G100" si="1">SUM(C99)</f>
        <v>132</v>
      </c>
      <c r="D100" s="80"/>
      <c r="E100" s="81">
        <f t="shared" si="1"/>
        <v>60199.026264</v>
      </c>
      <c r="F100" s="82"/>
      <c r="G100" s="81">
        <f t="shared" si="1"/>
        <v>100980.46063916</v>
      </c>
      <c r="H100" s="82"/>
    </row>
    <row r="101" spans="1:14" s="24" customFormat="1" x14ac:dyDescent="0.3">
      <c r="A101" s="78" t="s">
        <v>213</v>
      </c>
      <c r="B101" s="78"/>
      <c r="C101" s="79">
        <f>C96+C100</f>
        <v>150</v>
      </c>
      <c r="D101" s="80"/>
      <c r="E101" s="81">
        <f>E96+E100</f>
        <v>64806.804036000001</v>
      </c>
      <c r="F101" s="82"/>
      <c r="G101" s="81">
        <f>G96+G100</f>
        <v>110363.59444076</v>
      </c>
      <c r="H101" s="82"/>
    </row>
    <row r="102" spans="1:14" s="23" customFormat="1" x14ac:dyDescent="0.3">
      <c r="A102" s="108" t="s">
        <v>200</v>
      </c>
      <c r="B102" s="108"/>
      <c r="C102" s="108"/>
      <c r="D102" s="108"/>
      <c r="E102" s="108"/>
      <c r="F102" s="108"/>
      <c r="G102" s="108"/>
      <c r="H102" s="108"/>
    </row>
    <row r="103" spans="1:14" x14ac:dyDescent="0.3">
      <c r="A103" s="176" t="s">
        <v>199</v>
      </c>
      <c r="B103" s="108"/>
      <c r="C103" s="108"/>
      <c r="D103" s="108"/>
      <c r="E103" s="108"/>
      <c r="F103" s="108"/>
      <c r="G103" s="108"/>
      <c r="H103" s="108"/>
    </row>
    <row r="104" spans="1:14" ht="47.25" customHeight="1" x14ac:dyDescent="0.3">
      <c r="A104" s="68" t="s">
        <v>118</v>
      </c>
      <c r="B104" s="68" t="s">
        <v>117</v>
      </c>
      <c r="C104" s="68" t="s">
        <v>55</v>
      </c>
      <c r="D104" s="68" t="s">
        <v>56</v>
      </c>
      <c r="E104" s="113" t="s">
        <v>152</v>
      </c>
      <c r="F104" s="32" t="s">
        <v>211</v>
      </c>
      <c r="G104" s="68" t="s">
        <v>58</v>
      </c>
      <c r="H104" s="68"/>
    </row>
    <row r="105" spans="1:14" x14ac:dyDescent="0.3">
      <c r="A105" s="68"/>
      <c r="B105" s="68"/>
      <c r="C105" s="68"/>
      <c r="D105" s="68"/>
      <c r="E105" s="114"/>
      <c r="F105" s="57">
        <v>0.6</v>
      </c>
      <c r="G105" s="71"/>
      <c r="H105" s="68"/>
    </row>
    <row r="106" spans="1:14" s="26" customFormat="1" x14ac:dyDescent="0.3">
      <c r="A106" s="88" t="s">
        <v>205</v>
      </c>
      <c r="B106" s="88"/>
      <c r="C106" s="88"/>
      <c r="D106" s="88"/>
      <c r="E106" s="88"/>
      <c r="F106" s="88"/>
      <c r="G106" s="88"/>
      <c r="H106" s="88"/>
      <c r="J106" s="25"/>
    </row>
    <row r="107" spans="1:14" s="26" customFormat="1" ht="15.75" customHeight="1" x14ac:dyDescent="0.3">
      <c r="A107" s="83">
        <v>1</v>
      </c>
      <c r="B107" s="84"/>
      <c r="C107" s="41" t="s">
        <v>164</v>
      </c>
      <c r="D107" s="41">
        <f>(19.952)*10.764</f>
        <v>214.763328</v>
      </c>
      <c r="E107" s="41">
        <v>0</v>
      </c>
      <c r="F107" s="39">
        <f>(D107+(IF(E107&lt;101,E107,IF(E107&lt;201,E107/2,IF(E107&lt;=301,E107/3E+104/4)))))*(($F$105)+1)</f>
        <v>343.62132480000002</v>
      </c>
      <c r="G107" s="72" t="str">
        <f>A106</f>
        <v>Ground Floor For Commercial &amp; Parking</v>
      </c>
      <c r="H107" s="73"/>
      <c r="J107" s="25">
        <v>525</v>
      </c>
      <c r="K107" s="33">
        <f t="shared" ref="K107:K124" si="2">J107/D107</f>
        <v>2.4445514273274811</v>
      </c>
      <c r="L107" s="25">
        <f t="shared" ref="L107:L124" si="3">J107-E107</f>
        <v>525</v>
      </c>
      <c r="M107" s="38">
        <f t="shared" ref="M107:M124" si="4">L107/D107</f>
        <v>2.4445514273274811</v>
      </c>
      <c r="N107" s="37"/>
    </row>
    <row r="108" spans="1:14" s="26" customFormat="1" ht="15.75" customHeight="1" x14ac:dyDescent="0.3">
      <c r="A108" s="83">
        <f t="shared" ref="A108:A124" si="5">A107+1</f>
        <v>2</v>
      </c>
      <c r="B108" s="84"/>
      <c r="C108" s="41" t="s">
        <v>164</v>
      </c>
      <c r="D108" s="41">
        <f>(29.906)*10.764</f>
        <v>321.90818399999995</v>
      </c>
      <c r="E108" s="41">
        <f>(2.5*3.3)*10.764</f>
        <v>88.802999999999997</v>
      </c>
      <c r="F108" s="39">
        <f>(D108+(IF(E108&lt;101,E108,IF(E108&lt;201,E108/2,IF(E108&lt;=301,E108/3E+104/4)))))*(($F$105)+1)</f>
        <v>657.13789439999994</v>
      </c>
      <c r="G108" s="74"/>
      <c r="H108" s="75"/>
      <c r="J108" s="25">
        <v>780</v>
      </c>
      <c r="K108" s="33">
        <f t="shared" si="2"/>
        <v>2.4230511641791628</v>
      </c>
      <c r="L108" s="25">
        <f t="shared" si="3"/>
        <v>691.197</v>
      </c>
      <c r="M108" s="38">
        <f t="shared" si="4"/>
        <v>2.1471867891373653</v>
      </c>
      <c r="N108" s="37"/>
    </row>
    <row r="109" spans="1:14" s="26" customFormat="1" ht="15.75" customHeight="1" x14ac:dyDescent="0.3">
      <c r="A109" s="83">
        <f t="shared" si="5"/>
        <v>3</v>
      </c>
      <c r="B109" s="84"/>
      <c r="C109" s="41" t="s">
        <v>164</v>
      </c>
      <c r="D109" s="41">
        <f>(17.544)*10.764</f>
        <v>188.843616</v>
      </c>
      <c r="E109" s="41">
        <f>(2.5*2.1)*10.764</f>
        <v>56.510999999999996</v>
      </c>
      <c r="F109" s="39">
        <f t="shared" ref="F109:F124" si="6">(D109+(IF(E109&lt;101,E109,IF(E109&lt;201,E109/2,IF(E109&lt;=301,E109/3E+104/4)))))*(($F$105)+1)</f>
        <v>392.56738560000002</v>
      </c>
      <c r="G109" s="74"/>
      <c r="H109" s="75"/>
      <c r="J109" s="25">
        <v>450</v>
      </c>
      <c r="K109" s="33">
        <f t="shared" si="2"/>
        <v>2.3829240804200658</v>
      </c>
      <c r="L109" s="25">
        <f t="shared" si="3"/>
        <v>393.48900000000003</v>
      </c>
      <c r="M109" s="38">
        <f t="shared" si="4"/>
        <v>2.0836764744009142</v>
      </c>
      <c r="N109" s="37"/>
    </row>
    <row r="110" spans="1:14" s="26" customFormat="1" ht="15.75" customHeight="1" x14ac:dyDescent="0.3">
      <c r="A110" s="83">
        <f t="shared" si="5"/>
        <v>4</v>
      </c>
      <c r="B110" s="84"/>
      <c r="C110" s="41" t="s">
        <v>164</v>
      </c>
      <c r="D110" s="41">
        <f>(30.043)*10.764</f>
        <v>323.38285199999996</v>
      </c>
      <c r="E110" s="41">
        <f>(2.5*3)*10.764</f>
        <v>80.72999999999999</v>
      </c>
      <c r="F110" s="39">
        <f t="shared" si="6"/>
        <v>646.58056320000003</v>
      </c>
      <c r="G110" s="74"/>
      <c r="H110" s="75"/>
      <c r="J110" s="25">
        <v>770</v>
      </c>
      <c r="K110" s="33">
        <f t="shared" si="2"/>
        <v>2.3810786355486782</v>
      </c>
      <c r="L110" s="25">
        <f t="shared" si="3"/>
        <v>689.27</v>
      </c>
      <c r="M110" s="38">
        <f t="shared" si="4"/>
        <v>2.1314364560060226</v>
      </c>
      <c r="N110" s="37"/>
    </row>
    <row r="111" spans="1:14" s="26" customFormat="1" ht="15.75" customHeight="1" x14ac:dyDescent="0.3">
      <c r="A111" s="83">
        <f t="shared" si="5"/>
        <v>5</v>
      </c>
      <c r="B111" s="84"/>
      <c r="C111" s="41" t="s">
        <v>164</v>
      </c>
      <c r="D111" s="41">
        <f>(33.347)*10.764</f>
        <v>358.94710800000001</v>
      </c>
      <c r="E111" s="41">
        <f>(2.5*2.95)*10.764</f>
        <v>79.384499999999989</v>
      </c>
      <c r="F111" s="39">
        <f t="shared" si="6"/>
        <v>701.33057280000003</v>
      </c>
      <c r="G111" s="74"/>
      <c r="H111" s="75"/>
      <c r="J111" s="25">
        <v>910</v>
      </c>
      <c r="K111" s="33">
        <f t="shared" si="2"/>
        <v>2.5351924551513587</v>
      </c>
      <c r="L111" s="25">
        <f t="shared" si="3"/>
        <v>830.6155</v>
      </c>
      <c r="M111" s="38">
        <f t="shared" si="4"/>
        <v>2.3140331304744763</v>
      </c>
      <c r="N111" s="37"/>
    </row>
    <row r="112" spans="1:14" s="26" customFormat="1" ht="15.75" customHeight="1" x14ac:dyDescent="0.3">
      <c r="A112" s="83">
        <f t="shared" si="5"/>
        <v>6</v>
      </c>
      <c r="B112" s="84"/>
      <c r="C112" s="41" t="s">
        <v>164</v>
      </c>
      <c r="D112" s="41">
        <f>(23.174)*10.764</f>
        <v>249.44493599999998</v>
      </c>
      <c r="E112" s="41">
        <f>(2.5*2.05)*10.764</f>
        <v>55.165499999999994</v>
      </c>
      <c r="F112" s="39">
        <f>(D112+(IF(E112&lt;101,E112,IF(E112&lt;201,E112/2,IF(E112&lt;=301,E112/3E+104/4)))))*(($F$105)+1)</f>
        <v>487.3766976</v>
      </c>
      <c r="G112" s="74"/>
      <c r="H112" s="75"/>
      <c r="J112" s="25">
        <v>650</v>
      </c>
      <c r="K112" s="33">
        <f t="shared" si="2"/>
        <v>2.605785510915323</v>
      </c>
      <c r="L112" s="25">
        <f t="shared" si="3"/>
        <v>594.83450000000005</v>
      </c>
      <c r="M112" s="38">
        <f t="shared" si="4"/>
        <v>2.3846324946039399</v>
      </c>
      <c r="N112" s="37"/>
    </row>
    <row r="113" spans="1:14" s="26" customFormat="1" ht="15.75" customHeight="1" x14ac:dyDescent="0.3">
      <c r="A113" s="83">
        <f t="shared" si="5"/>
        <v>7</v>
      </c>
      <c r="B113" s="84"/>
      <c r="C113" s="41" t="s">
        <v>164</v>
      </c>
      <c r="D113" s="41">
        <f>(21.599)*10.764</f>
        <v>232.491636</v>
      </c>
      <c r="E113" s="41">
        <f>(2.5*2.75)*10.764</f>
        <v>74.002499999999998</v>
      </c>
      <c r="F113" s="39">
        <f t="shared" si="6"/>
        <v>490.39061760000004</v>
      </c>
      <c r="G113" s="74"/>
      <c r="H113" s="75"/>
      <c r="J113" s="25">
        <v>565</v>
      </c>
      <c r="K113" s="33">
        <f t="shared" si="2"/>
        <v>2.4301949511852547</v>
      </c>
      <c r="L113" s="25">
        <f t="shared" si="3"/>
        <v>490.9975</v>
      </c>
      <c r="M113" s="38">
        <f t="shared" si="4"/>
        <v>2.1118931779550127</v>
      </c>
      <c r="N113" s="37"/>
    </row>
    <row r="114" spans="1:14" s="26" customFormat="1" ht="15.75" customHeight="1" x14ac:dyDescent="0.3">
      <c r="A114" s="83">
        <f t="shared" si="5"/>
        <v>8</v>
      </c>
      <c r="B114" s="84"/>
      <c r="C114" s="41" t="s">
        <v>164</v>
      </c>
      <c r="D114" s="41">
        <f>(25.363)*10.764</f>
        <v>273.00733199999996</v>
      </c>
      <c r="E114" s="41">
        <f>(2.5*3)*10.764</f>
        <v>80.72999999999999</v>
      </c>
      <c r="F114" s="39">
        <f t="shared" si="6"/>
        <v>565.97973119999995</v>
      </c>
      <c r="G114" s="74"/>
      <c r="H114" s="75"/>
      <c r="J114" s="25">
        <v>670</v>
      </c>
      <c r="K114" s="33">
        <f t="shared" si="2"/>
        <v>2.4541465428481608</v>
      </c>
      <c r="L114" s="25">
        <f t="shared" si="3"/>
        <v>589.27</v>
      </c>
      <c r="M114" s="38">
        <f t="shared" si="4"/>
        <v>2.1584401989613968</v>
      </c>
      <c r="N114" s="37"/>
    </row>
    <row r="115" spans="1:14" s="26" customFormat="1" ht="15.75" customHeight="1" x14ac:dyDescent="0.3">
      <c r="A115" s="83">
        <f t="shared" si="5"/>
        <v>9</v>
      </c>
      <c r="B115" s="84"/>
      <c r="C115" s="41" t="s">
        <v>164</v>
      </c>
      <c r="D115" s="41">
        <f>(32.951)*10.764</f>
        <v>354.68456399999997</v>
      </c>
      <c r="E115" s="41">
        <f>(2.5*2.7)*10.764</f>
        <v>72.656999999999996</v>
      </c>
      <c r="F115" s="39">
        <f t="shared" si="6"/>
        <v>683.74650239999994</v>
      </c>
      <c r="G115" s="74"/>
      <c r="H115" s="75"/>
      <c r="J115" s="25">
        <v>835</v>
      </c>
      <c r="K115" s="33">
        <f t="shared" si="2"/>
        <v>2.3542045094468786</v>
      </c>
      <c r="L115" s="25">
        <f t="shared" si="3"/>
        <v>762.34299999999996</v>
      </c>
      <c r="M115" s="38">
        <f t="shared" si="4"/>
        <v>2.1493548842458226</v>
      </c>
      <c r="N115" s="37"/>
    </row>
    <row r="116" spans="1:14" s="26" customFormat="1" ht="15.75" customHeight="1" x14ac:dyDescent="0.3">
      <c r="A116" s="83">
        <f t="shared" si="5"/>
        <v>10</v>
      </c>
      <c r="B116" s="84"/>
      <c r="C116" s="41" t="s">
        <v>164</v>
      </c>
      <c r="D116" s="41">
        <f>(18.789)*10.764</f>
        <v>202.24479600000001</v>
      </c>
      <c r="E116" s="41">
        <f>(2.5*2.1+1.15*0.9)*10.764</f>
        <v>67.651740000000004</v>
      </c>
      <c r="F116" s="39">
        <f t="shared" si="6"/>
        <v>431.83445760000006</v>
      </c>
      <c r="G116" s="74"/>
      <c r="H116" s="75"/>
      <c r="J116" s="25">
        <v>490</v>
      </c>
      <c r="K116" s="33">
        <f t="shared" si="2"/>
        <v>2.4228064686519795</v>
      </c>
      <c r="L116" s="25">
        <f t="shared" si="3"/>
        <v>422.34825999999998</v>
      </c>
      <c r="M116" s="38">
        <f t="shared" si="4"/>
        <v>2.0883022374528735</v>
      </c>
      <c r="N116" s="37"/>
    </row>
    <row r="117" spans="1:14" s="26" customFormat="1" ht="15.75" customHeight="1" x14ac:dyDescent="0.3">
      <c r="A117" s="83">
        <f t="shared" si="5"/>
        <v>11</v>
      </c>
      <c r="B117" s="84"/>
      <c r="C117" s="41" t="s">
        <v>164</v>
      </c>
      <c r="D117" s="41">
        <f>(29.181)*10.764</f>
        <v>314.10428400000001</v>
      </c>
      <c r="E117" s="41">
        <f>(3*2.5)*10.764</f>
        <v>80.72999999999999</v>
      </c>
      <c r="F117" s="39">
        <f t="shared" si="6"/>
        <v>631.73485440000013</v>
      </c>
      <c r="G117" s="74"/>
      <c r="H117" s="75"/>
      <c r="J117" s="25">
        <v>735</v>
      </c>
      <c r="K117" s="33">
        <f t="shared" si="2"/>
        <v>2.3399871871852596</v>
      </c>
      <c r="L117" s="25">
        <f t="shared" si="3"/>
        <v>654.27</v>
      </c>
      <c r="M117" s="38">
        <f t="shared" si="4"/>
        <v>2.0829706353193194</v>
      </c>
      <c r="N117" s="37"/>
    </row>
    <row r="118" spans="1:14" s="26" customFormat="1" ht="15.75" customHeight="1" x14ac:dyDescent="0.3">
      <c r="A118" s="83">
        <f t="shared" si="5"/>
        <v>12</v>
      </c>
      <c r="B118" s="84"/>
      <c r="C118" s="41" t="s">
        <v>164</v>
      </c>
      <c r="D118" s="41">
        <f>(20.793)*10.764</f>
        <v>223.81585199999998</v>
      </c>
      <c r="E118" s="41">
        <f>(2*3+1.2*2)*10.764</f>
        <v>90.417599999999993</v>
      </c>
      <c r="F118" s="39">
        <f>(D118+(IF(E118&lt;101,E118,IF(E118&lt;201,E118/2,IF(E118&lt;=301,E118/3E+104/4)))))*(($F$105)+1)</f>
        <v>502.77352319999994</v>
      </c>
      <c r="G118" s="74"/>
      <c r="H118" s="75"/>
      <c r="J118" s="25">
        <v>565</v>
      </c>
      <c r="K118" s="33">
        <f t="shared" si="2"/>
        <v>2.5243967080580156</v>
      </c>
      <c r="L118" s="25">
        <f t="shared" si="3"/>
        <v>474.58240000000001</v>
      </c>
      <c r="M118" s="38">
        <f t="shared" si="4"/>
        <v>2.1204145986942877</v>
      </c>
      <c r="N118" s="37"/>
    </row>
    <row r="119" spans="1:14" s="26" customFormat="1" ht="15.75" customHeight="1" x14ac:dyDescent="0.3">
      <c r="A119" s="83">
        <f t="shared" si="5"/>
        <v>13</v>
      </c>
      <c r="B119" s="84"/>
      <c r="C119" s="41" t="s">
        <v>164</v>
      </c>
      <c r="D119" s="41">
        <f>(12.84)*10.764</f>
        <v>138.20975999999999</v>
      </c>
      <c r="E119" s="41">
        <f>(1.76*2.1+1.15*1.5)*10.764</f>
        <v>58.351644</v>
      </c>
      <c r="F119" s="39">
        <f t="shared" si="6"/>
        <v>314.49824639999997</v>
      </c>
      <c r="G119" s="74"/>
      <c r="H119" s="75"/>
      <c r="J119" s="25">
        <v>350</v>
      </c>
      <c r="K119" s="33">
        <f t="shared" si="2"/>
        <v>2.5323826624111065</v>
      </c>
      <c r="L119" s="25">
        <f t="shared" si="3"/>
        <v>291.64835599999998</v>
      </c>
      <c r="M119" s="38">
        <f t="shared" si="4"/>
        <v>2.1101864007288631</v>
      </c>
      <c r="N119" s="37"/>
    </row>
    <row r="120" spans="1:14" s="26" customFormat="1" ht="15.75" customHeight="1" x14ac:dyDescent="0.3">
      <c r="A120" s="83">
        <f t="shared" si="5"/>
        <v>14</v>
      </c>
      <c r="B120" s="84"/>
      <c r="C120" s="41" t="s">
        <v>164</v>
      </c>
      <c r="D120" s="41">
        <f>(24.128)*10.764</f>
        <v>259.71379200000001</v>
      </c>
      <c r="E120" s="41">
        <f>(2.5*2.75+1.5*1.15)*10.764</f>
        <v>92.570399999999992</v>
      </c>
      <c r="F120" s="39">
        <f t="shared" si="6"/>
        <v>563.65470720000008</v>
      </c>
      <c r="G120" s="74"/>
      <c r="H120" s="75"/>
      <c r="J120" s="25">
        <v>635</v>
      </c>
      <c r="K120" s="33">
        <f t="shared" si="2"/>
        <v>2.4449991473691162</v>
      </c>
      <c r="L120" s="25">
        <f t="shared" si="3"/>
        <v>542.42960000000005</v>
      </c>
      <c r="M120" s="38">
        <f t="shared" si="4"/>
        <v>2.0885667866264108</v>
      </c>
      <c r="N120" s="37"/>
    </row>
    <row r="121" spans="1:14" s="26" customFormat="1" ht="15.75" customHeight="1" x14ac:dyDescent="0.3">
      <c r="A121" s="83">
        <f t="shared" si="5"/>
        <v>15</v>
      </c>
      <c r="B121" s="84"/>
      <c r="C121" s="41" t="s">
        <v>164</v>
      </c>
      <c r="D121" s="41">
        <f>(24.45)*10.764</f>
        <v>263.1798</v>
      </c>
      <c r="E121" s="41">
        <f>(2.5*3)*10.764</f>
        <v>80.72999999999999</v>
      </c>
      <c r="F121" s="39">
        <f t="shared" si="6"/>
        <v>550.2556800000001</v>
      </c>
      <c r="G121" s="74"/>
      <c r="H121" s="75"/>
      <c r="J121" s="25">
        <v>630</v>
      </c>
      <c r="K121" s="33">
        <f t="shared" si="2"/>
        <v>2.3938007400264003</v>
      </c>
      <c r="L121" s="25">
        <f t="shared" si="3"/>
        <v>549.27</v>
      </c>
      <c r="M121" s="38">
        <f t="shared" si="4"/>
        <v>2.0870522737687316</v>
      </c>
      <c r="N121" s="37"/>
    </row>
    <row r="122" spans="1:14" s="26" customFormat="1" ht="15.75" customHeight="1" x14ac:dyDescent="0.3">
      <c r="A122" s="83">
        <f t="shared" si="5"/>
        <v>16</v>
      </c>
      <c r="B122" s="84"/>
      <c r="C122" s="41" t="s">
        <v>164</v>
      </c>
      <c r="D122" s="41">
        <f>(11.07)*10.764</f>
        <v>119.15747999999999</v>
      </c>
      <c r="E122" s="41">
        <f>(1.85*2.05)*10.764</f>
        <v>40.822469999999996</v>
      </c>
      <c r="F122" s="39">
        <f t="shared" si="6"/>
        <v>255.96791999999996</v>
      </c>
      <c r="G122" s="74"/>
      <c r="H122" s="75"/>
      <c r="J122" s="25">
        <v>275</v>
      </c>
      <c r="K122" s="33">
        <f t="shared" si="2"/>
        <v>2.3078702235059017</v>
      </c>
      <c r="L122" s="25">
        <f t="shared" si="3"/>
        <v>234.17752999999999</v>
      </c>
      <c r="M122" s="38">
        <f t="shared" si="4"/>
        <v>1.9652776309133091</v>
      </c>
      <c r="N122" s="37">
        <f>2990000/F122</f>
        <v>11681.151294271565</v>
      </c>
    </row>
    <row r="123" spans="1:14" s="26" customFormat="1" ht="15.75" customHeight="1" x14ac:dyDescent="0.3">
      <c r="A123" s="83">
        <f t="shared" si="5"/>
        <v>17</v>
      </c>
      <c r="B123" s="84"/>
      <c r="C123" s="41" t="s">
        <v>164</v>
      </c>
      <c r="D123" s="41">
        <f>(25.793)*10.764</f>
        <v>277.635852</v>
      </c>
      <c r="E123" s="41">
        <f>(2.5*2.85)*10.764</f>
        <v>76.6935</v>
      </c>
      <c r="F123" s="39">
        <f t="shared" si="6"/>
        <v>566.92696319999993</v>
      </c>
      <c r="G123" s="74"/>
      <c r="H123" s="75"/>
      <c r="J123" s="25">
        <v>655</v>
      </c>
      <c r="K123" s="33">
        <f t="shared" si="2"/>
        <v>2.3592053954184564</v>
      </c>
      <c r="L123" s="25">
        <f t="shared" si="3"/>
        <v>578.30650000000003</v>
      </c>
      <c r="M123" s="38">
        <f t="shared" si="4"/>
        <v>2.0829676564970434</v>
      </c>
      <c r="N123" s="37"/>
    </row>
    <row r="124" spans="1:14" s="26" customFormat="1" ht="15.75" customHeight="1" x14ac:dyDescent="0.3">
      <c r="A124" s="83">
        <f t="shared" si="5"/>
        <v>18</v>
      </c>
      <c r="B124" s="84"/>
      <c r="C124" s="41" t="s">
        <v>164</v>
      </c>
      <c r="D124" s="41">
        <f>(27.15)*10.764</f>
        <v>292.24259999999998</v>
      </c>
      <c r="E124" s="41">
        <f>(3*2.5)*10.764</f>
        <v>80.72999999999999</v>
      </c>
      <c r="F124" s="39">
        <f t="shared" si="6"/>
        <v>596.75615999999991</v>
      </c>
      <c r="G124" s="76"/>
      <c r="H124" s="77"/>
      <c r="J124" s="25">
        <v>690</v>
      </c>
      <c r="K124" s="33">
        <f t="shared" si="2"/>
        <v>2.3610520848089909</v>
      </c>
      <c r="L124" s="25">
        <f t="shared" si="3"/>
        <v>609.27</v>
      </c>
      <c r="M124" s="38">
        <f t="shared" si="4"/>
        <v>2.084808990886339</v>
      </c>
      <c r="N124" s="37"/>
    </row>
    <row r="125" spans="1:14" s="26" customFormat="1" x14ac:dyDescent="0.3">
      <c r="A125" s="83"/>
      <c r="B125" s="178"/>
      <c r="C125" s="178"/>
      <c r="D125" s="178"/>
      <c r="E125" s="178"/>
      <c r="F125" s="178"/>
      <c r="G125" s="178"/>
      <c r="H125" s="84"/>
      <c r="J125" s="25"/>
    </row>
    <row r="126" spans="1:14" ht="47.25" customHeight="1" x14ac:dyDescent="0.3">
      <c r="A126" s="68" t="s">
        <v>118</v>
      </c>
      <c r="B126" s="68" t="s">
        <v>117</v>
      </c>
      <c r="C126" s="68" t="s">
        <v>55</v>
      </c>
      <c r="D126" s="68" t="s">
        <v>56</v>
      </c>
      <c r="E126" s="69" t="s">
        <v>57</v>
      </c>
      <c r="F126" s="32" t="s">
        <v>221</v>
      </c>
      <c r="G126" s="68" t="s">
        <v>58</v>
      </c>
      <c r="H126" s="68"/>
      <c r="I126" s="25"/>
    </row>
    <row r="127" spans="1:14" hidden="1" x14ac:dyDescent="0.3">
      <c r="A127" s="68"/>
      <c r="B127" s="68"/>
      <c r="C127" s="68"/>
      <c r="D127" s="68"/>
      <c r="E127" s="70"/>
      <c r="F127" s="57">
        <v>0.5</v>
      </c>
      <c r="G127" s="71"/>
      <c r="H127" s="68"/>
      <c r="I127" s="39">
        <v>10.763999999999999</v>
      </c>
    </row>
    <row r="128" spans="1:14" s="26" customFormat="1" x14ac:dyDescent="0.3">
      <c r="A128" s="88" t="s">
        <v>206</v>
      </c>
      <c r="B128" s="88"/>
      <c r="C128" s="88"/>
      <c r="D128" s="88"/>
      <c r="E128" s="88"/>
      <c r="F128" s="88"/>
      <c r="G128" s="88"/>
      <c r="H128" s="88"/>
      <c r="I128" s="25"/>
      <c r="L128" s="98"/>
      <c r="M128" s="98"/>
    </row>
    <row r="129" spans="1:14" s="26" customFormat="1" ht="15.75" customHeight="1" x14ac:dyDescent="0.3">
      <c r="A129" s="94">
        <v>1</v>
      </c>
      <c r="B129" s="94"/>
      <c r="C129" s="31" t="s">
        <v>165</v>
      </c>
      <c r="D129" s="39">
        <f>(54.282+3.54)*10.764</f>
        <v>622.39600799999994</v>
      </c>
      <c r="E129" s="41">
        <v>0</v>
      </c>
      <c r="F129" s="59">
        <v>1265</v>
      </c>
      <c r="G129" s="72" t="str">
        <f>A128</f>
        <v>1st Floor For Residential, Fitness Center, Driver Room, Open Space &amp; Parking</v>
      </c>
      <c r="H129" s="73"/>
      <c r="I129" s="33">
        <f>3*4.85+2.1*0.85+2.1*3.95+2.85*3+3.95*3+1.2*2*2+3*0.9</f>
        <v>52.529999999999994</v>
      </c>
      <c r="J129" s="26">
        <v>1265</v>
      </c>
      <c r="K129" s="33">
        <f>J129/D129</f>
        <v>2.0324680488631928</v>
      </c>
      <c r="L129" s="26">
        <f>4800*F129</f>
        <v>6072000</v>
      </c>
      <c r="N129" s="25"/>
    </row>
    <row r="130" spans="1:14" s="26" customFormat="1" ht="15.75" customHeight="1" x14ac:dyDescent="0.3">
      <c r="A130" s="94">
        <f>A129+1</f>
        <v>2</v>
      </c>
      <c r="B130" s="94"/>
      <c r="C130" s="31" t="s">
        <v>166</v>
      </c>
      <c r="D130" s="39">
        <f>(35.787+3.3)*10.764</f>
        <v>420.73246799999993</v>
      </c>
      <c r="E130" s="41">
        <f>(0.4*4.9)*10.764</f>
        <v>21.097440000000002</v>
      </c>
      <c r="F130" s="59">
        <v>765</v>
      </c>
      <c r="G130" s="74"/>
      <c r="H130" s="75"/>
      <c r="I130" s="25"/>
      <c r="J130" s="26">
        <v>765</v>
      </c>
      <c r="K130" s="33">
        <f t="shared" ref="K130:K133" si="7">J130/D130</f>
        <v>1.8182575821555091</v>
      </c>
      <c r="L130" s="26">
        <f t="shared" ref="L130:L147" si="8">4800*F130</f>
        <v>3672000</v>
      </c>
      <c r="N130" s="25"/>
    </row>
    <row r="131" spans="1:14" s="26" customFormat="1" ht="15.75" customHeight="1" x14ac:dyDescent="0.3">
      <c r="A131" s="94">
        <f>A130+1</f>
        <v>3</v>
      </c>
      <c r="B131" s="94"/>
      <c r="C131" s="31" t="s">
        <v>166</v>
      </c>
      <c r="D131" s="39">
        <f>(35.787+3.3)*10.764</f>
        <v>420.73246799999993</v>
      </c>
      <c r="E131" s="41">
        <f>(4.6*1.6+7.6*1.45+5*0.7)*10.764</f>
        <v>235.51631999999998</v>
      </c>
      <c r="F131" s="59">
        <v>970</v>
      </c>
      <c r="G131" s="74"/>
      <c r="H131" s="75"/>
      <c r="I131" s="25"/>
      <c r="J131" s="26">
        <v>970</v>
      </c>
      <c r="K131" s="33">
        <f t="shared" si="7"/>
        <v>2.3055030780272467</v>
      </c>
      <c r="L131" s="26">
        <f t="shared" si="8"/>
        <v>4656000</v>
      </c>
      <c r="N131" s="25"/>
    </row>
    <row r="132" spans="1:14" s="26" customFormat="1" ht="15.75" customHeight="1" x14ac:dyDescent="0.3">
      <c r="A132" s="94">
        <f>A131+1</f>
        <v>4</v>
      </c>
      <c r="B132" s="94"/>
      <c r="C132" s="31" t="s">
        <v>165</v>
      </c>
      <c r="D132" s="39">
        <f>(56.337+3.54)*10.764</f>
        <v>644.51602800000001</v>
      </c>
      <c r="E132" s="41">
        <f>(10.9*2.5)*10.764</f>
        <v>293.31899999999996</v>
      </c>
      <c r="F132" s="59">
        <v>1385</v>
      </c>
      <c r="G132" s="74"/>
      <c r="H132" s="75"/>
      <c r="I132" s="25"/>
      <c r="J132" s="26">
        <v>1385</v>
      </c>
      <c r="K132" s="33">
        <f t="shared" si="7"/>
        <v>2.1488992357533738</v>
      </c>
      <c r="L132" s="26">
        <f t="shared" si="8"/>
        <v>6648000</v>
      </c>
      <c r="N132" s="25"/>
    </row>
    <row r="133" spans="1:14" s="26" customFormat="1" ht="15.75" customHeight="1" x14ac:dyDescent="0.3">
      <c r="A133" s="94">
        <f>A132+1</f>
        <v>5</v>
      </c>
      <c r="B133" s="94"/>
      <c r="C133" s="31" t="s">
        <v>165</v>
      </c>
      <c r="D133" s="39">
        <f>(54.905+3.54)*10.764</f>
        <v>629.10197999999991</v>
      </c>
      <c r="E133" s="41">
        <f>(5*2.5+((2+2.5)/2*3.5)+0.7*7.4+0.5*7.2*3.9)*10.764</f>
        <v>426.20057999999995</v>
      </c>
      <c r="F133" s="59">
        <v>1435</v>
      </c>
      <c r="G133" s="76"/>
      <c r="H133" s="77"/>
      <c r="I133" s="25"/>
      <c r="J133" s="26">
        <v>1435</v>
      </c>
      <c r="K133" s="33">
        <f t="shared" si="7"/>
        <v>2.281029222003085</v>
      </c>
      <c r="L133" s="26">
        <f t="shared" si="8"/>
        <v>6888000</v>
      </c>
      <c r="N133" s="25"/>
    </row>
    <row r="134" spans="1:14" s="26" customFormat="1" ht="15.75" customHeight="1" x14ac:dyDescent="0.3">
      <c r="A134" s="95" t="s">
        <v>207</v>
      </c>
      <c r="B134" s="96"/>
      <c r="C134" s="96"/>
      <c r="D134" s="96"/>
      <c r="E134" s="96"/>
      <c r="F134" s="96"/>
      <c r="G134" s="96"/>
      <c r="H134" s="97"/>
      <c r="I134" s="25"/>
      <c r="L134" s="26">
        <f t="shared" si="8"/>
        <v>0</v>
      </c>
    </row>
    <row r="135" spans="1:14" s="26" customFormat="1" x14ac:dyDescent="0.3">
      <c r="A135" s="94">
        <v>1</v>
      </c>
      <c r="B135" s="94"/>
      <c r="C135" s="31" t="s">
        <v>166</v>
      </c>
      <c r="D135" s="39">
        <f>(33.802+3.3)*10.764</f>
        <v>399.36592799999994</v>
      </c>
      <c r="E135" s="41">
        <v>0</v>
      </c>
      <c r="F135" s="59">
        <v>660</v>
      </c>
      <c r="G135" s="72" t="str">
        <f>A134</f>
        <v xml:space="preserve">2nd to 7th &amp; 9th Floor </v>
      </c>
      <c r="H135" s="73"/>
      <c r="I135" s="25"/>
      <c r="J135" s="26">
        <v>650</v>
      </c>
      <c r="K135" s="26">
        <f>J135/D135</f>
        <v>1.6275800072759339</v>
      </c>
      <c r="L135" s="26">
        <f t="shared" si="8"/>
        <v>3168000</v>
      </c>
    </row>
    <row r="136" spans="1:14" s="26" customFormat="1" x14ac:dyDescent="0.3">
      <c r="A136" s="94">
        <f>A135+1</f>
        <v>2</v>
      </c>
      <c r="B136" s="94"/>
      <c r="C136" s="31" t="s">
        <v>219</v>
      </c>
      <c r="D136" s="39">
        <f>(42.66+3.24)*10.764</f>
        <v>494.06759999999997</v>
      </c>
      <c r="E136" s="41">
        <v>0</v>
      </c>
      <c r="F136" s="59">
        <v>805</v>
      </c>
      <c r="G136" s="74"/>
      <c r="H136" s="75"/>
      <c r="I136" s="25"/>
      <c r="J136" s="26">
        <v>790</v>
      </c>
      <c r="K136" s="26">
        <f t="shared" ref="K136:K147" si="9">J136/D136</f>
        <v>1.5989714767776717</v>
      </c>
      <c r="L136" s="26">
        <f t="shared" si="8"/>
        <v>3864000</v>
      </c>
    </row>
    <row r="137" spans="1:14" s="26" customFormat="1" ht="15.75" customHeight="1" x14ac:dyDescent="0.3">
      <c r="A137" s="94">
        <f>A136+1</f>
        <v>3</v>
      </c>
      <c r="B137" s="94"/>
      <c r="C137" s="31" t="s">
        <v>166</v>
      </c>
      <c r="D137" s="39">
        <f>(32.591+3.3)*10.764</f>
        <v>386.33072399999998</v>
      </c>
      <c r="E137" s="41">
        <v>0</v>
      </c>
      <c r="F137" s="59">
        <v>620</v>
      </c>
      <c r="G137" s="74"/>
      <c r="H137" s="75"/>
      <c r="I137" s="25"/>
      <c r="J137" s="26">
        <v>600</v>
      </c>
      <c r="K137" s="26">
        <f t="shared" si="9"/>
        <v>1.553073474943194</v>
      </c>
      <c r="L137" s="26">
        <f t="shared" si="8"/>
        <v>2976000</v>
      </c>
    </row>
    <row r="138" spans="1:14" s="26" customFormat="1" ht="15.75" customHeight="1" x14ac:dyDescent="0.3">
      <c r="A138" s="94">
        <f>A137+1</f>
        <v>4</v>
      </c>
      <c r="B138" s="94"/>
      <c r="C138" s="31" t="s">
        <v>166</v>
      </c>
      <c r="D138" s="39">
        <f>(33.802+3.3)*10.764</f>
        <v>399.36592799999994</v>
      </c>
      <c r="E138" s="41">
        <v>0</v>
      </c>
      <c r="F138" s="59">
        <v>665</v>
      </c>
      <c r="G138" s="74"/>
      <c r="H138" s="75"/>
      <c r="I138" s="25"/>
      <c r="J138" s="26">
        <v>650</v>
      </c>
      <c r="K138" s="26">
        <f t="shared" si="9"/>
        <v>1.6275800072759339</v>
      </c>
      <c r="L138" s="26">
        <f t="shared" si="8"/>
        <v>3192000</v>
      </c>
    </row>
    <row r="139" spans="1:14" s="26" customFormat="1" ht="15.75" customHeight="1" x14ac:dyDescent="0.3">
      <c r="A139" s="94">
        <f>A138+1</f>
        <v>5</v>
      </c>
      <c r="B139" s="94"/>
      <c r="C139" s="31" t="s">
        <v>166</v>
      </c>
      <c r="D139" s="39">
        <f>(33.802+3.3)*10.764</f>
        <v>399.36592799999994</v>
      </c>
      <c r="E139" s="41">
        <v>0</v>
      </c>
      <c r="F139" s="59">
        <v>665</v>
      </c>
      <c r="G139" s="74"/>
      <c r="H139" s="75"/>
      <c r="I139" s="25"/>
      <c r="J139" s="26">
        <v>650</v>
      </c>
      <c r="K139" s="26">
        <f t="shared" si="9"/>
        <v>1.6275800072759339</v>
      </c>
      <c r="L139" s="26">
        <f t="shared" si="8"/>
        <v>3192000</v>
      </c>
    </row>
    <row r="140" spans="1:14" s="26" customFormat="1" ht="15.75" customHeight="1" x14ac:dyDescent="0.3">
      <c r="A140" s="94">
        <v>6</v>
      </c>
      <c r="B140" s="94"/>
      <c r="C140" s="31" t="s">
        <v>165</v>
      </c>
      <c r="D140" s="39">
        <f>(54.282+3.54)*10.764</f>
        <v>622.39600799999994</v>
      </c>
      <c r="E140" s="41">
        <v>0</v>
      </c>
      <c r="F140" s="59">
        <v>1020</v>
      </c>
      <c r="G140" s="74"/>
      <c r="H140" s="75"/>
      <c r="I140" s="25"/>
      <c r="J140" s="26">
        <v>1000</v>
      </c>
      <c r="K140" s="26">
        <f t="shared" si="9"/>
        <v>1.606694109773275</v>
      </c>
      <c r="L140" s="26">
        <f t="shared" si="8"/>
        <v>4896000</v>
      </c>
    </row>
    <row r="141" spans="1:14" s="26" customFormat="1" ht="15.75" customHeight="1" x14ac:dyDescent="0.3">
      <c r="A141" s="94">
        <f t="shared" ref="A141:A144" si="10">A140+1</f>
        <v>7</v>
      </c>
      <c r="B141" s="94"/>
      <c r="C141" s="31" t="s">
        <v>166</v>
      </c>
      <c r="D141" s="39">
        <f>(35.787+3.3)*10.764</f>
        <v>420.73246799999993</v>
      </c>
      <c r="E141" s="41">
        <v>0</v>
      </c>
      <c r="F141" s="59">
        <v>700</v>
      </c>
      <c r="G141" s="74"/>
      <c r="H141" s="75"/>
      <c r="I141" s="25"/>
      <c r="J141" s="26">
        <v>680</v>
      </c>
      <c r="K141" s="26">
        <f t="shared" si="9"/>
        <v>1.6162289619160082</v>
      </c>
      <c r="L141" s="26">
        <f t="shared" si="8"/>
        <v>3360000</v>
      </c>
    </row>
    <row r="142" spans="1:14" s="26" customFormat="1" ht="15.75" customHeight="1" x14ac:dyDescent="0.3">
      <c r="A142" s="94">
        <f t="shared" si="10"/>
        <v>8</v>
      </c>
      <c r="B142" s="94"/>
      <c r="C142" s="31" t="s">
        <v>166</v>
      </c>
      <c r="D142" s="39">
        <f>(35.787+3.3)*10.764</f>
        <v>420.73246799999993</v>
      </c>
      <c r="E142" s="41">
        <v>0</v>
      </c>
      <c r="F142" s="59">
        <v>700</v>
      </c>
      <c r="G142" s="74"/>
      <c r="H142" s="75"/>
      <c r="I142" s="25"/>
      <c r="J142" s="26">
        <v>680</v>
      </c>
      <c r="K142" s="26">
        <f t="shared" si="9"/>
        <v>1.6162289619160082</v>
      </c>
      <c r="L142" s="26">
        <f t="shared" si="8"/>
        <v>3360000</v>
      </c>
    </row>
    <row r="143" spans="1:14" s="26" customFormat="1" ht="15.75" customHeight="1" x14ac:dyDescent="0.3">
      <c r="A143" s="94">
        <f t="shared" si="10"/>
        <v>9</v>
      </c>
      <c r="B143" s="94"/>
      <c r="C143" s="31" t="s">
        <v>165</v>
      </c>
      <c r="D143" s="39">
        <f>(56.337+3.54)*10.764</f>
        <v>644.51602800000001</v>
      </c>
      <c r="E143" s="41">
        <v>0</v>
      </c>
      <c r="F143" s="59">
        <v>1050</v>
      </c>
      <c r="G143" s="74"/>
      <c r="H143" s="75"/>
      <c r="I143" s="25"/>
      <c r="J143" s="26">
        <v>1030</v>
      </c>
      <c r="K143" s="26">
        <f t="shared" si="9"/>
        <v>1.5980983486108122</v>
      </c>
      <c r="L143" s="26">
        <f t="shared" si="8"/>
        <v>5040000</v>
      </c>
    </row>
    <row r="144" spans="1:14" s="26" customFormat="1" ht="15.75" customHeight="1" x14ac:dyDescent="0.3">
      <c r="A144" s="94">
        <f t="shared" si="10"/>
        <v>10</v>
      </c>
      <c r="B144" s="94"/>
      <c r="C144" s="31" t="s">
        <v>165</v>
      </c>
      <c r="D144" s="39">
        <f>(54.905+3.54)*10.764</f>
        <v>629.10197999999991</v>
      </c>
      <c r="E144" s="41">
        <v>0</v>
      </c>
      <c r="F144" s="59">
        <v>1010</v>
      </c>
      <c r="G144" s="74"/>
      <c r="H144" s="75"/>
      <c r="I144" s="25"/>
      <c r="J144" s="26">
        <v>1000</v>
      </c>
      <c r="K144" s="26">
        <f t="shared" si="9"/>
        <v>1.5895674020927419</v>
      </c>
      <c r="L144" s="26">
        <f t="shared" si="8"/>
        <v>4848000</v>
      </c>
    </row>
    <row r="145" spans="1:14" s="26" customFormat="1" ht="15.75" customHeight="1" x14ac:dyDescent="0.3">
      <c r="A145" s="94">
        <v>11</v>
      </c>
      <c r="B145" s="94"/>
      <c r="C145" s="31" t="s">
        <v>166</v>
      </c>
      <c r="D145" s="39">
        <f>(32.12+3.3)*10.764</f>
        <v>381.26087999999993</v>
      </c>
      <c r="E145" s="41">
        <v>0</v>
      </c>
      <c r="F145" s="59">
        <v>620</v>
      </c>
      <c r="G145" s="74"/>
      <c r="H145" s="75"/>
      <c r="I145" s="25"/>
      <c r="J145" s="26">
        <v>600</v>
      </c>
      <c r="K145" s="26">
        <f t="shared" si="9"/>
        <v>1.5737255812870183</v>
      </c>
      <c r="L145" s="26">
        <f t="shared" si="8"/>
        <v>2976000</v>
      </c>
    </row>
    <row r="146" spans="1:14" s="26" customFormat="1" ht="15.75" customHeight="1" x14ac:dyDescent="0.3">
      <c r="A146" s="94">
        <f t="shared" ref="A146:A147" si="11">A145+1</f>
        <v>12</v>
      </c>
      <c r="B146" s="94"/>
      <c r="C146" s="31" t="s">
        <v>166</v>
      </c>
      <c r="D146" s="39">
        <f>(33.245+3.48)*10.764</f>
        <v>395.3078999999999</v>
      </c>
      <c r="E146" s="41">
        <v>0</v>
      </c>
      <c r="F146" s="59">
        <v>655</v>
      </c>
      <c r="G146" s="74"/>
      <c r="H146" s="75"/>
      <c r="I146" s="25"/>
      <c r="J146" s="26">
        <v>640</v>
      </c>
      <c r="K146" s="26">
        <f t="shared" si="9"/>
        <v>1.6189911711858027</v>
      </c>
      <c r="L146" s="26">
        <f t="shared" si="8"/>
        <v>3144000</v>
      </c>
    </row>
    <row r="147" spans="1:14" s="26" customFormat="1" ht="15.75" customHeight="1" x14ac:dyDescent="0.3">
      <c r="A147" s="94">
        <f t="shared" si="11"/>
        <v>13</v>
      </c>
      <c r="B147" s="94"/>
      <c r="C147" s="31" t="s">
        <v>166</v>
      </c>
      <c r="D147" s="39">
        <f>(33.245+3.48)*10.764</f>
        <v>395.3078999999999</v>
      </c>
      <c r="E147" s="41">
        <v>0</v>
      </c>
      <c r="F147" s="59">
        <v>655</v>
      </c>
      <c r="G147" s="76"/>
      <c r="H147" s="77"/>
      <c r="I147" s="25"/>
      <c r="J147" s="26">
        <v>640</v>
      </c>
      <c r="K147" s="26">
        <f t="shared" si="9"/>
        <v>1.6189911711858027</v>
      </c>
      <c r="L147" s="26">
        <f t="shared" si="8"/>
        <v>3144000</v>
      </c>
    </row>
    <row r="148" spans="1:14" s="26" customFormat="1" ht="15.75" customHeight="1" x14ac:dyDescent="0.3">
      <c r="A148" s="95" t="s">
        <v>208</v>
      </c>
      <c r="B148" s="96"/>
      <c r="C148" s="96"/>
      <c r="D148" s="96"/>
      <c r="E148" s="96"/>
      <c r="F148" s="96"/>
      <c r="G148" s="96"/>
      <c r="H148" s="97"/>
      <c r="I148" s="25"/>
    </row>
    <row r="149" spans="1:14" s="26" customFormat="1" ht="15.75" customHeight="1" x14ac:dyDescent="0.3">
      <c r="A149" s="94">
        <v>1</v>
      </c>
      <c r="B149" s="94"/>
      <c r="C149" s="31" t="s">
        <v>166</v>
      </c>
      <c r="D149" s="39">
        <f>(33.802+3.3)*10.764</f>
        <v>399.36592799999994</v>
      </c>
      <c r="E149" s="41">
        <v>0</v>
      </c>
      <c r="F149" s="59">
        <v>660</v>
      </c>
      <c r="G149" s="72" t="str">
        <f>A148</f>
        <v>8th Floor For  (Part Refuge Area)</v>
      </c>
      <c r="H149" s="73"/>
      <c r="I149" s="25">
        <f>2975000/F149</f>
        <v>4507.575757575758</v>
      </c>
      <c r="J149" s="26">
        <v>660</v>
      </c>
      <c r="K149" s="26">
        <f>J149/D149</f>
        <v>1.6526196996955638</v>
      </c>
      <c r="L149" s="26">
        <v>301</v>
      </c>
      <c r="M149" s="26">
        <v>901</v>
      </c>
      <c r="N149" s="26" t="str">
        <f>L149&amp;""&amp;",…,"&amp;""&amp;M149</f>
        <v>301,…,901</v>
      </c>
    </row>
    <row r="150" spans="1:14" s="26" customFormat="1" ht="15.75" customHeight="1" x14ac:dyDescent="0.3">
      <c r="A150" s="94">
        <f>A149+1</f>
        <v>2</v>
      </c>
      <c r="B150" s="94"/>
      <c r="C150" s="31" t="s">
        <v>219</v>
      </c>
      <c r="D150" s="39">
        <f>(42.66+3.24)*10.764</f>
        <v>494.06759999999997</v>
      </c>
      <c r="E150" s="41">
        <v>0</v>
      </c>
      <c r="F150" s="59">
        <v>805</v>
      </c>
      <c r="G150" s="74"/>
      <c r="H150" s="75"/>
      <c r="I150" s="25" t="s">
        <v>190</v>
      </c>
      <c r="J150" s="26">
        <v>805</v>
      </c>
      <c r="K150" s="26">
        <f t="shared" ref="K150:K161" si="12">J150/D150</f>
        <v>1.629331694691172</v>
      </c>
      <c r="L150" s="26">
        <v>302</v>
      </c>
      <c r="M150" s="26">
        <v>902</v>
      </c>
      <c r="N150" s="26" t="str">
        <f t="shared" ref="N150:N161" si="13">L150&amp;""&amp;",…,"&amp;""&amp;M150</f>
        <v>302,…,902</v>
      </c>
    </row>
    <row r="151" spans="1:14" s="26" customFormat="1" ht="15.75" customHeight="1" x14ac:dyDescent="0.3">
      <c r="A151" s="94">
        <f>A150+1</f>
        <v>3</v>
      </c>
      <c r="B151" s="94"/>
      <c r="C151" s="31" t="s">
        <v>166</v>
      </c>
      <c r="D151" s="39">
        <f>(32.591+3.3)*10.764</f>
        <v>386.33072399999998</v>
      </c>
      <c r="E151" s="41">
        <v>0</v>
      </c>
      <c r="F151" s="59">
        <v>620</v>
      </c>
      <c r="G151" s="74"/>
      <c r="H151" s="75"/>
      <c r="I151" s="25"/>
      <c r="J151" s="26">
        <v>620</v>
      </c>
      <c r="K151" s="26">
        <f t="shared" si="12"/>
        <v>1.604842590774634</v>
      </c>
      <c r="L151" s="26">
        <v>303</v>
      </c>
      <c r="M151" s="26">
        <v>903</v>
      </c>
      <c r="N151" s="26" t="str">
        <f t="shared" si="13"/>
        <v>303,…,903</v>
      </c>
    </row>
    <row r="152" spans="1:14" s="26" customFormat="1" ht="15.75" customHeight="1" x14ac:dyDescent="0.3">
      <c r="A152" s="94">
        <f>A151+1</f>
        <v>4</v>
      </c>
      <c r="B152" s="94"/>
      <c r="C152" s="31" t="s">
        <v>166</v>
      </c>
      <c r="D152" s="39">
        <f>(33.802+3.3)*10.764</f>
        <v>399.36592799999994</v>
      </c>
      <c r="E152" s="41">
        <v>0</v>
      </c>
      <c r="F152" s="59">
        <v>665</v>
      </c>
      <c r="G152" s="74"/>
      <c r="H152" s="75"/>
      <c r="I152" s="25"/>
      <c r="J152" s="26">
        <v>665</v>
      </c>
      <c r="K152" s="26">
        <f t="shared" si="12"/>
        <v>1.6651395459053786</v>
      </c>
      <c r="L152" s="26">
        <v>304</v>
      </c>
      <c r="M152" s="26">
        <v>904</v>
      </c>
      <c r="N152" s="26" t="str">
        <f t="shared" si="13"/>
        <v>304,…,904</v>
      </c>
    </row>
    <row r="153" spans="1:14" s="26" customFormat="1" ht="15.75" customHeight="1" x14ac:dyDescent="0.3">
      <c r="A153" s="94">
        <f>A152+1</f>
        <v>5</v>
      </c>
      <c r="B153" s="94"/>
      <c r="C153" s="85" t="s">
        <v>167</v>
      </c>
      <c r="D153" s="86"/>
      <c r="E153" s="86"/>
      <c r="F153" s="87"/>
      <c r="G153" s="74"/>
      <c r="H153" s="75"/>
      <c r="I153" s="25"/>
      <c r="J153" s="26">
        <v>665</v>
      </c>
      <c r="K153" s="26" t="e">
        <f t="shared" si="12"/>
        <v>#DIV/0!</v>
      </c>
      <c r="L153" s="26">
        <v>305</v>
      </c>
      <c r="M153" s="26">
        <v>905</v>
      </c>
      <c r="N153" s="26" t="str">
        <f t="shared" si="13"/>
        <v>305,…,905</v>
      </c>
    </row>
    <row r="154" spans="1:14" s="26" customFormat="1" ht="15.75" customHeight="1" x14ac:dyDescent="0.3">
      <c r="A154" s="94">
        <v>6</v>
      </c>
      <c r="B154" s="94"/>
      <c r="C154" s="31" t="s">
        <v>165</v>
      </c>
      <c r="D154" s="39">
        <f>(54.282+3.54)*10.764</f>
        <v>622.39600799999994</v>
      </c>
      <c r="E154" s="41">
        <v>0</v>
      </c>
      <c r="F154" s="59">
        <v>1020</v>
      </c>
      <c r="G154" s="74"/>
      <c r="H154" s="75"/>
      <c r="I154" s="25"/>
      <c r="J154" s="26">
        <v>1020</v>
      </c>
      <c r="K154" s="26">
        <f t="shared" si="12"/>
        <v>1.6388279919687405</v>
      </c>
      <c r="L154" s="26">
        <v>306</v>
      </c>
      <c r="M154" s="26">
        <v>906</v>
      </c>
      <c r="N154" s="26" t="str">
        <f t="shared" si="13"/>
        <v>306,…,906</v>
      </c>
    </row>
    <row r="155" spans="1:14" s="26" customFormat="1" ht="15.75" customHeight="1" x14ac:dyDescent="0.3">
      <c r="A155" s="94">
        <f t="shared" ref="A155:A158" si="14">A154+1</f>
        <v>7</v>
      </c>
      <c r="B155" s="94"/>
      <c r="C155" s="31" t="s">
        <v>166</v>
      </c>
      <c r="D155" s="39">
        <f>(35.787+3.3)*10.764</f>
        <v>420.73246799999993</v>
      </c>
      <c r="E155" s="41">
        <v>0</v>
      </c>
      <c r="F155" s="59">
        <v>700</v>
      </c>
      <c r="G155" s="74"/>
      <c r="H155" s="75"/>
      <c r="I155" s="25"/>
      <c r="J155" s="26">
        <v>700</v>
      </c>
      <c r="K155" s="26">
        <f t="shared" si="12"/>
        <v>1.6637651078547142</v>
      </c>
      <c r="L155" s="26">
        <v>307</v>
      </c>
      <c r="M155" s="26">
        <v>907</v>
      </c>
      <c r="N155" s="26" t="str">
        <f t="shared" si="13"/>
        <v>307,…,907</v>
      </c>
    </row>
    <row r="156" spans="1:14" s="26" customFormat="1" ht="15.75" customHeight="1" x14ac:dyDescent="0.3">
      <c r="A156" s="94">
        <f t="shared" si="14"/>
        <v>8</v>
      </c>
      <c r="B156" s="94"/>
      <c r="C156" s="31" t="s">
        <v>166</v>
      </c>
      <c r="D156" s="39">
        <f>(35.787+3.3)*10.764</f>
        <v>420.73246799999993</v>
      </c>
      <c r="E156" s="41">
        <v>0</v>
      </c>
      <c r="F156" s="59">
        <v>700</v>
      </c>
      <c r="G156" s="74"/>
      <c r="H156" s="75"/>
      <c r="I156" s="25"/>
      <c r="J156" s="26">
        <v>700</v>
      </c>
      <c r="K156" s="26">
        <f t="shared" si="12"/>
        <v>1.6637651078547142</v>
      </c>
      <c r="L156" s="26">
        <v>308</v>
      </c>
      <c r="M156" s="26">
        <v>908</v>
      </c>
      <c r="N156" s="26" t="str">
        <f t="shared" si="13"/>
        <v>308,…,908</v>
      </c>
    </row>
    <row r="157" spans="1:14" s="26" customFormat="1" ht="15.75" customHeight="1" x14ac:dyDescent="0.3">
      <c r="A157" s="94">
        <f t="shared" si="14"/>
        <v>9</v>
      </c>
      <c r="B157" s="94"/>
      <c r="C157" s="31" t="s">
        <v>165</v>
      </c>
      <c r="D157" s="39">
        <f>(56.337+3.54)*10.764</f>
        <v>644.51602800000001</v>
      </c>
      <c r="E157" s="41">
        <v>0</v>
      </c>
      <c r="F157" s="59">
        <v>1050</v>
      </c>
      <c r="G157" s="74"/>
      <c r="H157" s="75"/>
      <c r="I157" s="25"/>
      <c r="J157" s="26">
        <v>1050</v>
      </c>
      <c r="K157" s="26">
        <f t="shared" si="12"/>
        <v>1.6291293845061678</v>
      </c>
      <c r="L157" s="26">
        <v>309</v>
      </c>
      <c r="M157" s="26">
        <v>909</v>
      </c>
      <c r="N157" s="26" t="str">
        <f t="shared" si="13"/>
        <v>309,…,909</v>
      </c>
    </row>
    <row r="158" spans="1:14" s="26" customFormat="1" ht="15.75" customHeight="1" x14ac:dyDescent="0.3">
      <c r="A158" s="94">
        <f t="shared" si="14"/>
        <v>10</v>
      </c>
      <c r="B158" s="94"/>
      <c r="C158" s="31" t="s">
        <v>165</v>
      </c>
      <c r="D158" s="39">
        <f>(54.905+3.54)*10.764</f>
        <v>629.10197999999991</v>
      </c>
      <c r="E158" s="41">
        <v>0</v>
      </c>
      <c r="F158" s="59">
        <v>1010</v>
      </c>
      <c r="G158" s="74"/>
      <c r="H158" s="75"/>
      <c r="I158" s="25"/>
      <c r="J158" s="26">
        <v>1010</v>
      </c>
      <c r="K158" s="26">
        <f t="shared" si="12"/>
        <v>1.6054630761136695</v>
      </c>
      <c r="L158" s="26">
        <v>310</v>
      </c>
      <c r="M158" s="26">
        <v>910</v>
      </c>
      <c r="N158" s="26" t="str">
        <f t="shared" si="13"/>
        <v>310,…,910</v>
      </c>
    </row>
    <row r="159" spans="1:14" s="26" customFormat="1" ht="15.75" customHeight="1" x14ac:dyDescent="0.3">
      <c r="A159" s="94">
        <v>11</v>
      </c>
      <c r="B159" s="94"/>
      <c r="C159" s="31" t="s">
        <v>166</v>
      </c>
      <c r="D159" s="39">
        <f>(32.12+3.3)*10.764</f>
        <v>381.26087999999993</v>
      </c>
      <c r="E159" s="41">
        <v>0</v>
      </c>
      <c r="F159" s="59">
        <v>620</v>
      </c>
      <c r="G159" s="74"/>
      <c r="H159" s="75"/>
      <c r="I159" s="25"/>
      <c r="J159" s="26">
        <v>620</v>
      </c>
      <c r="K159" s="26">
        <f t="shared" si="12"/>
        <v>1.6261831006632521</v>
      </c>
      <c r="L159" s="26">
        <v>311</v>
      </c>
      <c r="M159" s="26">
        <v>911</v>
      </c>
      <c r="N159" s="26" t="str">
        <f t="shared" si="13"/>
        <v>311,…,911</v>
      </c>
    </row>
    <row r="160" spans="1:14" s="26" customFormat="1" ht="15.75" customHeight="1" x14ac:dyDescent="0.3">
      <c r="A160" s="94">
        <f t="shared" ref="A160:A161" si="15">A159+1</f>
        <v>12</v>
      </c>
      <c r="B160" s="94"/>
      <c r="C160" s="31" t="s">
        <v>166</v>
      </c>
      <c r="D160" s="39">
        <f>(33.245+3.48)*10.764</f>
        <v>395.3078999999999</v>
      </c>
      <c r="E160" s="41">
        <v>0</v>
      </c>
      <c r="F160" s="59">
        <v>655</v>
      </c>
      <c r="G160" s="74"/>
      <c r="H160" s="75"/>
      <c r="I160" s="25"/>
      <c r="J160" s="26">
        <v>655</v>
      </c>
      <c r="K160" s="26">
        <f t="shared" si="12"/>
        <v>1.6569362767604698</v>
      </c>
      <c r="L160" s="26">
        <v>312</v>
      </c>
      <c r="M160" s="26">
        <v>912</v>
      </c>
      <c r="N160" s="26" t="str">
        <f t="shared" si="13"/>
        <v>312,…,912</v>
      </c>
    </row>
    <row r="161" spans="1:14" s="26" customFormat="1" ht="15.75" customHeight="1" x14ac:dyDescent="0.3">
      <c r="A161" s="94">
        <f t="shared" si="15"/>
        <v>13</v>
      </c>
      <c r="B161" s="94"/>
      <c r="C161" s="31" t="s">
        <v>166</v>
      </c>
      <c r="D161" s="39">
        <f>(33.245+3.48)*10.764</f>
        <v>395.3078999999999</v>
      </c>
      <c r="E161" s="41">
        <v>0</v>
      </c>
      <c r="F161" s="59">
        <v>655</v>
      </c>
      <c r="G161" s="76"/>
      <c r="H161" s="77"/>
      <c r="I161" s="25"/>
      <c r="J161" s="26">
        <v>655</v>
      </c>
      <c r="K161" s="26">
        <f t="shared" si="12"/>
        <v>1.6569362767604698</v>
      </c>
      <c r="L161" s="26">
        <v>313</v>
      </c>
      <c r="M161" s="26">
        <v>913</v>
      </c>
      <c r="N161" s="26" t="str">
        <f t="shared" si="13"/>
        <v>313,…,913</v>
      </c>
    </row>
    <row r="162" spans="1:14" s="26" customFormat="1" x14ac:dyDescent="0.3">
      <c r="A162" s="88" t="s">
        <v>209</v>
      </c>
      <c r="B162" s="88"/>
      <c r="C162" s="88"/>
      <c r="D162" s="88"/>
      <c r="E162" s="88"/>
      <c r="F162" s="88"/>
      <c r="G162" s="88"/>
      <c r="H162" s="88"/>
      <c r="I162" s="25"/>
      <c r="L162" s="98"/>
      <c r="M162" s="98"/>
    </row>
    <row r="163" spans="1:14" s="26" customFormat="1" x14ac:dyDescent="0.3">
      <c r="A163" s="94">
        <v>1</v>
      </c>
      <c r="B163" s="94"/>
      <c r="C163" s="31" t="s">
        <v>166</v>
      </c>
      <c r="D163" s="39">
        <f>(33.802+3.3)*10.764</f>
        <v>399.36592799999994</v>
      </c>
      <c r="E163" s="41">
        <v>0</v>
      </c>
      <c r="F163" s="59">
        <v>660</v>
      </c>
      <c r="G163" s="72" t="str">
        <f>A162</f>
        <v>10th Floor</v>
      </c>
      <c r="H163" s="73"/>
      <c r="I163" s="25">
        <f>(3*4.85+2.1*3.95+2.85*2.95+3*3.95+2*1.2+2*1.2+2.1*0.85+0.9*2.85)</f>
        <v>52.252499999999991</v>
      </c>
      <c r="J163" s="26">
        <v>650</v>
      </c>
      <c r="K163" s="26">
        <f>J163/D163</f>
        <v>1.6275800072759339</v>
      </c>
      <c r="L163" s="26">
        <f>4800*F163</f>
        <v>3168000</v>
      </c>
      <c r="N163" s="25"/>
    </row>
    <row r="164" spans="1:14" s="26" customFormat="1" x14ac:dyDescent="0.3">
      <c r="A164" s="94">
        <f t="shared" ref="A164:A175" si="16">A163+1</f>
        <v>2</v>
      </c>
      <c r="B164" s="94"/>
      <c r="C164" s="31" t="s">
        <v>219</v>
      </c>
      <c r="D164" s="39">
        <f>(42.66+3.24)*10.764</f>
        <v>494.06759999999997</v>
      </c>
      <c r="E164" s="41">
        <v>0</v>
      </c>
      <c r="F164" s="59">
        <v>805</v>
      </c>
      <c r="G164" s="74"/>
      <c r="H164" s="75"/>
      <c r="I164" s="25"/>
      <c r="J164" s="26">
        <v>790</v>
      </c>
      <c r="K164" s="26">
        <f t="shared" ref="K164:K175" si="17">J164/D164</f>
        <v>1.5989714767776717</v>
      </c>
      <c r="L164" s="26">
        <f t="shared" ref="L164:L175" si="18">4800*F164</f>
        <v>3864000</v>
      </c>
      <c r="N164" s="25"/>
    </row>
    <row r="165" spans="1:14" s="26" customFormat="1" x14ac:dyDescent="0.3">
      <c r="A165" s="94">
        <f t="shared" si="16"/>
        <v>3</v>
      </c>
      <c r="B165" s="94"/>
      <c r="C165" s="31" t="s">
        <v>166</v>
      </c>
      <c r="D165" s="39">
        <f>(32.591+3.3)*10.764</f>
        <v>386.33072399999998</v>
      </c>
      <c r="E165" s="41">
        <v>0</v>
      </c>
      <c r="F165" s="59">
        <v>620</v>
      </c>
      <c r="G165" s="74"/>
      <c r="H165" s="75"/>
      <c r="I165" s="25"/>
      <c r="J165" s="26">
        <v>600</v>
      </c>
      <c r="K165" s="26">
        <f t="shared" si="17"/>
        <v>1.553073474943194</v>
      </c>
      <c r="L165" s="26">
        <f t="shared" si="18"/>
        <v>2976000</v>
      </c>
      <c r="N165" s="25"/>
    </row>
    <row r="166" spans="1:14" s="26" customFormat="1" x14ac:dyDescent="0.3">
      <c r="A166" s="94">
        <f t="shared" si="16"/>
        <v>4</v>
      </c>
      <c r="B166" s="94"/>
      <c r="C166" s="31" t="s">
        <v>166</v>
      </c>
      <c r="D166" s="39">
        <f>(33.802+3.3)*10.764</f>
        <v>399.36592799999994</v>
      </c>
      <c r="E166" s="41">
        <v>0</v>
      </c>
      <c r="F166" s="59">
        <v>665</v>
      </c>
      <c r="G166" s="74"/>
      <c r="H166" s="75"/>
      <c r="I166" s="25"/>
      <c r="J166" s="26">
        <v>650</v>
      </c>
      <c r="K166" s="26">
        <f t="shared" si="17"/>
        <v>1.6275800072759339</v>
      </c>
      <c r="L166" s="26">
        <f t="shared" si="18"/>
        <v>3192000</v>
      </c>
      <c r="N166" s="25"/>
    </row>
    <row r="167" spans="1:14" s="26" customFormat="1" x14ac:dyDescent="0.3">
      <c r="A167" s="94">
        <f t="shared" si="16"/>
        <v>5</v>
      </c>
      <c r="B167" s="94"/>
      <c r="C167" s="31" t="s">
        <v>166</v>
      </c>
      <c r="D167" s="39">
        <f>(33.802+3.3)*10.764</f>
        <v>399.36592799999994</v>
      </c>
      <c r="E167" s="41">
        <v>0</v>
      </c>
      <c r="F167" s="59">
        <v>665</v>
      </c>
      <c r="G167" s="74"/>
      <c r="H167" s="75"/>
      <c r="I167" s="25"/>
      <c r="K167" s="26">
        <f t="shared" si="17"/>
        <v>0</v>
      </c>
      <c r="L167" s="26">
        <f t="shared" si="18"/>
        <v>3192000</v>
      </c>
      <c r="N167" s="25"/>
    </row>
    <row r="168" spans="1:14" s="26" customFormat="1" x14ac:dyDescent="0.3">
      <c r="A168" s="94">
        <f t="shared" si="16"/>
        <v>6</v>
      </c>
      <c r="B168" s="94"/>
      <c r="C168" s="31" t="s">
        <v>165</v>
      </c>
      <c r="D168" s="39">
        <f>(47.335+3.54+7.95)*10.764</f>
        <v>633.19230000000005</v>
      </c>
      <c r="E168" s="41">
        <v>0</v>
      </c>
      <c r="F168" s="59">
        <v>1020</v>
      </c>
      <c r="G168" s="74"/>
      <c r="H168" s="75"/>
      <c r="I168" s="33">
        <f>3*4.85+2.1*0.85+2.1*3.95+2.85*3+3.95*3+1.2*2*2+3*0.9</f>
        <v>52.529999999999994</v>
      </c>
      <c r="J168" s="26">
        <v>1000</v>
      </c>
      <c r="K168" s="26">
        <f t="shared" si="17"/>
        <v>1.5792990533839404</v>
      </c>
      <c r="L168" s="26">
        <f t="shared" si="18"/>
        <v>4896000</v>
      </c>
      <c r="N168" s="25"/>
    </row>
    <row r="169" spans="1:14" s="26" customFormat="1" x14ac:dyDescent="0.3">
      <c r="A169" s="94">
        <f t="shared" si="16"/>
        <v>7</v>
      </c>
      <c r="B169" s="94"/>
      <c r="C169" s="31" t="s">
        <v>166</v>
      </c>
      <c r="D169" s="39">
        <f>(35.787+3.3)*10.764</f>
        <v>420.73246799999993</v>
      </c>
      <c r="E169" s="41">
        <v>0</v>
      </c>
      <c r="F169" s="59">
        <v>700</v>
      </c>
      <c r="G169" s="74"/>
      <c r="H169" s="75"/>
      <c r="I169" s="25"/>
      <c r="J169" s="26">
        <v>680</v>
      </c>
      <c r="K169" s="26">
        <f t="shared" si="17"/>
        <v>1.6162289619160082</v>
      </c>
      <c r="L169" s="26">
        <f t="shared" si="18"/>
        <v>3360000</v>
      </c>
      <c r="N169" s="25"/>
    </row>
    <row r="170" spans="1:14" s="26" customFormat="1" x14ac:dyDescent="0.3">
      <c r="A170" s="94">
        <f t="shared" si="16"/>
        <v>8</v>
      </c>
      <c r="B170" s="94"/>
      <c r="C170" s="31" t="s">
        <v>166</v>
      </c>
      <c r="D170" s="39">
        <f>(35.787+3.3)*10.764</f>
        <v>420.73246799999993</v>
      </c>
      <c r="E170" s="41">
        <v>0</v>
      </c>
      <c r="F170" s="59">
        <v>700</v>
      </c>
      <c r="G170" s="74"/>
      <c r="H170" s="75"/>
      <c r="I170" s="25"/>
      <c r="J170" s="26">
        <v>680</v>
      </c>
      <c r="K170" s="26">
        <f t="shared" si="17"/>
        <v>1.6162289619160082</v>
      </c>
      <c r="L170" s="26">
        <f t="shared" si="18"/>
        <v>3360000</v>
      </c>
      <c r="N170" s="25"/>
    </row>
    <row r="171" spans="1:14" s="26" customFormat="1" x14ac:dyDescent="0.3">
      <c r="A171" s="94">
        <f t="shared" si="16"/>
        <v>9</v>
      </c>
      <c r="B171" s="94"/>
      <c r="C171" s="31" t="s">
        <v>165</v>
      </c>
      <c r="D171" s="39">
        <f>(56.337+3.54)*10.764</f>
        <v>644.51602800000001</v>
      </c>
      <c r="E171" s="41">
        <v>0</v>
      </c>
      <c r="F171" s="59">
        <v>1050</v>
      </c>
      <c r="G171" s="74"/>
      <c r="H171" s="75"/>
      <c r="I171" s="25"/>
      <c r="J171" s="26">
        <v>1030</v>
      </c>
      <c r="K171" s="26">
        <f t="shared" si="17"/>
        <v>1.5980983486108122</v>
      </c>
      <c r="L171" s="26">
        <f t="shared" si="18"/>
        <v>5040000</v>
      </c>
      <c r="N171" s="25"/>
    </row>
    <row r="172" spans="1:14" s="26" customFormat="1" x14ac:dyDescent="0.3">
      <c r="A172" s="94">
        <f t="shared" si="16"/>
        <v>10</v>
      </c>
      <c r="B172" s="94"/>
      <c r="C172" s="31" t="s">
        <v>165</v>
      </c>
      <c r="D172" s="39">
        <f>(54.905+3.54)*10.764</f>
        <v>629.10197999999991</v>
      </c>
      <c r="E172" s="41">
        <v>0</v>
      </c>
      <c r="F172" s="59">
        <v>1010</v>
      </c>
      <c r="G172" s="74"/>
      <c r="H172" s="75"/>
      <c r="I172" s="25"/>
      <c r="J172" s="26">
        <v>1000</v>
      </c>
      <c r="K172" s="26">
        <f t="shared" si="17"/>
        <v>1.5895674020927419</v>
      </c>
      <c r="L172" s="26">
        <f t="shared" si="18"/>
        <v>4848000</v>
      </c>
      <c r="N172" s="25"/>
    </row>
    <row r="173" spans="1:14" s="26" customFormat="1" x14ac:dyDescent="0.3">
      <c r="A173" s="94">
        <f t="shared" si="16"/>
        <v>11</v>
      </c>
      <c r="B173" s="94"/>
      <c r="C173" s="31" t="s">
        <v>166</v>
      </c>
      <c r="D173" s="39">
        <f>(32.12+3.3)*10.764</f>
        <v>381.26087999999993</v>
      </c>
      <c r="E173" s="41">
        <v>0</v>
      </c>
      <c r="F173" s="59">
        <v>620</v>
      </c>
      <c r="G173" s="74"/>
      <c r="H173" s="75"/>
      <c r="I173" s="25"/>
      <c r="J173" s="26">
        <v>600</v>
      </c>
      <c r="K173" s="26">
        <f t="shared" si="17"/>
        <v>1.5737255812870183</v>
      </c>
      <c r="L173" s="26">
        <f t="shared" si="18"/>
        <v>2976000</v>
      </c>
      <c r="N173" s="25"/>
    </row>
    <row r="174" spans="1:14" s="26" customFormat="1" x14ac:dyDescent="0.3">
      <c r="A174" s="94">
        <f t="shared" si="16"/>
        <v>12</v>
      </c>
      <c r="B174" s="94"/>
      <c r="C174" s="31" t="s">
        <v>166</v>
      </c>
      <c r="D174" s="39">
        <f>(33.245+3.48)*10.764</f>
        <v>395.3078999999999</v>
      </c>
      <c r="E174" s="41">
        <v>0</v>
      </c>
      <c r="F174" s="59">
        <v>655</v>
      </c>
      <c r="G174" s="74"/>
      <c r="H174" s="75"/>
      <c r="I174" s="25"/>
      <c r="J174" s="26" t="s">
        <v>222</v>
      </c>
      <c r="K174" s="26" t="e">
        <f t="shared" si="17"/>
        <v>#VALUE!</v>
      </c>
      <c r="L174" s="26">
        <f t="shared" si="18"/>
        <v>3144000</v>
      </c>
      <c r="N174" s="25"/>
    </row>
    <row r="175" spans="1:14" s="26" customFormat="1" x14ac:dyDescent="0.3">
      <c r="A175" s="94">
        <f t="shared" si="16"/>
        <v>13</v>
      </c>
      <c r="B175" s="94"/>
      <c r="C175" s="31" t="s">
        <v>166</v>
      </c>
      <c r="D175" s="39">
        <f>(33.245+3.48)*10.764</f>
        <v>395.3078999999999</v>
      </c>
      <c r="E175" s="41">
        <v>0</v>
      </c>
      <c r="F175" s="59">
        <v>655</v>
      </c>
      <c r="G175" s="76"/>
      <c r="H175" s="77"/>
      <c r="I175" s="39" t="s">
        <v>222</v>
      </c>
      <c r="J175" s="26">
        <v>640</v>
      </c>
      <c r="K175" s="26">
        <f t="shared" si="17"/>
        <v>1.6189911711858027</v>
      </c>
      <c r="L175" s="26">
        <f t="shared" si="18"/>
        <v>3144000</v>
      </c>
      <c r="N175" s="25"/>
    </row>
    <row r="176" spans="1:14" s="24" customFormat="1" x14ac:dyDescent="0.3">
      <c r="A176" s="88" t="s">
        <v>226</v>
      </c>
      <c r="B176" s="88"/>
      <c r="C176" s="88"/>
      <c r="D176" s="88"/>
      <c r="E176" s="88"/>
      <c r="F176" s="88"/>
      <c r="G176" s="88"/>
      <c r="H176" s="88"/>
      <c r="I176" s="60">
        <v>0.62</v>
      </c>
    </row>
    <row r="177" spans="1:15" s="24" customFormat="1" x14ac:dyDescent="0.3">
      <c r="A177" s="89">
        <v>1</v>
      </c>
      <c r="B177" s="89"/>
      <c r="C177" s="64" t="s">
        <v>210</v>
      </c>
      <c r="D177" s="58">
        <f>(24.607)*10.764</f>
        <v>264.86974799999996</v>
      </c>
      <c r="E177" s="58">
        <f>(3.05*2.9+2.75*1.2)*10.764</f>
        <v>130.72878</v>
      </c>
      <c r="F177" s="58">
        <f>D177*(($I$176)+1)+(IF(E177&lt;101,E177,IF(E177&lt;201,E177/2,IF(E177&lt;=301,E177/3,E177/4))))</f>
        <v>494.45338175999996</v>
      </c>
      <c r="G177" s="90" t="str">
        <f>A176</f>
        <v>11th Floor</v>
      </c>
      <c r="H177" s="91"/>
      <c r="I177" s="24">
        <f>4.85*2.75+3.05*2.2+1.35*0.9+2*1.2</f>
        <v>23.662499999999998</v>
      </c>
    </row>
    <row r="178" spans="1:15" s="24" customFormat="1" x14ac:dyDescent="0.3">
      <c r="A178" s="89">
        <f t="shared" ref="A178:A187" si="19">A177+1</f>
        <v>2</v>
      </c>
      <c r="B178" s="89"/>
      <c r="C178" s="64" t="s">
        <v>166</v>
      </c>
      <c r="D178" s="58">
        <f>(33.825)*10.764</f>
        <v>364.09230000000002</v>
      </c>
      <c r="E178" s="58">
        <f>(2.75*3+2.75*1.2)*10.764</f>
        <v>124.3242</v>
      </c>
      <c r="F178" s="58">
        <f t="shared" ref="F178:F187" si="20">D178*(($I$176)+1)+(IF(E178&lt;101,E178,IF(E178&lt;201,E178/2,IF(E178&lt;=301,E178/3,E178/4))))</f>
        <v>651.99162600000011</v>
      </c>
      <c r="G178" s="92"/>
      <c r="H178" s="93"/>
    </row>
    <row r="179" spans="1:15" s="24" customFormat="1" x14ac:dyDescent="0.3">
      <c r="A179" s="89">
        <f t="shared" si="19"/>
        <v>3</v>
      </c>
      <c r="B179" s="89"/>
      <c r="C179" s="64" t="s">
        <v>210</v>
      </c>
      <c r="D179" s="58">
        <f>(23.243)*10.764</f>
        <v>250.18765199999996</v>
      </c>
      <c r="E179" s="58">
        <f>(3.4*2.75+2.75*1.2)*10.764</f>
        <v>136.16459999999998</v>
      </c>
      <c r="F179" s="58">
        <f t="shared" si="20"/>
        <v>473.38629623999992</v>
      </c>
      <c r="G179" s="92"/>
      <c r="H179" s="93"/>
    </row>
    <row r="180" spans="1:15" s="24" customFormat="1" x14ac:dyDescent="0.3">
      <c r="A180" s="89">
        <f t="shared" si="19"/>
        <v>4</v>
      </c>
      <c r="B180" s="89"/>
      <c r="C180" s="64" t="s">
        <v>210</v>
      </c>
      <c r="D180" s="58">
        <f>(24.608)*10.764</f>
        <v>264.88051200000001</v>
      </c>
      <c r="E180" s="58">
        <f>(3.05*2.9+2.75*1.2)*10.764</f>
        <v>130.72878</v>
      </c>
      <c r="F180" s="58">
        <f t="shared" si="20"/>
        <v>494.47081944000007</v>
      </c>
      <c r="G180" s="92"/>
      <c r="H180" s="93"/>
    </row>
    <row r="181" spans="1:15" s="24" customFormat="1" x14ac:dyDescent="0.3">
      <c r="A181" s="89">
        <f t="shared" si="19"/>
        <v>5</v>
      </c>
      <c r="B181" s="89"/>
      <c r="C181" s="64" t="s">
        <v>210</v>
      </c>
      <c r="D181" s="58">
        <f>(24.589)*10.764</f>
        <v>264.67599599999994</v>
      </c>
      <c r="E181" s="58">
        <f>(3.05*2.9+2.75*1.2)*10.764</f>
        <v>130.72878</v>
      </c>
      <c r="F181" s="58">
        <f t="shared" si="20"/>
        <v>494.13950351999995</v>
      </c>
      <c r="G181" s="92"/>
      <c r="H181" s="93"/>
    </row>
    <row r="182" spans="1:15" s="24" customFormat="1" x14ac:dyDescent="0.3">
      <c r="A182" s="89">
        <f t="shared" si="19"/>
        <v>6</v>
      </c>
      <c r="B182" s="89"/>
      <c r="C182" s="64" t="s">
        <v>165</v>
      </c>
      <c r="D182" s="58">
        <f>(47.355+7.95)*10.764</f>
        <v>595.30301999999995</v>
      </c>
      <c r="E182" s="58">
        <f>(2.95*1.2+35.787+3.3)*10.764</f>
        <v>458.83702799999992</v>
      </c>
      <c r="F182" s="58">
        <v>1270</v>
      </c>
      <c r="G182" s="92"/>
      <c r="H182" s="93"/>
      <c r="I182" s="174" t="s">
        <v>227</v>
      </c>
      <c r="J182" s="175"/>
      <c r="K182" s="175"/>
      <c r="L182" s="175"/>
    </row>
    <row r="183" spans="1:15" s="24" customFormat="1" x14ac:dyDescent="0.3">
      <c r="A183" s="89">
        <v>7</v>
      </c>
      <c r="B183" s="89"/>
      <c r="C183" s="64" t="s">
        <v>165</v>
      </c>
      <c r="D183" s="58">
        <f>(56.337)*10.764</f>
        <v>606.41146800000001</v>
      </c>
      <c r="E183" s="58">
        <f>(2.95*1.2+35.787+3.3)*10.764</f>
        <v>458.83702799999992</v>
      </c>
      <c r="F183" s="58">
        <f t="shared" si="20"/>
        <v>1097.0958351600002</v>
      </c>
      <c r="G183" s="92"/>
      <c r="H183" s="93"/>
    </row>
    <row r="184" spans="1:15" s="24" customFormat="1" x14ac:dyDescent="0.3">
      <c r="A184" s="89">
        <f t="shared" si="19"/>
        <v>8</v>
      </c>
      <c r="B184" s="89"/>
      <c r="C184" s="64" t="s">
        <v>165</v>
      </c>
      <c r="D184" s="58">
        <f>(54.905)*10.764</f>
        <v>590.99741999999992</v>
      </c>
      <c r="E184" s="58">
        <f>(2.95*1.2)*10.764</f>
        <v>38.104559999999999</v>
      </c>
      <c r="F184" s="58">
        <f t="shared" si="20"/>
        <v>995.52038039999991</v>
      </c>
      <c r="G184" s="92"/>
      <c r="H184" s="93"/>
    </row>
    <row r="185" spans="1:15" x14ac:dyDescent="0.3">
      <c r="A185" s="89">
        <f t="shared" si="19"/>
        <v>9</v>
      </c>
      <c r="B185" s="89"/>
      <c r="C185" s="64" t="s">
        <v>210</v>
      </c>
      <c r="D185" s="58">
        <f>(21.073)*10.764</f>
        <v>226.82977199999999</v>
      </c>
      <c r="E185" s="58">
        <f>(3*1.15+3.9*2+2.85*0.9)*10.764</f>
        <v>148.70465999999999</v>
      </c>
      <c r="F185" s="58">
        <f t="shared" si="20"/>
        <v>441.81656063999998</v>
      </c>
      <c r="G185" s="92"/>
      <c r="H185" s="93"/>
    </row>
    <row r="186" spans="1:15" x14ac:dyDescent="0.3">
      <c r="A186" s="89">
        <f t="shared" si="19"/>
        <v>10</v>
      </c>
      <c r="B186" s="89"/>
      <c r="C186" s="64" t="s">
        <v>210</v>
      </c>
      <c r="D186" s="58">
        <f>(24.675)*10.764</f>
        <v>265.60169999999999</v>
      </c>
      <c r="E186" s="58">
        <f>(2.96*1.2+3*2.75)*10.764</f>
        <v>127.03672799999998</v>
      </c>
      <c r="F186" s="58">
        <f t="shared" si="20"/>
        <v>493.79311800000005</v>
      </c>
      <c r="G186" s="92"/>
      <c r="H186" s="93"/>
    </row>
    <row r="187" spans="1:15" ht="15.75" customHeight="1" x14ac:dyDescent="0.3">
      <c r="A187" s="89">
        <f t="shared" si="19"/>
        <v>11</v>
      </c>
      <c r="B187" s="89"/>
      <c r="C187" s="64" t="s">
        <v>210</v>
      </c>
      <c r="D187" s="58">
        <f>(24.675)*10.764</f>
        <v>265.60169999999999</v>
      </c>
      <c r="E187" s="58">
        <f>(2.96*1.2+3*2.75)*10.764</f>
        <v>127.03672799999998</v>
      </c>
      <c r="F187" s="58">
        <f t="shared" si="20"/>
        <v>493.79311800000005</v>
      </c>
      <c r="G187" s="92"/>
      <c r="H187" s="93"/>
    </row>
    <row r="188" spans="1:15" x14ac:dyDescent="0.3">
      <c r="A188" s="177" t="s">
        <v>66</v>
      </c>
      <c r="B188" s="177"/>
      <c r="C188" s="177"/>
      <c r="D188" s="177"/>
      <c r="E188" s="177"/>
      <c r="F188" s="177"/>
      <c r="G188" s="177"/>
      <c r="H188" s="177"/>
    </row>
    <row r="189" spans="1:15" x14ac:dyDescent="0.3">
      <c r="A189" s="40" t="s">
        <v>150</v>
      </c>
      <c r="B189" s="166" t="s">
        <v>238</v>
      </c>
      <c r="C189" s="167"/>
      <c r="D189" s="167"/>
      <c r="E189" s="167"/>
      <c r="F189" s="167"/>
      <c r="G189" s="167"/>
      <c r="H189" s="168"/>
    </row>
    <row r="190" spans="1:15" x14ac:dyDescent="0.3">
      <c r="A190" s="40" t="s">
        <v>150</v>
      </c>
      <c r="B190" s="166" t="s">
        <v>223</v>
      </c>
      <c r="C190" s="167"/>
      <c r="D190" s="167"/>
      <c r="E190" s="167"/>
      <c r="F190" s="167"/>
      <c r="G190" s="167"/>
      <c r="H190" s="168"/>
      <c r="I190" s="166" t="str">
        <f>(IF(M126="Saleable area Loading :","We have considered Saleable area of Flats as per our Calculation.","We considered Saleable area of Flat as per Builder area Sheet."))</f>
        <v>We considered Saleable area of Flat as per Builder area Sheet.</v>
      </c>
      <c r="J190" s="167"/>
      <c r="K190" s="167"/>
      <c r="L190" s="167"/>
      <c r="M190" s="167"/>
      <c r="N190" s="167"/>
      <c r="O190" s="168"/>
    </row>
    <row r="191" spans="1:15" x14ac:dyDescent="0.3">
      <c r="A191" s="40" t="s">
        <v>150</v>
      </c>
      <c r="B191" s="166" t="s">
        <v>224</v>
      </c>
      <c r="C191" s="167"/>
      <c r="D191" s="167"/>
      <c r="E191" s="167"/>
      <c r="F191" s="167"/>
      <c r="G191" s="167"/>
      <c r="H191" s="168"/>
      <c r="I191" s="61"/>
      <c r="J191" s="61"/>
      <c r="K191" s="61"/>
      <c r="L191" s="61"/>
      <c r="M191" s="61"/>
      <c r="N191" s="61"/>
      <c r="O191" s="61"/>
    </row>
    <row r="192" spans="1:15" x14ac:dyDescent="0.3">
      <c r="A192" s="40" t="s">
        <v>150</v>
      </c>
      <c r="B192" s="166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2" s="167"/>
      <c r="D192" s="167"/>
      <c r="E192" s="167"/>
      <c r="F192" s="167"/>
      <c r="G192" s="167"/>
      <c r="H192" s="168"/>
    </row>
    <row r="193" spans="1:8" x14ac:dyDescent="0.3">
      <c r="A193" s="40" t="s">
        <v>150</v>
      </c>
      <c r="B193" s="166" t="s">
        <v>121</v>
      </c>
      <c r="C193" s="167"/>
      <c r="D193" s="167"/>
      <c r="E193" s="167"/>
      <c r="F193" s="167"/>
      <c r="G193" s="167"/>
      <c r="H193" s="168"/>
    </row>
    <row r="194" spans="1:8" x14ac:dyDescent="0.3">
      <c r="A194" s="44" t="s">
        <v>150</v>
      </c>
      <c r="B194" s="147" t="s">
        <v>215</v>
      </c>
      <c r="C194" s="148"/>
      <c r="D194" s="148"/>
      <c r="E194" s="148"/>
      <c r="F194" s="148"/>
      <c r="G194" s="148"/>
      <c r="H194" s="149"/>
    </row>
    <row r="195" spans="1:8" x14ac:dyDescent="0.3">
      <c r="A195" s="44" t="s">
        <v>150</v>
      </c>
      <c r="B195" s="147" t="s">
        <v>149</v>
      </c>
      <c r="C195" s="148"/>
      <c r="D195" s="148"/>
      <c r="E195" s="148"/>
      <c r="F195" s="148"/>
      <c r="G195" s="148"/>
      <c r="H195" s="149"/>
    </row>
    <row r="196" spans="1:8" x14ac:dyDescent="0.3">
      <c r="A196" s="44" t="s">
        <v>150</v>
      </c>
      <c r="B196" s="147" t="s">
        <v>122</v>
      </c>
      <c r="C196" s="148"/>
      <c r="D196" s="148"/>
      <c r="E196" s="148"/>
      <c r="F196" s="148"/>
      <c r="G196" s="148"/>
      <c r="H196" s="149"/>
    </row>
    <row r="197" spans="1:8" ht="32.25" customHeight="1" x14ac:dyDescent="0.3">
      <c r="A197" s="44" t="s">
        <v>150</v>
      </c>
      <c r="B197" s="147" t="s">
        <v>151</v>
      </c>
      <c r="C197" s="148"/>
      <c r="D197" s="148"/>
      <c r="E197" s="148"/>
      <c r="F197" s="148"/>
      <c r="G197" s="148"/>
      <c r="H197" s="149"/>
    </row>
    <row r="198" spans="1:8" x14ac:dyDescent="0.3">
      <c r="A198" s="40" t="s">
        <v>150</v>
      </c>
      <c r="B198" s="166" t="s">
        <v>123</v>
      </c>
      <c r="C198" s="167"/>
      <c r="D198" s="167"/>
      <c r="E198" s="167"/>
      <c r="F198" s="167"/>
      <c r="G198" s="167"/>
      <c r="H198" s="168"/>
    </row>
    <row r="199" spans="1:8" x14ac:dyDescent="0.3">
      <c r="A199" s="40" t="s">
        <v>150</v>
      </c>
      <c r="B199" s="166" t="s">
        <v>225</v>
      </c>
      <c r="C199" s="167"/>
      <c r="D199" s="167"/>
      <c r="E199" s="167"/>
      <c r="F199" s="167"/>
      <c r="G199" s="167"/>
      <c r="H199" s="168"/>
    </row>
    <row r="200" spans="1:8" x14ac:dyDescent="0.3">
      <c r="A200" s="40" t="s">
        <v>150</v>
      </c>
      <c r="B200" s="166" t="s">
        <v>233</v>
      </c>
      <c r="C200" s="167"/>
      <c r="D200" s="167"/>
      <c r="E200" s="167"/>
      <c r="F200" s="167"/>
      <c r="G200" s="167"/>
      <c r="H200" s="168"/>
    </row>
    <row r="201" spans="1:8" x14ac:dyDescent="0.3">
      <c r="A201" s="165" t="s">
        <v>59</v>
      </c>
      <c r="B201" s="165"/>
      <c r="C201" s="165"/>
      <c r="D201" s="165"/>
      <c r="E201" s="165"/>
      <c r="F201" s="165"/>
      <c r="G201" s="165"/>
      <c r="H201" s="165"/>
    </row>
    <row r="202" spans="1:8" ht="15" customHeight="1" x14ac:dyDescent="0.3">
      <c r="A202" s="102" t="s">
        <v>60</v>
      </c>
      <c r="B202" s="102"/>
      <c r="C202" s="102"/>
      <c r="D202" s="102"/>
      <c r="E202" s="102"/>
      <c r="F202" s="102"/>
      <c r="G202" s="102"/>
      <c r="H202" s="102"/>
    </row>
    <row r="203" spans="1:8" x14ac:dyDescent="0.3">
      <c r="A203" s="169" t="s">
        <v>61</v>
      </c>
      <c r="B203" s="169"/>
      <c r="C203" s="169"/>
      <c r="D203" s="169"/>
      <c r="E203" s="169"/>
      <c r="F203" s="169"/>
      <c r="G203" s="169"/>
      <c r="H203" s="169"/>
    </row>
    <row r="204" spans="1:8" x14ac:dyDescent="0.3">
      <c r="A204" s="102" t="s">
        <v>62</v>
      </c>
      <c r="B204" s="102"/>
      <c r="C204" s="102"/>
      <c r="D204" s="102"/>
      <c r="E204" s="102"/>
      <c r="F204" s="102"/>
      <c r="G204" s="102"/>
      <c r="H204" s="102"/>
    </row>
    <row r="205" spans="1:8" x14ac:dyDescent="0.3">
      <c r="A205" s="102" t="s">
        <v>63</v>
      </c>
      <c r="B205" s="102"/>
      <c r="C205" s="102"/>
      <c r="D205" s="102"/>
      <c r="E205" s="102"/>
      <c r="F205" s="102"/>
      <c r="G205" s="102"/>
      <c r="H205" s="102"/>
    </row>
    <row r="206" spans="1:8" x14ac:dyDescent="0.3">
      <c r="A206" s="102" t="s">
        <v>124</v>
      </c>
      <c r="B206" s="102"/>
      <c r="C206" s="102"/>
      <c r="D206" s="102"/>
      <c r="E206" s="102"/>
      <c r="F206" s="102"/>
      <c r="G206" s="102"/>
      <c r="H206" s="102"/>
    </row>
    <row r="207" spans="1:8" hidden="1" x14ac:dyDescent="0.3">
      <c r="A207" s="111" t="s">
        <v>125</v>
      </c>
      <c r="B207" s="111"/>
      <c r="C207" s="111"/>
      <c r="D207" s="111"/>
      <c r="E207" s="111"/>
      <c r="F207" s="111"/>
      <c r="G207" s="111"/>
      <c r="H207" s="111"/>
    </row>
    <row r="208" spans="1:8" x14ac:dyDescent="0.3">
      <c r="A208" s="163" t="s">
        <v>75</v>
      </c>
      <c r="B208" s="163"/>
      <c r="C208" s="163" t="s">
        <v>235</v>
      </c>
      <c r="D208" s="163"/>
      <c r="E208" s="163" t="s">
        <v>104</v>
      </c>
      <c r="F208" s="163"/>
      <c r="G208" s="163" t="s">
        <v>239</v>
      </c>
      <c r="H208" s="163"/>
    </row>
    <row r="209" spans="1:8" x14ac:dyDescent="0.3">
      <c r="A209" s="162" t="s">
        <v>77</v>
      </c>
      <c r="B209" s="162"/>
      <c r="C209" s="162"/>
      <c r="D209" s="162"/>
      <c r="E209" s="162"/>
      <c r="F209" s="162"/>
      <c r="G209" s="162"/>
      <c r="H209" s="162"/>
    </row>
    <row r="210" spans="1:8" x14ac:dyDescent="0.3">
      <c r="A210" s="162"/>
      <c r="B210" s="162"/>
      <c r="C210" s="162"/>
      <c r="D210" s="162"/>
      <c r="E210" s="162"/>
      <c r="F210" s="162"/>
      <c r="G210" s="162"/>
      <c r="H210" s="162"/>
    </row>
    <row r="211" spans="1:8" x14ac:dyDescent="0.3">
      <c r="A211" s="162"/>
      <c r="B211" s="162"/>
      <c r="C211" s="162"/>
      <c r="D211" s="162"/>
      <c r="E211" s="162"/>
      <c r="F211" s="162"/>
      <c r="G211" s="162"/>
      <c r="H211" s="162"/>
    </row>
    <row r="212" spans="1:8" x14ac:dyDescent="0.3">
      <c r="A212" s="162"/>
      <c r="B212" s="162"/>
      <c r="C212" s="162"/>
      <c r="D212" s="162"/>
      <c r="E212" s="162"/>
      <c r="F212" s="162"/>
      <c r="G212" s="162"/>
      <c r="H212" s="162"/>
    </row>
    <row r="213" spans="1:8" x14ac:dyDescent="0.3">
      <c r="A213" s="27" t="s">
        <v>64</v>
      </c>
      <c r="B213" s="28"/>
      <c r="C213" s="28"/>
      <c r="D213" s="27" t="str">
        <f>E8</f>
        <v>Mahaveer Empire</v>
      </c>
      <c r="F213" s="28"/>
      <c r="G213" s="28"/>
      <c r="H213" s="28"/>
    </row>
    <row r="214" spans="1:8" x14ac:dyDescent="0.3">
      <c r="A214" s="28"/>
      <c r="B214" s="28"/>
      <c r="C214" s="28"/>
      <c r="D214" s="28"/>
      <c r="E214" s="28"/>
      <c r="F214" s="28"/>
      <c r="G214" s="28"/>
      <c r="H214" s="28"/>
    </row>
    <row r="215" spans="1:8" x14ac:dyDescent="0.3">
      <c r="A215" s="28"/>
      <c r="B215" s="28"/>
      <c r="C215" s="28"/>
      <c r="D215" s="28"/>
      <c r="E215" s="28"/>
      <c r="F215" s="28"/>
      <c r="G215" s="28"/>
      <c r="H215" s="28"/>
    </row>
    <row r="237" spans="10:10" x14ac:dyDescent="0.3">
      <c r="J237"/>
    </row>
    <row r="256" spans="1:1" x14ac:dyDescent="0.3">
      <c r="A256" s="30" t="s">
        <v>198</v>
      </c>
    </row>
    <row r="295" spans="1:1" x14ac:dyDescent="0.3">
      <c r="A295" s="30" t="s">
        <v>65</v>
      </c>
    </row>
  </sheetData>
  <mergeCells count="344">
    <mergeCell ref="I182:L182"/>
    <mergeCell ref="B200:H200"/>
    <mergeCell ref="A53:H53"/>
    <mergeCell ref="B199:H199"/>
    <mergeCell ref="I190:O190"/>
    <mergeCell ref="B191:H191"/>
    <mergeCell ref="A59:C59"/>
    <mergeCell ref="E69:F78"/>
    <mergeCell ref="E41:H41"/>
    <mergeCell ref="A41:D41"/>
    <mergeCell ref="A103:H103"/>
    <mergeCell ref="B189:H189"/>
    <mergeCell ref="B190:H190"/>
    <mergeCell ref="B193:H193"/>
    <mergeCell ref="B194:H194"/>
    <mergeCell ref="A188:H188"/>
    <mergeCell ref="A134:H134"/>
    <mergeCell ref="A111:B111"/>
    <mergeCell ref="A125:H125"/>
    <mergeCell ref="A139:B139"/>
    <mergeCell ref="C67:H67"/>
    <mergeCell ref="A70:B70"/>
    <mergeCell ref="A72:B72"/>
    <mergeCell ref="E68:F68"/>
    <mergeCell ref="A206:H206"/>
    <mergeCell ref="A203:H203"/>
    <mergeCell ref="A98:B98"/>
    <mergeCell ref="A74:B74"/>
    <mergeCell ref="F80:H80"/>
    <mergeCell ref="G95:H95"/>
    <mergeCell ref="A48:B48"/>
    <mergeCell ref="C48:E48"/>
    <mergeCell ref="A124:B124"/>
    <mergeCell ref="A121:B121"/>
    <mergeCell ref="A122:B122"/>
    <mergeCell ref="A123:B123"/>
    <mergeCell ref="G48:H48"/>
    <mergeCell ref="G50:H50"/>
    <mergeCell ref="D54:H54"/>
    <mergeCell ref="C50:E50"/>
    <mergeCell ref="A57:C57"/>
    <mergeCell ref="D57:H57"/>
    <mergeCell ref="C49:E49"/>
    <mergeCell ref="C52:E52"/>
    <mergeCell ref="B196:H196"/>
    <mergeCell ref="B192:H192"/>
    <mergeCell ref="A102:H102"/>
    <mergeCell ref="A136:B136"/>
    <mergeCell ref="A61:C61"/>
    <mergeCell ref="D61:H61"/>
    <mergeCell ref="A209:H212"/>
    <mergeCell ref="A208:B208"/>
    <mergeCell ref="E208:F208"/>
    <mergeCell ref="C208:D208"/>
    <mergeCell ref="G208:H208"/>
    <mergeCell ref="A93:H93"/>
    <mergeCell ref="A91:E91"/>
    <mergeCell ref="F91:H91"/>
    <mergeCell ref="A92:E92"/>
    <mergeCell ref="F92:H92"/>
    <mergeCell ref="A99:B99"/>
    <mergeCell ref="A137:B137"/>
    <mergeCell ref="A95:B95"/>
    <mergeCell ref="A204:H204"/>
    <mergeCell ref="A97:H97"/>
    <mergeCell ref="A207:H207"/>
    <mergeCell ref="A205:H205"/>
    <mergeCell ref="A201:H201"/>
    <mergeCell ref="A202:H202"/>
    <mergeCell ref="E98:F98"/>
    <mergeCell ref="B198:H198"/>
    <mergeCell ref="B197:H197"/>
    <mergeCell ref="B195:H195"/>
    <mergeCell ref="A169:B169"/>
    <mergeCell ref="A64:C64"/>
    <mergeCell ref="D64:H64"/>
    <mergeCell ref="A62:C62"/>
    <mergeCell ref="D62:H62"/>
    <mergeCell ref="D63:H63"/>
    <mergeCell ref="A69:B69"/>
    <mergeCell ref="G68:H68"/>
    <mergeCell ref="G69:H78"/>
    <mergeCell ref="A77:B77"/>
    <mergeCell ref="A78:B78"/>
    <mergeCell ref="A75:B75"/>
    <mergeCell ref="A68:B68"/>
    <mergeCell ref="A71:B71"/>
    <mergeCell ref="A67:B67"/>
    <mergeCell ref="A65:B65"/>
    <mergeCell ref="C65:H65"/>
    <mergeCell ref="A73:B73"/>
    <mergeCell ref="A79:E79"/>
    <mergeCell ref="A138:B138"/>
    <mergeCell ref="A135:B135"/>
    <mergeCell ref="C95:D95"/>
    <mergeCell ref="E95:F9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F35:H35"/>
    <mergeCell ref="A37:B37"/>
    <mergeCell ref="C37:H37"/>
    <mergeCell ref="A46:H46"/>
    <mergeCell ref="D56:H56"/>
    <mergeCell ref="A56:C56"/>
    <mergeCell ref="G49:H49"/>
    <mergeCell ref="A50:B51"/>
    <mergeCell ref="A54:C54"/>
    <mergeCell ref="A55:C55"/>
    <mergeCell ref="D55:H55"/>
    <mergeCell ref="G52:H52"/>
    <mergeCell ref="A52:B52"/>
    <mergeCell ref="A49:B49"/>
    <mergeCell ref="D59:H59"/>
    <mergeCell ref="A42:D42"/>
    <mergeCell ref="E42:H42"/>
    <mergeCell ref="E43:H43"/>
    <mergeCell ref="E44:H44"/>
    <mergeCell ref="E45:H45"/>
    <mergeCell ref="A43:D43"/>
    <mergeCell ref="A44:D44"/>
    <mergeCell ref="A45:D45"/>
    <mergeCell ref="A47:B47"/>
    <mergeCell ref="C47:H47"/>
    <mergeCell ref="C51:H51"/>
    <mergeCell ref="A60:C60"/>
    <mergeCell ref="D60:H60"/>
    <mergeCell ref="F81:H81"/>
    <mergeCell ref="A81:E81"/>
    <mergeCell ref="A83:E83"/>
    <mergeCell ref="A107:B107"/>
    <mergeCell ref="A108:B108"/>
    <mergeCell ref="A109:B109"/>
    <mergeCell ref="F83:H83"/>
    <mergeCell ref="F89:H89"/>
    <mergeCell ref="A90:E90"/>
    <mergeCell ref="C98:D98"/>
    <mergeCell ref="G98:H98"/>
    <mergeCell ref="A82:E82"/>
    <mergeCell ref="G94:H94"/>
    <mergeCell ref="A89:E89"/>
    <mergeCell ref="C99:D99"/>
    <mergeCell ref="E99:F99"/>
    <mergeCell ref="A104:A105"/>
    <mergeCell ref="B104:B105"/>
    <mergeCell ref="C104:C105"/>
    <mergeCell ref="D104:D105"/>
    <mergeCell ref="E104:E105"/>
    <mergeCell ref="G104:H105"/>
    <mergeCell ref="A117:B117"/>
    <mergeCell ref="A118:B118"/>
    <mergeCell ref="A119:B119"/>
    <mergeCell ref="F79:H79"/>
    <mergeCell ref="F84:H84"/>
    <mergeCell ref="A63:C63"/>
    <mergeCell ref="A94:B94"/>
    <mergeCell ref="F87:H87"/>
    <mergeCell ref="C94:D94"/>
    <mergeCell ref="F90:H90"/>
    <mergeCell ref="A85:E85"/>
    <mergeCell ref="F85:H85"/>
    <mergeCell ref="F88:H88"/>
    <mergeCell ref="A116:B116"/>
    <mergeCell ref="L128:M128"/>
    <mergeCell ref="A129:B129"/>
    <mergeCell ref="A130:B130"/>
    <mergeCell ref="A131:B131"/>
    <mergeCell ref="A132:B132"/>
    <mergeCell ref="A128:H128"/>
    <mergeCell ref="A133:B133"/>
    <mergeCell ref="A16:B16"/>
    <mergeCell ref="C16:H16"/>
    <mergeCell ref="A38:B38"/>
    <mergeCell ref="C38:H38"/>
    <mergeCell ref="A86:E86"/>
    <mergeCell ref="A88:E88"/>
    <mergeCell ref="F82:H82"/>
    <mergeCell ref="A87:E87"/>
    <mergeCell ref="A110:B110"/>
    <mergeCell ref="A84:E84"/>
    <mergeCell ref="A76:B76"/>
    <mergeCell ref="G99:H99"/>
    <mergeCell ref="F86:H86"/>
    <mergeCell ref="A80:E80"/>
    <mergeCell ref="A106:H106"/>
    <mergeCell ref="G101:H101"/>
    <mergeCell ref="E94:F94"/>
    <mergeCell ref="A171:B171"/>
    <mergeCell ref="A172:B172"/>
    <mergeCell ref="A173:B173"/>
    <mergeCell ref="A164:B164"/>
    <mergeCell ref="A165:B165"/>
    <mergeCell ref="A166:B166"/>
    <mergeCell ref="A167:B167"/>
    <mergeCell ref="A168:B168"/>
    <mergeCell ref="L162:M162"/>
    <mergeCell ref="A162:H162"/>
    <mergeCell ref="A152:B152"/>
    <mergeCell ref="A153:B153"/>
    <mergeCell ref="A140:B140"/>
    <mergeCell ref="A141:B141"/>
    <mergeCell ref="A142:B142"/>
    <mergeCell ref="A143:B143"/>
    <mergeCell ref="A170:B170"/>
    <mergeCell ref="A154:B154"/>
    <mergeCell ref="A155:B155"/>
    <mergeCell ref="A156:B156"/>
    <mergeCell ref="A157:B157"/>
    <mergeCell ref="A158:B158"/>
    <mergeCell ref="A145:B145"/>
    <mergeCell ref="A146:B146"/>
    <mergeCell ref="A147:B147"/>
    <mergeCell ref="A148:H148"/>
    <mergeCell ref="A149:B149"/>
    <mergeCell ref="A159:B159"/>
    <mergeCell ref="A160:B160"/>
    <mergeCell ref="A161:B161"/>
    <mergeCell ref="G129:H133"/>
    <mergeCell ref="G135:H147"/>
    <mergeCell ref="G149:H161"/>
    <mergeCell ref="C153:F153"/>
    <mergeCell ref="G163:H175"/>
    <mergeCell ref="A176:H176"/>
    <mergeCell ref="A177:B177"/>
    <mergeCell ref="G177:H18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74:B174"/>
    <mergeCell ref="A175:B175"/>
    <mergeCell ref="A144:B144"/>
    <mergeCell ref="A163:B163"/>
    <mergeCell ref="A150:B150"/>
    <mergeCell ref="A151:B151"/>
    <mergeCell ref="I10:L10"/>
    <mergeCell ref="A126:A127"/>
    <mergeCell ref="B126:B127"/>
    <mergeCell ref="C126:C127"/>
    <mergeCell ref="D126:D127"/>
    <mergeCell ref="E126:E127"/>
    <mergeCell ref="G126:H127"/>
    <mergeCell ref="G107:H124"/>
    <mergeCell ref="A96:B96"/>
    <mergeCell ref="C96:D96"/>
    <mergeCell ref="E96:F96"/>
    <mergeCell ref="G96:H96"/>
    <mergeCell ref="A100:B100"/>
    <mergeCell ref="C100:D100"/>
    <mergeCell ref="E100:F100"/>
    <mergeCell ref="G100:H100"/>
    <mergeCell ref="A101:B101"/>
    <mergeCell ref="C101:D101"/>
    <mergeCell ref="E101:F101"/>
    <mergeCell ref="A120:B120"/>
    <mergeCell ref="A112:B112"/>
    <mergeCell ref="A113:B113"/>
    <mergeCell ref="A114:B114"/>
    <mergeCell ref="A115:B115"/>
  </mergeCells>
  <dataValidations count="2">
    <dataValidation type="list" allowBlank="1" showInputMessage="1" showErrorMessage="1" sqref="F105 F127" xr:uid="{00000000-0002-0000-0000-000000000000}">
      <formula1>".45,.50,.55,.60"</formula1>
    </dataValidation>
    <dataValidation type="list" allowBlank="1" showInputMessage="1" showErrorMessage="1" sqref="G208:H208" xr:uid="{00000000-0002-0000-0000-000001000000}">
      <formula1>"Kunal Kadam,Pranita Mhatre,Shruti Fule,Pooja Kawale,Gaurav Panchal,Shruti Tathare, Hitakshi Mhatre, Sachin Sawant"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12" max="7" man="1"/>
    <brk id="255" max="7" man="1"/>
    <brk id="294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1" t="s">
        <v>105</v>
      </c>
      <c r="C3" s="181"/>
      <c r="D3" s="181"/>
      <c r="E3" s="181"/>
      <c r="F3" s="181"/>
      <c r="G3" s="181"/>
      <c r="H3" s="181"/>
    </row>
    <row r="4" spans="1:9" x14ac:dyDescent="0.3">
      <c r="A4" s="2"/>
      <c r="B4" s="3" t="s">
        <v>106</v>
      </c>
      <c r="C4" s="3" t="s">
        <v>107</v>
      </c>
      <c r="D4" s="3" t="s">
        <v>67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G2"/>
  <sheetViews>
    <sheetView zoomScale="130" zoomScaleNormal="130" workbookViewId="0">
      <selection activeCell="C3" sqref="C3"/>
    </sheetView>
  </sheetViews>
  <sheetFormatPr defaultRowHeight="14.4" x14ac:dyDescent="0.3"/>
  <cols>
    <col min="2" max="2" width="12" bestFit="1" customWidth="1"/>
  </cols>
  <sheetData>
    <row r="2" spans="2:7" x14ac:dyDescent="0.3">
      <c r="B2" s="63">
        <v>45422</v>
      </c>
      <c r="C2" s="182" t="s">
        <v>228</v>
      </c>
      <c r="D2" s="182"/>
      <c r="E2" s="182"/>
      <c r="F2" s="182"/>
      <c r="G2" s="182"/>
    </row>
  </sheetData>
  <mergeCells count="1"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2025-09-04T13:18:49Z</cp:lastPrinted>
  <dcterms:created xsi:type="dcterms:W3CDTF">2019-07-16T09:29:46Z</dcterms:created>
  <dcterms:modified xsi:type="dcterms:W3CDTF">2025-09-04T13:18:50Z</dcterms:modified>
</cp:coreProperties>
</file>