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Old\19805 - Kailash Parvat CHS LTD\"/>
    </mc:Choice>
  </mc:AlternateContent>
  <xr:revisionPtr revIDLastSave="0" documentId="13_ncr:1_{470B48FB-90A7-4038-AF47-7047393951CB}"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Flat detail" sheetId="3" r:id="rId3"/>
    <sheet name="Flat detail (2)" sheetId="4" r:id="rId4"/>
  </sheets>
  <definedNames>
    <definedName name="_xlnm.Print_Area" localSheetId="0">'Report (2)'!$A$1:$J$239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63" i="1"/>
  <c r="M72" i="1"/>
  <c r="M71" i="1"/>
  <c r="M70" i="1"/>
  <c r="M69" i="1"/>
  <c r="I62" i="1"/>
  <c r="D67" i="1" l="1"/>
  <c r="D74" i="1"/>
  <c r="D72" i="1"/>
  <c r="D70" i="1"/>
  <c r="D68" i="1"/>
  <c r="M66" i="1"/>
  <c r="C65" i="1" s="1"/>
  <c r="M64" i="1"/>
  <c r="M67" i="1"/>
  <c r="M68" i="1" s="1"/>
  <c r="M73" i="1" s="1"/>
  <c r="M74" i="1" s="1"/>
  <c r="C66" i="1" s="1"/>
  <c r="D66" i="1" s="1"/>
  <c r="D73" i="1"/>
  <c r="D71" i="1"/>
  <c r="D69" i="1"/>
  <c r="M65" i="1"/>
  <c r="F142" i="1"/>
  <c r="F141" i="1"/>
  <c r="F140" i="1"/>
  <c r="F139" i="1"/>
  <c r="F137" i="1"/>
  <c r="F136" i="1"/>
  <c r="F133" i="1"/>
  <c r="F127" i="1"/>
  <c r="F126" i="1"/>
  <c r="D126" i="1"/>
  <c r="D121" i="1"/>
  <c r="D117" i="1"/>
  <c r="D116" i="1"/>
  <c r="D110" i="1"/>
  <c r="D109" i="1"/>
  <c r="D107" i="1"/>
  <c r="D108" i="1"/>
  <c r="D98" i="1"/>
  <c r="G98" i="1" s="1"/>
  <c r="D104" i="1"/>
  <c r="G104" i="1" s="1"/>
  <c r="D103" i="1"/>
  <c r="G103" i="1" s="1"/>
  <c r="D102" i="1"/>
  <c r="G102" i="1" s="1"/>
  <c r="D101" i="1"/>
  <c r="G101" i="1" s="1"/>
  <c r="D100" i="1"/>
  <c r="G100" i="1" s="1"/>
  <c r="D99" i="1"/>
  <c r="G99" i="1" s="1"/>
  <c r="L33" i="4"/>
  <c r="I33" i="4"/>
  <c r="E33" i="4"/>
  <c r="L32" i="4"/>
  <c r="I32" i="4"/>
  <c r="E32" i="4"/>
  <c r="L31" i="4"/>
  <c r="I31" i="4"/>
  <c r="E31" i="4"/>
  <c r="L30" i="4"/>
  <c r="I30" i="4"/>
  <c r="E30" i="4"/>
  <c r="L29" i="4"/>
  <c r="I29" i="4"/>
  <c r="E29" i="4"/>
  <c r="L28" i="4"/>
  <c r="I28" i="4"/>
  <c r="E28" i="4"/>
  <c r="L27" i="4"/>
  <c r="I27" i="4"/>
  <c r="E27" i="4"/>
  <c r="L26" i="4"/>
  <c r="I26" i="4"/>
  <c r="E26" i="4"/>
  <c r="L25" i="4"/>
  <c r="I25" i="4"/>
  <c r="E25" i="4"/>
  <c r="L24" i="4"/>
  <c r="I24" i="4"/>
  <c r="E24" i="4"/>
  <c r="L23" i="4"/>
  <c r="I23" i="4"/>
  <c r="E23" i="4"/>
  <c r="L22" i="4"/>
  <c r="I22" i="4"/>
  <c r="E22" i="4"/>
  <c r="L21" i="4"/>
  <c r="I21" i="4"/>
  <c r="E21" i="4"/>
  <c r="L20" i="4"/>
  <c r="I20" i="4"/>
  <c r="E20" i="4"/>
  <c r="L19" i="4"/>
  <c r="I19" i="4"/>
  <c r="E19" i="4"/>
  <c r="L18" i="4"/>
  <c r="I18" i="4"/>
  <c r="E18" i="4"/>
  <c r="L17" i="4"/>
  <c r="I17" i="4"/>
  <c r="E17" i="4"/>
  <c r="L16" i="4"/>
  <c r="I16" i="4"/>
  <c r="E16" i="4"/>
  <c r="L15" i="4"/>
  <c r="I15" i="4"/>
  <c r="E15" i="4"/>
  <c r="L14" i="4"/>
  <c r="I14" i="4"/>
  <c r="E14" i="4"/>
  <c r="L13" i="4"/>
  <c r="I13" i="4"/>
  <c r="E13" i="4"/>
  <c r="L12" i="4"/>
  <c r="I12" i="4"/>
  <c r="E12" i="4"/>
  <c r="L11" i="4"/>
  <c r="I11" i="4"/>
  <c r="E11" i="4"/>
  <c r="L10" i="4"/>
  <c r="I10" i="4"/>
  <c r="E10" i="4"/>
  <c r="L9" i="4"/>
  <c r="I9" i="4"/>
  <c r="E9" i="4"/>
  <c r="L8" i="4"/>
  <c r="I8" i="4"/>
  <c r="E8" i="4"/>
  <c r="L7" i="4"/>
  <c r="I7" i="4"/>
  <c r="E7" i="4"/>
  <c r="L6" i="4"/>
  <c r="I6" i="4"/>
  <c r="E6" i="4"/>
  <c r="F40" i="1"/>
  <c r="L34" i="4" l="1"/>
  <c r="K34" i="4" s="1"/>
  <c r="D65" i="1"/>
  <c r="K61" i="1" s="1"/>
  <c r="H65" i="1"/>
  <c r="G126" i="1"/>
  <c r="I34" i="4"/>
  <c r="H34" i="4" s="1"/>
  <c r="E34" i="4"/>
  <c r="D34" i="4" s="1"/>
  <c r="I139" i="1"/>
  <c r="I133" i="1"/>
  <c r="I116" i="1"/>
  <c r="I107" i="1"/>
  <c r="F65" i="1" l="1"/>
  <c r="D36" i="4"/>
  <c r="E36" i="4"/>
  <c r="D142" i="1"/>
  <c r="G142" i="1" s="1"/>
  <c r="D141" i="1"/>
  <c r="G141" i="1" s="1"/>
  <c r="D140" i="1"/>
  <c r="G140" i="1" s="1"/>
  <c r="D139" i="1"/>
  <c r="G139" i="1" s="1"/>
  <c r="D137" i="1"/>
  <c r="G137" i="1" s="1"/>
  <c r="D136" i="1"/>
  <c r="G136" i="1" s="1"/>
  <c r="F135" i="1"/>
  <c r="D135" i="1"/>
  <c r="D134" i="1"/>
  <c r="G134" i="1" s="1"/>
  <c r="D133" i="1"/>
  <c r="G133" i="1" s="1"/>
  <c r="F129" i="1"/>
  <c r="D131" i="1"/>
  <c r="G131" i="1" s="1"/>
  <c r="D130" i="1"/>
  <c r="G130" i="1" s="1"/>
  <c r="D129" i="1"/>
  <c r="D122" i="1"/>
  <c r="G122" i="1" s="1"/>
  <c r="D123" i="1"/>
  <c r="G123" i="1" s="1"/>
  <c r="F128" i="1"/>
  <c r="D128" i="1"/>
  <c r="F121" i="1"/>
  <c r="G121" i="1" s="1"/>
  <c r="F120" i="1"/>
  <c r="D120" i="1"/>
  <c r="D119" i="1"/>
  <c r="D127" i="1"/>
  <c r="G127" i="1" s="1"/>
  <c r="D125" i="1"/>
  <c r="F125" i="1"/>
  <c r="F119" i="1"/>
  <c r="F118" i="1"/>
  <c r="F116" i="1"/>
  <c r="G116" i="1" s="1"/>
  <c r="D118" i="1"/>
  <c r="F117" i="1"/>
  <c r="G117" i="1" s="1"/>
  <c r="P117" i="1" s="1"/>
  <c r="P118" i="1" s="1"/>
  <c r="D96" i="1"/>
  <c r="D95" i="1"/>
  <c r="D94" i="1"/>
  <c r="D93" i="1"/>
  <c r="D92" i="1"/>
  <c r="D91" i="1"/>
  <c r="F114" i="1"/>
  <c r="D114" i="1"/>
  <c r="F113" i="1"/>
  <c r="D113" i="1"/>
  <c r="F112" i="1"/>
  <c r="D112" i="1"/>
  <c r="G112" i="1" s="1"/>
  <c r="F111" i="1"/>
  <c r="D111" i="1"/>
  <c r="F110" i="1"/>
  <c r="G110" i="1" s="1"/>
  <c r="F109" i="1"/>
  <c r="G109" i="1" s="1"/>
  <c r="F108" i="1"/>
  <c r="G108" i="1" s="1"/>
  <c r="F107" i="1"/>
  <c r="G107" i="1" s="1"/>
  <c r="D105" i="1"/>
  <c r="G128" i="1" l="1"/>
  <c r="G114" i="1"/>
  <c r="G111" i="1"/>
  <c r="G113" i="1"/>
  <c r="G135" i="1"/>
  <c r="G125" i="1"/>
  <c r="G119" i="1"/>
  <c r="G129" i="1"/>
  <c r="G105" i="1"/>
  <c r="D86" i="1"/>
  <c r="C86" i="1"/>
  <c r="G118" i="1"/>
  <c r="G120" i="1"/>
  <c r="G83" i="1"/>
  <c r="C83" i="1"/>
  <c r="D83" i="1"/>
  <c r="B7" i="2"/>
  <c r="G86" i="1" l="1"/>
  <c r="G15" i="2"/>
  <c r="G16" i="2" s="1"/>
  <c r="C15" i="2" s="1"/>
  <c r="H15" i="2"/>
  <c r="B16" i="2" s="1"/>
  <c r="D6" i="2"/>
  <c r="C5" i="2"/>
  <c r="B12" i="2" s="1"/>
  <c r="D156" i="1"/>
  <c r="G80" i="1"/>
  <c r="H46" i="1"/>
  <c r="C46" i="1"/>
  <c r="F41" i="1"/>
  <c r="D50"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<sst xmlns="http://schemas.openxmlformats.org/spreadsheetml/2006/main" count="450" uniqueCount="262">
  <si>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</si>
  <si>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</si>
  <si>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</si>
  <si>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</si>
  <si>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</si>
  <si>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</si>
  <si>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</si>
  <si>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</si>
  <si>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</si>
  <si>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</si>
  <si>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</si>
  <si>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</si>
  <si>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</si>
  <si>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</si>
  <si>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</si>
  <si>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</si>
  <si>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</si>
  <si>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</si>
  <si>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</si>
  <si>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</si>
  <si>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</si>
  <si>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</si>
  <si>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</si>
  <si>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</si>
  <si>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</si>
  <si>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</si>
  <si>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</si>
  <si>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</si>
  <si>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</si>
  <si>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</si>
  <si>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</si>
  <si>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</si>
  <si>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</si>
  <si>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</si>
  <si>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</si>
  <si>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</si>
  <si>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</si>
  <si>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</si>
  <si>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</si>
  <si>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</si>
  <si>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</si>
  <si>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</si>
  <si>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</si>
  <si>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</si>
  <si>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</si>
  <si>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</si>
  <si>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</si>
  <si>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</si>
  <si>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</si>
  <si>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</si>
  <si>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</si>
  <si>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</si>
  <si>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</si>
  <si>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</si>
  <si>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</si>
  <si>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</si>
  <si>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</si>
  <si>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</si>
  <si>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</si>
  <si>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</si>
  <si>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</si>
  <si>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area of the building in Sq.Mt</t>
  </si>
  <si>
    <t>Approved no of units</t>
  </si>
  <si>
    <t>Approved no of Floors</t>
  </si>
  <si>
    <t>Type of Work</t>
  </si>
  <si>
    <t>Plinth</t>
  </si>
  <si>
    <t>RCC</t>
  </si>
  <si>
    <t>Plaster</t>
  </si>
  <si>
    <t>Flooring</t>
  </si>
  <si>
    <t>Finishing</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</si>
  <si>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</si>
  <si>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</si>
  <si>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</si>
  <si>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</si>
  <si>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</si>
  <si>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</si>
  <si>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</si>
  <si>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</si>
  <si>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</si>
  <si>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</si>
  <si>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</si>
  <si>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</si>
  <si>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</si>
  <si>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</si>
  <si>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</si>
  <si>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</si>
  <si>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</si>
  <si>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</si>
  <si>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</si>
  <si>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</si>
  <si>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</si>
  <si>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</si>
  <si>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</si>
  <si>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</si>
  <si>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</si>
  <si>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</si>
  <si>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</si>
  <si>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</si>
  <si>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</si>
  <si>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</si>
  <si>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</si>
  <si>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</si>
  <si>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</si>
  <si>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</si>
  <si>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</si>
  <si>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</si>
  <si>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</si>
  <si>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</si>
  <si>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</si>
  <si>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</si>
  <si>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</si>
  <si>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</si>
  <si>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</si>
  <si>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</si>
  <si>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</si>
  <si>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</si>
  <si>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</si>
  <si>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</si>
  <si>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</si>
  <si>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</si>
  <si>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</si>
  <si>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</si>
  <si>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</si>
  <si>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</si>
  <si>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</si>
  <si>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</si>
  <si>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</si>
  <si>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</si>
  <si>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</si>
  <si>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</si>
  <si>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</si>
  <si>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</si>
  <si>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</si>
  <si>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</si>
  <si>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</si>
  <si>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</si>
  <si>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</si>
  <si>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</si>
  <si>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</si>
  <si>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</si>
  <si>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</si>
  <si>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</si>
  <si>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</si>
  <si>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</si>
  <si>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</si>
  <si>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</si>
  <si>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</si>
  <si>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</si>
  <si>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</si>
  <si>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</si>
  <si>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</si>
  <si>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</si>
  <si>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</si>
  <si>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</si>
  <si>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</si>
  <si>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</si>
  <si>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</si>
  <si>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</si>
  <si>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</si>
  <si>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</si>
  <si>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</si>
  <si>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</si>
  <si>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</si>
  <si>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</si>
  <si>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</si>
  <si>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</si>
  <si>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</si>
  <si>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</si>
  <si>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</si>
  <si>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</si>
  <si>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</si>
  <si>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</si>
  <si>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</si>
  <si>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 xml:space="preserve">M/s. Shree Sai Infra
</t>
  </si>
  <si>
    <t>Thane</t>
  </si>
  <si>
    <t>Ambernath</t>
  </si>
  <si>
    <t>5 &amp; 6</t>
  </si>
  <si>
    <t>Plot No</t>
  </si>
  <si>
    <t>14/10/2019.</t>
  </si>
  <si>
    <t>Ground Floor for Residential</t>
  </si>
  <si>
    <t>1BHK</t>
  </si>
  <si>
    <t xml:space="preserve">1st, 3rd, 5th &amp; 7th  Floor </t>
  </si>
  <si>
    <t>Storage</t>
  </si>
  <si>
    <t>Flats = 80 &amp; shop = 06</t>
  </si>
  <si>
    <t>Residential + Commercial</t>
  </si>
  <si>
    <t>01 Building</t>
  </si>
  <si>
    <t>Kailash Parvat CHS LTD</t>
  </si>
  <si>
    <t>4384 &amp; 4385</t>
  </si>
  <si>
    <t>CTS No</t>
  </si>
  <si>
    <t>Bhidewadi</t>
  </si>
  <si>
    <t>About 1.7Km from Ambernath Railway Station</t>
  </si>
  <si>
    <t xml:space="preserve">Building
</t>
  </si>
  <si>
    <t xml:space="preserve">Slum
</t>
  </si>
  <si>
    <t>Suprabhat CHSL &amp; Gurukul Grand Union School</t>
  </si>
  <si>
    <t>AMP Gate Road</t>
  </si>
  <si>
    <t>ANP/NRV/BP/19-20/938/8982/71</t>
  </si>
  <si>
    <t xml:space="preserve"> Basement Floor</t>
  </si>
  <si>
    <t xml:space="preserve"> Basement Floor is for Storage &amp; Parking (Part Ammenities)</t>
  </si>
  <si>
    <t>1.5BHK</t>
  </si>
  <si>
    <t>1RK</t>
  </si>
  <si>
    <t>8th  Floor (Part Refuge Area)</t>
  </si>
  <si>
    <t>8th  Floor</t>
  </si>
  <si>
    <t xml:space="preserve">9th Floor </t>
  </si>
  <si>
    <t>10th  Floor</t>
  </si>
  <si>
    <t>No. of Flats</t>
  </si>
  <si>
    <t>Recommended rate of the Storage Per Sq. Ft. ( on Saleable area)</t>
  </si>
  <si>
    <t>6000/-</t>
  </si>
  <si>
    <t xml:space="preserve">Development charges </t>
  </si>
  <si>
    <t>Ground Floor</t>
  </si>
  <si>
    <t xml:space="preserve">2nd, 4th &amp; 6th  Floor </t>
  </si>
  <si>
    <t xml:space="preserve">ANP/NRV/BP/19-20/938/8982/71
Valid upto: B + G + 1st to 10th Floor
</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</si>
  <si>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</si>
  <si>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</si>
  <si>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</si>
  <si>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</si>
  <si>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</si>
  <si>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</si>
  <si>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</si>
  <si>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</si>
  <si>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</si>
  <si>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</si>
  <si>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</si>
  <si>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</si>
  <si>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</si>
  <si>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</si>
  <si>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</si>
  <si>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</si>
  <si>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</si>
  <si>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</si>
  <si>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</si>
  <si>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</si>
  <si>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</si>
  <si>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</si>
  <si>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</si>
  <si>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</si>
  <si>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</si>
  <si>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 + G + 1st to 10th Floor</t>
  </si>
  <si>
    <t>19.2070354, 73.1731283</t>
  </si>
  <si>
    <t>P5170002376</t>
  </si>
  <si>
    <t>Sudhir Bhosle</t>
  </si>
  <si>
    <t xml:space="preserve">300000/- </t>
  </si>
  <si>
    <t>250000/-</t>
  </si>
  <si>
    <t>Office No. 1031, Wing J, Akshar Business Park, Plot No. 03 Sector 25, Near APMC Market, Vashi, Navi Mumbai, Maharashtra 400703 TEL: 022-46090378/79/80  
E mail : vsjcapf@gmail.com. Web site : www.vsjadon.com</t>
  </si>
  <si>
    <t>19.208729,73.174727</t>
  </si>
  <si>
    <t>Location Link</t>
  </si>
  <si>
    <t>https://maps.app.goo.gl/PQPu6XHiL6zfcbtq7</t>
  </si>
  <si>
    <t>Kunal Kadam</t>
  </si>
  <si>
    <t>Completed</t>
  </si>
  <si>
    <t xml:space="preserve">Quality of construction: </t>
  </si>
  <si>
    <t xml:space="preserve">Projected life of the structure: </t>
  </si>
  <si>
    <t>Proposed no of Floors</t>
  </si>
  <si>
    <t>B + G + 1st to 12th Floor</t>
  </si>
  <si>
    <t xml:space="preserve">Proposed Amenities :   </t>
  </si>
  <si>
    <t xml:space="preserve">Wheather the construction is as per approved Building plan : </t>
  </si>
  <si>
    <t xml:space="preserve">Violations Observed if any : </t>
  </si>
  <si>
    <t xml:space="preserve">Material laying at Site: </t>
  </si>
  <si>
    <t>Vitrified tiles flooring, Granite Kitchen Platform, Decorative Entrance, etc.</t>
  </si>
  <si>
    <t>Nothing</t>
  </si>
  <si>
    <t>59 Years</t>
  </si>
  <si>
    <t>Ambernath East</t>
  </si>
  <si>
    <t xml:space="preserve">1. All Work completed. OC received.
2. We considered Saleable area as per our calculation.
3. We considered Carpet area as per Approved Plan.
4. We considered Gross carpet area = Net carpet + Enclose balcony + C.B Area + F.B Area.
5. We have considered rate by verifying it from market inquire.
6. We have considered Other charges from cost sheet.
7. Car parking is subjected to authentic documentation.
8. Nala is located on West side of the project.
9. As per approved plans dtd 14/10/2019, we have drafted B + Gr + 1st to 10th Floor.
But, As per site vist dtd 04/09/2025, we have observed that building is constructed upto B + Gr + 1st to 12th Floor.
10. As per OC dtd 18/03/2024, Authority has mentioned that OC is amended to plans dtd 10/02/2021.
Please provide revised plans dtd 10/02/2021.
</t>
  </si>
  <si>
    <t>AMC/NRV/2023-24/1560
Approved upto : Amended for Revised permission no ANP/NRV/BP/2020-21/1179/9097/45 dtd 10/02/2021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</si>
</sst>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b/>
      <sz val="11.5"/>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08">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3" borderId="4" xfId="0" applyFont="1" applyFill="1" applyBorder="1"/>
    <xf numFmtId="0" fontId="15" fillId="0" borderId="4" xfId="0" applyFont="1" applyBorder="1" applyAlignment="1">
      <alignment horizontal="center"/>
    </xf>
    <xf numFmtId="0" fontId="15" fillId="3"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1" fontId="7" fillId="0" borderId="4" xfId="0" applyNumberFormat="1" applyFont="1" applyBorder="1" applyAlignment="1">
      <alignment horizontal="center" vertical="center"/>
    </xf>
    <xf numFmtId="1" fontId="6" fillId="0" borderId="0" xfId="1" applyNumberFormat="1" applyFont="1" applyAlignment="1">
      <alignment horizontal="center" vertical="center" wrapText="1"/>
    </xf>
    <xf numFmtId="0" fontId="7" fillId="0" borderId="17" xfId="1" applyFont="1" applyBorder="1" applyProtection="1">
      <protection hidden="1"/>
    </xf>
    <xf numFmtId="0" fontId="7" fillId="0" borderId="18" xfId="1" applyFont="1" applyBorder="1" applyProtection="1">
      <protection hidden="1"/>
    </xf>
    <xf numFmtId="0" fontId="12" fillId="0" borderId="19"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7" fillId="0" borderId="0" xfId="1" applyFont="1" applyProtection="1">
      <protection hidden="1"/>
    </xf>
    <xf numFmtId="0" fontId="7" fillId="0" borderId="21" xfId="1" applyFont="1" applyBorder="1" applyProtection="1">
      <protection hidden="1"/>
    </xf>
    <xf numFmtId="0" fontId="15" fillId="0" borderId="0" xfId="0" applyFont="1" applyProtection="1">
      <protection hidden="1"/>
    </xf>
    <xf numFmtId="0" fontId="7" fillId="0" borderId="21" xfId="1" applyFont="1" applyBorder="1"/>
    <xf numFmtId="9" fontId="15" fillId="0" borderId="0" xfId="0" applyNumberFormat="1" applyFont="1" applyProtection="1">
      <protection hidden="1"/>
    </xf>
    <xf numFmtId="0" fontId="15" fillId="0" borderId="21" xfId="0" applyFont="1" applyBorder="1" applyProtection="1">
      <protection hidden="1"/>
    </xf>
    <xf numFmtId="1" fontId="0" fillId="0" borderId="21" xfId="0" applyNumberFormat="1" applyBorder="1"/>
    <xf numFmtId="1" fontId="0" fillId="0" borderId="0" xfId="0" applyNumberFormat="1"/>
    <xf numFmtId="164" fontId="0" fillId="0" borderId="0" xfId="0" applyNumberFormat="1"/>
    <xf numFmtId="1" fontId="0" fillId="0" borderId="21" xfId="0" applyNumberFormat="1" applyBorder="1" applyAlignment="1">
      <alignment horizontal="right"/>
    </xf>
    <xf numFmtId="0" fontId="0" fillId="0" borderId="21" xfId="0" applyBorder="1"/>
    <xf numFmtId="0" fontId="15" fillId="0" borderId="25" xfId="0" applyFont="1" applyBorder="1" applyProtection="1">
      <protection hidden="1"/>
    </xf>
    <xf numFmtId="9" fontId="15" fillId="0" borderId="25" xfId="0" applyNumberFormat="1" applyFont="1" applyBorder="1" applyProtection="1">
      <protection hidden="1"/>
    </xf>
    <xf numFmtId="1" fontId="0" fillId="0" borderId="26" xfId="0" applyNumberFormat="1" applyBorder="1"/>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12" fillId="0" borderId="23" xfId="1" applyFont="1" applyBorder="1" applyAlignment="1" applyProtection="1">
      <alignment horizontal="center" wrapText="1"/>
      <protection locked="0"/>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14" fontId="6" fillId="2" borderId="1" xfId="1" applyNumberFormat="1" applyFont="1" applyFill="1" applyBorder="1" applyAlignment="1">
      <alignment horizontal="left" vertical="top"/>
    </xf>
    <xf numFmtId="14" fontId="6" fillId="2" borderId="2" xfId="1" applyNumberFormat="1" applyFont="1" applyFill="1" applyBorder="1" applyAlignment="1">
      <alignment horizontal="left" vertical="top"/>
    </xf>
    <xf numFmtId="14" fontId="6" fillId="2" borderId="3" xfId="1" applyNumberFormat="1" applyFont="1" applyFill="1" applyBorder="1" applyAlignment="1">
      <alignment horizontal="left" vertical="top"/>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13" fillId="0" borderId="14" xfId="1" applyFont="1" applyBorder="1" applyAlignment="1" applyProtection="1">
      <alignment horizontal="center" vertical="top" wrapText="1"/>
      <protection locked="0"/>
    </xf>
    <xf numFmtId="0" fontId="13" fillId="0" borderId="15" xfId="1" applyFont="1" applyBorder="1" applyAlignment="1" applyProtection="1">
      <alignment horizontal="center"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2" fillId="0" borderId="4"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3" fillId="0" borderId="19"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0" fillId="0" borderId="8" xfId="1" applyFont="1" applyBorder="1" applyAlignment="1" applyProtection="1">
      <alignment horizontal="left" vertical="top" wrapText="1"/>
      <protection hidden="1"/>
    </xf>
    <xf numFmtId="0" fontId="10" fillId="0" borderId="9" xfId="1" applyFont="1" applyBorder="1" applyAlignment="1" applyProtection="1">
      <alignment horizontal="left" vertical="top" wrapText="1"/>
      <protection hidden="1"/>
    </xf>
    <xf numFmtId="0" fontId="10" fillId="0" borderId="27" xfId="1" applyFont="1" applyBorder="1" applyAlignment="1" applyProtection="1">
      <alignment horizontal="left" vertical="top" wrapText="1"/>
      <protection hidden="1"/>
    </xf>
    <xf numFmtId="0" fontId="12" fillId="0" borderId="19"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9" fontId="12" fillId="2" borderId="4" xfId="1" applyNumberFormat="1" applyFont="1" applyFill="1" applyBorder="1" applyAlignment="1" applyProtection="1">
      <alignment horizontal="center" vertical="center" wrapText="1"/>
      <protection hidden="1"/>
    </xf>
    <xf numFmtId="9" fontId="12" fillId="2" borderId="23" xfId="1" applyNumberFormat="1" applyFont="1" applyFill="1" applyBorder="1" applyAlignment="1" applyProtection="1">
      <alignment horizontal="center" vertical="center" wrapText="1"/>
      <protection hidden="1"/>
    </xf>
    <xf numFmtId="9" fontId="12" fillId="2" borderId="20" xfId="1" applyNumberFormat="1" applyFont="1" applyFill="1" applyBorder="1" applyAlignment="1" applyProtection="1">
      <alignment horizontal="center" vertical="center" wrapText="1"/>
      <protection hidden="1"/>
    </xf>
    <xf numFmtId="9" fontId="12" fillId="2" borderId="24" xfId="1" applyNumberFormat="1" applyFont="1" applyFill="1" applyBorder="1" applyAlignment="1" applyProtection="1">
      <alignment horizontal="center" vertical="center" wrapText="1"/>
      <protection hidden="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0" xfId="1" applyNumberFormat="1" applyFont="1" applyAlignment="1">
      <alignment horizontal="center" vertical="center" wrapText="1"/>
    </xf>
    <xf numFmtId="0" fontId="8" fillId="0" borderId="4" xfId="1" applyFont="1" applyBorder="1" applyAlignment="1">
      <alignment horizontal="center" vertical="top" wrapText="1"/>
    </xf>
    <xf numFmtId="0" fontId="4" fillId="0" borderId="4" xfId="1" applyFont="1" applyBorder="1" applyAlignment="1">
      <alignment horizontal="center" vertical="top" wrapText="1"/>
    </xf>
    <xf numFmtId="0" fontId="17" fillId="0" borderId="4" xfId="1" applyFont="1" applyBorder="1" applyAlignment="1">
      <alignment horizontal="center"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6" fillId="0" borderId="4" xfId="1" applyNumberFormat="1" applyFont="1" applyBorder="1" applyAlignment="1">
      <alignment horizontal="center" vertical="center" wrapText="1"/>
    </xf>
    <xf numFmtId="1" fontId="8"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12" fillId="0" borderId="1"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2" borderId="1" xfId="1" applyFont="1" applyFill="1" applyBorder="1" applyAlignment="1">
      <alignment horizontal="left" vertical="top"/>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0" fontId="12" fillId="2" borderId="1" xfId="1" applyFont="1" applyFill="1" applyBorder="1" applyAlignment="1">
      <alignment horizontal="left" vertical="top"/>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0" fontId="12" fillId="0" borderId="22" xfId="1" applyFont="1" applyBorder="1" applyAlignment="1" applyProtection="1">
      <alignment horizontal="center" vertical="top" wrapText="1"/>
      <protection locked="0"/>
    </xf>
    <xf numFmtId="0" fontId="12" fillId="0" borderId="23" xfId="1" applyFont="1" applyBorder="1" applyAlignment="1" applyProtection="1">
      <alignment horizontal="center" vertical="top" wrapText="1"/>
      <protection locked="0"/>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14" fontId="6" fillId="0" borderId="1" xfId="1" applyNumberFormat="1" applyFont="1" applyBorder="1" applyAlignment="1">
      <alignment horizontal="left" vertical="top" wrapText="1"/>
    </xf>
    <xf numFmtId="0" fontId="6" fillId="0" borderId="4" xfId="1" applyFont="1" applyBorder="1" applyAlignment="1">
      <alignment horizontal="left" vertical="top"/>
    </xf>
    <xf numFmtId="2" fontId="6" fillId="0" borderId="1" xfId="1" applyNumberFormat="1" applyFont="1" applyBorder="1" applyAlignment="1">
      <alignment horizontal="left" vertical="top" wrapText="1"/>
    </xf>
    <xf numFmtId="2" fontId="6" fillId="0" borderId="2" xfId="1" applyNumberFormat="1" applyFont="1" applyBorder="1" applyAlignment="1">
      <alignment horizontal="left" vertical="top" wrapText="1"/>
    </xf>
    <xf numFmtId="2" fontId="6" fillId="0" borderId="3" xfId="1" applyNumberFormat="1" applyFont="1" applyBorder="1" applyAlignment="1">
      <alignment horizontal="left" vertical="top" wrapText="1"/>
    </xf>
    <xf numFmtId="0" fontId="12" fillId="0" borderId="4" xfId="1" applyFont="1" applyBorder="1" applyAlignment="1">
      <alignment horizontal="left" vertical="top" wrapText="1"/>
    </xf>
    <xf numFmtId="0" fontId="12"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6" fillId="2" borderId="4" xfId="1" applyFont="1" applyFill="1" applyBorder="1" applyAlignment="1">
      <alignment horizontal="left" vertical="top" wrapText="1"/>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8" fillId="0" borderId="1" xfId="1" applyFont="1" applyBorder="1" applyAlignment="1">
      <alignment horizontal="center" vertical="top" wrapText="1"/>
    </xf>
    <xf numFmtId="0" fontId="18" fillId="0" borderId="2" xfId="1" applyFont="1" applyBorder="1" applyAlignment="1">
      <alignment horizontal="center" vertical="top" wrapText="1"/>
    </xf>
    <xf numFmtId="0" fontId="18" fillId="0" borderId="3" xfId="1" applyFont="1" applyBorder="1" applyAlignment="1">
      <alignment horizontal="center" vertical="top" wrapText="1"/>
    </xf>
    <xf numFmtId="0" fontId="12"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19" fillId="0" borderId="1" xfId="5" applyBorder="1" applyAlignment="1">
      <alignment horizontal="left" vertical="top"/>
    </xf>
    <xf numFmtId="0" fontId="15" fillId="0" borderId="4" xfId="0" applyFont="1" applyBorder="1" applyAlignment="1">
      <alignment horizontal="center"/>
    </xf>
    <xf numFmtId="0" fontId="15" fillId="3" borderId="4" xfId="0" applyFont="1" applyFill="1" applyBorder="1" applyAlignment="1">
      <alignment horizontal="center"/>
    </xf>
    <xf numFmtId="0" fontId="15" fillId="0" borderId="4" xfId="0" applyFont="1" applyBorder="1" applyAlignment="1">
      <alignment horizontal="left"/>
    </xf>
    <xf numFmtId="0" fontId="14"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6">
    <cellStyle name="Excel Built-in Normal" xfId="2" xr:uid="{00000000-0005-0000-0000-000000000000}"/>
    <cellStyle name="Hyperlink" xfId="5" builtinId="8"/>
    <cellStyle name="Normal" xfId="0" builtinId="0"/>
    <cellStyle name="Normal 2" xfId="3" xr:uid="{00000000-0005-0000-0000-000002000000}"/>
    <cellStyle name="Normal 3"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135031</xdr:colOff>
      <xdr:row>199</xdr:row>
      <xdr:rowOff>36469</xdr:rowOff>
    </xdr:from>
    <xdr:to>
      <xdr:col>9</xdr:col>
      <xdr:colOff>7067</xdr:colOff>
      <xdr:row>215</xdr:row>
      <xdr:rowOff>92953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72340" y="44530342"/>
          <a:ext cx="5400000" cy="3270738"/>
        </a:xfrm>
        <a:prstGeom prst="rect">
          <a:avLst/>
        </a:prstGeom>
        <a:ln>
          <a:solidFill>
            <a:schemeClr val="tx1"/>
          </a:solidFill>
        </a:ln>
      </xdr:spPr>
    </xdr:pic>
    <xdr:clientData/>
  </xdr:twoCellAnchor>
  <xdr:twoCellAnchor editAs="oneCell">
    <xdr:from>
      <xdr:col>14</xdr:col>
      <xdr:colOff>377369</xdr:colOff>
      <xdr:row>150</xdr:row>
      <xdr:rowOff>180109</xdr:rowOff>
    </xdr:from>
    <xdr:to>
      <xdr:col>17</xdr:col>
      <xdr:colOff>413548</xdr:colOff>
      <xdr:row>164</xdr:row>
      <xdr:rowOff>57040</xdr:rowOff>
    </xdr:to>
    <xdr:pic>
      <xdr:nvPicPr>
        <xdr:cNvPr id="15" name="Picture 14">
          <a:extLst>
            <a:ext uri="{FF2B5EF4-FFF2-40B4-BE49-F238E27FC236}">
              <a16:creationId xmlns:a16="http://schemas.microsoft.com/office/drawing/2014/main" id="{03E1432C-CA54-2951-DFD6-0AD107AA0A1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285842" y="33548782"/>
          <a:ext cx="1906542" cy="26894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138435</xdr:colOff>
      <xdr:row>165</xdr:row>
      <xdr:rowOff>35198</xdr:rowOff>
    </xdr:from>
    <xdr:to>
      <xdr:col>22</xdr:col>
      <xdr:colOff>197555</xdr:colOff>
      <xdr:row>178</xdr:row>
      <xdr:rowOff>113022</xdr:rowOff>
    </xdr:to>
    <xdr:pic>
      <xdr:nvPicPr>
        <xdr:cNvPr id="16" name="Picture 15">
          <a:extLst>
            <a:ext uri="{FF2B5EF4-FFF2-40B4-BE49-F238E27FC236}">
              <a16:creationId xmlns:a16="http://schemas.microsoft.com/office/drawing/2014/main" id="{81FE36E5-E4A8-E646-8842-06842FAC1A43}"/>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2164180" y="36417234"/>
          <a:ext cx="1929484" cy="26894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387108</xdr:colOff>
      <xdr:row>165</xdr:row>
      <xdr:rowOff>35198</xdr:rowOff>
    </xdr:from>
    <xdr:to>
      <xdr:col>15</xdr:col>
      <xdr:colOff>472920</xdr:colOff>
      <xdr:row>178</xdr:row>
      <xdr:rowOff>113022</xdr:rowOff>
    </xdr:to>
    <xdr:pic>
      <xdr:nvPicPr>
        <xdr:cNvPr id="17" name="Picture 16">
          <a:extLst>
            <a:ext uri="{FF2B5EF4-FFF2-40B4-BE49-F238E27FC236}">
              <a16:creationId xmlns:a16="http://schemas.microsoft.com/office/drawing/2014/main" id="{6A06305A-CB05-F536-701A-F8B73A2A5C42}"/>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048672" y="36417234"/>
          <a:ext cx="1956175" cy="26894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611830</xdr:colOff>
      <xdr:row>165</xdr:row>
      <xdr:rowOff>35198</xdr:rowOff>
    </xdr:from>
    <xdr:to>
      <xdr:col>19</xdr:col>
      <xdr:colOff>20805</xdr:colOff>
      <xdr:row>178</xdr:row>
      <xdr:rowOff>113022</xdr:rowOff>
    </xdr:to>
    <xdr:pic>
      <xdr:nvPicPr>
        <xdr:cNvPr id="18" name="Picture 17">
          <a:extLst>
            <a:ext uri="{FF2B5EF4-FFF2-40B4-BE49-F238E27FC236}">
              <a16:creationId xmlns:a16="http://schemas.microsoft.com/office/drawing/2014/main" id="{875E96F5-A5A6-1FF4-03BC-50120C07CC9A}"/>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143757" y="36417234"/>
          <a:ext cx="1902793" cy="268940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547954</xdr:colOff>
      <xdr:row>150</xdr:row>
      <xdr:rowOff>189663</xdr:rowOff>
    </xdr:from>
    <xdr:to>
      <xdr:col>20</xdr:col>
      <xdr:colOff>621784</xdr:colOff>
      <xdr:row>164</xdr:row>
      <xdr:rowOff>66594</xdr:rowOff>
    </xdr:to>
    <xdr:pic>
      <xdr:nvPicPr>
        <xdr:cNvPr id="19" name="Picture 18">
          <a:extLst>
            <a:ext uri="{FF2B5EF4-FFF2-40B4-BE49-F238E27FC236}">
              <a16:creationId xmlns:a16="http://schemas.microsoft.com/office/drawing/2014/main" id="{923FF14E-573F-DF18-7DA5-A3E2E3DF3A3F}"/>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326790" y="33558336"/>
          <a:ext cx="1944194" cy="26894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152190</xdr:colOff>
      <xdr:row>179</xdr:row>
      <xdr:rowOff>109178</xdr:rowOff>
    </xdr:from>
    <xdr:to>
      <xdr:col>20</xdr:col>
      <xdr:colOff>325465</xdr:colOff>
      <xdr:row>189</xdr:row>
      <xdr:rowOff>72119</xdr:rowOff>
    </xdr:to>
    <xdr:pic>
      <xdr:nvPicPr>
        <xdr:cNvPr id="21" name="Picture 20">
          <a:extLst>
            <a:ext uri="{FF2B5EF4-FFF2-40B4-BE49-F238E27FC236}">
              <a16:creationId xmlns:a16="http://schemas.microsoft.com/office/drawing/2014/main" id="{EDE56225-31EC-2DB2-C807-0E8C515999C6}"/>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1554481" y="39303687"/>
          <a:ext cx="1420184" cy="1971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559557</xdr:colOff>
      <xdr:row>179</xdr:row>
      <xdr:rowOff>91178</xdr:rowOff>
    </xdr:from>
    <xdr:to>
      <xdr:col>17</xdr:col>
      <xdr:colOff>602774</xdr:colOff>
      <xdr:row>189</xdr:row>
      <xdr:rowOff>72119</xdr:rowOff>
    </xdr:to>
    <xdr:pic>
      <xdr:nvPicPr>
        <xdr:cNvPr id="27" name="Picture 26">
          <a:extLst>
            <a:ext uri="{FF2B5EF4-FFF2-40B4-BE49-F238E27FC236}">
              <a16:creationId xmlns:a16="http://schemas.microsoft.com/office/drawing/2014/main" id="{F7C35299-85FC-071F-8DB4-90100DCE6359}"/>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8844575" y="39285687"/>
          <a:ext cx="2537035" cy="1989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436418</xdr:colOff>
      <xdr:row>157</xdr:row>
      <xdr:rowOff>6928</xdr:rowOff>
    </xdr:from>
    <xdr:to>
      <xdr:col>9</xdr:col>
      <xdr:colOff>178393</xdr:colOff>
      <xdr:row>186</xdr:row>
      <xdr:rowOff>47425</xdr:rowOff>
    </xdr:to>
    <xdr:grpSp>
      <xdr:nvGrpSpPr>
        <xdr:cNvPr id="2" name="Group 1">
          <a:extLst>
            <a:ext uri="{FF2B5EF4-FFF2-40B4-BE49-F238E27FC236}">
              <a16:creationId xmlns:a16="http://schemas.microsoft.com/office/drawing/2014/main" id="{20354CA4-3D3A-1B6F-27D4-0F0DD40916AA}"/>
            </a:ext>
          </a:extLst>
        </xdr:cNvPr>
        <xdr:cNvGrpSpPr/>
      </xdr:nvGrpSpPr>
      <xdr:grpSpPr>
        <a:xfrm>
          <a:off x="436418" y="35881888"/>
          <a:ext cx="5906555" cy="5785977"/>
          <a:chOff x="199026" y="335807"/>
          <a:chExt cx="5907248" cy="5866333"/>
        </a:xfrm>
      </xdr:grpSpPr>
      <xdr:grpSp>
        <xdr:nvGrpSpPr>
          <xdr:cNvPr id="3" name="Group 2">
            <a:extLst>
              <a:ext uri="{FF2B5EF4-FFF2-40B4-BE49-F238E27FC236}">
                <a16:creationId xmlns:a16="http://schemas.microsoft.com/office/drawing/2014/main" id="{4BA3EF2A-BEBD-5B1E-84C7-DD45667ECCDC}"/>
              </a:ext>
            </a:extLst>
          </xdr:cNvPr>
          <xdr:cNvGrpSpPr/>
        </xdr:nvGrpSpPr>
        <xdr:grpSpPr>
          <a:xfrm>
            <a:off x="199026" y="335807"/>
            <a:ext cx="5907248" cy="3838843"/>
            <a:chOff x="199026" y="335807"/>
            <a:chExt cx="5907248" cy="3838843"/>
          </a:xfrm>
        </xdr:grpSpPr>
        <xdr:pic>
          <xdr:nvPicPr>
            <xdr:cNvPr id="8" name="Picture 7">
              <a:extLst>
                <a:ext uri="{FF2B5EF4-FFF2-40B4-BE49-F238E27FC236}">
                  <a16:creationId xmlns:a16="http://schemas.microsoft.com/office/drawing/2014/main" id="{995067C5-F381-A25F-E8A5-86CBDD7E82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226274" y="345332"/>
              <a:ext cx="2880000" cy="3829318"/>
            </a:xfrm>
            <a:prstGeom prst="rect">
              <a:avLst/>
            </a:prstGeom>
            <a:ln>
              <a:solidFill>
                <a:schemeClr val="tx1"/>
              </a:solidFill>
            </a:ln>
          </xdr:spPr>
        </xdr:pic>
        <xdr:pic>
          <xdr:nvPicPr>
            <xdr:cNvPr id="11" name="Picture 10">
              <a:extLst>
                <a:ext uri="{FF2B5EF4-FFF2-40B4-BE49-F238E27FC236}">
                  <a16:creationId xmlns:a16="http://schemas.microsoft.com/office/drawing/2014/main" id="{38F46D30-3384-BC62-CEE4-5F61F7B144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9026" y="335807"/>
              <a:ext cx="2880000" cy="3829318"/>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45EE0873-082E-A68A-5897-B492FFC32924}"/>
              </a:ext>
            </a:extLst>
          </xdr:cNvPr>
          <xdr:cNvGrpSpPr/>
        </xdr:nvGrpSpPr>
        <xdr:grpSpPr>
          <a:xfrm>
            <a:off x="460545" y="4402140"/>
            <a:ext cx="5384210" cy="1800000"/>
            <a:chOff x="229887" y="4402140"/>
            <a:chExt cx="5384210" cy="1800000"/>
          </a:xfrm>
        </xdr:grpSpPr>
        <xdr:pic>
          <xdr:nvPicPr>
            <xdr:cNvPr id="5" name="Picture 4">
              <a:extLst>
                <a:ext uri="{FF2B5EF4-FFF2-40B4-BE49-F238E27FC236}">
                  <a16:creationId xmlns:a16="http://schemas.microsoft.com/office/drawing/2014/main" id="{0293F2E5-393E-6E2F-0427-90A933E4291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30901" y="4402140"/>
              <a:ext cx="1348125" cy="1800000"/>
            </a:xfrm>
            <a:prstGeom prst="rect">
              <a:avLst/>
            </a:prstGeom>
            <a:ln>
              <a:solidFill>
                <a:schemeClr val="tx1"/>
              </a:solidFill>
            </a:ln>
          </xdr:spPr>
        </xdr:pic>
        <xdr:pic>
          <xdr:nvPicPr>
            <xdr:cNvPr id="6" name="Picture 5">
              <a:extLst>
                <a:ext uri="{FF2B5EF4-FFF2-40B4-BE49-F238E27FC236}">
                  <a16:creationId xmlns:a16="http://schemas.microsoft.com/office/drawing/2014/main" id="{4EBB2DBD-ACFA-AFC9-8803-F4CDAEDBA99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26274" y="4402140"/>
              <a:ext cx="2387823" cy="1800000"/>
            </a:xfrm>
            <a:prstGeom prst="rect">
              <a:avLst/>
            </a:prstGeom>
            <a:ln>
              <a:solidFill>
                <a:schemeClr val="tx1"/>
              </a:solidFill>
            </a:ln>
          </xdr:spPr>
        </xdr:pic>
        <xdr:pic>
          <xdr:nvPicPr>
            <xdr:cNvPr id="7" name="Picture 6">
              <a:extLst>
                <a:ext uri="{FF2B5EF4-FFF2-40B4-BE49-F238E27FC236}">
                  <a16:creationId xmlns:a16="http://schemas.microsoft.com/office/drawing/2014/main" id="{C1A5E9F3-392E-1D4C-A9DA-DC3C827758D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29887" y="4402140"/>
              <a:ext cx="1353766" cy="1800000"/>
            </a:xfrm>
            <a:prstGeom prst="rect">
              <a:avLst/>
            </a:prstGeom>
            <a:ln>
              <a:solidFill>
                <a:schemeClr val="tx1"/>
              </a:solidFill>
            </a:ln>
          </xdr:spPr>
        </xdr:pic>
      </xdr:grpSp>
    </xdr:grpSp>
    <xdr:clientData/>
  </xdr:twoCellAnchor>
  <xdr:twoCellAnchor>
    <xdr:from>
      <xdr:col>1</xdr:col>
      <xdr:colOff>124690</xdr:colOff>
      <xdr:row>216</xdr:row>
      <xdr:rowOff>6927</xdr:rowOff>
    </xdr:from>
    <xdr:to>
      <xdr:col>8</xdr:col>
      <xdr:colOff>758726</xdr:colOff>
      <xdr:row>234</xdr:row>
      <xdr:rowOff>179672</xdr:rowOff>
    </xdr:to>
    <xdr:grpSp>
      <xdr:nvGrpSpPr>
        <xdr:cNvPr id="23" name="Group 22">
          <a:extLst>
            <a:ext uri="{FF2B5EF4-FFF2-40B4-BE49-F238E27FC236}">
              <a16:creationId xmlns:a16="http://schemas.microsoft.com/office/drawing/2014/main" id="{EFD9A714-3527-5FA2-FDCC-AB290F5120C8}"/>
            </a:ext>
          </a:extLst>
        </xdr:cNvPr>
        <xdr:cNvGrpSpPr/>
      </xdr:nvGrpSpPr>
      <xdr:grpSpPr>
        <a:xfrm>
          <a:off x="764770" y="47570967"/>
          <a:ext cx="5396536" cy="3716045"/>
          <a:chOff x="761184" y="47134386"/>
          <a:chExt cx="5403260" cy="3695874"/>
        </a:xfrm>
      </xdr:grpSpPr>
      <xdr:pic>
        <xdr:nvPicPr>
          <xdr:cNvPr id="12" name="Picture 11">
            <a:extLst>
              <a:ext uri="{FF2B5EF4-FFF2-40B4-BE49-F238E27FC236}">
                <a16:creationId xmlns:a16="http://schemas.microsoft.com/office/drawing/2014/main" id="{5FD8ED78-354E-521C-C3E8-D5EC7232D58A}"/>
              </a:ext>
            </a:extLst>
          </xdr:cNvPr>
          <xdr:cNvPicPr>
            <a:picLocks noChangeAspect="1"/>
          </xdr:cNvPicPr>
        </xdr:nvPicPr>
        <xdr:blipFill>
          <a:blip xmlns:r="http://schemas.openxmlformats.org/officeDocument/2006/relationships" r:embed="rId14"/>
          <a:stretch>
            <a:fillRect/>
          </a:stretch>
        </xdr:blipFill>
        <xdr:spPr>
          <a:xfrm>
            <a:off x="761184" y="47134386"/>
            <a:ext cx="5403260" cy="3695874"/>
          </a:xfrm>
          <a:prstGeom prst="rect">
            <a:avLst/>
          </a:prstGeom>
          <a:ln>
            <a:solidFill>
              <a:schemeClr val="tx1"/>
            </a:solidFill>
          </a:ln>
        </xdr:spPr>
      </xdr:pic>
      <xdr:sp macro="" textlink="">
        <xdr:nvSpPr>
          <xdr:cNvPr id="13" name="Rectangle 12">
            <a:extLst>
              <a:ext uri="{FF2B5EF4-FFF2-40B4-BE49-F238E27FC236}">
                <a16:creationId xmlns:a16="http://schemas.microsoft.com/office/drawing/2014/main" id="{3520D684-1858-DA28-64CC-97C070676970}"/>
              </a:ext>
            </a:extLst>
          </xdr:cNvPr>
          <xdr:cNvSpPr/>
        </xdr:nvSpPr>
        <xdr:spPr>
          <a:xfrm rot="20101028">
            <a:off x="2662926" y="48798154"/>
            <a:ext cx="908286" cy="866317"/>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 name="Freeform: Shape 13">
            <a:extLst>
              <a:ext uri="{FF2B5EF4-FFF2-40B4-BE49-F238E27FC236}">
                <a16:creationId xmlns:a16="http://schemas.microsoft.com/office/drawing/2014/main" id="{0ADB1516-71C7-F2D5-7079-1871EDDD6750}"/>
              </a:ext>
            </a:extLst>
          </xdr:cNvPr>
          <xdr:cNvSpPr/>
        </xdr:nvSpPr>
        <xdr:spPr>
          <a:xfrm>
            <a:off x="1970605" y="47449373"/>
            <a:ext cx="1090435" cy="3277415"/>
          </a:xfrm>
          <a:custGeom>
            <a:avLst/>
            <a:gdLst>
              <a:gd name="connsiteX0" fmla="*/ 0 w 1094510"/>
              <a:gd name="connsiteY0" fmla="*/ 0 h 3345873"/>
              <a:gd name="connsiteX1" fmla="*/ 270164 w 1094510"/>
              <a:gd name="connsiteY1" fmla="*/ 1170709 h 3345873"/>
              <a:gd name="connsiteX2" fmla="*/ 477982 w 1094510"/>
              <a:gd name="connsiteY2" fmla="*/ 1558636 h 3345873"/>
              <a:gd name="connsiteX3" fmla="*/ 1094510 w 1094510"/>
              <a:gd name="connsiteY3" fmla="*/ 3345873 h 3345873"/>
            </a:gdLst>
            <a:ahLst/>
            <a:cxnLst>
              <a:cxn ang="0">
                <a:pos x="connsiteX0" y="connsiteY0"/>
              </a:cxn>
              <a:cxn ang="0">
                <a:pos x="connsiteX1" y="connsiteY1"/>
              </a:cxn>
              <a:cxn ang="0">
                <a:pos x="connsiteX2" y="connsiteY2"/>
              </a:cxn>
              <a:cxn ang="0">
                <a:pos x="connsiteX3" y="connsiteY3"/>
              </a:cxn>
            </a:cxnLst>
            <a:rect l="l" t="t" r="r" b="b"/>
            <a:pathLst>
              <a:path w="1094510" h="3345873">
                <a:moveTo>
                  <a:pt x="0" y="0"/>
                </a:moveTo>
                <a:cubicBezTo>
                  <a:pt x="95250" y="455468"/>
                  <a:pt x="190500" y="910936"/>
                  <a:pt x="270164" y="1170709"/>
                </a:cubicBezTo>
                <a:cubicBezTo>
                  <a:pt x="349828" y="1430482"/>
                  <a:pt x="340591" y="1196109"/>
                  <a:pt x="477982" y="1558636"/>
                </a:cubicBezTo>
                <a:cubicBezTo>
                  <a:pt x="615373" y="1921163"/>
                  <a:pt x="854941" y="2633518"/>
                  <a:pt x="1094510" y="3345873"/>
                </a:cubicBez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Freeform: Shape 19">
            <a:extLst>
              <a:ext uri="{FF2B5EF4-FFF2-40B4-BE49-F238E27FC236}">
                <a16:creationId xmlns:a16="http://schemas.microsoft.com/office/drawing/2014/main" id="{DAE495D5-44E5-4B77-B34F-2108924477F1}"/>
              </a:ext>
            </a:extLst>
          </xdr:cNvPr>
          <xdr:cNvSpPr/>
        </xdr:nvSpPr>
        <xdr:spPr>
          <a:xfrm>
            <a:off x="1682569" y="47324682"/>
            <a:ext cx="1056557" cy="3499088"/>
          </a:xfrm>
          <a:custGeom>
            <a:avLst/>
            <a:gdLst>
              <a:gd name="connsiteX0" fmla="*/ 24800 w 1056964"/>
              <a:gd name="connsiteY0" fmla="*/ 0 h 3567546"/>
              <a:gd name="connsiteX1" fmla="*/ 73291 w 1056964"/>
              <a:gd name="connsiteY1" fmla="*/ 803564 h 3567546"/>
              <a:gd name="connsiteX2" fmla="*/ 641327 w 1056964"/>
              <a:gd name="connsiteY2" fmla="*/ 2043546 h 3567546"/>
              <a:gd name="connsiteX3" fmla="*/ 932273 w 1056964"/>
              <a:gd name="connsiteY3" fmla="*/ 3172691 h 3567546"/>
              <a:gd name="connsiteX4" fmla="*/ 1056964 w 1056964"/>
              <a:gd name="connsiteY4" fmla="*/ 3567546 h 35675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56964" h="3567546">
                <a:moveTo>
                  <a:pt x="24800" y="0"/>
                </a:moveTo>
                <a:cubicBezTo>
                  <a:pt x="-2332" y="231486"/>
                  <a:pt x="-29463" y="462973"/>
                  <a:pt x="73291" y="803564"/>
                </a:cubicBezTo>
                <a:cubicBezTo>
                  <a:pt x="176045" y="1144155"/>
                  <a:pt x="498163" y="1648692"/>
                  <a:pt x="641327" y="2043546"/>
                </a:cubicBezTo>
                <a:cubicBezTo>
                  <a:pt x="784491" y="2438400"/>
                  <a:pt x="863000" y="2918691"/>
                  <a:pt x="932273" y="3172691"/>
                </a:cubicBezTo>
                <a:cubicBezTo>
                  <a:pt x="1001546" y="3426691"/>
                  <a:pt x="1035028" y="3515592"/>
                  <a:pt x="1056964" y="3567546"/>
                </a:cubicBez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TextBox 21">
            <a:extLst>
              <a:ext uri="{FF2B5EF4-FFF2-40B4-BE49-F238E27FC236}">
                <a16:creationId xmlns:a16="http://schemas.microsoft.com/office/drawing/2014/main" id="{0935D3B1-2129-7DBA-9EEB-57CEE828A8C0}"/>
              </a:ext>
            </a:extLst>
          </xdr:cNvPr>
          <xdr:cNvSpPr txBox="1"/>
        </xdr:nvSpPr>
        <xdr:spPr>
          <a:xfrm>
            <a:off x="1672733" y="47739910"/>
            <a:ext cx="451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Nala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20</xdr:col>
      <xdr:colOff>607974</xdr:colOff>
      <xdr:row>75</xdr:row>
      <xdr:rowOff>75286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70485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QPu6XHiL6zfcbtq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7"/>
  <sheetViews>
    <sheetView tabSelected="1" showWhiteSpace="0" view="pageBreakPreview" topLeftCell="A110" zoomScaleNormal="100" zoomScaleSheetLayoutView="100" zoomScalePageLayoutView="85" workbookViewId="0">
      <selection activeCell="S97" sqref="S97"/>
    </sheetView>
  </sheetViews>
  <sheetFormatPr defaultRowHeight="15.6" x14ac:dyDescent="0.3"/>
  <cols>
    <col min="1" max="1" width="9.33203125" style="12" customWidth="1"/>
    <col min="2" max="2" width="11.33203125" style="12" customWidth="1"/>
    <col min="3" max="3" width="14.6640625" style="12" customWidth="1"/>
    <col min="4" max="4" width="7.33203125" style="12" customWidth="1"/>
    <col min="5" max="5" width="5.5546875" style="12" customWidth="1"/>
    <col min="6" max="6" width="9.88671875" style="12" customWidth="1"/>
    <col min="7" max="7" width="10.109375" style="12" customWidth="1"/>
    <col min="8" max="8" width="10.5546875" style="12" customWidth="1"/>
    <col min="9" max="9" width="11.109375" style="12" customWidth="1"/>
    <col min="10" max="10" width="9.21875" style="12" customWidth="1"/>
    <col min="11" max="11" width="3.5546875" style="12" customWidth="1"/>
    <col min="12"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0" ht="46.5" customHeight="1" x14ac:dyDescent="0.3">
      <c r="A1" s="178" t="s">
        <v>242</v>
      </c>
      <c r="B1" s="179"/>
      <c r="C1" s="179"/>
      <c r="D1" s="179"/>
      <c r="E1" s="179"/>
      <c r="F1" s="179"/>
      <c r="G1" s="179"/>
      <c r="H1" s="179"/>
      <c r="I1" s="179"/>
      <c r="J1" s="180"/>
    </row>
    <row r="2" spans="1:10" ht="16.5" customHeight="1" x14ac:dyDescent="0.3">
      <c r="A2" s="110" t="s">
        <v>0</v>
      </c>
      <c r="B2" s="111"/>
      <c r="C2" s="111"/>
      <c r="D2" s="111"/>
      <c r="E2" s="111"/>
      <c r="F2" s="111"/>
      <c r="G2" s="111"/>
      <c r="H2" s="111"/>
      <c r="I2" s="111"/>
      <c r="J2" s="112"/>
    </row>
    <row r="3" spans="1:10" x14ac:dyDescent="0.3">
      <c r="A3" s="60" t="s">
        <v>1</v>
      </c>
      <c r="B3" s="61"/>
      <c r="C3" s="61"/>
      <c r="D3" s="61"/>
      <c r="E3" s="62"/>
      <c r="F3" s="175">
        <v>45904</v>
      </c>
      <c r="G3" s="176"/>
      <c r="H3" s="176"/>
      <c r="I3" s="176"/>
      <c r="J3" s="177"/>
    </row>
    <row r="4" spans="1:10" ht="15" customHeight="1" x14ac:dyDescent="0.3">
      <c r="A4" s="60" t="s">
        <v>2</v>
      </c>
      <c r="B4" s="61"/>
      <c r="C4" s="61"/>
      <c r="D4" s="61"/>
      <c r="E4" s="62"/>
      <c r="F4" s="166" t="s">
        <v>172</v>
      </c>
      <c r="G4" s="167"/>
      <c r="H4" s="167"/>
      <c r="I4" s="167"/>
      <c r="J4" s="168"/>
    </row>
    <row r="5" spans="1:10" x14ac:dyDescent="0.3">
      <c r="A5" s="60" t="s">
        <v>3</v>
      </c>
      <c r="B5" s="61"/>
      <c r="C5" s="61"/>
      <c r="D5" s="61"/>
      <c r="E5" s="62"/>
      <c r="F5" s="175">
        <v>45904</v>
      </c>
      <c r="G5" s="176"/>
      <c r="H5" s="176"/>
      <c r="I5" s="176"/>
      <c r="J5" s="177"/>
    </row>
    <row r="6" spans="1:10" ht="16.5" customHeight="1" x14ac:dyDescent="0.3">
      <c r="A6" s="60" t="s">
        <v>4</v>
      </c>
      <c r="B6" s="61"/>
      <c r="C6" s="61"/>
      <c r="D6" s="61"/>
      <c r="E6" s="62"/>
      <c r="F6" s="63" t="s">
        <v>173</v>
      </c>
      <c r="G6" s="64"/>
      <c r="H6" s="64"/>
      <c r="I6" s="64"/>
      <c r="J6" s="65"/>
    </row>
    <row r="7" spans="1:10" ht="15" customHeight="1" x14ac:dyDescent="0.3">
      <c r="A7" s="60" t="s">
        <v>5</v>
      </c>
      <c r="B7" s="61"/>
      <c r="C7" s="61"/>
      <c r="D7" s="61"/>
      <c r="E7" s="62"/>
      <c r="F7" s="63" t="str">
        <f>F6</f>
        <v xml:space="preserve">M/s. Shree Sai Infra
</v>
      </c>
      <c r="G7" s="64"/>
      <c r="H7" s="64"/>
      <c r="I7" s="64"/>
      <c r="J7" s="65"/>
    </row>
    <row r="8" spans="1:10" x14ac:dyDescent="0.3">
      <c r="A8" s="60" t="s">
        <v>6</v>
      </c>
      <c r="B8" s="61"/>
      <c r="C8" s="61"/>
      <c r="D8" s="61"/>
      <c r="E8" s="62"/>
      <c r="F8" s="139" t="s">
        <v>186</v>
      </c>
      <c r="G8" s="140"/>
      <c r="H8" s="140"/>
      <c r="I8" s="140"/>
      <c r="J8" s="141"/>
    </row>
    <row r="9" spans="1:10" x14ac:dyDescent="0.3">
      <c r="A9" s="60" t="s">
        <v>7</v>
      </c>
      <c r="B9" s="61"/>
      <c r="C9" s="61"/>
      <c r="D9" s="61"/>
      <c r="E9" s="62"/>
      <c r="F9" s="60">
        <v>9860035892</v>
      </c>
      <c r="G9" s="61"/>
      <c r="H9" s="61"/>
      <c r="I9" s="61"/>
      <c r="J9" s="62"/>
    </row>
    <row r="10" spans="1:10" x14ac:dyDescent="0.3">
      <c r="A10" s="60" t="s">
        <v>8</v>
      </c>
      <c r="B10" s="61"/>
      <c r="C10" s="61"/>
      <c r="D10" s="61"/>
      <c r="E10" s="62"/>
      <c r="F10" s="143" t="s">
        <v>185</v>
      </c>
      <c r="G10" s="144"/>
      <c r="H10" s="144"/>
      <c r="I10" s="144"/>
      <c r="J10" s="145"/>
    </row>
    <row r="11" spans="1:10" ht="16.5" customHeight="1" x14ac:dyDescent="0.3">
      <c r="A11" s="60" t="s">
        <v>9</v>
      </c>
      <c r="B11" s="61"/>
      <c r="C11" s="61"/>
      <c r="D11" s="61"/>
      <c r="E11" s="62"/>
      <c r="F11" s="169" t="s">
        <v>10</v>
      </c>
      <c r="G11" s="170"/>
      <c r="H11" s="170"/>
      <c r="I11" s="170"/>
      <c r="J11" s="171"/>
    </row>
    <row r="12" spans="1:10" x14ac:dyDescent="0.3">
      <c r="A12" s="60" t="s">
        <v>11</v>
      </c>
      <c r="B12" s="61"/>
      <c r="C12" s="61"/>
      <c r="D12" s="61"/>
      <c r="E12" s="62"/>
      <c r="F12" s="60" t="s">
        <v>238</v>
      </c>
      <c r="G12" s="61"/>
      <c r="H12" s="61"/>
      <c r="I12" s="61"/>
      <c r="J12" s="62"/>
    </row>
    <row r="13" spans="1:10" ht="31.5" customHeight="1" x14ac:dyDescent="0.3">
      <c r="A13" s="174" t="s">
        <v>12</v>
      </c>
      <c r="B13" s="174"/>
      <c r="C13" s="63" t="str">
        <f>CONCATENATE((IF(OR(F8="",F8="NA"),"",F8)),", ",(IF(OR(A14="",A14="NA"),"",A14)),".",(IF(OR(C14="",C14="NA"),"",C14)),", ",(IF(OR(F14="",F14="NA"),"",F14)),".",(IF(OR(H14="",H14="NA"),"",H14)),", ",(IF(OR(C15="",C15="NA"),"",C15)),", ",(IF(OR(H15="",H15="NA"),"",H15)),", ",(IF(OR(C16="",C16="NA"),"",C16)),", ",(IF(OR(H16="",H16="NA"),"",H16))," - ",(IF(OR(H17="",H17="NA"),"",H17)),".")</f>
        <v>Kailash Parvat CHS LTD, CTS No.4384 &amp; 4385, Plot No.5 &amp; 6, AMP Gate Road, Bhidewadi, Ambernath East, Thane - 421501.</v>
      </c>
      <c r="D13" s="64"/>
      <c r="E13" s="64"/>
      <c r="F13" s="64"/>
      <c r="G13" s="64"/>
      <c r="H13" s="64"/>
      <c r="I13" s="64"/>
      <c r="J13" s="65"/>
    </row>
    <row r="14" spans="1:10" ht="15.75" customHeight="1" x14ac:dyDescent="0.3">
      <c r="A14" s="63" t="s">
        <v>188</v>
      </c>
      <c r="B14" s="65"/>
      <c r="C14" s="169" t="s">
        <v>187</v>
      </c>
      <c r="D14" s="170"/>
      <c r="E14" s="170"/>
      <c r="F14" s="164" t="s">
        <v>177</v>
      </c>
      <c r="G14" s="165"/>
      <c r="H14" s="169" t="s">
        <v>176</v>
      </c>
      <c r="I14" s="170"/>
      <c r="J14" s="171"/>
    </row>
    <row r="15" spans="1:10" ht="15.75" customHeight="1" x14ac:dyDescent="0.3">
      <c r="A15" s="63" t="s">
        <v>13</v>
      </c>
      <c r="B15" s="65"/>
      <c r="C15" s="162" t="s">
        <v>194</v>
      </c>
      <c r="D15" s="163"/>
      <c r="E15" s="163"/>
      <c r="F15" s="164" t="s">
        <v>135</v>
      </c>
      <c r="G15" s="165"/>
      <c r="H15" s="163" t="s">
        <v>189</v>
      </c>
      <c r="I15" s="163"/>
      <c r="J15" s="163"/>
    </row>
    <row r="16" spans="1:10" x14ac:dyDescent="0.3">
      <c r="A16" s="158" t="s">
        <v>15</v>
      </c>
      <c r="B16" s="158"/>
      <c r="C16" s="163" t="s">
        <v>259</v>
      </c>
      <c r="D16" s="163"/>
      <c r="E16" s="163"/>
      <c r="F16" s="164" t="s">
        <v>14</v>
      </c>
      <c r="G16" s="165"/>
      <c r="H16" s="181" t="s">
        <v>174</v>
      </c>
      <c r="I16" s="181"/>
      <c r="J16" s="181"/>
    </row>
    <row r="17" spans="1:10" x14ac:dyDescent="0.3">
      <c r="A17" s="158" t="s">
        <v>136</v>
      </c>
      <c r="B17" s="158"/>
      <c r="C17" s="163" t="s">
        <v>175</v>
      </c>
      <c r="D17" s="163"/>
      <c r="E17" s="163"/>
      <c r="F17" s="164" t="s">
        <v>16</v>
      </c>
      <c r="G17" s="165"/>
      <c r="H17" s="169">
        <v>421501</v>
      </c>
      <c r="I17" s="170"/>
      <c r="J17" s="171"/>
    </row>
    <row r="18" spans="1:10" ht="32.25" customHeight="1" x14ac:dyDescent="0.3">
      <c r="A18" s="158" t="s">
        <v>17</v>
      </c>
      <c r="B18" s="158"/>
      <c r="C18" s="172" t="s">
        <v>193</v>
      </c>
      <c r="D18" s="173"/>
      <c r="E18" s="173"/>
      <c r="F18" s="174" t="s">
        <v>18</v>
      </c>
      <c r="G18" s="174"/>
      <c r="H18" s="170" t="s">
        <v>190</v>
      </c>
      <c r="I18" s="170"/>
      <c r="J18" s="171"/>
    </row>
    <row r="19" spans="1:10" ht="15" customHeight="1" x14ac:dyDescent="0.3">
      <c r="A19" s="164" t="s">
        <v>147</v>
      </c>
      <c r="B19" s="186"/>
      <c r="C19" s="186"/>
      <c r="D19" s="186"/>
      <c r="E19" s="165"/>
      <c r="F19" s="190" t="s">
        <v>19</v>
      </c>
      <c r="G19" s="191"/>
      <c r="H19" s="191"/>
      <c r="I19" s="191"/>
      <c r="J19" s="192"/>
    </row>
    <row r="20" spans="1:10" ht="18.75" customHeight="1" x14ac:dyDescent="0.3">
      <c r="A20" s="187"/>
      <c r="B20" s="188"/>
      <c r="C20" s="188"/>
      <c r="D20" s="188"/>
      <c r="E20" s="189"/>
      <c r="F20" s="193"/>
      <c r="G20" s="194"/>
      <c r="H20" s="194"/>
      <c r="I20" s="194"/>
      <c r="J20" s="195"/>
    </row>
    <row r="21" spans="1:10" ht="15" customHeight="1" x14ac:dyDescent="0.3">
      <c r="A21" s="164" t="s">
        <v>20</v>
      </c>
      <c r="B21" s="186"/>
      <c r="C21" s="186"/>
      <c r="D21" s="186"/>
      <c r="E21" s="165"/>
      <c r="F21" s="164" t="s">
        <v>21</v>
      </c>
      <c r="G21" s="186"/>
      <c r="H21" s="186"/>
      <c r="I21" s="186"/>
      <c r="J21" s="165"/>
    </row>
    <row r="22" spans="1:10" x14ac:dyDescent="0.3">
      <c r="A22" s="187"/>
      <c r="B22" s="188"/>
      <c r="C22" s="188"/>
      <c r="D22" s="188"/>
      <c r="E22" s="189"/>
      <c r="F22" s="187"/>
      <c r="G22" s="188"/>
      <c r="H22" s="188"/>
      <c r="I22" s="188"/>
      <c r="J22" s="189"/>
    </row>
    <row r="23" spans="1:10" ht="15" customHeight="1" x14ac:dyDescent="0.3">
      <c r="A23" s="60" t="s">
        <v>22</v>
      </c>
      <c r="B23" s="61"/>
      <c r="C23" s="61"/>
      <c r="D23" s="61"/>
      <c r="E23" s="62"/>
      <c r="F23" s="166" t="s">
        <v>23</v>
      </c>
      <c r="G23" s="167"/>
      <c r="H23" s="167"/>
      <c r="I23" s="167"/>
      <c r="J23" s="168"/>
    </row>
    <row r="24" spans="1:10" x14ac:dyDescent="0.3">
      <c r="A24" s="60" t="s">
        <v>24</v>
      </c>
      <c r="B24" s="61"/>
      <c r="C24" s="61"/>
      <c r="D24" s="61"/>
      <c r="E24" s="62"/>
      <c r="F24" s="166" t="s">
        <v>25</v>
      </c>
      <c r="G24" s="167"/>
      <c r="H24" s="167"/>
      <c r="I24" s="167"/>
      <c r="J24" s="168"/>
    </row>
    <row r="25" spans="1:10" ht="15" customHeight="1" x14ac:dyDescent="0.3">
      <c r="A25" s="60" t="s">
        <v>26</v>
      </c>
      <c r="B25" s="61"/>
      <c r="C25" s="61"/>
      <c r="D25" s="61"/>
      <c r="E25" s="62"/>
      <c r="F25" s="166" t="s">
        <v>27</v>
      </c>
      <c r="G25" s="167"/>
      <c r="H25" s="167"/>
      <c r="I25" s="167"/>
      <c r="J25" s="168"/>
    </row>
    <row r="26" spans="1:10" x14ac:dyDescent="0.3">
      <c r="A26" s="60" t="s">
        <v>28</v>
      </c>
      <c r="B26" s="61"/>
      <c r="C26" s="61"/>
      <c r="D26" s="61"/>
      <c r="E26" s="62"/>
      <c r="F26" s="166" t="s">
        <v>29</v>
      </c>
      <c r="G26" s="167"/>
      <c r="H26" s="167"/>
      <c r="I26" s="167"/>
      <c r="J26" s="168"/>
    </row>
    <row r="27" spans="1:10" x14ac:dyDescent="0.3">
      <c r="A27" s="182" t="s">
        <v>30</v>
      </c>
      <c r="B27" s="183"/>
      <c r="C27" s="182" t="s">
        <v>31</v>
      </c>
      <c r="D27" s="183"/>
      <c r="E27" s="182" t="s">
        <v>32</v>
      </c>
      <c r="F27" s="183"/>
      <c r="G27" s="182" t="s">
        <v>34</v>
      </c>
      <c r="H27" s="183"/>
      <c r="I27" s="182" t="s">
        <v>33</v>
      </c>
      <c r="J27" s="183"/>
    </row>
    <row r="28" spans="1:10" x14ac:dyDescent="0.3">
      <c r="A28" s="184" t="s">
        <v>35</v>
      </c>
      <c r="B28" s="185"/>
      <c r="C28" s="184" t="s">
        <v>36</v>
      </c>
      <c r="D28" s="185"/>
      <c r="E28" s="184" t="s">
        <v>36</v>
      </c>
      <c r="F28" s="185"/>
      <c r="G28" s="184" t="s">
        <v>36</v>
      </c>
      <c r="H28" s="185"/>
      <c r="I28" s="184" t="s">
        <v>36</v>
      </c>
      <c r="J28" s="185"/>
    </row>
    <row r="29" spans="1:10" x14ac:dyDescent="0.3">
      <c r="A29" s="184" t="s">
        <v>37</v>
      </c>
      <c r="B29" s="185"/>
      <c r="C29" s="199" t="s">
        <v>192</v>
      </c>
      <c r="D29" s="200"/>
      <c r="E29" s="199" t="s">
        <v>13</v>
      </c>
      <c r="F29" s="200"/>
      <c r="G29" s="199" t="s">
        <v>191</v>
      </c>
      <c r="H29" s="200"/>
      <c r="I29" s="199" t="s">
        <v>191</v>
      </c>
      <c r="J29" s="200"/>
    </row>
    <row r="30" spans="1:10" x14ac:dyDescent="0.3">
      <c r="A30" s="60" t="s">
        <v>38</v>
      </c>
      <c r="B30" s="61"/>
      <c r="C30" s="61"/>
      <c r="D30" s="61"/>
      <c r="E30" s="61"/>
      <c r="F30" s="61"/>
      <c r="G30" s="61"/>
      <c r="H30" s="61"/>
      <c r="I30" s="61"/>
      <c r="J30" s="62"/>
    </row>
    <row r="31" spans="1:10" x14ac:dyDescent="0.3">
      <c r="A31" s="60" t="s">
        <v>39</v>
      </c>
      <c r="B31" s="61"/>
      <c r="C31" s="61"/>
      <c r="D31" s="61"/>
      <c r="E31" s="61"/>
      <c r="F31" s="61"/>
      <c r="G31" s="61"/>
      <c r="H31" s="61"/>
      <c r="I31" s="61"/>
      <c r="J31" s="62"/>
    </row>
    <row r="32" spans="1:10" x14ac:dyDescent="0.3">
      <c r="A32" s="60" t="s">
        <v>40</v>
      </c>
      <c r="B32" s="62"/>
      <c r="C32" s="139" t="s">
        <v>243</v>
      </c>
      <c r="D32" s="140"/>
      <c r="E32" s="140"/>
      <c r="F32" s="140"/>
      <c r="G32" s="140"/>
      <c r="H32" s="140"/>
      <c r="I32" s="140"/>
      <c r="J32" s="141"/>
    </row>
    <row r="33" spans="1:10" x14ac:dyDescent="0.3">
      <c r="A33" s="60" t="s">
        <v>244</v>
      </c>
      <c r="B33" s="62"/>
      <c r="C33" s="201" t="s">
        <v>245</v>
      </c>
      <c r="D33" s="140"/>
      <c r="E33" s="140"/>
      <c r="F33" s="140"/>
      <c r="G33" s="140"/>
      <c r="H33" s="140"/>
      <c r="I33" s="140"/>
      <c r="J33" s="141"/>
    </row>
    <row r="34" spans="1:10" x14ac:dyDescent="0.3">
      <c r="A34" s="139" t="s">
        <v>41</v>
      </c>
      <c r="B34" s="140"/>
      <c r="C34" s="140"/>
      <c r="D34" s="140"/>
      <c r="E34" s="140"/>
      <c r="F34" s="140"/>
      <c r="G34" s="140"/>
      <c r="H34" s="140"/>
      <c r="I34" s="140"/>
      <c r="J34" s="141"/>
    </row>
    <row r="35" spans="1:10" ht="15" customHeight="1" x14ac:dyDescent="0.3">
      <c r="A35" s="63" t="s">
        <v>42</v>
      </c>
      <c r="B35" s="64"/>
      <c r="C35" s="64"/>
      <c r="D35" s="64"/>
      <c r="E35" s="65"/>
      <c r="F35" s="196" t="s">
        <v>184</v>
      </c>
      <c r="G35" s="197"/>
      <c r="H35" s="197"/>
      <c r="I35" s="197"/>
      <c r="J35" s="198"/>
    </row>
    <row r="36" spans="1:10" ht="15" customHeight="1" x14ac:dyDescent="0.3">
      <c r="A36" s="187" t="s">
        <v>43</v>
      </c>
      <c r="B36" s="188"/>
      <c r="C36" s="188"/>
      <c r="D36" s="188"/>
      <c r="E36" s="188"/>
      <c r="F36" s="63" t="s">
        <v>44</v>
      </c>
      <c r="G36" s="64"/>
      <c r="H36" s="64"/>
      <c r="I36" s="64"/>
      <c r="J36" s="65"/>
    </row>
    <row r="37" spans="1:10" x14ac:dyDescent="0.3">
      <c r="A37" s="139" t="s">
        <v>45</v>
      </c>
      <c r="B37" s="140"/>
      <c r="C37" s="140"/>
      <c r="D37" s="140"/>
      <c r="E37" s="140"/>
      <c r="F37" s="140"/>
      <c r="G37" s="140"/>
      <c r="H37" s="140"/>
      <c r="I37" s="140"/>
      <c r="J37" s="141"/>
    </row>
    <row r="38" spans="1:10" x14ac:dyDescent="0.3">
      <c r="A38" s="60" t="s">
        <v>46</v>
      </c>
      <c r="B38" s="61"/>
      <c r="C38" s="61"/>
      <c r="D38" s="61"/>
      <c r="E38" s="62"/>
      <c r="F38" s="159">
        <v>1298.3</v>
      </c>
      <c r="G38" s="160"/>
      <c r="H38" s="160"/>
      <c r="I38" s="160"/>
      <c r="J38" s="161"/>
    </row>
    <row r="39" spans="1:10" x14ac:dyDescent="0.3">
      <c r="A39" s="60" t="s">
        <v>47</v>
      </c>
      <c r="B39" s="61"/>
      <c r="C39" s="61"/>
      <c r="D39" s="61"/>
      <c r="E39" s="62"/>
      <c r="F39" s="151">
        <v>1.1000000000000001</v>
      </c>
      <c r="G39" s="152"/>
      <c r="H39" s="152"/>
      <c r="I39" s="152"/>
      <c r="J39" s="153"/>
    </row>
    <row r="40" spans="1:10" x14ac:dyDescent="0.3">
      <c r="A40" s="60" t="s">
        <v>48</v>
      </c>
      <c r="B40" s="61"/>
      <c r="C40" s="61"/>
      <c r="D40" s="61"/>
      <c r="E40" s="62"/>
      <c r="F40" s="151">
        <f>F42/F38-F39</f>
        <v>1.2499961488099824</v>
      </c>
      <c r="G40" s="152"/>
      <c r="H40" s="152"/>
      <c r="I40" s="152"/>
      <c r="J40" s="153"/>
    </row>
    <row r="41" spans="1:10" x14ac:dyDescent="0.3">
      <c r="A41" s="60" t="s">
        <v>49</v>
      </c>
      <c r="B41" s="61"/>
      <c r="C41" s="61"/>
      <c r="D41" s="61"/>
      <c r="E41" s="62"/>
      <c r="F41" s="151">
        <f>F39+F40</f>
        <v>2.3499961488099825</v>
      </c>
      <c r="G41" s="152"/>
      <c r="H41" s="152"/>
      <c r="I41" s="152"/>
      <c r="J41" s="153"/>
    </row>
    <row r="42" spans="1:10" x14ac:dyDescent="0.3">
      <c r="A42" s="60" t="s">
        <v>50</v>
      </c>
      <c r="B42" s="61"/>
      <c r="C42" s="61"/>
      <c r="D42" s="61"/>
      <c r="E42" s="62"/>
      <c r="F42" s="151">
        <v>3051</v>
      </c>
      <c r="G42" s="152"/>
      <c r="H42" s="152"/>
      <c r="I42" s="152"/>
      <c r="J42" s="153"/>
    </row>
    <row r="43" spans="1:10" x14ac:dyDescent="0.3">
      <c r="A43" s="60" t="s">
        <v>51</v>
      </c>
      <c r="B43" s="61"/>
      <c r="C43" s="61"/>
      <c r="D43" s="61"/>
      <c r="E43" s="62"/>
      <c r="F43" s="143" t="s">
        <v>185</v>
      </c>
      <c r="G43" s="144"/>
      <c r="H43" s="144"/>
      <c r="I43" s="144"/>
      <c r="J43" s="145"/>
    </row>
    <row r="44" spans="1:10" x14ac:dyDescent="0.3">
      <c r="A44" s="139" t="s">
        <v>52</v>
      </c>
      <c r="B44" s="140"/>
      <c r="C44" s="140"/>
      <c r="D44" s="140"/>
      <c r="E44" s="140"/>
      <c r="F44" s="140"/>
      <c r="G44" s="140"/>
      <c r="H44" s="140"/>
      <c r="I44" s="140"/>
      <c r="J44" s="141"/>
    </row>
    <row r="45" spans="1:10" x14ac:dyDescent="0.3">
      <c r="A45" s="63" t="s">
        <v>53</v>
      </c>
      <c r="B45" s="65"/>
      <c r="C45" s="134" t="s">
        <v>195</v>
      </c>
      <c r="D45" s="137"/>
      <c r="E45" s="137"/>
      <c r="F45" s="138"/>
      <c r="G45" s="20" t="s">
        <v>54</v>
      </c>
      <c r="H45" s="157" t="s">
        <v>178</v>
      </c>
      <c r="I45" s="64"/>
      <c r="J45" s="65"/>
    </row>
    <row r="46" spans="1:10" x14ac:dyDescent="0.3">
      <c r="A46" s="63" t="s">
        <v>55</v>
      </c>
      <c r="B46" s="65"/>
      <c r="C46" s="134" t="str">
        <f>C45</f>
        <v>ANP/NRV/BP/19-20/938/8982/71</v>
      </c>
      <c r="D46" s="137"/>
      <c r="E46" s="137"/>
      <c r="F46" s="138"/>
      <c r="G46" s="20" t="s">
        <v>54</v>
      </c>
      <c r="H46" s="63" t="str">
        <f>H45</f>
        <v>14/10/2019.</v>
      </c>
      <c r="I46" s="64"/>
      <c r="J46" s="65"/>
    </row>
    <row r="47" spans="1:10" ht="34.5" customHeight="1" x14ac:dyDescent="0.3">
      <c r="A47" s="63" t="s">
        <v>56</v>
      </c>
      <c r="B47" s="65"/>
      <c r="C47" s="134" t="s">
        <v>210</v>
      </c>
      <c r="D47" s="135"/>
      <c r="E47" s="135"/>
      <c r="F47" s="136"/>
      <c r="G47" s="13" t="s">
        <v>54</v>
      </c>
      <c r="H47" s="68" t="s">
        <v>178</v>
      </c>
      <c r="I47" s="69"/>
      <c r="J47" s="70"/>
    </row>
    <row r="48" spans="1:10" ht="68.400000000000006" customHeight="1" x14ac:dyDescent="0.3">
      <c r="A48" s="63" t="s">
        <v>57</v>
      </c>
      <c r="B48" s="65"/>
      <c r="C48" s="134" t="s">
        <v>261</v>
      </c>
      <c r="D48" s="135"/>
      <c r="E48" s="135"/>
      <c r="F48" s="136" t="s">
        <v>58</v>
      </c>
      <c r="G48" s="20" t="s">
        <v>54</v>
      </c>
      <c r="H48" s="157">
        <v>45369</v>
      </c>
      <c r="I48" s="64" t="s">
        <v>36</v>
      </c>
      <c r="J48" s="65"/>
    </row>
    <row r="49" spans="1:13" x14ac:dyDescent="0.3">
      <c r="A49" s="154" t="s">
        <v>60</v>
      </c>
      <c r="B49" s="155"/>
      <c r="C49" s="155"/>
      <c r="D49" s="155"/>
      <c r="E49" s="155"/>
      <c r="F49" s="155"/>
      <c r="G49" s="155"/>
      <c r="H49" s="155"/>
      <c r="I49" s="155"/>
      <c r="J49" s="156"/>
    </row>
    <row r="50" spans="1:13" ht="15.75" customHeight="1" x14ac:dyDescent="0.3">
      <c r="A50" s="60" t="s">
        <v>61</v>
      </c>
      <c r="B50" s="61"/>
      <c r="C50" s="62"/>
      <c r="D50" s="60">
        <f>F42</f>
        <v>3051</v>
      </c>
      <c r="E50" s="61"/>
      <c r="F50" s="61"/>
      <c r="G50" s="61"/>
      <c r="H50" s="61"/>
      <c r="I50" s="61"/>
      <c r="J50" s="62"/>
    </row>
    <row r="51" spans="1:13" ht="15.75" customHeight="1" x14ac:dyDescent="0.3">
      <c r="A51" s="60" t="s">
        <v>62</v>
      </c>
      <c r="B51" s="61"/>
      <c r="C51" s="62"/>
      <c r="D51" s="60" t="s">
        <v>183</v>
      </c>
      <c r="E51" s="61"/>
      <c r="F51" s="61"/>
      <c r="G51" s="61"/>
      <c r="H51" s="61"/>
      <c r="I51" s="61"/>
      <c r="J51" s="62"/>
    </row>
    <row r="52" spans="1:13" x14ac:dyDescent="0.3">
      <c r="A52" s="60" t="s">
        <v>63</v>
      </c>
      <c r="B52" s="61"/>
      <c r="C52" s="62"/>
      <c r="D52" s="60" t="s">
        <v>236</v>
      </c>
      <c r="E52" s="61"/>
      <c r="F52" s="61"/>
      <c r="G52" s="61"/>
      <c r="H52" s="61"/>
      <c r="I52" s="61"/>
      <c r="J52" s="62"/>
    </row>
    <row r="53" spans="1:13" x14ac:dyDescent="0.3">
      <c r="A53" s="60" t="s">
        <v>250</v>
      </c>
      <c r="B53" s="61"/>
      <c r="C53" s="62"/>
      <c r="D53" s="60" t="s">
        <v>251</v>
      </c>
      <c r="E53" s="61"/>
      <c r="F53" s="61"/>
      <c r="G53" s="61"/>
      <c r="H53" s="61"/>
      <c r="I53" s="61"/>
      <c r="J53" s="62"/>
    </row>
    <row r="54" spans="1:13" x14ac:dyDescent="0.3">
      <c r="A54" s="158" t="s">
        <v>59</v>
      </c>
      <c r="B54" s="158"/>
      <c r="C54" s="158"/>
      <c r="D54" s="60" t="s">
        <v>247</v>
      </c>
      <c r="E54" s="61"/>
      <c r="F54" s="61"/>
      <c r="G54" s="61"/>
      <c r="H54" s="61"/>
      <c r="I54" s="61"/>
      <c r="J54" s="62"/>
    </row>
    <row r="55" spans="1:13" ht="15.75" customHeight="1" x14ac:dyDescent="0.3">
      <c r="A55" s="60" t="s">
        <v>248</v>
      </c>
      <c r="B55" s="61"/>
      <c r="C55" s="62"/>
      <c r="D55" s="60" t="s">
        <v>36</v>
      </c>
      <c r="E55" s="61"/>
      <c r="F55" s="61"/>
      <c r="G55" s="61"/>
      <c r="H55" s="61"/>
      <c r="I55" s="61"/>
      <c r="J55" s="62"/>
    </row>
    <row r="56" spans="1:13" ht="15.75" customHeight="1" x14ac:dyDescent="0.3">
      <c r="A56" s="60" t="s">
        <v>249</v>
      </c>
      <c r="B56" s="61"/>
      <c r="C56" s="62"/>
      <c r="D56" s="60" t="s">
        <v>258</v>
      </c>
      <c r="E56" s="61"/>
      <c r="F56" s="61"/>
      <c r="G56" s="61"/>
      <c r="H56" s="61"/>
      <c r="I56" s="61"/>
      <c r="J56" s="62"/>
    </row>
    <row r="57" spans="1:13" x14ac:dyDescent="0.3">
      <c r="A57" s="60" t="s">
        <v>255</v>
      </c>
      <c r="B57" s="61"/>
      <c r="C57" s="62"/>
      <c r="D57" s="60" t="s">
        <v>257</v>
      </c>
      <c r="E57" s="61"/>
      <c r="F57" s="61"/>
      <c r="G57" s="61"/>
      <c r="H57" s="61"/>
      <c r="I57" s="61"/>
      <c r="J57" s="62"/>
    </row>
    <row r="58" spans="1:13" x14ac:dyDescent="0.3">
      <c r="A58" s="60" t="s">
        <v>254</v>
      </c>
      <c r="B58" s="61"/>
      <c r="C58" s="62"/>
      <c r="D58" s="60" t="s">
        <v>36</v>
      </c>
      <c r="E58" s="61"/>
      <c r="F58" s="61"/>
      <c r="G58" s="61"/>
      <c r="H58" s="61"/>
      <c r="I58" s="61"/>
      <c r="J58" s="62"/>
    </row>
    <row r="59" spans="1:13" ht="15" customHeight="1" x14ac:dyDescent="0.3">
      <c r="A59" s="60" t="s">
        <v>252</v>
      </c>
      <c r="B59" s="61"/>
      <c r="C59" s="62" t="s">
        <v>137</v>
      </c>
      <c r="D59" s="60" t="s">
        <v>256</v>
      </c>
      <c r="E59" s="61"/>
      <c r="F59" s="61"/>
      <c r="G59" s="61"/>
      <c r="H59" s="61"/>
      <c r="I59" s="61"/>
      <c r="J59" s="62"/>
    </row>
    <row r="60" spans="1:13" ht="34.200000000000003" customHeight="1" thickBot="1" x14ac:dyDescent="0.35">
      <c r="A60" s="63" t="s">
        <v>253</v>
      </c>
      <c r="B60" s="64"/>
      <c r="C60" s="65"/>
      <c r="D60" s="60" t="s">
        <v>21</v>
      </c>
      <c r="E60" s="61"/>
      <c r="F60" s="61"/>
      <c r="G60" s="61"/>
      <c r="H60" s="61"/>
      <c r="I60" s="61"/>
      <c r="J60" s="62"/>
    </row>
    <row r="61" spans="1:13" customFormat="1" ht="15.75" customHeight="1" x14ac:dyDescent="0.3">
      <c r="A61" s="79" t="s">
        <v>211</v>
      </c>
      <c r="B61" s="80"/>
      <c r="C61" s="81" t="s">
        <v>251</v>
      </c>
      <c r="D61" s="81"/>
      <c r="E61" s="81"/>
      <c r="F61" s="81"/>
      <c r="G61" s="81"/>
      <c r="H61" s="81"/>
      <c r="I61" s="81"/>
      <c r="J61" s="82"/>
      <c r="K61" s="38" t="str">
        <f ca="1">(IF(C65=0,"Work not yet Started.",IF(D65=25%,"Piling work in process",IF(D65=50%,"Excavation work in process",IF(D65=100%,"Excavation work completed, ","0")))&amp;(IF(C66=0%,"",IF(C66=M67,"Footing work is process",IF(C66=M68,"Footing work Completed",IF(C66=M69,"1st Basement Completed",IF(C66=M70,"1st &amp; 2nd Basement Completed",IF(C66=M71,"1st to 3rd Basement Completed",IF(C66=M72,"1st to 4th Basement Completed",IF(C66=M73,"Plinth work is process",IF(C66=M74,"Plinth work completed","0")))))))))))&amp;(IF(C67&gt;0,", RCC upto "&amp;C67&amp;" Slab completed",""))&amp;(IF(C68&gt;0,", Brickwork upto "&amp;C68&amp;" Floor completed"," "))&amp;(IF(C69&gt;0,", Internal Plaster upto "&amp;C69&amp;" Floor completed"," "))&amp;(IF(C70&gt;0,", External Plaster upto "&amp;C70&amp;" Floor completed"," "))&amp;(IF(C71&gt;0,", Flooring upto "&amp;C71&amp;" Floor completed"," "))&amp;(IF(C72&gt;0,", Painting upto "&amp;C72&amp;" Floor completed"," "))&amp;(IF(C73&gt;0,", Finishing upto "&amp;C73&amp;"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L61" s="38"/>
      <c r="M61" s="39"/>
    </row>
    <row r="62" spans="1:13" customFormat="1" x14ac:dyDescent="0.3">
      <c r="A62" s="40" t="s">
        <v>131</v>
      </c>
      <c r="B62" s="41">
        <v>0</v>
      </c>
      <c r="C62" s="41" t="s">
        <v>133</v>
      </c>
      <c r="D62" s="41">
        <v>1</v>
      </c>
      <c r="E62" s="66" t="s">
        <v>132</v>
      </c>
      <c r="F62" s="67"/>
      <c r="G62" s="41">
        <v>0</v>
      </c>
      <c r="H62" s="41" t="s">
        <v>212</v>
      </c>
      <c r="I62" s="83">
        <f ca="1">--TRIM(RIGHT(SUBSTITUTE(LEFT(C61,_xlfn.AGGREGATE(16,6,FIND({0,1,2,3,4,5,6,7,8,9},C61,ROW(INDIRECT("1:"&amp;LEN(C61)))),1))," ",REPT(" ",LEN(C61))),LEN(C61)))</f>
        <v>12</v>
      </c>
      <c r="J62" s="84"/>
      <c r="K62" s="42" t="s">
        <v>213</v>
      </c>
      <c r="L62" s="42"/>
      <c r="M62" s="43"/>
    </row>
    <row r="63" spans="1:13" customFormat="1" x14ac:dyDescent="0.3">
      <c r="A63" s="85" t="s">
        <v>214</v>
      </c>
      <c r="B63" s="86"/>
      <c r="C63" s="87" t="str">
        <f>K63</f>
        <v>All work Completed. OC Received.</v>
      </c>
      <c r="D63" s="88"/>
      <c r="E63" s="88"/>
      <c r="F63" s="88"/>
      <c r="G63" s="88"/>
      <c r="H63" s="88"/>
      <c r="I63" s="88"/>
      <c r="J63" s="89"/>
      <c r="K63" s="42" t="s">
        <v>215</v>
      </c>
      <c r="L63" s="42"/>
      <c r="M63" s="43"/>
    </row>
    <row r="64" spans="1:13" customFormat="1" x14ac:dyDescent="0.3">
      <c r="A64" s="90" t="s">
        <v>64</v>
      </c>
      <c r="B64" s="91"/>
      <c r="C64" s="56" t="s">
        <v>216</v>
      </c>
      <c r="D64" s="91" t="s">
        <v>217</v>
      </c>
      <c r="E64" s="91"/>
      <c r="F64" s="91" t="s">
        <v>218</v>
      </c>
      <c r="G64" s="91"/>
      <c r="H64" s="91" t="s">
        <v>219</v>
      </c>
      <c r="I64" s="91"/>
      <c r="J64" s="92"/>
      <c r="K64" s="44" t="s">
        <v>220</v>
      </c>
      <c r="L64" s="12"/>
      <c r="M64" s="45">
        <f ca="1">I62*25%</f>
        <v>3</v>
      </c>
    </row>
    <row r="65" spans="1:13" customFormat="1" x14ac:dyDescent="0.3">
      <c r="A65" s="90" t="s">
        <v>221</v>
      </c>
      <c r="B65" s="91"/>
      <c r="C65" s="57">
        <f ca="1">M66</f>
        <v>12</v>
      </c>
      <c r="D65" s="93">
        <f ca="1">((100/I62)*C65)/100</f>
        <v>1</v>
      </c>
      <c r="E65" s="93"/>
      <c r="F65" s="93" t="str">
        <f>(IF(C63=K62,"100%",IF(C63=K63,"100%",(((C66/I62*10)+(40/(D62+F62+I62)*C67)+(7.5/(I62)*C68)+(7.5/(I62)*C69)+(10/I62*C70)+(10/I62*C71)+(5/I62*C72)+(5/I62*C73)+(5/I62*C74))/100))))</f>
        <v>100%</v>
      </c>
      <c r="G65" s="93"/>
      <c r="H65" s="93">
        <f ca="1">((((C65/I62)*20)+((C66/I62)*25)+(30/(I62+F62+D62)*C67)+(5/I62*C68)+(5/I62*C69)+(5/I62*C70)+(5/I62*C71)+(0/I62*C72)+(0/I62*C73)+(5/I62*C74))/100)</f>
        <v>1</v>
      </c>
      <c r="I65" s="93"/>
      <c r="J65" s="95"/>
      <c r="K65" s="44" t="s">
        <v>138</v>
      </c>
      <c r="L65" s="46"/>
      <c r="M65" s="47">
        <f ca="1">I62*50%</f>
        <v>6</v>
      </c>
    </row>
    <row r="66" spans="1:13" customFormat="1" x14ac:dyDescent="0.3">
      <c r="A66" s="90" t="s">
        <v>65</v>
      </c>
      <c r="B66" s="91"/>
      <c r="C66" s="58">
        <f ca="1">M74</f>
        <v>12</v>
      </c>
      <c r="D66" s="93">
        <f ca="1">((100/I62)*C66)/100</f>
        <v>1</v>
      </c>
      <c r="E66" s="93"/>
      <c r="F66" s="93"/>
      <c r="G66" s="93"/>
      <c r="H66" s="93"/>
      <c r="I66" s="93"/>
      <c r="J66" s="95"/>
      <c r="K66" s="44" t="s">
        <v>139</v>
      </c>
      <c r="L66" s="46"/>
      <c r="M66" s="47">
        <f ca="1">I62</f>
        <v>12</v>
      </c>
    </row>
    <row r="67" spans="1:13" customFormat="1" x14ac:dyDescent="0.3">
      <c r="A67" s="90" t="s">
        <v>222</v>
      </c>
      <c r="B67" s="91"/>
      <c r="C67" s="58">
        <v>13</v>
      </c>
      <c r="D67" s="93">
        <f ca="1">((100/(D62+F62+I62))*C67)/100</f>
        <v>1</v>
      </c>
      <c r="E67" s="93"/>
      <c r="F67" s="93"/>
      <c r="G67" s="93"/>
      <c r="H67" s="93"/>
      <c r="I67" s="93"/>
      <c r="J67" s="95"/>
      <c r="K67" s="44" t="s">
        <v>140</v>
      </c>
      <c r="L67" s="46"/>
      <c r="M67" s="48">
        <f ca="1">(IF(B62=0,I62/4,(I62/(B62+4))))</f>
        <v>3</v>
      </c>
    </row>
    <row r="68" spans="1:13" customFormat="1" x14ac:dyDescent="0.3">
      <c r="A68" s="90" t="s">
        <v>223</v>
      </c>
      <c r="B68" s="91" t="s">
        <v>224</v>
      </c>
      <c r="C68" s="57">
        <v>12</v>
      </c>
      <c r="D68" s="93">
        <f ca="1">((100/I62)*C68)/100</f>
        <v>1</v>
      </c>
      <c r="E68" s="93"/>
      <c r="F68" s="93"/>
      <c r="G68" s="93"/>
      <c r="H68" s="93"/>
      <c r="I68" s="93"/>
      <c r="J68" s="95"/>
      <c r="K68" s="44" t="s">
        <v>141</v>
      </c>
      <c r="L68" s="46"/>
      <c r="M68" s="48">
        <f ca="1">(IF(B62=0,I62/4+M67,(I62/(B62+4)+M67)))</f>
        <v>6</v>
      </c>
    </row>
    <row r="69" spans="1:13" customFormat="1" x14ac:dyDescent="0.3">
      <c r="A69" s="90" t="s">
        <v>225</v>
      </c>
      <c r="B69" s="91" t="s">
        <v>224</v>
      </c>
      <c r="C69" s="57">
        <v>12</v>
      </c>
      <c r="D69" s="93">
        <f ca="1">((100/I62)*C69)/100</f>
        <v>1</v>
      </c>
      <c r="E69" s="93"/>
      <c r="F69" s="93"/>
      <c r="G69" s="93"/>
      <c r="H69" s="93"/>
      <c r="I69" s="93"/>
      <c r="J69" s="95"/>
      <c r="K69" s="44" t="s">
        <v>226</v>
      </c>
      <c r="L69" s="49"/>
      <c r="M69" s="48">
        <f>(IF(B62=0,0,(I62/(B62+4)+M68)))</f>
        <v>0</v>
      </c>
    </row>
    <row r="70" spans="1:13" customFormat="1" x14ac:dyDescent="0.3">
      <c r="A70" s="90" t="s">
        <v>227</v>
      </c>
      <c r="B70" s="91" t="s">
        <v>228</v>
      </c>
      <c r="C70" s="57">
        <v>12</v>
      </c>
      <c r="D70" s="93">
        <f ca="1">((100/(I62))*C70)/100</f>
        <v>1</v>
      </c>
      <c r="E70" s="93"/>
      <c r="F70" s="93"/>
      <c r="G70" s="93"/>
      <c r="H70" s="93"/>
      <c r="I70" s="93"/>
      <c r="J70" s="95"/>
      <c r="K70" s="44" t="s">
        <v>229</v>
      </c>
      <c r="L70" s="49"/>
      <c r="M70" s="48">
        <f>(IF(B62&gt;1,(I62/(B62+4)+M69),0))</f>
        <v>0</v>
      </c>
    </row>
    <row r="71" spans="1:13" customFormat="1" x14ac:dyDescent="0.3">
      <c r="A71" s="90" t="s">
        <v>230</v>
      </c>
      <c r="B71" s="91" t="s">
        <v>230</v>
      </c>
      <c r="C71" s="57">
        <v>12</v>
      </c>
      <c r="D71" s="93">
        <f ca="1">((100/I62)*C71)/100</f>
        <v>1</v>
      </c>
      <c r="E71" s="93"/>
      <c r="F71" s="93"/>
      <c r="G71" s="93"/>
      <c r="H71" s="93"/>
      <c r="I71" s="93"/>
      <c r="J71" s="95"/>
      <c r="K71" s="44" t="s">
        <v>231</v>
      </c>
      <c r="L71" s="50"/>
      <c r="M71" s="51">
        <f>(IF(B62&gt;2,(I62/(B62+4)+M70),0))</f>
        <v>0</v>
      </c>
    </row>
    <row r="72" spans="1:13" customFormat="1" x14ac:dyDescent="0.3">
      <c r="A72" s="90" t="s">
        <v>232</v>
      </c>
      <c r="B72" s="91"/>
      <c r="C72" s="57">
        <v>12</v>
      </c>
      <c r="D72" s="93">
        <f ca="1">((100/I62)*C72)/100</f>
        <v>1</v>
      </c>
      <c r="E72" s="93"/>
      <c r="F72" s="93"/>
      <c r="G72" s="93"/>
      <c r="H72" s="93"/>
      <c r="I72" s="93"/>
      <c r="J72" s="95"/>
      <c r="K72" s="44" t="s">
        <v>233</v>
      </c>
      <c r="M72" s="52">
        <f>(IF(B62&gt;3,(I62/(B62+4)+M71),0))</f>
        <v>0</v>
      </c>
    </row>
    <row r="73" spans="1:13" customFormat="1" x14ac:dyDescent="0.3">
      <c r="A73" s="90" t="s">
        <v>234</v>
      </c>
      <c r="B73" s="91" t="s">
        <v>234</v>
      </c>
      <c r="C73" s="57">
        <v>12</v>
      </c>
      <c r="D73" s="93">
        <f ca="1">((100/(I62))*C73)/100</f>
        <v>1</v>
      </c>
      <c r="E73" s="93"/>
      <c r="F73" s="93"/>
      <c r="G73" s="93"/>
      <c r="H73" s="93"/>
      <c r="I73" s="93"/>
      <c r="J73" s="95"/>
      <c r="K73" s="44" t="s">
        <v>142</v>
      </c>
      <c r="L73" s="46"/>
      <c r="M73" s="48">
        <f ca="1">(IF(B62=0,I62/4+M68,(I62/(B62+4)+M68+MAX(0,M69-M68)+MAX(0,M70-M69)+MAX(0,M71-M70)+MAX(0,M72-M71))))</f>
        <v>9</v>
      </c>
    </row>
    <row r="74" spans="1:13" customFormat="1" ht="16.2" thickBot="1" x14ac:dyDescent="0.35">
      <c r="A74" s="149" t="s">
        <v>235</v>
      </c>
      <c r="B74" s="150"/>
      <c r="C74" s="59">
        <v>12</v>
      </c>
      <c r="D74" s="94">
        <f ca="1">((100/(I62))*C74)/100</f>
        <v>1</v>
      </c>
      <c r="E74" s="94"/>
      <c r="F74" s="94"/>
      <c r="G74" s="94"/>
      <c r="H74" s="94"/>
      <c r="I74" s="94"/>
      <c r="J74" s="96"/>
      <c r="K74" s="53" t="s">
        <v>143</v>
      </c>
      <c r="L74" s="54"/>
      <c r="M74" s="55">
        <f ca="1">(IF(B62=0,I62/4+M73,(I62/(B62+4)+M73)))</f>
        <v>12</v>
      </c>
    </row>
    <row r="75" spans="1:13" x14ac:dyDescent="0.3">
      <c r="A75" s="139" t="s">
        <v>70</v>
      </c>
      <c r="B75" s="140"/>
      <c r="C75" s="140"/>
      <c r="D75" s="140"/>
      <c r="E75" s="140"/>
      <c r="F75" s="140"/>
      <c r="G75" s="140"/>
      <c r="H75" s="140"/>
      <c r="I75" s="140"/>
      <c r="J75" s="141"/>
    </row>
    <row r="76" spans="1:13" x14ac:dyDescent="0.3">
      <c r="A76" s="60" t="s">
        <v>144</v>
      </c>
      <c r="B76" s="61"/>
      <c r="C76" s="61"/>
      <c r="D76" s="61"/>
      <c r="E76" s="61"/>
      <c r="F76" s="62"/>
      <c r="G76" s="142">
        <v>5300</v>
      </c>
      <c r="H76" s="135"/>
      <c r="I76" s="135"/>
      <c r="J76" s="136"/>
    </row>
    <row r="77" spans="1:13" x14ac:dyDescent="0.3">
      <c r="A77" s="143" t="s">
        <v>205</v>
      </c>
      <c r="B77" s="144"/>
      <c r="C77" s="144"/>
      <c r="D77" s="144"/>
      <c r="E77" s="144"/>
      <c r="F77" s="145"/>
      <c r="G77" s="146" t="s">
        <v>206</v>
      </c>
      <c r="H77" s="147"/>
      <c r="I77" s="147"/>
      <c r="J77" s="148"/>
    </row>
    <row r="78" spans="1:13" x14ac:dyDescent="0.3">
      <c r="A78" s="60" t="s">
        <v>71</v>
      </c>
      <c r="B78" s="61"/>
      <c r="C78" s="61"/>
      <c r="D78" s="61"/>
      <c r="E78" s="61"/>
      <c r="F78" s="62"/>
      <c r="G78" s="134" t="s">
        <v>241</v>
      </c>
      <c r="H78" s="137"/>
      <c r="I78" s="137"/>
      <c r="J78" s="138"/>
    </row>
    <row r="79" spans="1:13" x14ac:dyDescent="0.3">
      <c r="A79" s="60" t="s">
        <v>207</v>
      </c>
      <c r="B79" s="61"/>
      <c r="C79" s="61"/>
      <c r="D79" s="61"/>
      <c r="E79" s="61"/>
      <c r="F79" s="62"/>
      <c r="G79" s="134" t="s">
        <v>240</v>
      </c>
      <c r="H79" s="135"/>
      <c r="I79" s="135"/>
      <c r="J79" s="136"/>
    </row>
    <row r="80" spans="1:13" s="14" customFormat="1" ht="14.4" customHeight="1" x14ac:dyDescent="0.3">
      <c r="A80" s="139" t="s">
        <v>72</v>
      </c>
      <c r="B80" s="140"/>
      <c r="C80" s="140"/>
      <c r="D80" s="140"/>
      <c r="E80" s="140"/>
      <c r="F80" s="141"/>
      <c r="G80" s="142">
        <f>G76*0.8</f>
        <v>4240</v>
      </c>
      <c r="H80" s="135"/>
      <c r="I80" s="135"/>
      <c r="J80" s="136"/>
    </row>
    <row r="81" spans="1:10" s="1" customFormat="1" ht="15.75" customHeight="1" x14ac:dyDescent="0.3">
      <c r="A81" s="129" t="s">
        <v>145</v>
      </c>
      <c r="B81" s="130"/>
      <c r="C81" s="130"/>
      <c r="D81" s="130"/>
      <c r="E81" s="130"/>
      <c r="F81" s="130"/>
      <c r="G81" s="130"/>
      <c r="H81" s="130"/>
      <c r="I81" s="130"/>
      <c r="J81" s="131"/>
    </row>
    <row r="82" spans="1:10" s="1" customFormat="1" ht="15.75" customHeight="1" x14ac:dyDescent="0.3">
      <c r="A82" s="115" t="s">
        <v>73</v>
      </c>
      <c r="B82" s="116"/>
      <c r="C82" s="10" t="s">
        <v>170</v>
      </c>
      <c r="D82" s="117" t="s">
        <v>74</v>
      </c>
      <c r="E82" s="118"/>
      <c r="F82" s="119"/>
      <c r="G82" s="115" t="s">
        <v>75</v>
      </c>
      <c r="H82" s="120"/>
      <c r="I82" s="120"/>
      <c r="J82" s="116"/>
    </row>
    <row r="83" spans="1:10" s="1" customFormat="1" x14ac:dyDescent="0.3">
      <c r="A83" s="121" t="s">
        <v>182</v>
      </c>
      <c r="B83" s="122"/>
      <c r="C83" s="36">
        <f>COUNT(D91:E96)</f>
        <v>6</v>
      </c>
      <c r="D83" s="123">
        <f>SUM(D91:E96)</f>
        <v>1366.0861499999999</v>
      </c>
      <c r="E83" s="124"/>
      <c r="F83" s="125"/>
      <c r="G83" s="126">
        <f>SUM(G91:G96)</f>
        <v>2724</v>
      </c>
      <c r="H83" s="127"/>
      <c r="I83" s="127"/>
      <c r="J83" s="128"/>
    </row>
    <row r="84" spans="1:10" s="1" customFormat="1" x14ac:dyDescent="0.3">
      <c r="A84" s="129" t="s">
        <v>130</v>
      </c>
      <c r="B84" s="130"/>
      <c r="C84" s="130"/>
      <c r="D84" s="130"/>
      <c r="E84" s="130"/>
      <c r="F84" s="130"/>
      <c r="G84" s="130"/>
      <c r="H84" s="130"/>
      <c r="I84" s="130"/>
      <c r="J84" s="131"/>
    </row>
    <row r="85" spans="1:10" s="1" customFormat="1" x14ac:dyDescent="0.3">
      <c r="A85" s="115" t="s">
        <v>73</v>
      </c>
      <c r="B85" s="116"/>
      <c r="C85" s="10" t="s">
        <v>204</v>
      </c>
      <c r="D85" s="117" t="s">
        <v>74</v>
      </c>
      <c r="E85" s="118"/>
      <c r="F85" s="119"/>
      <c r="G85" s="115" t="s">
        <v>75</v>
      </c>
      <c r="H85" s="120"/>
      <c r="I85" s="120"/>
      <c r="J85" s="116"/>
    </row>
    <row r="86" spans="1:10" s="1" customFormat="1" x14ac:dyDescent="0.3">
      <c r="A86" s="132">
        <v>1</v>
      </c>
      <c r="B86" s="133"/>
      <c r="C86" s="11">
        <f>COUNT(D98:E105)+COUNT(D107:E114)*4+COUNT(D116:E123)*3+COUNT(D125:E131)+COUNT(D133:E137)+COUNT(D139:E142)</f>
        <v>80</v>
      </c>
      <c r="D86" s="123">
        <f>SUM(D98:E105)+SUM(D107:E114)*4+SUM(D116:E123)*3+SUM(D125:E131)*3+SUM(D133:E137)+SUM(D139:E142)</f>
        <v>35475.37227</v>
      </c>
      <c r="E86" s="124"/>
      <c r="F86" s="125"/>
      <c r="G86" s="126">
        <f>SUM(G98:G105)+SUM(G107:G114)*4+SUM(G116:G123)*3+SUM(G125:G131)*3+SUM(G133:G137)+SUM(G139:G142)</f>
        <v>58687.836012</v>
      </c>
      <c r="H86" s="127"/>
      <c r="I86" s="127"/>
      <c r="J86" s="128"/>
    </row>
    <row r="87" spans="1:10" s="14" customFormat="1" x14ac:dyDescent="0.3">
      <c r="A87" s="110" t="s">
        <v>78</v>
      </c>
      <c r="B87" s="111"/>
      <c r="C87" s="111"/>
      <c r="D87" s="111"/>
      <c r="E87" s="111"/>
      <c r="F87" s="111"/>
      <c r="G87" s="111"/>
      <c r="H87" s="111"/>
      <c r="I87" s="111"/>
      <c r="J87" s="112"/>
    </row>
    <row r="88" spans="1:10" x14ac:dyDescent="0.3">
      <c r="A88" s="110" t="s">
        <v>79</v>
      </c>
      <c r="B88" s="111"/>
      <c r="C88" s="111"/>
      <c r="D88" s="111"/>
      <c r="E88" s="111"/>
      <c r="F88" s="111"/>
      <c r="G88" s="111"/>
      <c r="H88" s="111"/>
      <c r="I88" s="111"/>
      <c r="J88" s="112"/>
    </row>
    <row r="89" spans="1:10" ht="41.4" x14ac:dyDescent="0.3">
      <c r="A89" s="113" t="s">
        <v>146</v>
      </c>
      <c r="B89" s="114"/>
      <c r="C89" s="2" t="s">
        <v>80</v>
      </c>
      <c r="D89" s="113" t="s">
        <v>81</v>
      </c>
      <c r="E89" s="114"/>
      <c r="F89" s="15" t="s">
        <v>82</v>
      </c>
      <c r="G89" s="2" t="s">
        <v>83</v>
      </c>
      <c r="H89" s="2" t="s">
        <v>84</v>
      </c>
      <c r="I89" s="113" t="s">
        <v>85</v>
      </c>
      <c r="J89" s="114"/>
    </row>
    <row r="90" spans="1:10" s="3" customFormat="1" ht="15.75" customHeight="1" x14ac:dyDescent="0.3">
      <c r="A90" s="97" t="s">
        <v>197</v>
      </c>
      <c r="B90" s="98"/>
      <c r="C90" s="98"/>
      <c r="D90" s="98"/>
      <c r="E90" s="98"/>
      <c r="F90" s="98"/>
      <c r="G90" s="98"/>
      <c r="H90" s="98"/>
      <c r="I90" s="98"/>
      <c r="J90" s="99"/>
    </row>
    <row r="91" spans="1:10" s="3" customFormat="1" x14ac:dyDescent="0.3">
      <c r="A91" s="71">
        <v>1</v>
      </c>
      <c r="B91" s="72"/>
      <c r="C91" s="4" t="s">
        <v>182</v>
      </c>
      <c r="D91" s="71">
        <f>(3.35*4.55+2.6*1.95)*10.764</f>
        <v>218.64374999999998</v>
      </c>
      <c r="E91" s="72"/>
      <c r="F91" s="4">
        <v>0</v>
      </c>
      <c r="G91" s="4">
        <v>436</v>
      </c>
      <c r="H91" s="4" t="s">
        <v>86</v>
      </c>
      <c r="I91" s="73" t="s">
        <v>196</v>
      </c>
      <c r="J91" s="74"/>
    </row>
    <row r="92" spans="1:10" s="3" customFormat="1" x14ac:dyDescent="0.3">
      <c r="A92" s="71">
        <v>2</v>
      </c>
      <c r="B92" s="72"/>
      <c r="C92" s="4" t="s">
        <v>182</v>
      </c>
      <c r="D92" s="71">
        <f>(2.75*6.5)*10.764</f>
        <v>192.40649999999999</v>
      </c>
      <c r="E92" s="72"/>
      <c r="F92" s="4">
        <v>0</v>
      </c>
      <c r="G92" s="4">
        <v>384</v>
      </c>
      <c r="H92" s="4" t="s">
        <v>86</v>
      </c>
      <c r="I92" s="75"/>
      <c r="J92" s="76"/>
    </row>
    <row r="93" spans="1:10" s="3" customFormat="1" x14ac:dyDescent="0.3">
      <c r="A93" s="71">
        <v>3</v>
      </c>
      <c r="B93" s="72"/>
      <c r="C93" s="4" t="s">
        <v>182</v>
      </c>
      <c r="D93" s="71">
        <f>(2.75*6.5)*10.764</f>
        <v>192.40649999999999</v>
      </c>
      <c r="E93" s="72"/>
      <c r="F93" s="4">
        <v>0</v>
      </c>
      <c r="G93" s="4">
        <v>384</v>
      </c>
      <c r="H93" s="4" t="s">
        <v>86</v>
      </c>
      <c r="I93" s="75"/>
      <c r="J93" s="76"/>
    </row>
    <row r="94" spans="1:10" s="3" customFormat="1" x14ac:dyDescent="0.3">
      <c r="A94" s="71">
        <v>4</v>
      </c>
      <c r="B94" s="72"/>
      <c r="C94" s="4" t="s">
        <v>182</v>
      </c>
      <c r="D94" s="71">
        <f>(4.3*6.5)*10.764</f>
        <v>300.85379999999998</v>
      </c>
      <c r="E94" s="72"/>
      <c r="F94" s="4">
        <v>0</v>
      </c>
      <c r="G94" s="4">
        <v>600</v>
      </c>
      <c r="H94" s="4" t="s">
        <v>86</v>
      </c>
      <c r="I94" s="75"/>
      <c r="J94" s="76"/>
    </row>
    <row r="95" spans="1:10" s="3" customFormat="1" x14ac:dyDescent="0.3">
      <c r="A95" s="71">
        <v>5</v>
      </c>
      <c r="B95" s="72"/>
      <c r="C95" s="4" t="s">
        <v>182</v>
      </c>
      <c r="D95" s="71">
        <f>(3.2*6.5)*10.764</f>
        <v>223.8912</v>
      </c>
      <c r="E95" s="72"/>
      <c r="F95" s="4">
        <v>0</v>
      </c>
      <c r="G95" s="4">
        <v>446</v>
      </c>
      <c r="H95" s="4" t="s">
        <v>86</v>
      </c>
      <c r="I95" s="75"/>
      <c r="J95" s="76"/>
    </row>
    <row r="96" spans="1:10" s="3" customFormat="1" x14ac:dyDescent="0.3">
      <c r="A96" s="71">
        <v>6</v>
      </c>
      <c r="B96" s="72"/>
      <c r="C96" s="4" t="s">
        <v>182</v>
      </c>
      <c r="D96" s="71">
        <f>(3.4*6.5)*10.764</f>
        <v>237.88439999999997</v>
      </c>
      <c r="E96" s="72"/>
      <c r="F96" s="4">
        <v>0</v>
      </c>
      <c r="G96" s="4">
        <v>474</v>
      </c>
      <c r="H96" s="4" t="s">
        <v>86</v>
      </c>
      <c r="I96" s="77"/>
      <c r="J96" s="78"/>
    </row>
    <row r="97" spans="1:10" s="3" customFormat="1" x14ac:dyDescent="0.3">
      <c r="A97" s="97" t="s">
        <v>179</v>
      </c>
      <c r="B97" s="98"/>
      <c r="C97" s="98"/>
      <c r="D97" s="98"/>
      <c r="E97" s="98"/>
      <c r="F97" s="98"/>
      <c r="G97" s="98"/>
      <c r="H97" s="98"/>
      <c r="I97" s="98"/>
      <c r="J97" s="99"/>
    </row>
    <row r="98" spans="1:10" s="3" customFormat="1" x14ac:dyDescent="0.3">
      <c r="A98" s="71">
        <v>1</v>
      </c>
      <c r="B98" s="72"/>
      <c r="C98" s="4" t="s">
        <v>180</v>
      </c>
      <c r="D98" s="71">
        <f>(2.85*4.2+1.95*1.8+1.85*1.1+1.85*2.75+1.85*0.85+1.8*1+1*2.75+0.9*1+1.8*1.7)*10.764</f>
        <v>351.82134000000002</v>
      </c>
      <c r="E98" s="72"/>
      <c r="F98" s="4">
        <v>0</v>
      </c>
      <c r="G98" s="4">
        <f t="shared" ref="G98:G135" si="0">D98*1.5+F98</f>
        <v>527.73201000000006</v>
      </c>
      <c r="H98" s="4" t="s">
        <v>86</v>
      </c>
      <c r="I98" s="73" t="s">
        <v>208</v>
      </c>
      <c r="J98" s="74"/>
    </row>
    <row r="99" spans="1:10" s="3" customFormat="1" x14ac:dyDescent="0.3">
      <c r="A99" s="71">
        <v>2</v>
      </c>
      <c r="B99" s="72"/>
      <c r="C99" s="4" t="s">
        <v>198</v>
      </c>
      <c r="D99" s="71">
        <f>(1.2*2.9+3.2*3.75+1.4*2.75+1.8*1.1+1.8*1.15+2.8*1.1+1.8*0.85+0.9*1.4+0.9*1.6+1.8*2.05+2*1.4)*10.764</f>
        <v>400.20551999999998</v>
      </c>
      <c r="E99" s="72"/>
      <c r="F99" s="4">
        <v>0</v>
      </c>
      <c r="G99" s="4">
        <f t="shared" si="0"/>
        <v>600.30827999999997</v>
      </c>
      <c r="H99" s="4" t="s">
        <v>86</v>
      </c>
      <c r="I99" s="75"/>
      <c r="J99" s="76"/>
    </row>
    <row r="100" spans="1:10" s="3" customFormat="1" x14ac:dyDescent="0.3">
      <c r="A100" s="71">
        <v>3</v>
      </c>
      <c r="B100" s="72"/>
      <c r="C100" s="4" t="s">
        <v>180</v>
      </c>
      <c r="D100" s="71">
        <f>(2.75*4.3+2.1*0.8+1.1*1.9+3.1*1.9+0.9*1.1+1.8*1.1+3.1*1+2.1*1)*10.764</f>
        <v>319.20641999999998</v>
      </c>
      <c r="E100" s="72"/>
      <c r="F100" s="4">
        <v>0</v>
      </c>
      <c r="G100" s="4">
        <f t="shared" si="0"/>
        <v>478.80962999999997</v>
      </c>
      <c r="H100" s="4" t="s">
        <v>86</v>
      </c>
      <c r="I100" s="75"/>
      <c r="J100" s="76"/>
    </row>
    <row r="101" spans="1:10" s="3" customFormat="1" x14ac:dyDescent="0.3">
      <c r="A101" s="71">
        <v>4</v>
      </c>
      <c r="B101" s="72"/>
      <c r="C101" s="4" t="s">
        <v>198</v>
      </c>
      <c r="D101" s="71">
        <f>(2.9*1.2+3.95*2.75+1.1*1.8+2.75*1.2+1.3*2.75+1.1*1.75+1.1*1.75+0.9*1.1+1.1*2+2*2.75+1*1.8)*10.764</f>
        <v>404.05364999999989</v>
      </c>
      <c r="E101" s="72"/>
      <c r="F101" s="4">
        <v>0</v>
      </c>
      <c r="G101" s="4">
        <f t="shared" si="0"/>
        <v>606.08047499999986</v>
      </c>
      <c r="H101" s="4" t="s">
        <v>86</v>
      </c>
      <c r="I101" s="75"/>
      <c r="J101" s="76"/>
    </row>
    <row r="102" spans="1:10" s="3" customFormat="1" x14ac:dyDescent="0.3">
      <c r="A102" s="71">
        <v>5</v>
      </c>
      <c r="B102" s="72"/>
      <c r="C102" s="4" t="s">
        <v>180</v>
      </c>
      <c r="D102" s="71">
        <f>(2.75*4.25+1.85*1.9+2.75*2.8+1.8*1.05+1.75*1.05+1*1.7+1.05*1+1*1.9)*10.764</f>
        <v>336.69791999999995</v>
      </c>
      <c r="E102" s="72"/>
      <c r="F102" s="4">
        <v>0</v>
      </c>
      <c r="G102" s="4">
        <f t="shared" si="0"/>
        <v>505.04687999999993</v>
      </c>
      <c r="H102" s="4" t="s">
        <v>86</v>
      </c>
      <c r="I102" s="75"/>
      <c r="J102" s="76"/>
    </row>
    <row r="103" spans="1:10" s="3" customFormat="1" x14ac:dyDescent="0.3">
      <c r="A103" s="71">
        <v>6</v>
      </c>
      <c r="B103" s="72"/>
      <c r="C103" s="4" t="s">
        <v>180</v>
      </c>
      <c r="D103" s="71">
        <f>(3.3*2.75+2*1.8+2.75*1.2+1.2*1+0.9*1.2+1*2+1*2.75+1.2*2)*10.764</f>
        <v>273.45941999999991</v>
      </c>
      <c r="E103" s="72"/>
      <c r="F103" s="4">
        <v>0</v>
      </c>
      <c r="G103" s="4">
        <f t="shared" si="0"/>
        <v>410.18912999999986</v>
      </c>
      <c r="H103" s="4" t="s">
        <v>86</v>
      </c>
      <c r="I103" s="75"/>
      <c r="J103" s="76"/>
    </row>
    <row r="104" spans="1:10" s="3" customFormat="1" x14ac:dyDescent="0.3">
      <c r="A104" s="71">
        <v>7</v>
      </c>
      <c r="B104" s="72"/>
      <c r="C104" s="4" t="s">
        <v>180</v>
      </c>
      <c r="D104" s="71">
        <f>(2.75*3.3+2*1.75+2.75*0.9+1.8*1.1+1.95*1.1+1.8*1+1*2.3+1*2.75)*10.764</f>
        <v>280.13309999999996</v>
      </c>
      <c r="E104" s="72"/>
      <c r="F104" s="4">
        <v>0</v>
      </c>
      <c r="G104" s="4">
        <f t="shared" si="0"/>
        <v>420.19964999999991</v>
      </c>
      <c r="H104" s="4" t="s">
        <v>86</v>
      </c>
      <c r="I104" s="75"/>
      <c r="J104" s="76"/>
    </row>
    <row r="105" spans="1:10" s="3" customFormat="1" x14ac:dyDescent="0.3">
      <c r="A105" s="71">
        <v>8</v>
      </c>
      <c r="B105" s="72"/>
      <c r="C105" s="4" t="s">
        <v>180</v>
      </c>
      <c r="D105" s="71">
        <f>(1.2*3+2.75*4.15+1.1*2+2.75*1+1.1*1.2+1.2*1+0.9*0.9+1*2)*10.764</f>
        <v>272.24847</v>
      </c>
      <c r="E105" s="72"/>
      <c r="F105" s="4">
        <v>0</v>
      </c>
      <c r="G105" s="4">
        <f t="shared" si="0"/>
        <v>408.372705</v>
      </c>
      <c r="H105" s="4" t="s">
        <v>86</v>
      </c>
      <c r="I105" s="77"/>
      <c r="J105" s="78"/>
    </row>
    <row r="106" spans="1:10" s="3" customFormat="1" x14ac:dyDescent="0.3">
      <c r="A106" s="97" t="s">
        <v>181</v>
      </c>
      <c r="B106" s="98"/>
      <c r="C106" s="98"/>
      <c r="D106" s="98"/>
      <c r="E106" s="98"/>
      <c r="F106" s="98"/>
      <c r="G106" s="98"/>
      <c r="H106" s="98"/>
      <c r="I106" s="98"/>
      <c r="J106" s="99"/>
    </row>
    <row r="107" spans="1:10" s="3" customFormat="1" x14ac:dyDescent="0.3">
      <c r="A107" s="71">
        <v>1</v>
      </c>
      <c r="B107" s="72"/>
      <c r="C107" s="4" t="s">
        <v>180</v>
      </c>
      <c r="D107" s="71">
        <f>(2.85*4.2+1.95*1.8+1.85*1.1+2.85*2.75+1.85*0.85+1.8*1+0.9*1.8+1.7*1.8+2.75*0.75)*10.764</f>
        <v>381.77217000000002</v>
      </c>
      <c r="E107" s="72"/>
      <c r="F107" s="4">
        <f>(3.4*2.25)*10.764</f>
        <v>82.344599999999986</v>
      </c>
      <c r="G107" s="4">
        <f>D107*1.5+F107</f>
        <v>655.00285500000007</v>
      </c>
      <c r="H107" s="4" t="s">
        <v>86</v>
      </c>
      <c r="I107" s="73" t="str">
        <f>A106</f>
        <v xml:space="preserve">1st, 3rd, 5th &amp; 7th  Floor </v>
      </c>
      <c r="J107" s="74"/>
    </row>
    <row r="108" spans="1:10" s="3" customFormat="1" x14ac:dyDescent="0.3">
      <c r="A108" s="71">
        <v>2</v>
      </c>
      <c r="B108" s="72"/>
      <c r="C108" s="4" t="s">
        <v>198</v>
      </c>
      <c r="D108" s="71">
        <f>(1.2*2.75+3.2*3.75+3.4*2.75+1.8*1.1+1.8*1.15+2.8*1.1+1.8*2.15+0.9*1.4+0.9*1.6+1.8*1+2*2.8+2.75*0.75+3.1*0.75)*10.764</f>
        <v>539.68004999999994</v>
      </c>
      <c r="E108" s="72"/>
      <c r="F108" s="4">
        <f>(1.85*3)*10.764</f>
        <v>59.740200000000002</v>
      </c>
      <c r="G108" s="4">
        <f t="shared" si="0"/>
        <v>869.26027499999987</v>
      </c>
      <c r="H108" s="4" t="s">
        <v>86</v>
      </c>
      <c r="I108" s="75"/>
      <c r="J108" s="76"/>
    </row>
    <row r="109" spans="1:10" s="3" customFormat="1" x14ac:dyDescent="0.3">
      <c r="A109" s="71">
        <v>3</v>
      </c>
      <c r="B109" s="72"/>
      <c r="C109" s="4" t="s">
        <v>180</v>
      </c>
      <c r="D109" s="71">
        <f>(2.75*4.3+2.1*1.6+1.1*1.9+3.1*2.9+0.9*1.1+0.75*2.2+1*2.1+1.8*1.1+0.45*1.6)*10.764</f>
        <v>362.80061999999998</v>
      </c>
      <c r="E109" s="72"/>
      <c r="F109" s="4">
        <f>(2*3.75)*10.764</f>
        <v>80.72999999999999</v>
      </c>
      <c r="G109" s="4">
        <f t="shared" si="0"/>
        <v>624.93092999999999</v>
      </c>
      <c r="H109" s="4" t="s">
        <v>86</v>
      </c>
      <c r="I109" s="75"/>
      <c r="J109" s="76"/>
    </row>
    <row r="110" spans="1:10" s="3" customFormat="1" x14ac:dyDescent="0.3">
      <c r="A110" s="71">
        <v>4</v>
      </c>
      <c r="B110" s="72"/>
      <c r="C110" s="4" t="s">
        <v>198</v>
      </c>
      <c r="D110" s="71">
        <f>(2.9*1.2+3.95*2.75+2.75*3.2+2.1*1.8+1.3*2.75+1.1*1.75+1.1*1.75+1.1*2+0.9*1.1+1*1.8+2*2.75+0.75*2.75+0.75*3.3)*10.764</f>
        <v>531.47249999999997</v>
      </c>
      <c r="E110" s="72"/>
      <c r="F110" s="4">
        <f>(2.95*1.8)*10.764</f>
        <v>57.156840000000003</v>
      </c>
      <c r="G110" s="4">
        <f t="shared" si="0"/>
        <v>854.36559</v>
      </c>
      <c r="H110" s="4" t="s">
        <v>86</v>
      </c>
      <c r="I110" s="75"/>
      <c r="J110" s="76"/>
    </row>
    <row r="111" spans="1:10" s="3" customFormat="1" x14ac:dyDescent="0.3">
      <c r="A111" s="71">
        <v>5</v>
      </c>
      <c r="B111" s="72"/>
      <c r="C111" s="4" t="s">
        <v>180</v>
      </c>
      <c r="D111" s="71">
        <f>(2.75*4.25+2.85*1.9+2.75*2.8+1.8*1.05+1.75*1.1+0.75*1.7+1.1*1+1*1.9)*10.764</f>
        <v>354.05486999999994</v>
      </c>
      <c r="E111" s="72"/>
      <c r="F111" s="4">
        <f>(3.7*2)*10.764</f>
        <v>79.653599999999997</v>
      </c>
      <c r="G111" s="4">
        <f t="shared" si="0"/>
        <v>610.73590499999989</v>
      </c>
      <c r="H111" s="4" t="s">
        <v>86</v>
      </c>
      <c r="I111" s="75"/>
      <c r="J111" s="76"/>
    </row>
    <row r="112" spans="1:10" s="3" customFormat="1" x14ac:dyDescent="0.3">
      <c r="A112" s="71">
        <v>6</v>
      </c>
      <c r="B112" s="72"/>
      <c r="C112" s="4" t="s">
        <v>180</v>
      </c>
      <c r="D112" s="71">
        <f>(4.3*2.75+2.2*1.8+1.2*1+2.75*1.2+0.9*1.2+0.9*2.2+1*1.9+2*2.75+0.75*1.8+0.75*3.2)*10.764</f>
        <v>371.30417999999997</v>
      </c>
      <c r="E112" s="72"/>
      <c r="F112" s="4">
        <f>(2.15*2.75)*10.764</f>
        <v>63.642149999999994</v>
      </c>
      <c r="G112" s="4">
        <f t="shared" si="0"/>
        <v>620.59841999999992</v>
      </c>
      <c r="H112" s="4" t="s">
        <v>86</v>
      </c>
      <c r="I112" s="75"/>
      <c r="J112" s="76"/>
    </row>
    <row r="113" spans="1:16" s="3" customFormat="1" x14ac:dyDescent="0.3">
      <c r="A113" s="71">
        <v>7</v>
      </c>
      <c r="B113" s="72"/>
      <c r="C113" s="4" t="s">
        <v>180</v>
      </c>
      <c r="D113" s="71">
        <f>(2.4*4.3+2*1.75+2.75*1.9+1.8*1.1+1.95*1.1+0.5*1.1+0.35*2.35+1.55*2+1.4*2.75)*10.764</f>
        <v>338.98526999999996</v>
      </c>
      <c r="E113" s="72"/>
      <c r="F113" s="4">
        <f>(2.25*4)*10.764</f>
        <v>96.875999999999991</v>
      </c>
      <c r="G113" s="4">
        <f t="shared" si="0"/>
        <v>605.35390499999994</v>
      </c>
      <c r="H113" s="4" t="s">
        <v>86</v>
      </c>
      <c r="I113" s="75"/>
      <c r="J113" s="76"/>
    </row>
    <row r="114" spans="1:16" s="3" customFormat="1" x14ac:dyDescent="0.3">
      <c r="A114" s="71">
        <v>8</v>
      </c>
      <c r="B114" s="72"/>
      <c r="C114" s="4" t="s">
        <v>180</v>
      </c>
      <c r="D114" s="71">
        <f>(1.2*3+2.75*4.15+2.1*2+1.1*1.2+1.2*1+2.75*1+0.9*0.9+1.3*2+2*2.75+0.75*3)*10.764</f>
        <v>383.65586999999994</v>
      </c>
      <c r="E114" s="72"/>
      <c r="F114" s="4">
        <f>(3.6*2)*10.764</f>
        <v>77.500799999999998</v>
      </c>
      <c r="G114" s="4">
        <f t="shared" si="0"/>
        <v>652.98460499999987</v>
      </c>
      <c r="H114" s="4" t="s">
        <v>86</v>
      </c>
      <c r="I114" s="77"/>
      <c r="J114" s="78"/>
    </row>
    <row r="115" spans="1:16" s="3" customFormat="1" x14ac:dyDescent="0.3">
      <c r="A115" s="97" t="s">
        <v>209</v>
      </c>
      <c r="B115" s="98"/>
      <c r="C115" s="98"/>
      <c r="D115" s="98"/>
      <c r="E115" s="98"/>
      <c r="F115" s="98"/>
      <c r="G115" s="98"/>
      <c r="H115" s="98"/>
      <c r="I115" s="98"/>
      <c r="J115" s="99"/>
    </row>
    <row r="116" spans="1:16" s="3" customFormat="1" ht="15.75" customHeight="1" x14ac:dyDescent="0.3">
      <c r="A116" s="71">
        <v>1</v>
      </c>
      <c r="B116" s="72"/>
      <c r="C116" s="4" t="s">
        <v>180</v>
      </c>
      <c r="D116" s="71">
        <f>(2.85*4.2+1.95*1.8+1.85*1.1+2.85*2.75+1.85*0.85+1.8*1+0.9*1+0.75*1.8+1.7*1.6)*10.764</f>
        <v>362.69297999999998</v>
      </c>
      <c r="E116" s="72"/>
      <c r="F116" s="4">
        <f>(4.75*2.4)*10.764</f>
        <v>122.70959999999999</v>
      </c>
      <c r="G116" s="4">
        <f>D116*1.5+F116/2</f>
        <v>605.39426999999989</v>
      </c>
      <c r="H116" s="4" t="s">
        <v>86</v>
      </c>
      <c r="I116" s="73" t="str">
        <f>A115</f>
        <v xml:space="preserve">2nd, 4th &amp; 6th  Floor </v>
      </c>
      <c r="J116" s="74"/>
    </row>
    <row r="117" spans="1:16" s="3" customFormat="1" x14ac:dyDescent="0.3">
      <c r="A117" s="71">
        <v>2</v>
      </c>
      <c r="B117" s="72"/>
      <c r="C117" s="4" t="s">
        <v>198</v>
      </c>
      <c r="D117" s="71">
        <f>(1.2*2.75+3.2*3.75+3.4*2.75+1.8*2.15+2.8*1.1+1.8*1.15+1.8*1.1+0.9*1.5+0.9*1.7+0.75*1.7+1*1.8+2*2.8+0.75*3)*10.764</f>
        <v>532.33362</v>
      </c>
      <c r="E117" s="72"/>
      <c r="F117" s="4">
        <f>(1.85*3)*10.764</f>
        <v>59.740200000000002</v>
      </c>
      <c r="G117" s="4">
        <f>D117*1.5+F117</f>
        <v>858.24063000000001</v>
      </c>
      <c r="H117" s="4" t="s">
        <v>86</v>
      </c>
      <c r="I117" s="75"/>
      <c r="J117" s="76"/>
      <c r="P117" s="3">
        <f>G117*5300</f>
        <v>4548675.3389999997</v>
      </c>
    </row>
    <row r="118" spans="1:16" s="3" customFormat="1" ht="15.75" customHeight="1" x14ac:dyDescent="0.3">
      <c r="A118" s="71">
        <v>3</v>
      </c>
      <c r="B118" s="72"/>
      <c r="C118" s="4" t="s">
        <v>180</v>
      </c>
      <c r="D118" s="71">
        <f>(2.75*4.3+2.1*1.6+1.1*1.9+3.1*2.9+0.9*1.1+0.75*2.2+1*2.1+1.8*1.1+0.45*1.6)*10.764</f>
        <v>362.80061999999998</v>
      </c>
      <c r="E118" s="72"/>
      <c r="F118" s="4">
        <f>(2.25*2.7)*10.764</f>
        <v>65.391300000000001</v>
      </c>
      <c r="G118" s="4">
        <f t="shared" si="0"/>
        <v>609.59222999999997</v>
      </c>
      <c r="H118" s="4" t="s">
        <v>86</v>
      </c>
      <c r="I118" s="75"/>
      <c r="J118" s="76"/>
      <c r="P118" s="3">
        <f>P117+550000</f>
        <v>5098675.3389999997</v>
      </c>
    </row>
    <row r="119" spans="1:16" s="3" customFormat="1" x14ac:dyDescent="0.3">
      <c r="A119" s="71">
        <v>4</v>
      </c>
      <c r="B119" s="72"/>
      <c r="C119" s="4" t="s">
        <v>198</v>
      </c>
      <c r="D119" s="71">
        <f>(2.9*1.2+3.95*2.75+2.75*3.2+2.1*1.8+1.3*2.75+1.1*1.75+1.1*1.75+1.1*2+0.75*1.8+1*1.8+2*2.7+0.75*3.3+0.9*1.1)*10.764</f>
        <v>522.72674999999992</v>
      </c>
      <c r="E119" s="72"/>
      <c r="F119" s="4">
        <f>(2.75*4.1)*10.764</f>
        <v>121.36409999999998</v>
      </c>
      <c r="G119" s="4">
        <f>D119*1.5+F119/2</f>
        <v>844.77217499999995</v>
      </c>
      <c r="H119" s="4" t="s">
        <v>86</v>
      </c>
      <c r="I119" s="75"/>
      <c r="J119" s="76"/>
    </row>
    <row r="120" spans="1:16" s="3" customFormat="1" x14ac:dyDescent="0.3">
      <c r="A120" s="71">
        <v>5</v>
      </c>
      <c r="B120" s="72"/>
      <c r="C120" s="4" t="s">
        <v>180</v>
      </c>
      <c r="D120" s="71">
        <f>(2.75*4.25+2.75*2.8+2.85*1.9+1.75*1.1+1.8*1.05+0.9*1.1+0.75*1.9+1*1.9+0.45*1.8)*10.764</f>
        <v>363.20426999999995</v>
      </c>
      <c r="E120" s="72"/>
      <c r="F120" s="4">
        <f>(3.8*1.75)*10.764</f>
        <v>71.58059999999999</v>
      </c>
      <c r="G120" s="4">
        <f t="shared" si="0"/>
        <v>616.38700499999993</v>
      </c>
      <c r="H120" s="4" t="s">
        <v>86</v>
      </c>
      <c r="I120" s="75"/>
      <c r="J120" s="76"/>
    </row>
    <row r="121" spans="1:16" s="3" customFormat="1" x14ac:dyDescent="0.3">
      <c r="A121" s="71">
        <v>6</v>
      </c>
      <c r="B121" s="72"/>
      <c r="C121" s="4" t="s">
        <v>180</v>
      </c>
      <c r="D121" s="71">
        <f>(4.3*2.75+2.2*1.8+1.2*1+2.75*1.2+0.9*1.2+0.9*1.8+1*2+2*2.75+0.75*3.2+0.75*2.75)*10.764</f>
        <v>376.17489</v>
      </c>
      <c r="E121" s="72"/>
      <c r="F121" s="4">
        <f>(2.75*1.75)*10.764</f>
        <v>51.801749999999998</v>
      </c>
      <c r="G121" s="4">
        <f t="shared" si="0"/>
        <v>616.06408499999998</v>
      </c>
      <c r="H121" s="4" t="s">
        <v>86</v>
      </c>
      <c r="I121" s="75"/>
      <c r="J121" s="76"/>
    </row>
    <row r="122" spans="1:16" s="3" customFormat="1" x14ac:dyDescent="0.3">
      <c r="A122" s="71">
        <v>7</v>
      </c>
      <c r="B122" s="72"/>
      <c r="C122" s="4" t="s">
        <v>180</v>
      </c>
      <c r="D122" s="71">
        <f t="shared" ref="D122:D123" si="1">(4.3*2.75+2.2*1.8+1.2*1+2.75*1.2+0.9*1.2+0.9*1.8+1*2+2*2.75+0.75*3.2+0.75*2.75)*10.764</f>
        <v>376.17489</v>
      </c>
      <c r="E122" s="72"/>
      <c r="F122" s="4">
        <v>0</v>
      </c>
      <c r="G122" s="4">
        <f t="shared" si="0"/>
        <v>564.26233500000001</v>
      </c>
      <c r="H122" s="4" t="s">
        <v>86</v>
      </c>
      <c r="I122" s="75"/>
      <c r="J122" s="76"/>
    </row>
    <row r="123" spans="1:16" s="3" customFormat="1" x14ac:dyDescent="0.3">
      <c r="A123" s="71">
        <v>8</v>
      </c>
      <c r="B123" s="72"/>
      <c r="C123" s="4" t="s">
        <v>180</v>
      </c>
      <c r="D123" s="71">
        <f t="shared" si="1"/>
        <v>376.17489</v>
      </c>
      <c r="E123" s="72"/>
      <c r="F123" s="4">
        <v>0</v>
      </c>
      <c r="G123" s="4">
        <f t="shared" si="0"/>
        <v>564.26233500000001</v>
      </c>
      <c r="H123" s="4" t="s">
        <v>86</v>
      </c>
      <c r="I123" s="77"/>
      <c r="J123" s="78"/>
    </row>
    <row r="124" spans="1:16" s="3" customFormat="1" x14ac:dyDescent="0.3">
      <c r="A124" s="97" t="s">
        <v>200</v>
      </c>
      <c r="B124" s="98"/>
      <c r="C124" s="98"/>
      <c r="D124" s="98"/>
      <c r="E124" s="98"/>
      <c r="F124" s="98"/>
      <c r="G124" s="98"/>
      <c r="H124" s="98"/>
      <c r="I124" s="98"/>
      <c r="J124" s="99"/>
    </row>
    <row r="125" spans="1:16" s="3" customFormat="1" x14ac:dyDescent="0.3">
      <c r="A125" s="71">
        <v>1</v>
      </c>
      <c r="B125" s="72"/>
      <c r="C125" s="4" t="s">
        <v>180</v>
      </c>
      <c r="D125" s="71">
        <f>(2.85*4.2+1.3*1.8+1.2*1.1+2.85*2.75+1.85*0.85+1.2*1.1+0.9*1+0.75*1.8+3*1.8)*10.764</f>
        <v>366.08364000000006</v>
      </c>
      <c r="E125" s="72"/>
      <c r="F125" s="4">
        <f>(4.75*2.4)*10.764</f>
        <v>122.70959999999999</v>
      </c>
      <c r="G125" s="4">
        <f>D125*1.5+F125/2</f>
        <v>610.48026000000004</v>
      </c>
      <c r="H125" s="4" t="s">
        <v>86</v>
      </c>
      <c r="I125" s="73" t="s">
        <v>201</v>
      </c>
      <c r="J125" s="74"/>
    </row>
    <row r="126" spans="1:16" s="3" customFormat="1" x14ac:dyDescent="0.3">
      <c r="A126" s="71">
        <v>2</v>
      </c>
      <c r="B126" s="72"/>
      <c r="C126" s="4" t="s">
        <v>199</v>
      </c>
      <c r="D126" s="71">
        <f>(2.75*2+3.2*3.4+2.2*2.3+1.2*1+1*0.9+1.45*0.9+0.9*1.1+0.9*0.9)*10.764</f>
        <v>286.80677999999995</v>
      </c>
      <c r="E126" s="72"/>
      <c r="F126" s="4">
        <f>(3.45*2.7+3.2*2.4+2*3.2+1.8*4.8+1.9*3.4+2.1*1.2)*10.764</f>
        <v>441.48546000000005</v>
      </c>
      <c r="G126" s="4">
        <f>D126*1.5+F126/3</f>
        <v>577.37198999999998</v>
      </c>
      <c r="H126" s="4" t="s">
        <v>86</v>
      </c>
      <c r="I126" s="75"/>
      <c r="J126" s="76"/>
    </row>
    <row r="127" spans="1:16" s="3" customFormat="1" x14ac:dyDescent="0.3">
      <c r="A127" s="71">
        <v>3</v>
      </c>
      <c r="B127" s="72"/>
      <c r="C127" s="4" t="s">
        <v>199</v>
      </c>
      <c r="D127" s="71">
        <f>(2.75*3.2+1.9*1.8+2.7*1.8+2.3*1.1+2.15*1.1)*10.764</f>
        <v>236.53890000000001</v>
      </c>
      <c r="E127" s="72"/>
      <c r="F127" s="4">
        <f>(7.1*1.9+2.1*1.9)*10.764</f>
        <v>188.15471999999997</v>
      </c>
      <c r="G127" s="4">
        <f>D127*1.5+F127/2</f>
        <v>448.88571000000002</v>
      </c>
      <c r="H127" s="4" t="s">
        <v>86</v>
      </c>
      <c r="I127" s="75"/>
      <c r="J127" s="76"/>
    </row>
    <row r="128" spans="1:16" s="3" customFormat="1" x14ac:dyDescent="0.3">
      <c r="A128" s="71">
        <v>4</v>
      </c>
      <c r="B128" s="72"/>
      <c r="C128" s="4" t="s">
        <v>180</v>
      </c>
      <c r="D128" s="71">
        <f>(2.75*4.25+2.75*2.8+2.85*1.9+1.75*1.1+1.8*1.05+0.9*1.1+0.75*1.9+1*1.9+0.45*1.8)*10.764</f>
        <v>363.20426999999995</v>
      </c>
      <c r="E128" s="72"/>
      <c r="F128" s="4">
        <f>(3.8*1.75)*10.764</f>
        <v>71.58059999999999</v>
      </c>
      <c r="G128" s="4">
        <f t="shared" si="0"/>
        <v>616.38700499999993</v>
      </c>
      <c r="H128" s="4" t="s">
        <v>86</v>
      </c>
      <c r="I128" s="75"/>
      <c r="J128" s="76"/>
    </row>
    <row r="129" spans="1:10" s="3" customFormat="1" x14ac:dyDescent="0.3">
      <c r="A129" s="71">
        <v>5</v>
      </c>
      <c r="B129" s="72"/>
      <c r="C129" s="4" t="s">
        <v>180</v>
      </c>
      <c r="D129" s="71">
        <f>(4.3*2.75+2.2*1.8+1.2*1+2.75*1.2+0.9*1.2+0.9*1.8+1*2+2*2.75+0.75*3.2+0.75*2.75)*10.764</f>
        <v>376.17489</v>
      </c>
      <c r="E129" s="72"/>
      <c r="F129" s="4">
        <f>(2.75*1.75)*10.764</f>
        <v>51.801749999999998</v>
      </c>
      <c r="G129" s="4">
        <f t="shared" si="0"/>
        <v>616.06408499999998</v>
      </c>
      <c r="H129" s="4" t="s">
        <v>86</v>
      </c>
      <c r="I129" s="75"/>
      <c r="J129" s="76"/>
    </row>
    <row r="130" spans="1:10" s="3" customFormat="1" x14ac:dyDescent="0.3">
      <c r="A130" s="71">
        <v>6</v>
      </c>
      <c r="B130" s="72"/>
      <c r="C130" s="4" t="s">
        <v>180</v>
      </c>
      <c r="D130" s="71">
        <f t="shared" ref="D130:D131" si="2">(4.3*2.75+2.2*1.8+1.2*1+2.75*1.2+0.9*1.2+0.9*1.8+1*2+2*2.75+0.75*3.2+0.75*2.75)*10.764</f>
        <v>376.17489</v>
      </c>
      <c r="E130" s="72"/>
      <c r="F130" s="4">
        <v>0</v>
      </c>
      <c r="G130" s="4">
        <f t="shared" si="0"/>
        <v>564.26233500000001</v>
      </c>
      <c r="H130" s="4" t="s">
        <v>86</v>
      </c>
      <c r="I130" s="75"/>
      <c r="J130" s="76"/>
    </row>
    <row r="131" spans="1:10" s="3" customFormat="1" x14ac:dyDescent="0.3">
      <c r="A131" s="71">
        <v>7</v>
      </c>
      <c r="B131" s="72"/>
      <c r="C131" s="4" t="s">
        <v>180</v>
      </c>
      <c r="D131" s="71">
        <f t="shared" si="2"/>
        <v>376.17489</v>
      </c>
      <c r="E131" s="72"/>
      <c r="F131" s="4">
        <v>0</v>
      </c>
      <c r="G131" s="4">
        <f t="shared" si="0"/>
        <v>564.26233500000001</v>
      </c>
      <c r="H131" s="4" t="s">
        <v>86</v>
      </c>
      <c r="I131" s="77"/>
      <c r="J131" s="78"/>
    </row>
    <row r="132" spans="1:10" s="3" customFormat="1" x14ac:dyDescent="0.3">
      <c r="A132" s="97" t="s">
        <v>202</v>
      </c>
      <c r="B132" s="98"/>
      <c r="C132" s="98"/>
      <c r="D132" s="98"/>
      <c r="E132" s="98"/>
      <c r="F132" s="98"/>
      <c r="G132" s="98"/>
      <c r="H132" s="98"/>
      <c r="I132" s="98"/>
      <c r="J132" s="99"/>
    </row>
    <row r="133" spans="1:10" s="3" customFormat="1" x14ac:dyDescent="0.3">
      <c r="A133" s="71">
        <v>1</v>
      </c>
      <c r="B133" s="72"/>
      <c r="C133" s="4" t="s">
        <v>180</v>
      </c>
      <c r="D133" s="71">
        <f>(2.85*4.25+1.85*1+1.65*2.45+0.9*1+0.45*1.8+1.2*2.45)*10.764</f>
        <v>243.85842</v>
      </c>
      <c r="E133" s="72"/>
      <c r="F133" s="4">
        <f>(3.5*2.25+3.5*3.1+1*2.45+1.1*3.6)*10.764</f>
        <v>270.55313999999998</v>
      </c>
      <c r="G133" s="4">
        <f>D133*1.5+F133/2</f>
        <v>501.06419999999997</v>
      </c>
      <c r="H133" s="4" t="s">
        <v>86</v>
      </c>
      <c r="I133" s="73" t="str">
        <f>A132</f>
        <v xml:space="preserve">9th Floor </v>
      </c>
      <c r="J133" s="74"/>
    </row>
    <row r="134" spans="1:10" s="3" customFormat="1" x14ac:dyDescent="0.3">
      <c r="A134" s="71">
        <v>2</v>
      </c>
      <c r="B134" s="72"/>
      <c r="C134" s="4" t="s">
        <v>180</v>
      </c>
      <c r="D134" s="71">
        <f>(1*3.7+2.75*3.55+1.9*1.8+2.7*2+1.25*1.8+1.75*1.1+1+2.75+1*2.7+0.75*1.9)*10.764</f>
        <v>369.55502999999993</v>
      </c>
      <c r="E134" s="72"/>
      <c r="F134" s="4">
        <v>0</v>
      </c>
      <c r="G134" s="4">
        <f t="shared" si="0"/>
        <v>554.33254499999987</v>
      </c>
      <c r="H134" s="4" t="s">
        <v>86</v>
      </c>
      <c r="I134" s="75"/>
      <c r="J134" s="76"/>
    </row>
    <row r="135" spans="1:10" s="3" customFormat="1" x14ac:dyDescent="0.3">
      <c r="A135" s="71">
        <v>3</v>
      </c>
      <c r="B135" s="72"/>
      <c r="C135" s="4" t="s">
        <v>180</v>
      </c>
      <c r="D135" s="71">
        <f>(2.75*4.25+1.85*1.9+2.75*2.8+1.2*1.05+1.8*1.05+0.75*1.75+1.05*0.9+2*1.9+0.45*1.2)*10.764</f>
        <v>351.44459999999998</v>
      </c>
      <c r="E135" s="72"/>
      <c r="F135" s="4">
        <f>(3.7*2)*10.764</f>
        <v>79.653599999999997</v>
      </c>
      <c r="G135" s="4">
        <f t="shared" si="0"/>
        <v>606.82049999999992</v>
      </c>
      <c r="H135" s="4" t="s">
        <v>86</v>
      </c>
      <c r="I135" s="75"/>
      <c r="J135" s="76"/>
    </row>
    <row r="136" spans="1:10" s="3" customFormat="1" x14ac:dyDescent="0.3">
      <c r="A136" s="71">
        <v>4</v>
      </c>
      <c r="B136" s="72"/>
      <c r="C136" s="4" t="s">
        <v>180</v>
      </c>
      <c r="D136" s="71">
        <f>(3.05*2.75+2.1*1.8+2.1*1.2+1*1.8+0.9*1+2*2.1+0.75*1.8)*10.764</f>
        <v>246.89924999999999</v>
      </c>
      <c r="E136" s="72"/>
      <c r="F136" s="4">
        <f>(1.55*2.75+1.4*4.6+2.1*1+0.6*0.9)*10.764</f>
        <v>143.61867000000001</v>
      </c>
      <c r="G136" s="4">
        <f>D136*1.5+F136/2</f>
        <v>442.15821000000005</v>
      </c>
      <c r="H136" s="4" t="s">
        <v>86</v>
      </c>
      <c r="I136" s="75"/>
      <c r="J136" s="76"/>
    </row>
    <row r="137" spans="1:10" s="3" customFormat="1" x14ac:dyDescent="0.3">
      <c r="A137" s="71">
        <v>5</v>
      </c>
      <c r="B137" s="72"/>
      <c r="C137" s="4" t="s">
        <v>198</v>
      </c>
      <c r="D137" s="71">
        <f>(2.4*4.3+2*2.1+2.75*1.45+1.05*1.8+0.45*2.2+2.1*3.2+1.2*1.2+1.1*1.8+2*3.2)*10.764</f>
        <v>408.25160999999997</v>
      </c>
      <c r="E137" s="72"/>
      <c r="F137" s="4">
        <f>(2.25*4+4.9*2.15+0.4*2+3.7*3.2+1.8*3.7+1.1*0.4+0.7*1.3)*10.764</f>
        <v>432.55133999999998</v>
      </c>
      <c r="G137" s="4">
        <f>D137*1.5+F137/3</f>
        <v>756.56119499999988</v>
      </c>
      <c r="H137" s="4" t="s">
        <v>86</v>
      </c>
      <c r="I137" s="77"/>
      <c r="J137" s="78"/>
    </row>
    <row r="138" spans="1:10" s="3" customFormat="1" x14ac:dyDescent="0.3">
      <c r="A138" s="97" t="s">
        <v>203</v>
      </c>
      <c r="B138" s="98"/>
      <c r="C138" s="98"/>
      <c r="D138" s="98"/>
      <c r="E138" s="98"/>
      <c r="F138" s="98"/>
      <c r="G138" s="98"/>
      <c r="H138" s="98"/>
      <c r="I138" s="98"/>
      <c r="J138" s="99"/>
    </row>
    <row r="139" spans="1:10" s="3" customFormat="1" x14ac:dyDescent="0.3">
      <c r="A139" s="71">
        <v>1</v>
      </c>
      <c r="B139" s="72"/>
      <c r="C139" s="4" t="s">
        <v>180</v>
      </c>
      <c r="D139" s="71">
        <f>(2.4*4.05+1.5*2.45+2.4*1.2+0.45*1.2+1.7*2.4+1.35*2.45+1.25*1+1.25*0.9)*10.764</f>
        <v>286.08020999999997</v>
      </c>
      <c r="E139" s="72"/>
      <c r="F139" s="4">
        <f>(2.9*1.3+1.3*3.5+1*4.1+0.4*0.9+0.5*2.4)*10.764</f>
        <v>150.48071999999996</v>
      </c>
      <c r="G139" s="4">
        <f>D139*1.5+F139/2</f>
        <v>504.3606749999999</v>
      </c>
      <c r="H139" s="4" t="s">
        <v>86</v>
      </c>
      <c r="I139" s="73" t="str">
        <f>A138</f>
        <v>10th  Floor</v>
      </c>
      <c r="J139" s="74"/>
    </row>
    <row r="140" spans="1:10" s="3" customFormat="1" x14ac:dyDescent="0.3">
      <c r="A140" s="71">
        <v>2</v>
      </c>
      <c r="B140" s="72"/>
      <c r="C140" s="4" t="s">
        <v>180</v>
      </c>
      <c r="D140" s="71">
        <f>(1.2*3.7+2.75*3.3+1.9*1.8+1.75*1.1+2.7*1.8+1.2*1.8+1.2*2.7+1*2.75+0.45*2.4+0.75*4.2)*10.764</f>
        <v>388.5804</v>
      </c>
      <c r="E140" s="72"/>
      <c r="F140" s="4">
        <f>(1.9*0.9)*10.764</f>
        <v>18.40644</v>
      </c>
      <c r="G140" s="4">
        <f>D140*1.5+F140</f>
        <v>601.27703999999994</v>
      </c>
      <c r="H140" s="4" t="s">
        <v>86</v>
      </c>
      <c r="I140" s="75"/>
      <c r="J140" s="76"/>
    </row>
    <row r="141" spans="1:10" s="3" customFormat="1" x14ac:dyDescent="0.3">
      <c r="A141" s="71">
        <v>3</v>
      </c>
      <c r="B141" s="72"/>
      <c r="C141" s="4" t="s">
        <v>180</v>
      </c>
      <c r="D141" s="71">
        <f>(2.75*4.25+2.75*2.8+1.95*0.75+1.2*1.05+1.8*1.05+0.75*1.7+0.45*1.2+1.5*1.95+0.75*2)*10.764</f>
        <v>325.50335999999999</v>
      </c>
      <c r="E141" s="72"/>
      <c r="F141" s="4">
        <f>(1.5*1.95)*10.764</f>
        <v>31.484699999999997</v>
      </c>
      <c r="G141" s="4">
        <f>D141*1.5+F141</f>
        <v>519.73973999999998</v>
      </c>
      <c r="H141" s="4" t="s">
        <v>86</v>
      </c>
      <c r="I141" s="75"/>
      <c r="J141" s="76"/>
    </row>
    <row r="142" spans="1:10" s="3" customFormat="1" x14ac:dyDescent="0.3">
      <c r="A142" s="107">
        <v>4</v>
      </c>
      <c r="B142" s="107"/>
      <c r="C142" s="4" t="s">
        <v>199</v>
      </c>
      <c r="D142" s="107">
        <f>(1.2*2.6+3.3*2.75+1.5*1.85+1.2*0.9+1.2*1+0.45*2.4+1.5*0.3)*10.764</f>
        <v>202.14791999999997</v>
      </c>
      <c r="E142" s="107"/>
      <c r="F142" s="4">
        <f>(1.6*2.75+1.85*4.1+3.3*3.5+1*2+3.1*1.9+0.3*2+1.1*2.6+1.6*3+1.7*4.9+1*8.6+1.7*3.2+1.1*2.1)*10.764</f>
        <v>692.82485999999994</v>
      </c>
      <c r="G142" s="4">
        <f>D142*1.5+F142/5</f>
        <v>441.78685199999995</v>
      </c>
      <c r="H142" s="4" t="s">
        <v>86</v>
      </c>
      <c r="I142" s="77"/>
      <c r="J142" s="78"/>
    </row>
    <row r="143" spans="1:10" s="1" customFormat="1" x14ac:dyDescent="0.3">
      <c r="A143" s="108" t="s">
        <v>95</v>
      </c>
      <c r="B143" s="108"/>
      <c r="C143" s="108"/>
      <c r="D143" s="108"/>
      <c r="E143" s="108"/>
      <c r="F143" s="108"/>
      <c r="G143" s="108"/>
      <c r="H143" s="108"/>
      <c r="I143" s="108"/>
      <c r="J143" s="108"/>
    </row>
    <row r="144" spans="1:10" s="16" customFormat="1" ht="214.2" customHeight="1" x14ac:dyDescent="0.3">
      <c r="A144" s="109" t="s">
        <v>260</v>
      </c>
      <c r="B144" s="109"/>
      <c r="C144" s="109"/>
      <c r="D144" s="109"/>
      <c r="E144" s="109"/>
      <c r="F144" s="109"/>
      <c r="G144" s="109"/>
      <c r="H144" s="109"/>
      <c r="I144" s="109"/>
      <c r="J144" s="109"/>
    </row>
    <row r="145" spans="1:10" x14ac:dyDescent="0.3">
      <c r="A145" s="104" t="s">
        <v>87</v>
      </c>
      <c r="B145" s="105"/>
      <c r="C145" s="105"/>
      <c r="D145" s="105"/>
      <c r="E145" s="105"/>
      <c r="F145" s="105"/>
      <c r="G145" s="105"/>
      <c r="H145" s="105"/>
      <c r="I145" s="105"/>
      <c r="J145" s="106"/>
    </row>
    <row r="146" spans="1:10" x14ac:dyDescent="0.3">
      <c r="A146" s="60" t="s">
        <v>88</v>
      </c>
      <c r="B146" s="61"/>
      <c r="C146" s="61"/>
      <c r="D146" s="61"/>
      <c r="E146" s="61"/>
      <c r="F146" s="61"/>
      <c r="G146" s="61"/>
      <c r="H146" s="61"/>
      <c r="I146" s="61"/>
      <c r="J146" s="62"/>
    </row>
    <row r="147" spans="1:10" ht="15.75" customHeight="1" x14ac:dyDescent="0.3">
      <c r="A147" s="104" t="s">
        <v>89</v>
      </c>
      <c r="B147" s="105"/>
      <c r="C147" s="105"/>
      <c r="D147" s="105"/>
      <c r="E147" s="105"/>
      <c r="F147" s="105"/>
      <c r="G147" s="105"/>
      <c r="H147" s="105"/>
      <c r="I147" s="105"/>
      <c r="J147" s="106"/>
    </row>
    <row r="148" spans="1:10" x14ac:dyDescent="0.3">
      <c r="A148" s="60" t="s">
        <v>90</v>
      </c>
      <c r="B148" s="61"/>
      <c r="C148" s="61"/>
      <c r="D148" s="61"/>
      <c r="E148" s="61"/>
      <c r="F148" s="61"/>
      <c r="G148" s="61"/>
      <c r="H148" s="61"/>
      <c r="I148" s="61"/>
      <c r="J148" s="62"/>
    </row>
    <row r="149" spans="1:10" x14ac:dyDescent="0.3">
      <c r="A149" s="60" t="s">
        <v>91</v>
      </c>
      <c r="B149" s="61"/>
      <c r="C149" s="61"/>
      <c r="D149" s="61"/>
      <c r="E149" s="61"/>
      <c r="F149" s="61"/>
      <c r="G149" s="61"/>
      <c r="H149" s="61"/>
      <c r="I149" s="61"/>
      <c r="J149" s="62"/>
    </row>
    <row r="150" spans="1:10" x14ac:dyDescent="0.3">
      <c r="A150" s="60" t="s">
        <v>92</v>
      </c>
      <c r="B150" s="61"/>
      <c r="C150" s="61"/>
      <c r="D150" s="61"/>
      <c r="E150" s="61"/>
      <c r="F150" s="61"/>
      <c r="G150" s="61"/>
      <c r="H150" s="61"/>
      <c r="I150" s="61"/>
      <c r="J150" s="62"/>
    </row>
    <row r="151" spans="1:10" x14ac:dyDescent="0.3">
      <c r="A151" s="102" t="s">
        <v>168</v>
      </c>
      <c r="B151" s="102"/>
      <c r="C151" s="103" t="s">
        <v>239</v>
      </c>
      <c r="D151" s="103"/>
      <c r="E151" s="102" t="s">
        <v>169</v>
      </c>
      <c r="F151" s="102"/>
      <c r="G151" s="102"/>
      <c r="H151" s="103" t="s">
        <v>246</v>
      </c>
      <c r="I151" s="103"/>
      <c r="J151" s="103"/>
    </row>
    <row r="152" spans="1:10" x14ac:dyDescent="0.3">
      <c r="A152" s="101" t="s">
        <v>171</v>
      </c>
      <c r="B152" s="101"/>
      <c r="C152" s="101"/>
      <c r="D152" s="101"/>
      <c r="E152" s="101"/>
      <c r="F152" s="101"/>
      <c r="G152" s="101"/>
      <c r="H152" s="101"/>
      <c r="I152" s="101"/>
      <c r="J152" s="101"/>
    </row>
    <row r="153" spans="1:10" x14ac:dyDescent="0.3">
      <c r="A153" s="101"/>
      <c r="B153" s="101"/>
      <c r="C153" s="101"/>
      <c r="D153" s="101"/>
      <c r="E153" s="101"/>
      <c r="F153" s="101"/>
      <c r="G153" s="101"/>
      <c r="H153" s="101"/>
      <c r="I153" s="101"/>
      <c r="J153" s="101"/>
    </row>
    <row r="154" spans="1:10" x14ac:dyDescent="0.3">
      <c r="A154" s="101"/>
      <c r="B154" s="101"/>
      <c r="C154" s="101"/>
      <c r="D154" s="101"/>
      <c r="E154" s="101"/>
      <c r="F154" s="101"/>
      <c r="G154" s="101"/>
      <c r="H154" s="101"/>
      <c r="I154" s="101"/>
      <c r="J154" s="101"/>
    </row>
    <row r="155" spans="1:10" x14ac:dyDescent="0.3">
      <c r="A155" s="101"/>
      <c r="B155" s="101"/>
      <c r="C155" s="101"/>
      <c r="D155" s="101"/>
      <c r="E155" s="101"/>
      <c r="F155" s="101"/>
      <c r="G155" s="101"/>
      <c r="H155" s="101"/>
      <c r="I155" s="101"/>
      <c r="J155" s="101"/>
    </row>
    <row r="156" spans="1:10" s="3" customFormat="1" x14ac:dyDescent="0.3">
      <c r="A156" s="17" t="s">
        <v>93</v>
      </c>
      <c r="B156" s="18"/>
      <c r="C156" s="18"/>
      <c r="D156" s="17" t="str">
        <f>F8</f>
        <v>Kailash Parvat CHS LTD</v>
      </c>
      <c r="E156" s="12"/>
      <c r="F156" s="12"/>
      <c r="G156" s="18"/>
      <c r="H156" s="37"/>
      <c r="I156" s="100"/>
      <c r="J156" s="100"/>
    </row>
    <row r="157" spans="1:10" s="3" customFormat="1" x14ac:dyDescent="0.3">
      <c r="A157" s="100"/>
      <c r="B157" s="100"/>
      <c r="C157" s="37"/>
      <c r="D157" s="100"/>
      <c r="E157" s="100"/>
      <c r="F157" s="37"/>
      <c r="G157" s="37"/>
      <c r="H157" s="37"/>
      <c r="I157" s="37"/>
      <c r="J157" s="37"/>
    </row>
    <row r="158" spans="1:10" s="3" customFormat="1" x14ac:dyDescent="0.3">
      <c r="A158" s="37"/>
      <c r="B158" s="37"/>
      <c r="C158" s="37"/>
      <c r="D158" s="37"/>
      <c r="E158" s="37"/>
      <c r="F158" s="37"/>
      <c r="G158" s="37"/>
      <c r="H158" s="37"/>
      <c r="I158" s="37"/>
      <c r="J158" s="37"/>
    </row>
    <row r="159" spans="1:10" s="3" customFormat="1" x14ac:dyDescent="0.3">
      <c r="A159" s="37"/>
      <c r="B159" s="37"/>
      <c r="C159" s="37"/>
      <c r="D159" s="37"/>
      <c r="E159" s="37"/>
      <c r="F159" s="37"/>
      <c r="G159" s="37"/>
      <c r="H159" s="37"/>
      <c r="I159" s="37"/>
      <c r="J159" s="37"/>
    </row>
    <row r="160" spans="1:10" x14ac:dyDescent="0.3">
      <c r="H160" s="18"/>
      <c r="I160" s="18"/>
      <c r="J160" s="18"/>
    </row>
    <row r="161" spans="1:10" s="3" customFormat="1" x14ac:dyDescent="0.3">
      <c r="H161" s="37"/>
      <c r="I161" s="100"/>
      <c r="J161" s="100"/>
    </row>
    <row r="162" spans="1:10" s="3" customFormat="1" x14ac:dyDescent="0.3">
      <c r="A162" s="100"/>
      <c r="B162" s="100"/>
      <c r="C162" s="37"/>
      <c r="D162" s="100"/>
      <c r="E162" s="100"/>
      <c r="F162" s="37"/>
      <c r="G162" s="37"/>
      <c r="H162" s="37"/>
      <c r="I162" s="100"/>
      <c r="J162" s="100"/>
    </row>
    <row r="163" spans="1:10" s="3" customFormat="1" x14ac:dyDescent="0.3">
      <c r="A163" s="100"/>
      <c r="B163" s="100"/>
      <c r="C163" s="37"/>
      <c r="D163" s="100"/>
      <c r="E163" s="100"/>
      <c r="F163" s="37"/>
      <c r="G163" s="37"/>
      <c r="H163" s="37"/>
      <c r="I163" s="100"/>
      <c r="J163" s="100"/>
    </row>
    <row r="164" spans="1:10" s="3" customFormat="1" x14ac:dyDescent="0.3">
      <c r="A164" s="100"/>
      <c r="B164" s="100"/>
      <c r="C164" s="37"/>
      <c r="D164" s="100"/>
      <c r="E164" s="100"/>
      <c r="F164" s="37"/>
      <c r="G164" s="37"/>
      <c r="H164" s="37"/>
      <c r="I164" s="100"/>
      <c r="J164" s="100"/>
    </row>
    <row r="165" spans="1:10" s="3" customFormat="1" x14ac:dyDescent="0.3">
      <c r="A165" s="100"/>
      <c r="B165" s="100"/>
      <c r="C165" s="37"/>
      <c r="D165" s="100"/>
      <c r="E165" s="100"/>
      <c r="F165" s="37"/>
      <c r="G165" s="37"/>
      <c r="H165" s="37"/>
      <c r="I165" s="100"/>
      <c r="J165" s="100"/>
    </row>
    <row r="166" spans="1:10" s="3" customFormat="1" x14ac:dyDescent="0.3">
      <c r="A166" s="100"/>
      <c r="B166" s="100"/>
      <c r="C166" s="37"/>
      <c r="D166" s="100"/>
      <c r="E166" s="100"/>
      <c r="F166" s="37"/>
      <c r="G166" s="37"/>
      <c r="H166" s="37"/>
      <c r="I166" s="100"/>
      <c r="J166" s="100"/>
    </row>
    <row r="167" spans="1:10" s="3" customFormat="1" x14ac:dyDescent="0.3">
      <c r="A167" s="100"/>
      <c r="B167" s="100"/>
      <c r="C167" s="37"/>
      <c r="D167" s="100"/>
      <c r="E167" s="100"/>
      <c r="F167" s="37"/>
      <c r="G167" s="37"/>
      <c r="H167" s="37"/>
      <c r="I167" s="100"/>
      <c r="J167" s="100"/>
    </row>
    <row r="168" spans="1:10" s="3" customFormat="1" x14ac:dyDescent="0.3">
      <c r="A168" s="100"/>
      <c r="B168" s="100"/>
      <c r="C168" s="37"/>
      <c r="D168" s="100"/>
      <c r="E168" s="100"/>
      <c r="F168" s="37"/>
      <c r="G168" s="37"/>
      <c r="H168" s="37"/>
      <c r="I168" s="100"/>
      <c r="J168" s="100"/>
    </row>
    <row r="169" spans="1:10" s="3" customFormat="1" x14ac:dyDescent="0.3">
      <c r="A169" s="100"/>
      <c r="B169" s="100"/>
      <c r="C169" s="37"/>
      <c r="D169" s="100"/>
      <c r="E169" s="100"/>
      <c r="F169" s="37"/>
      <c r="G169" s="37"/>
      <c r="H169" s="37"/>
      <c r="I169" s="100"/>
      <c r="J169" s="100"/>
    </row>
    <row r="170" spans="1:10" s="3" customFormat="1" x14ac:dyDescent="0.3">
      <c r="A170" s="100"/>
      <c r="B170" s="100"/>
      <c r="C170" s="37"/>
      <c r="D170" s="100"/>
      <c r="E170" s="100"/>
      <c r="F170" s="37"/>
      <c r="G170" s="37"/>
      <c r="H170" s="37"/>
      <c r="I170" s="100"/>
      <c r="J170" s="100"/>
    </row>
    <row r="171" spans="1:10" s="3" customFormat="1" x14ac:dyDescent="0.3">
      <c r="A171" s="100"/>
      <c r="B171" s="100"/>
      <c r="C171" s="37"/>
      <c r="D171" s="100"/>
      <c r="E171" s="100"/>
      <c r="F171" s="37"/>
      <c r="G171" s="37"/>
      <c r="H171" s="37"/>
      <c r="I171" s="100"/>
      <c r="J171" s="100"/>
    </row>
    <row r="172" spans="1:10" s="3" customFormat="1" x14ac:dyDescent="0.3">
      <c r="A172" s="100"/>
      <c r="B172" s="100"/>
      <c r="C172" s="37"/>
      <c r="D172" s="100"/>
      <c r="E172" s="100"/>
      <c r="F172" s="37"/>
      <c r="G172" s="37"/>
      <c r="H172" s="37"/>
      <c r="I172" s="100"/>
      <c r="J172" s="100"/>
    </row>
    <row r="173" spans="1:10" s="3" customFormat="1" x14ac:dyDescent="0.3">
      <c r="A173" s="100"/>
      <c r="B173" s="100"/>
      <c r="C173" s="37"/>
      <c r="D173" s="100"/>
      <c r="E173" s="100"/>
      <c r="F173" s="37"/>
      <c r="G173" s="37"/>
      <c r="H173" s="37"/>
      <c r="I173" s="100"/>
      <c r="J173" s="100"/>
    </row>
    <row r="174" spans="1:10" s="3" customFormat="1" x14ac:dyDescent="0.3">
      <c r="A174" s="100"/>
      <c r="B174" s="100"/>
      <c r="C174" s="37"/>
      <c r="D174" s="100"/>
      <c r="E174" s="100"/>
      <c r="F174" s="37"/>
      <c r="G174" s="37"/>
      <c r="H174" s="37"/>
      <c r="I174" s="100"/>
      <c r="J174" s="100"/>
    </row>
    <row r="175" spans="1:10" s="3" customFormat="1" x14ac:dyDescent="0.3">
      <c r="A175" s="100"/>
      <c r="B175" s="100"/>
      <c r="C175" s="37"/>
      <c r="D175" s="100"/>
      <c r="E175" s="100"/>
      <c r="F175" s="37"/>
      <c r="G175" s="37"/>
      <c r="H175" s="37"/>
      <c r="I175" s="100"/>
      <c r="J175" s="100"/>
    </row>
    <row r="176" spans="1:10" s="3" customFormat="1" x14ac:dyDescent="0.3">
      <c r="A176" s="100"/>
      <c r="B176" s="100"/>
      <c r="C176" s="37"/>
      <c r="D176" s="100"/>
      <c r="E176" s="100"/>
      <c r="F176" s="37"/>
      <c r="G176" s="37"/>
      <c r="H176" s="37"/>
      <c r="I176" s="100"/>
      <c r="J176" s="100"/>
    </row>
    <row r="177" spans="1:10" s="3" customFormat="1" x14ac:dyDescent="0.3">
      <c r="A177" s="100"/>
      <c r="B177" s="100"/>
      <c r="C177" s="37"/>
      <c r="D177" s="100"/>
      <c r="E177" s="100"/>
      <c r="F177" s="37"/>
      <c r="G177" s="37"/>
      <c r="H177" s="37"/>
      <c r="I177" s="100"/>
      <c r="J177" s="100"/>
    </row>
    <row r="178" spans="1:10" s="3" customFormat="1" x14ac:dyDescent="0.3">
      <c r="A178" s="100"/>
      <c r="B178" s="100"/>
      <c r="C178" s="37"/>
      <c r="D178" s="100"/>
      <c r="E178" s="100"/>
      <c r="F178" s="37"/>
      <c r="G178" s="37"/>
      <c r="H178" s="37"/>
      <c r="I178" s="100"/>
      <c r="J178" s="100"/>
    </row>
    <row r="179" spans="1:10" s="3" customFormat="1" x14ac:dyDescent="0.3">
      <c r="A179" s="100"/>
      <c r="B179" s="100"/>
      <c r="C179" s="37"/>
      <c r="D179" s="100"/>
      <c r="E179" s="100"/>
      <c r="F179" s="37"/>
      <c r="G179" s="37"/>
      <c r="H179" s="37"/>
      <c r="I179" s="100"/>
      <c r="J179" s="100"/>
    </row>
    <row r="180" spans="1:10" s="3" customFormat="1" x14ac:dyDescent="0.3">
      <c r="A180" s="100"/>
      <c r="B180" s="100"/>
      <c r="C180" s="37"/>
      <c r="D180" s="100"/>
      <c r="E180" s="100"/>
      <c r="F180" s="37"/>
      <c r="G180" s="37"/>
      <c r="H180" s="37"/>
      <c r="I180" s="100"/>
      <c r="J180" s="100"/>
    </row>
    <row r="181" spans="1:10" s="3" customFormat="1" x14ac:dyDescent="0.3">
      <c r="A181" s="100"/>
      <c r="B181" s="100"/>
      <c r="C181" s="37"/>
      <c r="D181" s="100"/>
      <c r="E181" s="100"/>
      <c r="F181" s="37"/>
      <c r="G181" s="37"/>
      <c r="H181" s="37"/>
      <c r="I181" s="100"/>
      <c r="J181" s="100"/>
    </row>
    <row r="182" spans="1:10" s="3" customFormat="1" x14ac:dyDescent="0.3">
      <c r="A182" s="100"/>
      <c r="B182" s="100"/>
      <c r="C182" s="37"/>
      <c r="D182" s="100"/>
      <c r="E182" s="100"/>
      <c r="F182" s="37"/>
      <c r="G182" s="37"/>
      <c r="H182" s="37"/>
      <c r="I182" s="100"/>
      <c r="J182" s="100"/>
    </row>
    <row r="183" spans="1:10" s="3" customFormat="1" x14ac:dyDescent="0.3">
      <c r="A183" s="100"/>
      <c r="B183" s="100"/>
      <c r="C183" s="37"/>
      <c r="D183" s="100"/>
      <c r="E183" s="100"/>
      <c r="F183" s="37"/>
      <c r="G183" s="37"/>
      <c r="H183" s="37"/>
      <c r="I183" s="100"/>
      <c r="J183" s="100"/>
    </row>
    <row r="184" spans="1:10" s="3" customFormat="1" x14ac:dyDescent="0.3">
      <c r="A184" s="100"/>
      <c r="B184" s="100"/>
      <c r="C184" s="37"/>
      <c r="D184" s="100"/>
      <c r="E184" s="100"/>
      <c r="F184" s="37"/>
      <c r="G184" s="37"/>
      <c r="H184" s="37"/>
      <c r="I184" s="100"/>
      <c r="J184" s="100"/>
    </row>
    <row r="185" spans="1:10" s="3" customFormat="1" x14ac:dyDescent="0.3">
      <c r="A185" s="100"/>
      <c r="B185" s="100"/>
      <c r="C185" s="37"/>
      <c r="D185" s="100"/>
      <c r="E185" s="100"/>
      <c r="F185" s="37"/>
      <c r="G185" s="37"/>
      <c r="H185" s="37"/>
      <c r="I185" s="100"/>
      <c r="J185" s="100"/>
    </row>
    <row r="186" spans="1:10" s="3" customFormat="1" x14ac:dyDescent="0.3">
      <c r="A186" s="100"/>
      <c r="B186" s="100"/>
      <c r="C186" s="37"/>
      <c r="D186" s="100"/>
      <c r="E186" s="100"/>
      <c r="F186" s="37"/>
      <c r="G186" s="37"/>
      <c r="H186" s="37"/>
      <c r="I186" s="100"/>
      <c r="J186" s="100"/>
    </row>
    <row r="187" spans="1:10" s="3" customFormat="1" x14ac:dyDescent="0.3">
      <c r="A187" s="100"/>
      <c r="B187" s="100"/>
      <c r="C187" s="37"/>
      <c r="D187" s="100"/>
      <c r="E187" s="100"/>
      <c r="F187" s="37"/>
      <c r="G187" s="37"/>
      <c r="H187" s="37"/>
      <c r="I187" s="100"/>
      <c r="J187" s="100"/>
    </row>
    <row r="188" spans="1:10" s="3" customFormat="1" x14ac:dyDescent="0.3">
      <c r="A188" s="100"/>
      <c r="B188" s="100"/>
      <c r="C188" s="37"/>
      <c r="D188" s="100"/>
      <c r="E188" s="100"/>
      <c r="F188" s="37"/>
      <c r="G188" s="37"/>
      <c r="H188" s="37"/>
      <c r="I188" s="100"/>
      <c r="J188" s="100"/>
    </row>
    <row r="189" spans="1:10" s="3" customFormat="1" x14ac:dyDescent="0.3">
      <c r="A189" s="100"/>
      <c r="B189" s="100"/>
      <c r="C189" s="37"/>
      <c r="D189" s="100"/>
      <c r="E189" s="100"/>
      <c r="F189" s="37"/>
      <c r="G189" s="37"/>
      <c r="H189" s="37"/>
      <c r="I189" s="100"/>
      <c r="J189" s="100"/>
    </row>
    <row r="190" spans="1:10" s="3" customFormat="1" x14ac:dyDescent="0.3">
      <c r="A190" s="100"/>
      <c r="B190" s="100"/>
      <c r="C190" s="37"/>
      <c r="D190" s="100"/>
      <c r="E190" s="100"/>
      <c r="F190" s="37"/>
      <c r="G190" s="37"/>
      <c r="H190" s="37"/>
      <c r="I190" s="100"/>
      <c r="J190" s="100"/>
    </row>
    <row r="191" spans="1:10" s="3" customFormat="1" x14ac:dyDescent="0.3">
      <c r="A191" s="100"/>
      <c r="B191" s="100"/>
      <c r="C191" s="37"/>
      <c r="D191" s="100"/>
      <c r="E191" s="100"/>
      <c r="F191" s="37"/>
      <c r="G191" s="37"/>
      <c r="H191" s="37"/>
      <c r="I191" s="100"/>
      <c r="J191" s="100"/>
    </row>
    <row r="192" spans="1:10" s="3" customFormat="1" x14ac:dyDescent="0.3">
      <c r="A192" s="100"/>
      <c r="B192" s="100"/>
      <c r="C192" s="37"/>
      <c r="D192" s="100"/>
      <c r="E192" s="100"/>
      <c r="F192" s="37"/>
      <c r="G192" s="37"/>
      <c r="H192" s="37"/>
      <c r="I192" s="100"/>
      <c r="J192" s="100"/>
    </row>
    <row r="193" spans="1:12" s="3" customFormat="1" x14ac:dyDescent="0.3">
      <c r="A193" s="100"/>
      <c r="B193" s="100"/>
      <c r="C193" s="37"/>
      <c r="D193" s="100"/>
      <c r="E193" s="100"/>
      <c r="F193" s="37"/>
      <c r="G193" s="37"/>
      <c r="H193" s="37"/>
      <c r="I193" s="100"/>
      <c r="J193" s="100"/>
    </row>
    <row r="194" spans="1:12" s="3" customFormat="1" x14ac:dyDescent="0.3">
      <c r="A194" s="100"/>
      <c r="B194" s="100"/>
      <c r="C194" s="37"/>
      <c r="D194" s="100"/>
      <c r="E194" s="100"/>
      <c r="F194" s="37"/>
      <c r="G194" s="37"/>
      <c r="H194" s="37"/>
      <c r="I194" s="100"/>
      <c r="J194" s="100"/>
      <c r="L194" s="3" t="s">
        <v>237</v>
      </c>
    </row>
    <row r="195" spans="1:12" s="3" customFormat="1" x14ac:dyDescent="0.3">
      <c r="A195" s="100"/>
      <c r="B195" s="100"/>
      <c r="C195" s="37"/>
      <c r="D195" s="100"/>
      <c r="E195" s="100"/>
      <c r="F195" s="37"/>
      <c r="G195" s="37"/>
      <c r="H195" s="37"/>
      <c r="I195" s="100"/>
      <c r="J195" s="100"/>
    </row>
    <row r="196" spans="1:12" s="3" customFormat="1" x14ac:dyDescent="0.3">
      <c r="A196" s="100"/>
      <c r="B196" s="100"/>
      <c r="C196" s="37"/>
      <c r="D196" s="100"/>
      <c r="E196" s="100"/>
      <c r="F196" s="37"/>
      <c r="G196" s="37"/>
      <c r="H196" s="37"/>
      <c r="I196" s="100"/>
      <c r="J196" s="100"/>
    </row>
    <row r="197" spans="1:12" s="3" customFormat="1" x14ac:dyDescent="0.3">
      <c r="A197" s="100"/>
      <c r="B197" s="100"/>
      <c r="C197" s="37"/>
      <c r="D197" s="100"/>
      <c r="E197" s="100"/>
      <c r="F197" s="37"/>
      <c r="G197" s="37"/>
      <c r="H197" s="37"/>
      <c r="I197" s="100"/>
      <c r="J197" s="100"/>
    </row>
    <row r="198" spans="1:12" s="3" customFormat="1" x14ac:dyDescent="0.3">
      <c r="A198" s="19" t="s">
        <v>94</v>
      </c>
      <c r="B198" s="12"/>
      <c r="C198" s="37"/>
      <c r="D198" s="100"/>
      <c r="E198" s="100"/>
      <c r="F198" s="37"/>
      <c r="G198" s="37"/>
      <c r="H198" s="37"/>
      <c r="I198" s="100"/>
      <c r="J198" s="100"/>
    </row>
    <row r="199" spans="1:12" s="3" customFormat="1" x14ac:dyDescent="0.3">
      <c r="A199" s="100"/>
      <c r="B199" s="100"/>
      <c r="C199" s="37"/>
      <c r="D199" s="100"/>
      <c r="E199" s="100"/>
      <c r="F199" s="37"/>
      <c r="G199" s="37"/>
      <c r="H199" s="37"/>
      <c r="I199" s="100"/>
      <c r="J199" s="100"/>
    </row>
    <row r="200" spans="1:12" s="3" customFormat="1" x14ac:dyDescent="0.3">
      <c r="A200" s="100"/>
      <c r="B200" s="100"/>
      <c r="C200" s="37"/>
      <c r="D200" s="100"/>
      <c r="E200" s="100"/>
      <c r="F200" s="37"/>
      <c r="G200" s="37"/>
      <c r="H200" s="37"/>
      <c r="I200" s="100"/>
      <c r="J200" s="100"/>
    </row>
    <row r="201" spans="1:12" s="3" customFormat="1" x14ac:dyDescent="0.3">
      <c r="A201" s="100"/>
      <c r="B201" s="100"/>
      <c r="C201" s="37"/>
      <c r="D201" s="100"/>
      <c r="E201" s="100"/>
      <c r="F201" s="37"/>
      <c r="G201" s="37"/>
      <c r="H201" s="37"/>
      <c r="I201" s="100"/>
      <c r="J201" s="100"/>
    </row>
    <row r="203" spans="1:12" s="3" customFormat="1" x14ac:dyDescent="0.3">
      <c r="C203" s="37"/>
      <c r="D203" s="100"/>
      <c r="E203" s="100"/>
      <c r="F203" s="37"/>
      <c r="G203" s="37"/>
      <c r="H203" s="37"/>
      <c r="I203" s="100"/>
      <c r="J203" s="100"/>
    </row>
    <row r="204" spans="1:12" s="3" customFormat="1" x14ac:dyDescent="0.3">
      <c r="A204" s="100"/>
      <c r="B204" s="100"/>
      <c r="C204" s="37"/>
      <c r="D204" s="100"/>
      <c r="E204" s="100"/>
      <c r="F204" s="37"/>
      <c r="G204" s="37"/>
      <c r="H204" s="37"/>
      <c r="I204" s="100"/>
      <c r="J204" s="100"/>
    </row>
    <row r="205" spans="1:12" s="3" customFormat="1" x14ac:dyDescent="0.3">
      <c r="A205" s="100"/>
      <c r="B205" s="100"/>
      <c r="C205" s="37"/>
      <c r="D205" s="100"/>
      <c r="E205" s="100"/>
      <c r="F205" s="37"/>
      <c r="G205" s="37"/>
      <c r="H205" s="37"/>
      <c r="I205" s="100"/>
      <c r="J205" s="100"/>
    </row>
    <row r="206" spans="1:12" s="3" customFormat="1" x14ac:dyDescent="0.3">
      <c r="A206" s="100"/>
      <c r="B206" s="100"/>
      <c r="C206" s="37"/>
      <c r="D206" s="100"/>
      <c r="E206" s="100"/>
      <c r="F206" s="37"/>
      <c r="G206" s="37"/>
      <c r="H206" s="37"/>
      <c r="I206" s="100"/>
      <c r="J206" s="100"/>
    </row>
    <row r="207" spans="1:12" s="3" customFormat="1" x14ac:dyDescent="0.3">
      <c r="A207" s="100"/>
      <c r="B207" s="100"/>
      <c r="C207" s="37"/>
      <c r="D207" s="100"/>
      <c r="E207" s="100"/>
      <c r="F207" s="37"/>
      <c r="G207" s="37"/>
      <c r="H207" s="37"/>
      <c r="I207" s="100"/>
      <c r="J207" s="100"/>
    </row>
    <row r="208" spans="1:12" s="3" customFormat="1" x14ac:dyDescent="0.3">
      <c r="A208" s="100"/>
      <c r="B208" s="100"/>
      <c r="C208" s="37"/>
      <c r="D208" s="100"/>
      <c r="E208" s="100"/>
      <c r="F208" s="37"/>
      <c r="G208" s="37"/>
      <c r="H208" s="37"/>
      <c r="I208" s="100"/>
      <c r="J208" s="100"/>
    </row>
    <row r="209" spans="1:10" s="3" customFormat="1" x14ac:dyDescent="0.3">
      <c r="A209" s="100"/>
      <c r="B209" s="100"/>
      <c r="C209" s="37"/>
      <c r="D209" s="100"/>
      <c r="E209" s="100"/>
      <c r="F209" s="37"/>
      <c r="G209" s="37"/>
      <c r="H209" s="37"/>
      <c r="I209" s="100"/>
      <c r="J209" s="100"/>
    </row>
    <row r="210" spans="1:10" s="3" customFormat="1" x14ac:dyDescent="0.3">
      <c r="A210" s="100"/>
      <c r="B210" s="100"/>
      <c r="C210" s="37"/>
      <c r="D210" s="100"/>
      <c r="E210" s="100"/>
      <c r="F210" s="37"/>
      <c r="G210" s="37"/>
      <c r="H210" s="37"/>
      <c r="I210" s="100"/>
      <c r="J210" s="100"/>
    </row>
    <row r="211" spans="1:10" s="3" customFormat="1" x14ac:dyDescent="0.3">
      <c r="A211" s="100"/>
      <c r="B211" s="100"/>
      <c r="C211" s="37"/>
      <c r="D211" s="100"/>
      <c r="E211" s="100"/>
      <c r="F211" s="37"/>
      <c r="G211" s="37"/>
      <c r="H211" s="37"/>
      <c r="I211" s="100"/>
      <c r="J211" s="100"/>
    </row>
    <row r="212" spans="1:10" s="3" customFormat="1" x14ac:dyDescent="0.3">
      <c r="A212" s="100"/>
      <c r="B212" s="100"/>
      <c r="C212" s="37"/>
      <c r="D212" s="100"/>
      <c r="E212" s="100"/>
      <c r="F212" s="37"/>
      <c r="G212" s="37"/>
      <c r="H212" s="37"/>
      <c r="I212" s="100"/>
      <c r="J212" s="100"/>
    </row>
    <row r="213" spans="1:10" s="3" customFormat="1" x14ac:dyDescent="0.3">
      <c r="A213" s="100"/>
      <c r="B213" s="100"/>
      <c r="C213" s="37"/>
      <c r="D213" s="100"/>
      <c r="E213" s="100"/>
      <c r="F213" s="37"/>
      <c r="G213" s="37"/>
      <c r="H213" s="37"/>
      <c r="I213" s="100"/>
      <c r="J213" s="100"/>
    </row>
    <row r="214" spans="1:10" s="3" customFormat="1" x14ac:dyDescent="0.3">
      <c r="A214" s="100"/>
      <c r="B214" s="100"/>
      <c r="C214" s="37"/>
      <c r="D214" s="100"/>
      <c r="E214" s="100"/>
      <c r="F214" s="37"/>
      <c r="G214" s="37"/>
      <c r="H214" s="37"/>
      <c r="I214" s="100"/>
      <c r="J214" s="100"/>
    </row>
    <row r="215" spans="1:10" s="3" customFormat="1" x14ac:dyDescent="0.3">
      <c r="A215" s="100"/>
      <c r="B215" s="100"/>
      <c r="C215" s="37"/>
      <c r="D215" s="100"/>
      <c r="E215" s="100"/>
      <c r="F215" s="37"/>
      <c r="G215" s="37"/>
      <c r="H215" s="37"/>
      <c r="I215" s="100"/>
      <c r="J215" s="100"/>
    </row>
    <row r="216" spans="1:10" s="3" customFormat="1" x14ac:dyDescent="0.3">
      <c r="A216" s="100"/>
      <c r="B216" s="100"/>
      <c r="C216" s="37"/>
      <c r="D216" s="100"/>
      <c r="E216" s="100"/>
      <c r="F216" s="37"/>
      <c r="G216" s="37"/>
      <c r="H216" s="37"/>
      <c r="I216" s="100"/>
      <c r="J216" s="100"/>
    </row>
    <row r="217" spans="1:10" s="3" customFormat="1" x14ac:dyDescent="0.3">
      <c r="A217" s="100"/>
      <c r="B217" s="100"/>
      <c r="C217" s="37"/>
      <c r="D217" s="100"/>
      <c r="E217" s="100"/>
      <c r="F217" s="37"/>
      <c r="G217" s="37"/>
      <c r="H217" s="37"/>
      <c r="I217" s="100"/>
      <c r="J217" s="100"/>
    </row>
    <row r="218" spans="1:10" s="3" customFormat="1" x14ac:dyDescent="0.3">
      <c r="A218" s="100"/>
      <c r="B218" s="100"/>
      <c r="C218" s="37"/>
      <c r="D218" s="100"/>
      <c r="E218" s="100"/>
      <c r="F218" s="37"/>
      <c r="G218" s="37"/>
      <c r="H218" s="37"/>
      <c r="I218" s="100"/>
      <c r="J218" s="100"/>
    </row>
    <row r="219" spans="1:10" s="3" customFormat="1" x14ac:dyDescent="0.3">
      <c r="A219" s="100"/>
      <c r="B219" s="100"/>
      <c r="C219" s="37"/>
      <c r="D219" s="100"/>
      <c r="E219" s="100"/>
      <c r="F219" s="37"/>
      <c r="G219" s="37"/>
      <c r="H219" s="37"/>
      <c r="I219" s="100"/>
      <c r="J219" s="100"/>
    </row>
    <row r="220" spans="1:10" s="3" customFormat="1" x14ac:dyDescent="0.3">
      <c r="A220" s="100"/>
      <c r="B220" s="100"/>
      <c r="C220" s="37"/>
      <c r="D220" s="100"/>
      <c r="E220" s="100"/>
      <c r="F220" s="37"/>
      <c r="G220" s="37"/>
      <c r="H220" s="37"/>
      <c r="I220" s="100"/>
      <c r="J220" s="100"/>
    </row>
    <row r="221" spans="1:10" s="3" customFormat="1" x14ac:dyDescent="0.3">
      <c r="A221" s="100"/>
      <c r="B221" s="100"/>
      <c r="C221" s="37"/>
      <c r="D221" s="100"/>
      <c r="E221" s="100"/>
      <c r="F221" s="37"/>
      <c r="G221" s="37"/>
      <c r="H221" s="37"/>
      <c r="I221" s="100"/>
      <c r="J221" s="100"/>
    </row>
    <row r="222" spans="1:10" s="3" customFormat="1" x14ac:dyDescent="0.3">
      <c r="A222" s="100"/>
      <c r="B222" s="100"/>
      <c r="C222" s="37"/>
      <c r="D222" s="100"/>
      <c r="E222" s="100"/>
      <c r="F222" s="37"/>
      <c r="G222" s="37"/>
      <c r="H222" s="37"/>
      <c r="I222" s="100"/>
      <c r="J222" s="100"/>
    </row>
    <row r="223" spans="1:10" ht="15" customHeight="1" x14ac:dyDescent="0.3">
      <c r="A223" s="17"/>
      <c r="B223" s="18"/>
      <c r="C223" s="18"/>
      <c r="D223" s="18"/>
      <c r="E223" s="18"/>
      <c r="F223" s="18"/>
      <c r="G223" s="18"/>
      <c r="H223" s="18"/>
      <c r="I223" s="18"/>
      <c r="J223" s="18"/>
    </row>
    <row r="224" spans="1:10" ht="15" customHeight="1" x14ac:dyDescent="0.3">
      <c r="A224" s="17"/>
      <c r="B224" s="18"/>
      <c r="C224" s="18"/>
      <c r="D224" s="18"/>
      <c r="E224" s="18"/>
      <c r="F224" s="18"/>
      <c r="G224" s="18"/>
      <c r="H224" s="18"/>
      <c r="I224" s="18"/>
      <c r="J224" s="18"/>
    </row>
    <row r="225" spans="1:10" x14ac:dyDescent="0.3">
      <c r="A225" s="18"/>
      <c r="B225" s="18"/>
      <c r="C225" s="18"/>
      <c r="D225" s="18"/>
      <c r="E225" s="18"/>
      <c r="F225" s="18"/>
      <c r="G225" s="18"/>
      <c r="H225" s="18"/>
      <c r="I225" s="18"/>
      <c r="J225" s="18"/>
    </row>
    <row r="226" spans="1:10" x14ac:dyDescent="0.3">
      <c r="A226" s="18"/>
      <c r="B226" s="18"/>
      <c r="C226" s="18"/>
      <c r="D226" s="18"/>
      <c r="E226" s="18"/>
      <c r="F226" s="18"/>
      <c r="G226" s="18"/>
      <c r="H226" s="18"/>
      <c r="I226" s="18"/>
      <c r="J226" s="18"/>
    </row>
    <row r="227" spans="1:10" ht="15" customHeight="1" x14ac:dyDescent="0.3"/>
  </sheetData>
  <mergeCells count="494">
    <mergeCell ref="F19:J20"/>
    <mergeCell ref="A21:E22"/>
    <mergeCell ref="F21:J22"/>
    <mergeCell ref="A16:B16"/>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C32:J32"/>
    <mergeCell ref="A33:B33"/>
    <mergeCell ref="C33:J33"/>
    <mergeCell ref="A27:B27"/>
    <mergeCell ref="C27:D27"/>
    <mergeCell ref="E27:F27"/>
    <mergeCell ref="G27:H27"/>
    <mergeCell ref="I27:J27"/>
    <mergeCell ref="A28:B28"/>
    <mergeCell ref="C28:D28"/>
    <mergeCell ref="E28:F28"/>
    <mergeCell ref="G28:H28"/>
    <mergeCell ref="I28:J28"/>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C16:E16"/>
    <mergeCell ref="F16:G16"/>
    <mergeCell ref="H16:J16"/>
    <mergeCell ref="H18:J18"/>
    <mergeCell ref="A19:E20"/>
    <mergeCell ref="A37:J37"/>
    <mergeCell ref="H48:J48"/>
    <mergeCell ref="A48:B48"/>
    <mergeCell ref="C48:F48"/>
    <mergeCell ref="A54:C54"/>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A66:B66"/>
    <mergeCell ref="F42:J42"/>
    <mergeCell ref="A43:E43"/>
    <mergeCell ref="F43:J43"/>
    <mergeCell ref="A44:J44"/>
    <mergeCell ref="A49:J49"/>
    <mergeCell ref="A50:C50"/>
    <mergeCell ref="A55:C55"/>
    <mergeCell ref="D55:J55"/>
    <mergeCell ref="A67:B67"/>
    <mergeCell ref="D67:E67"/>
    <mergeCell ref="A68:B68"/>
    <mergeCell ref="D68:E68"/>
    <mergeCell ref="A69:B69"/>
    <mergeCell ref="D69:E69"/>
    <mergeCell ref="A70:B70"/>
    <mergeCell ref="D70:E70"/>
    <mergeCell ref="A71:B71"/>
    <mergeCell ref="A75:J75"/>
    <mergeCell ref="A76:F76"/>
    <mergeCell ref="G76:J76"/>
    <mergeCell ref="A72:B72"/>
    <mergeCell ref="D72:E72"/>
    <mergeCell ref="A73:B73"/>
    <mergeCell ref="D73:E73"/>
    <mergeCell ref="A74:B74"/>
    <mergeCell ref="D74:E74"/>
    <mergeCell ref="A81:J81"/>
    <mergeCell ref="A79:F79"/>
    <mergeCell ref="G79:J79"/>
    <mergeCell ref="A78:F78"/>
    <mergeCell ref="G78:J78"/>
    <mergeCell ref="A80:F80"/>
    <mergeCell ref="G80:J80"/>
    <mergeCell ref="A77:F77"/>
    <mergeCell ref="G77:J77"/>
    <mergeCell ref="A87:J87"/>
    <mergeCell ref="A88:J88"/>
    <mergeCell ref="A98:B98"/>
    <mergeCell ref="D98:E98"/>
    <mergeCell ref="A89:B89"/>
    <mergeCell ref="D89:E89"/>
    <mergeCell ref="I89:J89"/>
    <mergeCell ref="A82:B82"/>
    <mergeCell ref="D82:F82"/>
    <mergeCell ref="G82:J82"/>
    <mergeCell ref="A83:B83"/>
    <mergeCell ref="D83:F83"/>
    <mergeCell ref="G83:J83"/>
    <mergeCell ref="A84:J84"/>
    <mergeCell ref="A86:B86"/>
    <mergeCell ref="A85:B85"/>
    <mergeCell ref="D85:F85"/>
    <mergeCell ref="G85:J85"/>
    <mergeCell ref="D86:F86"/>
    <mergeCell ref="G86:J86"/>
    <mergeCell ref="I91:J96"/>
    <mergeCell ref="I98:J105"/>
    <mergeCell ref="A91:B91"/>
    <mergeCell ref="D91:E91"/>
    <mergeCell ref="A92:B92"/>
    <mergeCell ref="D92:E92"/>
    <mergeCell ref="A104:B104"/>
    <mergeCell ref="D104:E104"/>
    <mergeCell ref="A105:B105"/>
    <mergeCell ref="D105:E105"/>
    <mergeCell ref="A99:B99"/>
    <mergeCell ref="D99:E99"/>
    <mergeCell ref="A97:J97"/>
    <mergeCell ref="A103:B103"/>
    <mergeCell ref="D103:E103"/>
    <mergeCell ref="A102:B102"/>
    <mergeCell ref="D102:E102"/>
    <mergeCell ref="A100:B100"/>
    <mergeCell ref="D100:E100"/>
    <mergeCell ref="A101:B101"/>
    <mergeCell ref="D101:E101"/>
    <mergeCell ref="A94:B94"/>
    <mergeCell ref="D94:E94"/>
    <mergeCell ref="A93:B93"/>
    <mergeCell ref="D93:E93"/>
    <mergeCell ref="D134:E134"/>
    <mergeCell ref="A113:B113"/>
    <mergeCell ref="D113:E113"/>
    <mergeCell ref="A118:B118"/>
    <mergeCell ref="D118:E118"/>
    <mergeCell ref="A119:B119"/>
    <mergeCell ref="D119:E119"/>
    <mergeCell ref="A120:B120"/>
    <mergeCell ref="D120:E120"/>
    <mergeCell ref="A121:B121"/>
    <mergeCell ref="D121:E121"/>
    <mergeCell ref="A122:B122"/>
    <mergeCell ref="D122:E122"/>
    <mergeCell ref="A123:B123"/>
    <mergeCell ref="D123:E123"/>
    <mergeCell ref="A124:J124"/>
    <mergeCell ref="A125:B125"/>
    <mergeCell ref="D125:E125"/>
    <mergeCell ref="I116:J123"/>
    <mergeCell ref="I125:J131"/>
    <mergeCell ref="A126:B126"/>
    <mergeCell ref="D126:E126"/>
    <mergeCell ref="A127:B127"/>
    <mergeCell ref="D127:E127"/>
    <mergeCell ref="A152:J155"/>
    <mergeCell ref="A151:B151"/>
    <mergeCell ref="E151:G151"/>
    <mergeCell ref="C151:D151"/>
    <mergeCell ref="H151:J151"/>
    <mergeCell ref="A147:J147"/>
    <mergeCell ref="A148:J148"/>
    <mergeCell ref="A142:B142"/>
    <mergeCell ref="D142:E142"/>
    <mergeCell ref="I139:J142"/>
    <mergeCell ref="A143:J143"/>
    <mergeCell ref="A144:J144"/>
    <mergeCell ref="A145:J145"/>
    <mergeCell ref="A146:J146"/>
    <mergeCell ref="A162:B162"/>
    <mergeCell ref="D162:E162"/>
    <mergeCell ref="I162:J162"/>
    <mergeCell ref="A163:B163"/>
    <mergeCell ref="D163:E163"/>
    <mergeCell ref="I163:J163"/>
    <mergeCell ref="I156:J156"/>
    <mergeCell ref="A157:B157"/>
    <mergeCell ref="D157:E157"/>
    <mergeCell ref="I161:J161"/>
    <mergeCell ref="A166:B166"/>
    <mergeCell ref="D166:E166"/>
    <mergeCell ref="I166:J166"/>
    <mergeCell ref="A167:B167"/>
    <mergeCell ref="D167:E167"/>
    <mergeCell ref="I167:J167"/>
    <mergeCell ref="A164:B164"/>
    <mergeCell ref="D164:E164"/>
    <mergeCell ref="I164:J164"/>
    <mergeCell ref="A165:B165"/>
    <mergeCell ref="D165:E165"/>
    <mergeCell ref="I165:J165"/>
    <mergeCell ref="A170:B170"/>
    <mergeCell ref="D170:E170"/>
    <mergeCell ref="I170:J170"/>
    <mergeCell ref="A171:B171"/>
    <mergeCell ref="D171:E171"/>
    <mergeCell ref="I171:J171"/>
    <mergeCell ref="A168:B168"/>
    <mergeCell ref="D168:E168"/>
    <mergeCell ref="I168:J168"/>
    <mergeCell ref="A169:B169"/>
    <mergeCell ref="D169:E169"/>
    <mergeCell ref="I169:J169"/>
    <mergeCell ref="A174:B174"/>
    <mergeCell ref="D174:E174"/>
    <mergeCell ref="I174:J174"/>
    <mergeCell ref="A175:B175"/>
    <mergeCell ref="D175:E175"/>
    <mergeCell ref="I175:J175"/>
    <mergeCell ref="A172:B172"/>
    <mergeCell ref="D172:E172"/>
    <mergeCell ref="I172:J172"/>
    <mergeCell ref="A173:B173"/>
    <mergeCell ref="D173:E173"/>
    <mergeCell ref="I173:J173"/>
    <mergeCell ref="A178:B178"/>
    <mergeCell ref="D178:E178"/>
    <mergeCell ref="I178:J178"/>
    <mergeCell ref="A179:B179"/>
    <mergeCell ref="D179:E179"/>
    <mergeCell ref="I179:J179"/>
    <mergeCell ref="A176:B176"/>
    <mergeCell ref="D176:E176"/>
    <mergeCell ref="I176:J176"/>
    <mergeCell ref="A177:B177"/>
    <mergeCell ref="D177:E177"/>
    <mergeCell ref="I177:J177"/>
    <mergeCell ref="A182:B182"/>
    <mergeCell ref="D182:E182"/>
    <mergeCell ref="I182:J182"/>
    <mergeCell ref="A183:B183"/>
    <mergeCell ref="D183:E183"/>
    <mergeCell ref="I183:J183"/>
    <mergeCell ref="A180:B180"/>
    <mergeCell ref="D180:E180"/>
    <mergeCell ref="I180:J180"/>
    <mergeCell ref="A181:B181"/>
    <mergeCell ref="D181:E181"/>
    <mergeCell ref="I181:J181"/>
    <mergeCell ref="A186:B186"/>
    <mergeCell ref="D186:E186"/>
    <mergeCell ref="I186:J186"/>
    <mergeCell ref="A187:B187"/>
    <mergeCell ref="D187:E187"/>
    <mergeCell ref="I187:J187"/>
    <mergeCell ref="A184:B184"/>
    <mergeCell ref="D184:E184"/>
    <mergeCell ref="I184:J184"/>
    <mergeCell ref="A185:B185"/>
    <mergeCell ref="D185:E185"/>
    <mergeCell ref="I185:J185"/>
    <mergeCell ref="A190:B190"/>
    <mergeCell ref="D190:E190"/>
    <mergeCell ref="I190:J190"/>
    <mergeCell ref="A191:B191"/>
    <mergeCell ref="D191:E191"/>
    <mergeCell ref="I191:J191"/>
    <mergeCell ref="A188:B188"/>
    <mergeCell ref="D188:E188"/>
    <mergeCell ref="I188:J188"/>
    <mergeCell ref="A189:B189"/>
    <mergeCell ref="D189:E189"/>
    <mergeCell ref="I189:J189"/>
    <mergeCell ref="A194:B194"/>
    <mergeCell ref="D194:E194"/>
    <mergeCell ref="I194:J194"/>
    <mergeCell ref="A195:B195"/>
    <mergeCell ref="D195:E195"/>
    <mergeCell ref="I195:J195"/>
    <mergeCell ref="A192:B192"/>
    <mergeCell ref="D192:E192"/>
    <mergeCell ref="I192:J192"/>
    <mergeCell ref="A193:B193"/>
    <mergeCell ref="D193:E193"/>
    <mergeCell ref="I193:J193"/>
    <mergeCell ref="D198:E198"/>
    <mergeCell ref="I198:J198"/>
    <mergeCell ref="D199:E199"/>
    <mergeCell ref="I199:J199"/>
    <mergeCell ref="A196:B196"/>
    <mergeCell ref="D196:E196"/>
    <mergeCell ref="I196:J196"/>
    <mergeCell ref="A197:B197"/>
    <mergeCell ref="D197:E197"/>
    <mergeCell ref="I197:J197"/>
    <mergeCell ref="A199:B199"/>
    <mergeCell ref="D203:E203"/>
    <mergeCell ref="I203:J203"/>
    <mergeCell ref="A204:B204"/>
    <mergeCell ref="D204:E204"/>
    <mergeCell ref="I204:J204"/>
    <mergeCell ref="A200:B200"/>
    <mergeCell ref="D200:E200"/>
    <mergeCell ref="I200:J200"/>
    <mergeCell ref="A201:B201"/>
    <mergeCell ref="D201:E201"/>
    <mergeCell ref="I201:J201"/>
    <mergeCell ref="A207:B207"/>
    <mergeCell ref="D207:E207"/>
    <mergeCell ref="I207:J207"/>
    <mergeCell ref="A208:B208"/>
    <mergeCell ref="D208:E208"/>
    <mergeCell ref="I208:J208"/>
    <mergeCell ref="A205:B205"/>
    <mergeCell ref="D205:E205"/>
    <mergeCell ref="I205:J205"/>
    <mergeCell ref="A206:B206"/>
    <mergeCell ref="D206:E206"/>
    <mergeCell ref="I206:J206"/>
    <mergeCell ref="I209:J209"/>
    <mergeCell ref="A210:B210"/>
    <mergeCell ref="D210:E210"/>
    <mergeCell ref="I222:J222"/>
    <mergeCell ref="A219:B219"/>
    <mergeCell ref="D219:E219"/>
    <mergeCell ref="D220:E220"/>
    <mergeCell ref="I220:J220"/>
    <mergeCell ref="A217:B217"/>
    <mergeCell ref="D217:E217"/>
    <mergeCell ref="I217:J217"/>
    <mergeCell ref="A218:B218"/>
    <mergeCell ref="D218:E218"/>
    <mergeCell ref="I218:J218"/>
    <mergeCell ref="A221:B221"/>
    <mergeCell ref="D221:E221"/>
    <mergeCell ref="I221:J221"/>
    <mergeCell ref="A222:B222"/>
    <mergeCell ref="D222:E222"/>
    <mergeCell ref="I219:J219"/>
    <mergeCell ref="A220:B220"/>
    <mergeCell ref="I210:J210"/>
    <mergeCell ref="A211:B211"/>
    <mergeCell ref="A110:B110"/>
    <mergeCell ref="D110:E110"/>
    <mergeCell ref="D114:E114"/>
    <mergeCell ref="I216:J216"/>
    <mergeCell ref="A213:B213"/>
    <mergeCell ref="D213:E213"/>
    <mergeCell ref="I213:J213"/>
    <mergeCell ref="A214:B214"/>
    <mergeCell ref="D214:E214"/>
    <mergeCell ref="A149:J149"/>
    <mergeCell ref="A150:J150"/>
    <mergeCell ref="I214:J214"/>
    <mergeCell ref="A215:B215"/>
    <mergeCell ref="D215:E215"/>
    <mergeCell ref="I215:J215"/>
    <mergeCell ref="A216:B216"/>
    <mergeCell ref="D216:E216"/>
    <mergeCell ref="D211:E211"/>
    <mergeCell ref="I211:J211"/>
    <mergeCell ref="A212:B212"/>
    <mergeCell ref="D212:E212"/>
    <mergeCell ref="I212:J212"/>
    <mergeCell ref="A209:B209"/>
    <mergeCell ref="D209:E209"/>
    <mergeCell ref="A90:J90"/>
    <mergeCell ref="A115:J115"/>
    <mergeCell ref="A116:B116"/>
    <mergeCell ref="D116:E116"/>
    <mergeCell ref="D71:E71"/>
    <mergeCell ref="A117:B117"/>
    <mergeCell ref="D117:E117"/>
    <mergeCell ref="A111:B111"/>
    <mergeCell ref="D111:E111"/>
    <mergeCell ref="A112:B112"/>
    <mergeCell ref="D112:E112"/>
    <mergeCell ref="A95:B95"/>
    <mergeCell ref="D95:E95"/>
    <mergeCell ref="A96:B96"/>
    <mergeCell ref="D96:E96"/>
    <mergeCell ref="A114:B114"/>
    <mergeCell ref="A106:J106"/>
    <mergeCell ref="A107:B107"/>
    <mergeCell ref="D107:E107"/>
    <mergeCell ref="A108:B108"/>
    <mergeCell ref="D108:E108"/>
    <mergeCell ref="A109:B109"/>
    <mergeCell ref="D109:E109"/>
    <mergeCell ref="I107:J114"/>
    <mergeCell ref="A130:B130"/>
    <mergeCell ref="D130:E130"/>
    <mergeCell ref="A131:B131"/>
    <mergeCell ref="D131:E131"/>
    <mergeCell ref="A128:B128"/>
    <mergeCell ref="D128:E128"/>
    <mergeCell ref="A129:B129"/>
    <mergeCell ref="D129:E129"/>
    <mergeCell ref="A132:J132"/>
    <mergeCell ref="A138:J138"/>
    <mergeCell ref="A139:B139"/>
    <mergeCell ref="D139:E139"/>
    <mergeCell ref="A140:B140"/>
    <mergeCell ref="D140:E140"/>
    <mergeCell ref="A141:B141"/>
    <mergeCell ref="D141:E141"/>
    <mergeCell ref="A137:B137"/>
    <mergeCell ref="D137:E137"/>
    <mergeCell ref="E62:F62"/>
    <mergeCell ref="H47:J47"/>
    <mergeCell ref="A135:B135"/>
    <mergeCell ref="D135:E135"/>
    <mergeCell ref="A136:B136"/>
    <mergeCell ref="D136:E136"/>
    <mergeCell ref="A133:B133"/>
    <mergeCell ref="D133:E133"/>
    <mergeCell ref="A134:B134"/>
    <mergeCell ref="I133:J137"/>
    <mergeCell ref="A61:B61"/>
    <mergeCell ref="C61:J61"/>
    <mergeCell ref="I62:J62"/>
    <mergeCell ref="A63:B63"/>
    <mergeCell ref="C63:J63"/>
    <mergeCell ref="A64:B64"/>
    <mergeCell ref="D64:E64"/>
    <mergeCell ref="F64:G64"/>
    <mergeCell ref="H64:J64"/>
    <mergeCell ref="A65:B65"/>
    <mergeCell ref="D65:E65"/>
    <mergeCell ref="F65:G74"/>
    <mergeCell ref="H65:J74"/>
    <mergeCell ref="D66:E66"/>
    <mergeCell ref="A51:C51"/>
    <mergeCell ref="D50:J50"/>
    <mergeCell ref="A56:C56"/>
    <mergeCell ref="D56:J56"/>
    <mergeCell ref="A52:C52"/>
    <mergeCell ref="D52:J52"/>
    <mergeCell ref="A53:C53"/>
    <mergeCell ref="D53:J53"/>
    <mergeCell ref="D51:J51"/>
    <mergeCell ref="A57:C57"/>
    <mergeCell ref="D57:J57"/>
    <mergeCell ref="A58:C58"/>
    <mergeCell ref="D58:J58"/>
    <mergeCell ref="A59:C59"/>
    <mergeCell ref="D59:J59"/>
    <mergeCell ref="A60:C60"/>
    <mergeCell ref="D60:J60"/>
    <mergeCell ref="D54:J54"/>
  </mergeCells>
  <hyperlinks>
    <hyperlink ref="C33" r:id="rId1" xr:uid="{320D7924-F760-4E4E-A269-488EA2AD2101}"/>
  </hyperlinks>
  <pageMargins left="0.39370078740157483" right="0.39370078740157483" top="0.78740157480314965" bottom="0.78740157480314965" header="0.19685039370078741" footer="0.19685039370078741"/>
  <pageSetup scale="99" fitToHeight="0" orientation="portrait" r:id="rId2"/>
  <headerFooter>
    <oddHeader>&amp;C&amp;"Times New Roman,Bold"&amp;20&amp;G</oddHeader>
    <oddFooter>&amp;L&amp;"Times New Roman,Bold"&amp;12Ref No: &amp;F&amp;C&amp;G&amp;R&amp;"Times New Roman,Bold"&amp;12&amp;P</oddFooter>
  </headerFooter>
  <rowBreaks count="3" manualBreakCount="3">
    <brk id="74" max="16383" man="1"/>
    <brk id="155" max="16383" man="1"/>
    <brk id="19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6" sqref="C6"/>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131</v>
      </c>
      <c r="B2" s="22" t="s">
        <v>132</v>
      </c>
      <c r="C2" s="22" t="s">
        <v>133</v>
      </c>
      <c r="D2" s="202" t="s">
        <v>134</v>
      </c>
      <c r="E2" s="202"/>
    </row>
    <row r="3" spans="1:13" x14ac:dyDescent="0.25">
      <c r="A3" s="25">
        <v>1</v>
      </c>
      <c r="B3" s="25">
        <v>0</v>
      </c>
      <c r="C3" s="25">
        <v>1</v>
      </c>
      <c r="D3" s="203">
        <v>10</v>
      </c>
      <c r="E3" s="203"/>
    </row>
    <row r="5" spans="1:13" hidden="1" x14ac:dyDescent="0.25">
      <c r="A5" s="21" t="s">
        <v>96</v>
      </c>
      <c r="B5" s="23" t="s">
        <v>148</v>
      </c>
      <c r="C5" s="23">
        <f>D3</f>
        <v>10</v>
      </c>
      <c r="D5" s="24"/>
    </row>
    <row r="6" spans="1:13" x14ac:dyDescent="0.25">
      <c r="A6" s="21" t="s">
        <v>97</v>
      </c>
      <c r="B6" s="26">
        <v>10</v>
      </c>
      <c r="C6" s="27">
        <v>5</v>
      </c>
      <c r="D6" s="28">
        <f>((100/B6)*C6)/100</f>
        <v>0.5</v>
      </c>
    </row>
    <row r="7" spans="1:13" x14ac:dyDescent="0.25">
      <c r="A7" s="21" t="s">
        <v>98</v>
      </c>
      <c r="B7" s="26">
        <f>A3+B3+C3+D3</f>
        <v>12</v>
      </c>
      <c r="C7" s="27">
        <v>0</v>
      </c>
      <c r="D7" s="28">
        <f t="shared" ref="D7:D12" si="0">((100/B7)*C7)/100</f>
        <v>0</v>
      </c>
      <c r="F7" s="205" t="s">
        <v>149</v>
      </c>
      <c r="G7" s="205"/>
      <c r="H7" s="29" t="s">
        <v>150</v>
      </c>
      <c r="J7" s="35"/>
    </row>
    <row r="8" spans="1:13" x14ac:dyDescent="0.25">
      <c r="A8" s="21" t="s">
        <v>103</v>
      </c>
      <c r="B8" s="26">
        <f>C5</f>
        <v>10</v>
      </c>
      <c r="C8" s="27">
        <v>0</v>
      </c>
      <c r="D8" s="28">
        <f t="shared" si="0"/>
        <v>0</v>
      </c>
      <c r="F8" s="204" t="s">
        <v>151</v>
      </c>
      <c r="G8" s="204"/>
      <c r="H8" s="26" t="s">
        <v>152</v>
      </c>
    </row>
    <row r="9" spans="1:13" x14ac:dyDescent="0.25">
      <c r="A9" s="21" t="s">
        <v>105</v>
      </c>
      <c r="B9" s="26">
        <f>C5</f>
        <v>10</v>
      </c>
      <c r="C9" s="27">
        <v>0</v>
      </c>
      <c r="D9" s="28">
        <f t="shared" si="0"/>
        <v>0</v>
      </c>
      <c r="F9" s="204" t="s">
        <v>153</v>
      </c>
      <c r="G9" s="204"/>
      <c r="H9" s="26" t="s">
        <v>154</v>
      </c>
    </row>
    <row r="10" spans="1:13" x14ac:dyDescent="0.25">
      <c r="A10" s="21" t="s">
        <v>68</v>
      </c>
      <c r="B10" s="26">
        <f>C5</f>
        <v>10</v>
      </c>
      <c r="C10" s="27">
        <v>0</v>
      </c>
      <c r="D10" s="28">
        <f t="shared" si="0"/>
        <v>0</v>
      </c>
      <c r="F10" s="204" t="s">
        <v>155</v>
      </c>
      <c r="G10" s="204"/>
      <c r="H10" s="26" t="s">
        <v>156</v>
      </c>
    </row>
    <row r="11" spans="1:13" x14ac:dyDescent="0.25">
      <c r="A11" s="30" t="s">
        <v>101</v>
      </c>
      <c r="B11" s="26">
        <f>C5</f>
        <v>10</v>
      </c>
      <c r="C11" s="27">
        <v>0</v>
      </c>
      <c r="D11" s="28">
        <f t="shared" si="0"/>
        <v>0</v>
      </c>
      <c r="F11" s="204" t="s">
        <v>157</v>
      </c>
      <c r="G11" s="204"/>
      <c r="H11" s="26" t="s">
        <v>158</v>
      </c>
    </row>
    <row r="12" spans="1:13" x14ac:dyDescent="0.25">
      <c r="A12" s="21" t="s">
        <v>69</v>
      </c>
      <c r="B12" s="26">
        <f>C5</f>
        <v>10</v>
      </c>
      <c r="C12" s="27">
        <v>0</v>
      </c>
      <c r="D12" s="28">
        <f t="shared" si="0"/>
        <v>0</v>
      </c>
      <c r="F12" s="204" t="s">
        <v>159</v>
      </c>
      <c r="G12" s="204"/>
      <c r="H12" s="26" t="s">
        <v>160</v>
      </c>
    </row>
    <row r="13" spans="1:13" x14ac:dyDescent="0.25">
      <c r="F13" s="204" t="s">
        <v>161</v>
      </c>
      <c r="G13" s="204"/>
      <c r="H13" s="26" t="s">
        <v>162</v>
      </c>
    </row>
    <row r="14" spans="1:13" hidden="1" x14ac:dyDescent="0.25">
      <c r="A14" s="22"/>
      <c r="B14" s="22" t="s">
        <v>102</v>
      </c>
      <c r="C14" s="22" t="s">
        <v>106</v>
      </c>
      <c r="G14" s="22" t="s">
        <v>97</v>
      </c>
      <c r="H14" s="22" t="s">
        <v>99</v>
      </c>
      <c r="I14" s="22" t="s">
        <v>100</v>
      </c>
      <c r="J14" s="22" t="s">
        <v>67</v>
      </c>
      <c r="K14" s="22" t="s">
        <v>68</v>
      </c>
      <c r="L14" s="22" t="s">
        <v>101</v>
      </c>
      <c r="M14" s="22" t="s">
        <v>69</v>
      </c>
    </row>
    <row r="15" spans="1:13" hidden="1" x14ac:dyDescent="0.25">
      <c r="A15" s="22" t="s">
        <v>65</v>
      </c>
      <c r="B15" s="22">
        <f>G15</f>
        <v>5</v>
      </c>
      <c r="C15" s="22">
        <f>G16</f>
        <v>25</v>
      </c>
      <c r="E15" s="202" t="s">
        <v>102</v>
      </c>
      <c r="F15" s="202"/>
      <c r="G15" s="31">
        <f>C6</f>
        <v>5</v>
      </c>
      <c r="H15" s="31">
        <f>40/B7*C7</f>
        <v>0</v>
      </c>
      <c r="I15" s="31">
        <f>15/B8*C8</f>
        <v>0</v>
      </c>
      <c r="J15" s="31">
        <f>10/B9*C9</f>
        <v>0</v>
      </c>
      <c r="K15" s="31">
        <f>10/B10*C10</f>
        <v>0</v>
      </c>
      <c r="L15" s="31">
        <f>5/B11*C11</f>
        <v>0</v>
      </c>
      <c r="M15" s="31">
        <f>5/B12*C12</f>
        <v>0</v>
      </c>
    </row>
    <row r="16" spans="1:13" hidden="1" x14ac:dyDescent="0.25">
      <c r="A16" s="22" t="s">
        <v>66</v>
      </c>
      <c r="B16" s="22">
        <f>H15</f>
        <v>0</v>
      </c>
      <c r="C16" s="22">
        <f>H16</f>
        <v>0</v>
      </c>
      <c r="E16" s="202" t="s">
        <v>104</v>
      </c>
      <c r="F16" s="202"/>
      <c r="G16" s="22">
        <f>G15+20</f>
        <v>25</v>
      </c>
      <c r="H16" s="22">
        <f>30/B7*C7</f>
        <v>0</v>
      </c>
      <c r="I16" s="22">
        <f>15/B8*C8</f>
        <v>0</v>
      </c>
      <c r="J16" s="22">
        <f>10/B9*C9</f>
        <v>0</v>
      </c>
      <c r="K16" s="22">
        <f>5/B10*C10</f>
        <v>0</v>
      </c>
      <c r="L16" s="22">
        <f>5/B11*C11</f>
        <v>0</v>
      </c>
      <c r="M16" s="22">
        <f>5/B12*C12</f>
        <v>0</v>
      </c>
    </row>
    <row r="17" spans="1:8" hidden="1" x14ac:dyDescent="0.25">
      <c r="A17" s="22" t="s">
        <v>100</v>
      </c>
      <c r="B17" s="22">
        <f>I15</f>
        <v>0</v>
      </c>
      <c r="C17" s="22">
        <f>I16</f>
        <v>0</v>
      </c>
    </row>
    <row r="18" spans="1:8" hidden="1" x14ac:dyDescent="0.25">
      <c r="A18" s="22" t="s">
        <v>67</v>
      </c>
      <c r="B18" s="22">
        <f>J15</f>
        <v>0</v>
      </c>
      <c r="C18" s="22">
        <f>J16</f>
        <v>0</v>
      </c>
    </row>
    <row r="19" spans="1:8" hidden="1" x14ac:dyDescent="0.25">
      <c r="A19" s="22" t="s">
        <v>68</v>
      </c>
      <c r="B19" s="22">
        <f>K15</f>
        <v>0</v>
      </c>
      <c r="C19" s="22">
        <f>K16</f>
        <v>0</v>
      </c>
    </row>
    <row r="20" spans="1:8" hidden="1" x14ac:dyDescent="0.25">
      <c r="A20" s="32" t="s">
        <v>101</v>
      </c>
      <c r="B20" s="22">
        <f>L15</f>
        <v>0</v>
      </c>
      <c r="C20" s="22">
        <f>L16</f>
        <v>0</v>
      </c>
    </row>
    <row r="21" spans="1:8" hidden="1" x14ac:dyDescent="0.25">
      <c r="A21" s="22" t="s">
        <v>69</v>
      </c>
      <c r="B21" s="22">
        <f>M15</f>
        <v>0</v>
      </c>
      <c r="C21" s="22">
        <f>M16</f>
        <v>0</v>
      </c>
    </row>
    <row r="22" spans="1:8" x14ac:dyDescent="0.25">
      <c r="A22" s="22" t="s">
        <v>107</v>
      </c>
      <c r="B22" s="33">
        <f>(B15+B16+B17+B18+B19+B20+B21)/100</f>
        <v>0.05</v>
      </c>
      <c r="C22" s="33">
        <f>(C15+C16+C17+C18+C19+C20+C21)/100</f>
        <v>0.25</v>
      </c>
      <c r="F22" s="204" t="s">
        <v>163</v>
      </c>
      <c r="G22" s="204"/>
      <c r="H22" s="26" t="s">
        <v>154</v>
      </c>
    </row>
    <row r="23" spans="1:8" x14ac:dyDescent="0.25">
      <c r="F23" s="204" t="s">
        <v>164</v>
      </c>
      <c r="G23" s="204"/>
      <c r="H23" s="26" t="s">
        <v>165</v>
      </c>
    </row>
    <row r="24" spans="1:8" x14ac:dyDescent="0.25">
      <c r="A24" s="21" t="s">
        <v>138</v>
      </c>
      <c r="B24" s="34">
        <v>0.01</v>
      </c>
      <c r="C24" s="34">
        <v>0.02</v>
      </c>
      <c r="F24" s="204" t="s">
        <v>166</v>
      </c>
      <c r="G24" s="204"/>
      <c r="H24" s="26" t="s">
        <v>167</v>
      </c>
    </row>
    <row r="25" spans="1:8" x14ac:dyDescent="0.25">
      <c r="A25" s="21" t="s">
        <v>139</v>
      </c>
      <c r="B25" s="34">
        <v>0.01</v>
      </c>
      <c r="C25" s="34">
        <v>0.03</v>
      </c>
    </row>
    <row r="26" spans="1:8" x14ac:dyDescent="0.25">
      <c r="A26" s="21" t="s">
        <v>140</v>
      </c>
      <c r="B26" s="34">
        <v>0.03</v>
      </c>
      <c r="C26" s="34">
        <v>0.08</v>
      </c>
    </row>
    <row r="27" spans="1:8" x14ac:dyDescent="0.25">
      <c r="A27" s="21" t="s">
        <v>141</v>
      </c>
      <c r="B27" s="34">
        <v>0.05</v>
      </c>
      <c r="C27" s="34">
        <v>0.15</v>
      </c>
    </row>
    <row r="28" spans="1:8" x14ac:dyDescent="0.25">
      <c r="A28" s="21" t="s">
        <v>142</v>
      </c>
      <c r="B28" s="34">
        <v>7.0000000000000007E-2</v>
      </c>
      <c r="C28" s="34">
        <v>0.2</v>
      </c>
    </row>
    <row r="29" spans="1:8" x14ac:dyDescent="0.25">
      <c r="A29" s="21" t="s">
        <v>143</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28" workbookViewId="0">
      <selection activeCell="A38" sqref="A38"/>
    </sheetView>
  </sheetViews>
  <sheetFormatPr defaultRowHeight="14.4" x14ac:dyDescent="0.3"/>
  <cols>
    <col min="2" max="2" width="12.33203125" customWidth="1"/>
  </cols>
  <sheetData>
    <row r="2" spans="1:12" x14ac:dyDescent="0.3">
      <c r="B2" s="5" t="s">
        <v>108</v>
      </c>
      <c r="C2" s="206"/>
      <c r="D2" s="206"/>
    </row>
    <row r="3" spans="1:12" x14ac:dyDescent="0.3">
      <c r="D3" s="6"/>
      <c r="E3" s="6"/>
      <c r="F3" s="6"/>
      <c r="G3" s="6"/>
      <c r="H3" s="6"/>
      <c r="I3" s="6"/>
    </row>
    <row r="4" spans="1:12" x14ac:dyDescent="0.3">
      <c r="A4" s="5" t="s">
        <v>109</v>
      </c>
      <c r="B4" s="7" t="s">
        <v>110</v>
      </c>
      <c r="C4" s="207" t="s">
        <v>111</v>
      </c>
      <c r="D4" s="207"/>
      <c r="E4" s="207"/>
      <c r="F4" s="8"/>
      <c r="G4" s="207" t="s">
        <v>112</v>
      </c>
      <c r="H4" s="207"/>
      <c r="I4" s="207"/>
      <c r="J4" s="207" t="s">
        <v>113</v>
      </c>
      <c r="K4" s="207"/>
      <c r="L4" s="207"/>
    </row>
    <row r="5" spans="1:12" x14ac:dyDescent="0.3">
      <c r="A5" s="5">
        <v>1</v>
      </c>
      <c r="B5" s="7"/>
      <c r="C5" s="7" t="s">
        <v>114</v>
      </c>
      <c r="D5" s="7" t="s">
        <v>115</v>
      </c>
      <c r="E5" s="7" t="s">
        <v>76</v>
      </c>
      <c r="F5" s="7"/>
      <c r="G5" s="7" t="s">
        <v>114</v>
      </c>
      <c r="H5" s="7" t="s">
        <v>115</v>
      </c>
      <c r="I5" s="7" t="s">
        <v>76</v>
      </c>
      <c r="J5" s="7" t="s">
        <v>114</v>
      </c>
      <c r="K5" s="7" t="s">
        <v>115</v>
      </c>
      <c r="L5" s="7" t="s">
        <v>76</v>
      </c>
    </row>
    <row r="6" spans="1:12" x14ac:dyDescent="0.3">
      <c r="B6" s="9" t="s">
        <v>116</v>
      </c>
      <c r="C6" s="9">
        <v>2.85</v>
      </c>
      <c r="D6" s="9">
        <v>4.2</v>
      </c>
      <c r="E6" s="9">
        <f>C6*D6</f>
        <v>11.97</v>
      </c>
      <c r="F6" s="9" t="s">
        <v>117</v>
      </c>
      <c r="G6" s="9"/>
      <c r="H6" s="9"/>
      <c r="I6" s="9">
        <f>G6*H6</f>
        <v>0</v>
      </c>
      <c r="J6" s="9"/>
      <c r="K6" s="9"/>
      <c r="L6" s="9">
        <f>J6*K6</f>
        <v>0</v>
      </c>
    </row>
    <row r="7" spans="1:12" x14ac:dyDescent="0.3">
      <c r="B7" s="9"/>
      <c r="C7" s="9"/>
      <c r="D7" s="9"/>
      <c r="E7" s="9">
        <f t="shared" ref="E7:E33" si="0">C7*D7</f>
        <v>0</v>
      </c>
      <c r="F7" s="9" t="s">
        <v>118</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119</v>
      </c>
      <c r="C9" s="9">
        <v>1.95</v>
      </c>
      <c r="D9" s="9">
        <v>1.8</v>
      </c>
      <c r="E9" s="9">
        <f t="shared" si="0"/>
        <v>3.51</v>
      </c>
      <c r="F9" s="9" t="s">
        <v>117</v>
      </c>
      <c r="G9" s="9"/>
      <c r="H9" s="9"/>
      <c r="I9" s="9">
        <f t="shared" si="1"/>
        <v>0</v>
      </c>
      <c r="J9" s="9"/>
      <c r="K9" s="9"/>
      <c r="L9" s="9">
        <f t="shared" si="2"/>
        <v>0</v>
      </c>
    </row>
    <row r="10" spans="1:12" x14ac:dyDescent="0.3">
      <c r="B10" s="9"/>
      <c r="C10" s="9"/>
      <c r="D10" s="9"/>
      <c r="E10" s="9">
        <f t="shared" si="0"/>
        <v>0</v>
      </c>
      <c r="F10" s="9" t="s">
        <v>118</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120</v>
      </c>
      <c r="C13" s="9">
        <v>1.85</v>
      </c>
      <c r="D13" s="9">
        <v>2.75</v>
      </c>
      <c r="E13" s="9">
        <f t="shared" si="0"/>
        <v>5.0875000000000004</v>
      </c>
      <c r="F13" s="9" t="s">
        <v>117</v>
      </c>
      <c r="G13" s="9"/>
      <c r="H13" s="9"/>
      <c r="I13" s="9">
        <f t="shared" si="1"/>
        <v>0</v>
      </c>
      <c r="J13" s="9"/>
      <c r="K13" s="9"/>
      <c r="L13" s="9">
        <f t="shared" si="2"/>
        <v>0</v>
      </c>
    </row>
    <row r="14" spans="1:12" x14ac:dyDescent="0.3">
      <c r="B14" s="9"/>
      <c r="C14" s="9"/>
      <c r="D14" s="9"/>
      <c r="E14" s="9">
        <f t="shared" si="0"/>
        <v>0</v>
      </c>
      <c r="F14" s="9" t="s">
        <v>118</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121</v>
      </c>
      <c r="C17" s="9"/>
      <c r="D17" s="9"/>
      <c r="E17" s="9">
        <f t="shared" si="0"/>
        <v>0</v>
      </c>
      <c r="F17" s="9" t="s">
        <v>117</v>
      </c>
      <c r="G17" s="9"/>
      <c r="H17" s="9"/>
      <c r="I17" s="9">
        <f t="shared" si="1"/>
        <v>0</v>
      </c>
      <c r="J17" s="9"/>
      <c r="K17" s="9"/>
      <c r="L17" s="9">
        <f t="shared" si="2"/>
        <v>0</v>
      </c>
    </row>
    <row r="18" spans="2:12" x14ac:dyDescent="0.3">
      <c r="B18" s="9"/>
      <c r="C18" s="9"/>
      <c r="D18" s="9"/>
      <c r="E18" s="9">
        <f t="shared" si="0"/>
        <v>0</v>
      </c>
      <c r="F18" s="9" t="s">
        <v>118</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121</v>
      </c>
      <c r="C20" s="9"/>
      <c r="D20" s="9"/>
      <c r="E20" s="9">
        <f t="shared" si="0"/>
        <v>0</v>
      </c>
      <c r="F20" s="9" t="s">
        <v>117</v>
      </c>
      <c r="G20" s="9"/>
      <c r="H20" s="9"/>
      <c r="I20" s="9">
        <f t="shared" si="1"/>
        <v>0</v>
      </c>
      <c r="J20" s="9"/>
      <c r="K20" s="9"/>
      <c r="L20" s="9">
        <f t="shared" si="2"/>
        <v>0</v>
      </c>
    </row>
    <row r="21" spans="2:12" x14ac:dyDescent="0.3">
      <c r="B21" s="9"/>
      <c r="C21" s="9"/>
      <c r="D21" s="9"/>
      <c r="E21" s="9">
        <f t="shared" si="0"/>
        <v>0</v>
      </c>
      <c r="F21" s="9" t="s">
        <v>118</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122</v>
      </c>
      <c r="C23" s="9">
        <v>1.85</v>
      </c>
      <c r="D23" s="9">
        <v>1.1000000000000001</v>
      </c>
      <c r="E23" s="9">
        <f t="shared" si="0"/>
        <v>2.0350000000000001</v>
      </c>
      <c r="F23" s="9" t="s">
        <v>123</v>
      </c>
      <c r="G23" s="9"/>
      <c r="H23" s="9"/>
      <c r="I23" s="9">
        <f t="shared" si="1"/>
        <v>0</v>
      </c>
      <c r="J23" s="9"/>
      <c r="K23" s="9"/>
      <c r="L23" s="9">
        <f t="shared" si="2"/>
        <v>0</v>
      </c>
    </row>
    <row r="24" spans="2:12" x14ac:dyDescent="0.3">
      <c r="B24" s="9" t="s">
        <v>124</v>
      </c>
      <c r="C24" s="9">
        <v>1.8</v>
      </c>
      <c r="D24" s="9">
        <v>1</v>
      </c>
      <c r="E24" s="9">
        <f t="shared" si="0"/>
        <v>1.8</v>
      </c>
      <c r="F24" s="9" t="s">
        <v>123</v>
      </c>
      <c r="G24" s="9"/>
      <c r="H24" s="9"/>
      <c r="I24" s="9">
        <f t="shared" si="1"/>
        <v>0</v>
      </c>
      <c r="J24" s="9"/>
      <c r="K24" s="9"/>
      <c r="L24" s="9">
        <f t="shared" si="2"/>
        <v>0</v>
      </c>
    </row>
    <row r="25" spans="2:12" x14ac:dyDescent="0.3">
      <c r="B25" s="9" t="s">
        <v>125</v>
      </c>
      <c r="C25" s="9"/>
      <c r="D25" s="9"/>
      <c r="E25" s="9">
        <f t="shared" si="0"/>
        <v>0</v>
      </c>
      <c r="F25" s="9" t="s">
        <v>123</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126</v>
      </c>
      <c r="C27" s="9">
        <v>1.85</v>
      </c>
      <c r="D27" s="9">
        <v>0.85</v>
      </c>
      <c r="E27" s="9">
        <f t="shared" si="0"/>
        <v>1.5725</v>
      </c>
      <c r="F27" s="9"/>
      <c r="G27" s="9"/>
      <c r="H27" s="9"/>
      <c r="I27" s="9">
        <f t="shared" si="1"/>
        <v>0</v>
      </c>
      <c r="J27" s="9"/>
      <c r="K27" s="9"/>
      <c r="L27" s="9">
        <f t="shared" si="2"/>
        <v>0</v>
      </c>
    </row>
    <row r="28" spans="2:12" x14ac:dyDescent="0.3">
      <c r="B28" s="9" t="s">
        <v>127</v>
      </c>
      <c r="C28" s="9">
        <v>1</v>
      </c>
      <c r="D28" s="9">
        <v>3.8</v>
      </c>
      <c r="E28" s="9">
        <f t="shared" si="0"/>
        <v>3.8</v>
      </c>
      <c r="F28" s="9"/>
      <c r="G28" s="9"/>
      <c r="H28" s="9"/>
      <c r="I28" s="9">
        <f t="shared" si="1"/>
        <v>0</v>
      </c>
      <c r="J28" s="9"/>
      <c r="K28" s="9"/>
      <c r="L28" s="9">
        <f t="shared" si="2"/>
        <v>0</v>
      </c>
    </row>
    <row r="29" spans="2:12" x14ac:dyDescent="0.3">
      <c r="B29" s="9" t="s">
        <v>128</v>
      </c>
      <c r="C29" s="9"/>
      <c r="D29" s="9"/>
      <c r="E29" s="9">
        <f t="shared" si="0"/>
        <v>0</v>
      </c>
      <c r="F29" s="9"/>
      <c r="G29" s="9"/>
      <c r="H29" s="9"/>
      <c r="I29" s="9">
        <f t="shared" si="1"/>
        <v>0</v>
      </c>
      <c r="J29" s="9"/>
      <c r="K29" s="9"/>
      <c r="L29" s="9">
        <f t="shared" si="2"/>
        <v>0</v>
      </c>
    </row>
    <row r="30" spans="2:12" x14ac:dyDescent="0.3">
      <c r="B30" s="9" t="s">
        <v>129</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77</v>
      </c>
      <c r="C34" s="9"/>
      <c r="D34" s="9">
        <f>E34*10.764</f>
        <v>320.49810000000002</v>
      </c>
      <c r="E34" s="9">
        <f>SUM(E6:E33)</f>
        <v>29.775000000000006</v>
      </c>
      <c r="F34" s="9"/>
      <c r="G34" s="9"/>
      <c r="H34" s="9">
        <f>I34*10.764</f>
        <v>0</v>
      </c>
      <c r="I34" s="9">
        <f>SUM(I6:I33)</f>
        <v>0</v>
      </c>
      <c r="J34" s="9"/>
      <c r="K34" s="9">
        <f>L34*10.764</f>
        <v>0</v>
      </c>
      <c r="L34" s="9">
        <f>SUM(L6:L33)</f>
        <v>0</v>
      </c>
    </row>
    <row r="36" spans="2:12" x14ac:dyDescent="0.3">
      <c r="D36">
        <f>D34+H34</f>
        <v>320.49810000000002</v>
      </c>
      <c r="E36">
        <f>E34+I34</f>
        <v>29.775000000000006</v>
      </c>
    </row>
  </sheetData>
  <mergeCells count="4">
    <mergeCell ref="C2:D2"/>
    <mergeCell ref="C4:E4"/>
    <mergeCell ref="G4:I4"/>
    <mergeCell ref="J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6"/>
  <sheetViews>
    <sheetView topLeftCell="A19" workbookViewId="0">
      <selection activeCell="E36" sqref="E36"/>
    </sheetView>
  </sheetViews>
  <sheetFormatPr defaultRowHeight="14.4" x14ac:dyDescent="0.3"/>
  <cols>
    <col min="2" max="2" width="12.33203125" customWidth="1"/>
  </cols>
  <sheetData>
    <row r="2" spans="1:12" x14ac:dyDescent="0.3">
      <c r="B2" s="5" t="s">
        <v>108</v>
      </c>
      <c r="C2" s="206"/>
      <c r="D2" s="206"/>
    </row>
    <row r="3" spans="1:12" x14ac:dyDescent="0.3">
      <c r="D3" s="6"/>
      <c r="E3" s="6"/>
      <c r="F3" s="6"/>
      <c r="G3" s="6"/>
      <c r="H3" s="6"/>
      <c r="I3" s="6"/>
    </row>
    <row r="4" spans="1:12" x14ac:dyDescent="0.3">
      <c r="A4" s="5" t="s">
        <v>109</v>
      </c>
      <c r="B4" s="7" t="s">
        <v>110</v>
      </c>
      <c r="C4" s="207" t="s">
        <v>111</v>
      </c>
      <c r="D4" s="207"/>
      <c r="E4" s="207"/>
      <c r="F4" s="8"/>
      <c r="G4" s="207" t="s">
        <v>112</v>
      </c>
      <c r="H4" s="207"/>
      <c r="I4" s="207"/>
      <c r="J4" s="207" t="s">
        <v>113</v>
      </c>
      <c r="K4" s="207"/>
      <c r="L4" s="207"/>
    </row>
    <row r="5" spans="1:12" x14ac:dyDescent="0.3">
      <c r="A5" s="5">
        <v>1</v>
      </c>
      <c r="B5" s="7"/>
      <c r="C5" s="7" t="s">
        <v>114</v>
      </c>
      <c r="D5" s="7" t="s">
        <v>115</v>
      </c>
      <c r="E5" s="7" t="s">
        <v>76</v>
      </c>
      <c r="F5" s="7"/>
      <c r="G5" s="7" t="s">
        <v>114</v>
      </c>
      <c r="H5" s="7" t="s">
        <v>115</v>
      </c>
      <c r="I5" s="7" t="s">
        <v>76</v>
      </c>
      <c r="J5" s="7" t="s">
        <v>114</v>
      </c>
      <c r="K5" s="7" t="s">
        <v>115</v>
      </c>
      <c r="L5" s="7" t="s">
        <v>76</v>
      </c>
    </row>
    <row r="6" spans="1:12" x14ac:dyDescent="0.3">
      <c r="B6" s="9" t="s">
        <v>116</v>
      </c>
      <c r="C6" s="9">
        <v>3.2</v>
      </c>
      <c r="D6" s="9">
        <v>3.75</v>
      </c>
      <c r="E6" s="9">
        <f>C6*D6</f>
        <v>12</v>
      </c>
      <c r="F6" s="9" t="s">
        <v>117</v>
      </c>
      <c r="G6" s="9">
        <v>2</v>
      </c>
      <c r="H6" s="9">
        <v>2.75</v>
      </c>
      <c r="I6" s="9">
        <f>G6*H6</f>
        <v>5.5</v>
      </c>
      <c r="J6" s="9"/>
      <c r="K6" s="9"/>
      <c r="L6" s="9">
        <f>J6*K6</f>
        <v>0</v>
      </c>
    </row>
    <row r="7" spans="1:12" x14ac:dyDescent="0.3">
      <c r="B7" s="9"/>
      <c r="C7" s="9"/>
      <c r="D7" s="9"/>
      <c r="E7" s="9">
        <f t="shared" ref="E7:E33" si="0">C7*D7</f>
        <v>0</v>
      </c>
      <c r="F7" s="9" t="s">
        <v>118</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119</v>
      </c>
      <c r="C9" s="9">
        <v>1.8</v>
      </c>
      <c r="D9" s="9">
        <v>0.85</v>
      </c>
      <c r="E9" s="9">
        <f t="shared" si="0"/>
        <v>1.53</v>
      </c>
      <c r="F9" s="9" t="s">
        <v>117</v>
      </c>
      <c r="G9" s="9"/>
      <c r="H9" s="9"/>
      <c r="I9" s="9">
        <f t="shared" si="1"/>
        <v>0</v>
      </c>
      <c r="J9" s="9"/>
      <c r="K9" s="9"/>
      <c r="L9" s="9">
        <f t="shared" si="2"/>
        <v>0</v>
      </c>
    </row>
    <row r="10" spans="1:12" x14ac:dyDescent="0.3">
      <c r="B10" s="9"/>
      <c r="C10" s="9"/>
      <c r="D10" s="9"/>
      <c r="E10" s="9">
        <f t="shared" si="0"/>
        <v>0</v>
      </c>
      <c r="F10" s="9" t="s">
        <v>118</v>
      </c>
      <c r="G10" s="9">
        <v>1.8</v>
      </c>
      <c r="H10" s="9">
        <v>2.0499999999999998</v>
      </c>
      <c r="I10" s="9">
        <f t="shared" si="1"/>
        <v>3.69</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120</v>
      </c>
      <c r="C13" s="9">
        <v>1.4</v>
      </c>
      <c r="D13" s="9">
        <v>2.75</v>
      </c>
      <c r="E13" s="9">
        <f t="shared" si="0"/>
        <v>3.8499999999999996</v>
      </c>
      <c r="F13" s="9" t="s">
        <v>117</v>
      </c>
      <c r="G13" s="9"/>
      <c r="H13" s="9"/>
      <c r="I13" s="9">
        <f t="shared" si="1"/>
        <v>0</v>
      </c>
      <c r="J13" s="9"/>
      <c r="K13" s="9"/>
      <c r="L13" s="9">
        <f t="shared" si="2"/>
        <v>0</v>
      </c>
    </row>
    <row r="14" spans="1:12" x14ac:dyDescent="0.3">
      <c r="B14" s="9"/>
      <c r="C14" s="9"/>
      <c r="D14" s="9"/>
      <c r="E14" s="9">
        <f t="shared" si="0"/>
        <v>0</v>
      </c>
      <c r="F14" s="9" t="s">
        <v>118</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121</v>
      </c>
      <c r="C17" s="9">
        <v>2.8</v>
      </c>
      <c r="D17" s="9">
        <v>1.1000000000000001</v>
      </c>
      <c r="E17" s="9">
        <f t="shared" si="0"/>
        <v>3.08</v>
      </c>
      <c r="F17" s="9" t="s">
        <v>117</v>
      </c>
      <c r="G17" s="9"/>
      <c r="H17" s="9"/>
      <c r="I17" s="9">
        <f t="shared" si="1"/>
        <v>0</v>
      </c>
      <c r="J17" s="9"/>
      <c r="K17" s="9"/>
      <c r="L17" s="9">
        <f t="shared" si="2"/>
        <v>0</v>
      </c>
    </row>
    <row r="18" spans="2:12" x14ac:dyDescent="0.3">
      <c r="B18" s="9"/>
      <c r="C18" s="9"/>
      <c r="D18" s="9"/>
      <c r="E18" s="9">
        <f t="shared" si="0"/>
        <v>0</v>
      </c>
      <c r="F18" s="9" t="s">
        <v>118</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121</v>
      </c>
      <c r="C20" s="9"/>
      <c r="D20" s="9"/>
      <c r="E20" s="9">
        <f t="shared" si="0"/>
        <v>0</v>
      </c>
      <c r="F20" s="9" t="s">
        <v>117</v>
      </c>
      <c r="G20" s="9"/>
      <c r="H20" s="9"/>
      <c r="I20" s="9">
        <f t="shared" si="1"/>
        <v>0</v>
      </c>
      <c r="J20" s="9"/>
      <c r="K20" s="9"/>
      <c r="L20" s="9">
        <f t="shared" si="2"/>
        <v>0</v>
      </c>
    </row>
    <row r="21" spans="2:12" x14ac:dyDescent="0.3">
      <c r="B21" s="9"/>
      <c r="C21" s="9"/>
      <c r="D21" s="9"/>
      <c r="E21" s="9">
        <f t="shared" si="0"/>
        <v>0</v>
      </c>
      <c r="F21" s="9" t="s">
        <v>118</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122</v>
      </c>
      <c r="C23" s="9">
        <v>1.8</v>
      </c>
      <c r="D23" s="9">
        <v>1.1000000000000001</v>
      </c>
      <c r="E23" s="9">
        <f t="shared" si="0"/>
        <v>1.9800000000000002</v>
      </c>
      <c r="F23" s="9" t="s">
        <v>123</v>
      </c>
      <c r="G23" s="9"/>
      <c r="H23" s="9"/>
      <c r="I23" s="9">
        <f t="shared" si="1"/>
        <v>0</v>
      </c>
      <c r="J23" s="9"/>
      <c r="K23" s="9"/>
      <c r="L23" s="9">
        <f t="shared" si="2"/>
        <v>0</v>
      </c>
    </row>
    <row r="24" spans="2:12" x14ac:dyDescent="0.3">
      <c r="B24" s="9" t="s">
        <v>124</v>
      </c>
      <c r="C24" s="9">
        <v>1.8</v>
      </c>
      <c r="D24" s="9">
        <v>1.1499999999999999</v>
      </c>
      <c r="E24" s="9">
        <f t="shared" si="0"/>
        <v>2.0699999999999998</v>
      </c>
      <c r="F24" s="9" t="s">
        <v>123</v>
      </c>
      <c r="G24" s="9"/>
      <c r="H24" s="9"/>
      <c r="I24" s="9">
        <f t="shared" si="1"/>
        <v>0</v>
      </c>
      <c r="J24" s="9"/>
      <c r="K24" s="9"/>
      <c r="L24" s="9">
        <f t="shared" si="2"/>
        <v>0</v>
      </c>
    </row>
    <row r="25" spans="2:12" x14ac:dyDescent="0.3">
      <c r="B25" s="9" t="s">
        <v>125</v>
      </c>
      <c r="C25" s="9"/>
      <c r="D25" s="9"/>
      <c r="E25" s="9">
        <f t="shared" si="0"/>
        <v>0</v>
      </c>
      <c r="F25" s="9" t="s">
        <v>123</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126</v>
      </c>
      <c r="C27" s="9">
        <v>0.9</v>
      </c>
      <c r="D27" s="9">
        <v>1.4</v>
      </c>
      <c r="E27" s="9">
        <f t="shared" si="0"/>
        <v>1.26</v>
      </c>
      <c r="F27" s="9"/>
      <c r="G27" s="9"/>
      <c r="H27" s="9"/>
      <c r="I27" s="9">
        <f t="shared" si="1"/>
        <v>0</v>
      </c>
      <c r="J27" s="9"/>
      <c r="K27" s="9"/>
      <c r="L27" s="9">
        <f t="shared" si="2"/>
        <v>0</v>
      </c>
    </row>
    <row r="28" spans="2:12" x14ac:dyDescent="0.3">
      <c r="B28" s="9" t="s">
        <v>127</v>
      </c>
      <c r="C28" s="9">
        <v>1</v>
      </c>
      <c r="D28" s="9">
        <v>1</v>
      </c>
      <c r="E28" s="9">
        <f t="shared" si="0"/>
        <v>1</v>
      </c>
      <c r="F28" s="9"/>
      <c r="G28" s="9"/>
      <c r="H28" s="9"/>
      <c r="I28" s="9">
        <f t="shared" si="1"/>
        <v>0</v>
      </c>
      <c r="J28" s="9"/>
      <c r="K28" s="9"/>
      <c r="L28" s="9">
        <f t="shared" si="2"/>
        <v>0</v>
      </c>
    </row>
    <row r="29" spans="2:12" x14ac:dyDescent="0.3">
      <c r="B29" s="9" t="s">
        <v>128</v>
      </c>
      <c r="C29" s="9"/>
      <c r="D29" s="9"/>
      <c r="E29" s="9">
        <f t="shared" si="0"/>
        <v>0</v>
      </c>
      <c r="F29" s="9"/>
      <c r="G29" s="9"/>
      <c r="H29" s="9"/>
      <c r="I29" s="9">
        <f t="shared" si="1"/>
        <v>0</v>
      </c>
      <c r="J29" s="9"/>
      <c r="K29" s="9"/>
      <c r="L29" s="9">
        <f t="shared" si="2"/>
        <v>0</v>
      </c>
    </row>
    <row r="30" spans="2:12" x14ac:dyDescent="0.3">
      <c r="B30" s="9" t="s">
        <v>129</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77</v>
      </c>
      <c r="C34" s="9"/>
      <c r="D34" s="9">
        <f>E34*10.764</f>
        <v>288.15228000000002</v>
      </c>
      <c r="E34" s="9">
        <f>SUM(E6:E33)</f>
        <v>26.770000000000003</v>
      </c>
      <c r="F34" s="9"/>
      <c r="G34" s="9"/>
      <c r="H34" s="9">
        <f>I34*10.764</f>
        <v>98.921159999999986</v>
      </c>
      <c r="I34" s="9">
        <f>SUM(I6:I33)</f>
        <v>9.19</v>
      </c>
      <c r="J34" s="9"/>
      <c r="K34" s="9">
        <f>L34*10.764</f>
        <v>0</v>
      </c>
      <c r="L34" s="9">
        <f>SUM(L6:L33)</f>
        <v>0</v>
      </c>
    </row>
    <row r="36" spans="2:12" x14ac:dyDescent="0.3">
      <c r="D36">
        <f>D34+H34</f>
        <v>387.07344000000001</v>
      </c>
      <c r="E36">
        <f>E34+I34</f>
        <v>35.96</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Flat detail</vt:lpstr>
      <vt:lpstr>Flat detail (2)</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2025-09-04T09:57:10Z</cp:lastPrinted>
  <dcterms:created xsi:type="dcterms:W3CDTF">2019-07-16T09:29:46Z</dcterms:created>
  <dcterms:modified xsi:type="dcterms:W3CDTF">2025-09-04T09:57:11Z</dcterms:modified>
</cp:coreProperties>
</file>