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05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1" l="1"/>
  <c r="G118" i="1"/>
  <c r="E118" i="1"/>
  <c r="G119" i="1"/>
  <c r="E119" i="1"/>
  <c r="C119" i="1"/>
  <c r="C118" i="1"/>
  <c r="M95" i="1"/>
  <c r="A306" i="1"/>
  <c r="A307" i="1" s="1"/>
  <c r="A308" i="1" s="1"/>
  <c r="A309" i="1" s="1"/>
  <c r="A310" i="1" s="1"/>
  <c r="A311" i="1" s="1"/>
  <c r="A312" i="1" s="1"/>
  <c r="C82" i="1"/>
  <c r="G148" i="1"/>
  <c r="J117" i="1"/>
  <c r="D303" i="1"/>
  <c r="F303" i="1" s="1"/>
  <c r="D302" i="1"/>
  <c r="F302" i="1" s="1"/>
  <c r="D300" i="1"/>
  <c r="F300" i="1" s="1"/>
  <c r="A301" i="1"/>
  <c r="A302" i="1" s="1"/>
  <c r="A303" i="1" s="1"/>
  <c r="G300" i="1"/>
  <c r="D298" i="1"/>
  <c r="F298" i="1" s="1"/>
  <c r="A298" i="1"/>
  <c r="D297" i="1"/>
  <c r="F297" i="1" s="1"/>
  <c r="G296" i="1"/>
  <c r="D296" i="1"/>
  <c r="F296" i="1" s="1"/>
  <c r="D293" i="1"/>
  <c r="D292" i="1"/>
  <c r="F292" i="1" s="1"/>
  <c r="D291" i="1"/>
  <c r="F291" i="1" s="1"/>
  <c r="F293" i="1"/>
  <c r="A292" i="1"/>
  <c r="A293" i="1" s="1"/>
  <c r="A294" i="1" s="1"/>
  <c r="G291" i="1"/>
  <c r="D276" i="1"/>
  <c r="F276" i="1" s="1"/>
  <c r="A276" i="1"/>
  <c r="D275" i="1"/>
  <c r="F275" i="1" s="1"/>
  <c r="G274" i="1"/>
  <c r="D274" i="1"/>
  <c r="F274" i="1" s="1"/>
  <c r="D271" i="1"/>
  <c r="D270" i="1"/>
  <c r="D269" i="1"/>
  <c r="D289" i="1"/>
  <c r="F289" i="1" s="1"/>
  <c r="A289" i="1"/>
  <c r="D288" i="1"/>
  <c r="F288" i="1" s="1"/>
  <c r="G287" i="1"/>
  <c r="G288" i="1" s="1"/>
  <c r="G289" i="1" s="1"/>
  <c r="D287" i="1"/>
  <c r="F287" i="1" s="1"/>
  <c r="D280" i="1"/>
  <c r="F280" i="1" s="1"/>
  <c r="D240" i="1"/>
  <c r="F240" i="1" s="1"/>
  <c r="D279" i="1"/>
  <c r="F279" i="1" s="1"/>
  <c r="A279" i="1"/>
  <c r="G278" i="1"/>
  <c r="D278" i="1"/>
  <c r="F278" i="1" s="1"/>
  <c r="D285" i="1"/>
  <c r="F285" i="1" s="1"/>
  <c r="D284" i="1"/>
  <c r="F284" i="1" s="1"/>
  <c r="D267" i="1"/>
  <c r="D266" i="1"/>
  <c r="D265" i="1"/>
  <c r="D264" i="1"/>
  <c r="A285" i="1"/>
  <c r="G283" i="1"/>
  <c r="G284" i="1" s="1"/>
  <c r="G285" i="1" s="1"/>
  <c r="D283" i="1"/>
  <c r="F283" i="1" s="1"/>
  <c r="D262" i="1"/>
  <c r="D261" i="1"/>
  <c r="D260" i="1"/>
  <c r="D259" i="1"/>
  <c r="D257" i="1"/>
  <c r="F257" i="1" s="1"/>
  <c r="D256" i="1"/>
  <c r="F256" i="1" s="1"/>
  <c r="D255" i="1"/>
  <c r="F255" i="1" s="1"/>
  <c r="D254" i="1"/>
  <c r="F254" i="1" s="1"/>
  <c r="A255" i="1"/>
  <c r="A256" i="1" s="1"/>
  <c r="A257" i="1" s="1"/>
  <c r="G254" i="1"/>
  <c r="D251" i="1"/>
  <c r="D250" i="1"/>
  <c r="A252" i="1"/>
  <c r="D247" i="1"/>
  <c r="D246" i="1"/>
  <c r="D242" i="1"/>
  <c r="F242" i="1" s="1"/>
  <c r="D244" i="1"/>
  <c r="F244" i="1" s="1"/>
  <c r="D243" i="1"/>
  <c r="F243" i="1" s="1"/>
  <c r="A244" i="1"/>
  <c r="G242" i="1"/>
  <c r="D239" i="1"/>
  <c r="F239" i="1" s="1"/>
  <c r="A239" i="1"/>
  <c r="G238" i="1"/>
  <c r="D238" i="1"/>
  <c r="F238" i="1" s="1"/>
  <c r="D236" i="1"/>
  <c r="D235" i="1"/>
  <c r="D234" i="1"/>
  <c r="D233" i="1"/>
  <c r="D231" i="1"/>
  <c r="D230" i="1"/>
  <c r="D229" i="1"/>
  <c r="D228" i="1"/>
  <c r="D226" i="1"/>
  <c r="D225" i="1"/>
  <c r="D224" i="1"/>
  <c r="D223" i="1"/>
  <c r="D221" i="1"/>
  <c r="D220" i="1"/>
  <c r="D219" i="1"/>
  <c r="D218" i="1"/>
  <c r="D215" i="1"/>
  <c r="D214" i="1"/>
  <c r="D210" i="1"/>
  <c r="D206" i="1"/>
  <c r="D205" i="1"/>
  <c r="D201" i="1"/>
  <c r="D200" i="1"/>
  <c r="D191" i="1"/>
  <c r="F191" i="1" s="1"/>
  <c r="A191" i="1"/>
  <c r="G190" i="1"/>
  <c r="D190" i="1"/>
  <c r="F190" i="1" s="1"/>
  <c r="D188" i="1"/>
  <c r="D187" i="1"/>
  <c r="D185" i="1"/>
  <c r="D184" i="1"/>
  <c r="D181" i="1"/>
  <c r="D180" i="1"/>
  <c r="D178" i="1"/>
  <c r="F178" i="1" s="1"/>
  <c r="D177" i="1"/>
  <c r="D173" i="1"/>
  <c r="D169" i="1"/>
  <c r="D164" i="1"/>
  <c r="F164" i="1" s="1"/>
  <c r="A164" i="1"/>
  <c r="G163" i="1"/>
  <c r="G164" i="1" s="1"/>
  <c r="D163" i="1"/>
  <c r="F163" i="1" s="1"/>
  <c r="D167" i="1"/>
  <c r="D161" i="1"/>
  <c r="D158" i="1"/>
  <c r="D155" i="1"/>
  <c r="D166" i="1"/>
  <c r="D160" i="1"/>
  <c r="D157" i="1"/>
  <c r="D154" i="1"/>
  <c r="D141" i="1"/>
  <c r="D144" i="1"/>
  <c r="D147" i="1"/>
  <c r="D150" i="1"/>
  <c r="G151" i="1"/>
  <c r="A313" i="1" l="1"/>
  <c r="A314" i="1" s="1"/>
  <c r="A315" i="1"/>
  <c r="A316" i="1" s="1"/>
  <c r="A317" i="1" s="1"/>
  <c r="A318" i="1" s="1"/>
  <c r="A319" i="1" s="1"/>
  <c r="E115" i="1"/>
  <c r="E117" i="1"/>
  <c r="F141" i="1"/>
  <c r="C115" i="1"/>
  <c r="C117" i="1"/>
  <c r="C13" i="1"/>
  <c r="I114" i="1" l="1"/>
  <c r="F262" i="1"/>
  <c r="F261" i="1"/>
  <c r="F260" i="1"/>
  <c r="A260" i="1"/>
  <c r="A261" i="1" s="1"/>
  <c r="A262" i="1" s="1"/>
  <c r="G259" i="1"/>
  <c r="F259" i="1"/>
  <c r="F267" i="1"/>
  <c r="F266" i="1"/>
  <c r="F265" i="1"/>
  <c r="A265" i="1"/>
  <c r="A266" i="1" s="1"/>
  <c r="A267" i="1" s="1"/>
  <c r="G264" i="1"/>
  <c r="F264" i="1"/>
  <c r="F271" i="1"/>
  <c r="F270" i="1"/>
  <c r="A270" i="1"/>
  <c r="A271" i="1" s="1"/>
  <c r="A272" i="1" s="1"/>
  <c r="G269" i="1"/>
  <c r="F269" i="1"/>
  <c r="F251" i="1"/>
  <c r="G250" i="1"/>
  <c r="F250" i="1"/>
  <c r="F247" i="1"/>
  <c r="A248" i="1"/>
  <c r="G246" i="1"/>
  <c r="F246" i="1"/>
  <c r="F236" i="1"/>
  <c r="F235" i="1"/>
  <c r="F234" i="1"/>
  <c r="A234" i="1"/>
  <c r="A235" i="1" s="1"/>
  <c r="A236" i="1" s="1"/>
  <c r="G233" i="1"/>
  <c r="F233" i="1"/>
  <c r="F231" i="1"/>
  <c r="F230" i="1"/>
  <c r="F229" i="1"/>
  <c r="A229" i="1"/>
  <c r="A230" i="1" s="1"/>
  <c r="A231" i="1" s="1"/>
  <c r="G228" i="1"/>
  <c r="F228" i="1"/>
  <c r="L228" i="1" s="1"/>
  <c r="F226" i="1"/>
  <c r="F225" i="1"/>
  <c r="F224" i="1"/>
  <c r="A224" i="1"/>
  <c r="A225" i="1" s="1"/>
  <c r="A226" i="1" s="1"/>
  <c r="G223" i="1"/>
  <c r="F223" i="1"/>
  <c r="F220" i="1"/>
  <c r="F219" i="1"/>
  <c r="F218" i="1"/>
  <c r="F221" i="1"/>
  <c r="A219" i="1"/>
  <c r="A220" i="1" s="1"/>
  <c r="A221" i="1" s="1"/>
  <c r="G218" i="1"/>
  <c r="F215" i="1"/>
  <c r="F214" i="1"/>
  <c r="A213" i="1"/>
  <c r="A214" i="1" s="1"/>
  <c r="A215" i="1" s="1"/>
  <c r="G212" i="1"/>
  <c r="F210" i="1"/>
  <c r="A209" i="1"/>
  <c r="A210" i="1" s="1"/>
  <c r="G208" i="1"/>
  <c r="F206" i="1"/>
  <c r="F205" i="1"/>
  <c r="A204" i="1"/>
  <c r="A205" i="1" s="1"/>
  <c r="A206" i="1" s="1"/>
  <c r="G203" i="1"/>
  <c r="F201" i="1"/>
  <c r="F200" i="1"/>
  <c r="A199" i="1"/>
  <c r="A200" i="1" s="1"/>
  <c r="A201" i="1" s="1"/>
  <c r="G198" i="1"/>
  <c r="A178" i="1"/>
  <c r="G177" i="1"/>
  <c r="F177" i="1"/>
  <c r="F188" i="1"/>
  <c r="A188" i="1"/>
  <c r="G187" i="1"/>
  <c r="F187" i="1"/>
  <c r="F185" i="1"/>
  <c r="A185" i="1"/>
  <c r="G184" i="1"/>
  <c r="F184" i="1"/>
  <c r="F181" i="1"/>
  <c r="A181" i="1"/>
  <c r="G180" i="1"/>
  <c r="F180" i="1"/>
  <c r="D174" i="1"/>
  <c r="F174" i="1" s="1"/>
  <c r="A174" i="1"/>
  <c r="G173" i="1"/>
  <c r="F173" i="1"/>
  <c r="G117" i="1" l="1"/>
  <c r="D170" i="1"/>
  <c r="A170" i="1"/>
  <c r="G169" i="1"/>
  <c r="F169" i="1"/>
  <c r="F167" i="1"/>
  <c r="A167" i="1"/>
  <c r="G166" i="1"/>
  <c r="G167" i="1" s="1"/>
  <c r="F166" i="1"/>
  <c r="F161" i="1"/>
  <c r="M161" i="1" s="1"/>
  <c r="A161" i="1"/>
  <c r="G160" i="1"/>
  <c r="G161" i="1" s="1"/>
  <c r="F160" i="1"/>
  <c r="M160" i="1" s="1"/>
  <c r="F158" i="1"/>
  <c r="A158" i="1"/>
  <c r="G157" i="1"/>
  <c r="G158" i="1" s="1"/>
  <c r="F157" i="1"/>
  <c r="F155" i="1"/>
  <c r="A155" i="1"/>
  <c r="G154" i="1"/>
  <c r="G155" i="1" s="1"/>
  <c r="F154" i="1"/>
  <c r="G150" i="1"/>
  <c r="F150" i="1"/>
  <c r="G147" i="1"/>
  <c r="F147" i="1"/>
  <c r="G144" i="1"/>
  <c r="F144" i="1"/>
  <c r="F170" i="1" l="1"/>
  <c r="G116" i="1" s="1"/>
  <c r="E116" i="1"/>
  <c r="C116" i="1"/>
  <c r="E27" i="1"/>
  <c r="G115" i="1" l="1"/>
  <c r="F126" i="1" l="1"/>
  <c r="F127" i="1"/>
  <c r="F128" i="1"/>
  <c r="F129" i="1"/>
  <c r="F130" i="1"/>
  <c r="F131" i="1"/>
  <c r="F125" i="1"/>
  <c r="B307" i="1" l="1"/>
  <c r="B30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D332" i="1"/>
  <c r="G141" i="1"/>
  <c r="A126" i="1"/>
  <c r="A127" i="1" s="1"/>
  <c r="A128" i="1" s="1"/>
  <c r="A129" i="1" s="1"/>
  <c r="A130" i="1" s="1"/>
  <c r="A131" i="1" s="1"/>
  <c r="G125" i="1"/>
  <c r="G126" i="1" s="1"/>
  <c r="G127" i="1" s="1"/>
  <c r="G128" i="1" s="1"/>
  <c r="G129" i="1" s="1"/>
  <c r="G130" i="1" s="1"/>
  <c r="G131" i="1" s="1"/>
  <c r="F107" i="1"/>
  <c r="J91" i="1"/>
  <c r="J90" i="1"/>
  <c r="J89" i="1"/>
  <c r="J88" i="1"/>
  <c r="C80" i="1"/>
  <c r="J77" i="1"/>
  <c r="J76" i="1"/>
  <c r="J75" i="1"/>
  <c r="J74" i="1"/>
  <c r="D54" i="1"/>
  <c r="G47" i="1"/>
  <c r="C47" i="1"/>
  <c r="E40" i="1"/>
  <c r="E41" i="1" s="1"/>
  <c r="E24" i="1"/>
  <c r="E22" i="1"/>
  <c r="E7" i="1"/>
  <c r="E3" i="1"/>
  <c r="D60" i="1" s="1"/>
  <c r="H81" i="1"/>
  <c r="H67" i="1"/>
  <c r="G12" i="5" l="1"/>
  <c r="J70" i="1"/>
  <c r="D79" i="1"/>
  <c r="D77" i="1"/>
  <c r="D75" i="1"/>
  <c r="D73" i="1"/>
  <c r="J71" i="1"/>
  <c r="C70" i="1" s="1"/>
  <c r="D70" i="1" s="1"/>
  <c r="J69" i="1"/>
  <c r="J72" i="1"/>
  <c r="D78" i="1"/>
  <c r="D74" i="1"/>
  <c r="D76" i="1"/>
  <c r="D72" i="1"/>
  <c r="J86" i="1"/>
  <c r="D92" i="1"/>
  <c r="D90" i="1"/>
  <c r="D88" i="1"/>
  <c r="D86" i="1"/>
  <c r="J84" i="1"/>
  <c r="D93" i="1"/>
  <c r="J85" i="1"/>
  <c r="C84" i="1" s="1"/>
  <c r="D84" i="1" s="1"/>
  <c r="D87" i="1"/>
  <c r="D89" i="1"/>
  <c r="D91" i="1"/>
  <c r="J83" i="1"/>
  <c r="J87" i="1" l="1"/>
  <c r="J92" i="1" s="1"/>
  <c r="J93" i="1" s="1"/>
  <c r="C85" i="1" s="1"/>
  <c r="D85" i="1" s="1"/>
  <c r="J73" i="1"/>
  <c r="J78" i="1" s="1"/>
  <c r="J79" i="1" s="1"/>
  <c r="C71" i="1" s="1"/>
  <c r="D71" i="1" s="1"/>
  <c r="E84" i="1" l="1"/>
  <c r="I80" i="1" s="1"/>
  <c r="E70" i="1"/>
  <c r="I66" i="1" s="1"/>
  <c r="G84" i="1"/>
  <c r="G70" i="1"/>
  <c r="D64" i="1" s="1"/>
  <c r="F65" i="1" s="1"/>
  <c r="D65" i="1" l="1"/>
</calcChain>
</file>

<file path=xl/sharedStrings.xml><?xml version="1.0" encoding="utf-8"?>
<sst xmlns="http://schemas.openxmlformats.org/spreadsheetml/2006/main" count="500" uniqueCount="289">
  <si>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</si>
  <si>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</si>
  <si>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</si>
  <si>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</si>
  <si>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</si>
  <si>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</si>
  <si>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</si>
  <si>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</si>
  <si>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</si>
  <si>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</si>
  <si>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</si>
  <si>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</si>
  <si>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</si>
  <si>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</si>
  <si>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</si>
  <si>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</si>
  <si>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</si>
  <si>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</si>
  <si>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</si>
  <si>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</si>
  <si>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</si>
  <si>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</si>
  <si>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</si>
  <si>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</si>
  <si>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</si>
  <si>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</si>
  <si>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</si>
  <si>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</si>
  <si>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</si>
  <si>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</si>
  <si>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</si>
  <si>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</si>
  <si>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</si>
  <si>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</si>
  <si>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</si>
  <si>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</si>
  <si>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</si>
  <si>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</si>
  <si>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</si>
  <si>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</si>
  <si>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</si>
  <si>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</si>
  <si>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</si>
  <si>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</si>
  <si>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</si>
  <si>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</si>
  <si>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</si>
  <si>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</si>
  <si>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</si>
  <si>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</si>
  <si>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</si>
  <si>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</si>
  <si>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</si>
  <si>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</si>
  <si>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</si>
  <si>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</si>
  <si>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</si>
  <si>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</si>
  <si>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</si>
  <si>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</si>
  <si>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</si>
  <si>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</si>
  <si>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</si>
  <si>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</si>
  <si>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</si>
  <si>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</si>
  <si>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</si>
  <si>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</si>
  <si>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</si>
  <si>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</si>
  <si>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</si>
  <si>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</si>
  <si>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</si>
  <si>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</si>
  <si>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</si>
  <si>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</si>
  <si>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</si>
  <si>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</si>
  <si>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</si>
  <si>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</si>
  <si>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</si>
  <si>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</si>
  <si>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</si>
  <si>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</si>
  <si>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</si>
  <si>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</si>
  <si>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</si>
  <si>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</si>
  <si>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</si>
  <si>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</si>
  <si>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</si>
  <si>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</si>
  <si>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</si>
  <si>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</si>
  <si>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</si>
  <si>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</si>
  <si>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</si>
  <si>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</si>
  <si>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</si>
  <si>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</si>
  <si>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</si>
  <si>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</si>
  <si>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</si>
  <si>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</si>
  <si>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</si>
  <si>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</si>
  <si>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</si>
  <si>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</si>
  <si>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</si>
  <si>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</si>
  <si>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</si>
  <si>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</si>
  <si>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</si>
  <si>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</si>
  <si>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</si>
  <si>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</si>
  <si>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</si>
  <si>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</si>
  <si>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</si>
  <si>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</si>
  <si>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</si>
  <si>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</si>
  <si>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</si>
  <si>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</si>
  <si>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</si>
  <si>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</si>
  <si>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</si>
  <si>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</si>
  <si>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</si>
  <si>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</si>
  <si>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</si>
  <si>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</si>
  <si>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</si>
  <si>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</si>
  <si>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</si>
  <si>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</si>
  <si>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</si>
  <si>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</si>
  <si>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</si>
  <si>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</si>
  <si>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On Site, we meet Mr........(........).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</si>
  <si>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</si>
  <si>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</si>
  <si>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</si>
  <si>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</si>
  <si>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</si>
  <si>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</si>
  <si>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</si>
  <si>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</si>
  <si>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</si>
  <si>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</si>
  <si>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</si>
  <si>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</si>
  <si>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</si>
  <si>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</si>
  <si>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</si>
  <si>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</si>
  <si>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</si>
  <si>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</si>
  <si>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</si>
  <si>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</si>
  <si>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</si>
  <si>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</si>
  <si>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</si>
  <si>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</si>
  <si>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</si>
  <si>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</si>
  <si>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</si>
  <si>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Axis Sanpada</t>
  </si>
  <si>
    <t>P51900031285</t>
  </si>
  <si>
    <t>Prestige Jasdan Classic</t>
  </si>
  <si>
    <t>M/s. Prestige Estates Projects Limited</t>
  </si>
  <si>
    <t>BMC Printing Press Byculla</t>
  </si>
  <si>
    <t>NM Joshi Marg</t>
  </si>
  <si>
    <t>Byculla</t>
  </si>
  <si>
    <t>Byculla West</t>
  </si>
  <si>
    <t>Mumbai</t>
  </si>
  <si>
    <t>CTS No</t>
  </si>
  <si>
    <t>Municipal Corporation of Greater Mumbai (MCGM)</t>
  </si>
  <si>
    <t>BMC Godown Building</t>
  </si>
  <si>
    <t>Vithal Nivas</t>
  </si>
  <si>
    <t>750 M from Byculla Railway Station</t>
  </si>
  <si>
    <t>Basement For Amenities</t>
  </si>
  <si>
    <t>1st Podium Floor For Parking &amp;  Amenities</t>
  </si>
  <si>
    <t>2nd to 5th &amp; 8th Floor</t>
  </si>
  <si>
    <t>4BHK</t>
  </si>
  <si>
    <t xml:space="preserve">6th Floor </t>
  </si>
  <si>
    <t>9th Floor (Part Amenities Area)</t>
  </si>
  <si>
    <t>Service Floor Between 9th &amp; 10th Floor</t>
  </si>
  <si>
    <t>3BHK</t>
  </si>
  <si>
    <t xml:space="preserve">11th &amp;  18th Floor </t>
  </si>
  <si>
    <t>14th Floor (Part Refuge Area)</t>
  </si>
  <si>
    <t>A Wing (West Tower)</t>
  </si>
  <si>
    <t>Parking Area</t>
  </si>
  <si>
    <t>2BHK</t>
  </si>
  <si>
    <t xml:space="preserve"> 14th Floor (Part Refuge Area)</t>
  </si>
  <si>
    <t>B Wing (East Tower)</t>
  </si>
  <si>
    <t>2 Wings</t>
  </si>
  <si>
    <t>Approved Plans, CC</t>
  </si>
  <si>
    <t>A Wing (West Tower) &amp; B Wing (East Tower)</t>
  </si>
  <si>
    <t>1bhk</t>
  </si>
  <si>
    <t>2bhk</t>
  </si>
  <si>
    <t>3bhk</t>
  </si>
  <si>
    <t xml:space="preserve">Mr. Sher Singh - 9322684491 </t>
  </si>
  <si>
    <t>Office No. 1031, Wing J, Akshar Business Park, Plot No. 03 Sector 25, Near APMC Market,
Vashi, Navi Mumbai, Maharashtra 400703 TEL: 022-46090378/79/8
E mail : vsjcapf@gmail.com. Web site : www.vsjadon.com</t>
  </si>
  <si>
    <t>Location Link</t>
  </si>
  <si>
    <t>https://maps.app.goo.gl/YhaR3NgDyreK3Gfe9</t>
  </si>
  <si>
    <t>CHE/CTY/1577/E/337(NEW)/FCC/9/Amend</t>
  </si>
  <si>
    <t>A Wing (West Tower) = B + G + 1st to 45th Floor</t>
  </si>
  <si>
    <t>B Wing (East Tower) = B + G + 1st to 45th Floor</t>
  </si>
  <si>
    <t>We have updated latest CC from MCGM site (On 07/12/2024).</t>
  </si>
  <si>
    <t>CHE/CTY/1577/E/337(NEW)/337/14/Amend</t>
  </si>
  <si>
    <t>CHE/CTY/1577/E/337(NEW)/FCC/10/Amend</t>
  </si>
  <si>
    <t>This CC is re-endorsed for Wing 'A', Wing 'B', and the Club House as per the last amended plan dated
12.03.2025.</t>
  </si>
  <si>
    <t>This CC is endorsed &amp; extended upto 45th Floor + Terrace Floor + OHT/LMR of wing 'A' i.e. Full C.C. and upto 45th (PT) floor +Terrace Floor + OHT/LMR of wing 'B' i.e. Full C.C. and Full CC of Club House above topmost podium i.e. Ground floor and 1st Upper Floor Level + Service
Floor + Terrace floor as per the last amended plan dated 13.02.2024.</t>
  </si>
  <si>
    <t>A Wing (West Tower) = B + G + 1st to 45th Floor
B Wing (East Tower) = B + G + 1st to 45th Floor</t>
  </si>
  <si>
    <t>Lower Ground Floor For (Double Heighted) Entrace Lobby, Meter Room &amp; Parking</t>
  </si>
  <si>
    <t>Lower &amp; Upper Ground Floor For (Double Heighted) Entrace Lobby, Meter Room &amp; Parking</t>
  </si>
  <si>
    <t>Upper Ground Floor For (Double Heighted) Entrace Lobby Below &amp; Parking</t>
  </si>
  <si>
    <t>9th Floor (Society Office)</t>
  </si>
  <si>
    <t>-</t>
  </si>
  <si>
    <t>Soceity Office</t>
  </si>
  <si>
    <t>7th Floor (Refuge Area)</t>
  </si>
  <si>
    <t xml:space="preserve">12th &amp; 19th Floor </t>
  </si>
  <si>
    <t xml:space="preserve">10th Floor </t>
  </si>
  <si>
    <t xml:space="preserve">13th, 16th, 17th &amp; 20th Floor </t>
  </si>
  <si>
    <t>15th Floor</t>
  </si>
  <si>
    <t>MP Room</t>
  </si>
  <si>
    <t>22nd, 29th &amp; 43rd Floor</t>
  </si>
  <si>
    <t xml:space="preserve">23rd, 24th, 27th, 30th, 31st, 34th, 36th, 37th, 38th, 41st, 44th &amp; 45th Floor </t>
  </si>
  <si>
    <t>26th, 33rd &amp; 40th Floor</t>
  </si>
  <si>
    <t>Service Floor Between 35th &amp; 36th Floor</t>
  </si>
  <si>
    <t xml:space="preserve">25th, 32nd &amp; 39th Floor </t>
  </si>
  <si>
    <t>42nd Floor (Part Refuge Area)</t>
  </si>
  <si>
    <t>21st, 28th &amp; 35th Floor (Part Refuge Area)</t>
  </si>
  <si>
    <t>A Wing  (West Wing)</t>
  </si>
  <si>
    <t>B Wing (East Wing)</t>
  </si>
  <si>
    <t>Basement Floor For Services/Utilites</t>
  </si>
  <si>
    <t>7th Floor (Part Refuge Area &amp; AV Room)</t>
  </si>
  <si>
    <t xml:space="preserve">11th Floor </t>
  </si>
  <si>
    <t>17th Floor</t>
  </si>
  <si>
    <t>3+4</t>
  </si>
  <si>
    <t>Merged Flat</t>
  </si>
  <si>
    <t xml:space="preserve">13th, 15th, 16th &amp; 20th Floor </t>
  </si>
  <si>
    <t>18th Floor</t>
  </si>
  <si>
    <t>1+2</t>
  </si>
  <si>
    <t>5BHK</t>
  </si>
  <si>
    <t>Refuge Area</t>
  </si>
  <si>
    <t xml:space="preserve"> 21st Floor (Part Refuge Area)</t>
  </si>
  <si>
    <t xml:space="preserve">22nd Floor </t>
  </si>
  <si>
    <t xml:space="preserve">23rd, 24th, 27th, 30th, 31st, 34th, 37th, 38th, 41st &amp; 44th Floor </t>
  </si>
  <si>
    <t xml:space="preserve">25th,  32nd &amp; 39th Floor </t>
  </si>
  <si>
    <t>26th &amp; 29th Floor</t>
  </si>
  <si>
    <t>33rd Floor</t>
  </si>
  <si>
    <t>40th Floor</t>
  </si>
  <si>
    <t xml:space="preserve">28th &amp; 35th Floor </t>
  </si>
  <si>
    <t>36th Floor</t>
  </si>
  <si>
    <t>43rd Floor</t>
  </si>
  <si>
    <t>Terrace</t>
  </si>
  <si>
    <t>45th Floor (Part Terrace Area)</t>
  </si>
  <si>
    <t>CHE/CTY/1577/E/337(NEW)/OCC/1/New
for Wing A- Basement + Ground Floor to 45th floor of total height 172.90 Mt from ground level, Wing B- Basement + Ground Floor to 45th (Pt.) Floor of total height 172.90Mt from ground level., Wing C- Gr Floor (Lower and upper Gr level) + 1st to 7th podium floors for parking (Total podium ht=25.60m)+ Fitness Centre/ Clubhouse on topmost podium of height 8.40 m (Gr + 1st level + Service floor) as per the approved amended plans dated 12.03.2025</t>
  </si>
  <si>
    <t>O. Certificate No.: 
Approved Upto:</t>
  </si>
  <si>
    <t>Flats</t>
  </si>
  <si>
    <t>Muiltipurose Room</t>
  </si>
  <si>
    <t>Flats - 219, MP Room- 04</t>
  </si>
  <si>
    <t>Layout:</t>
  </si>
  <si>
    <t>As per Plan</t>
  </si>
  <si>
    <t>Other Plot</t>
  </si>
  <si>
    <t>30.45M W NM Joshi Marg</t>
  </si>
  <si>
    <t>Latitude,Longitude</t>
  </si>
  <si>
    <t>18.98192,72.831185</t>
  </si>
  <si>
    <t>A Wing (West Tower) &amp; B Wing (East Tower) = B + G + 1st to 45th Floor</t>
  </si>
  <si>
    <t>We considered Gross carpet area = Net carpet + Balcony.</t>
  </si>
  <si>
    <t>Carpet Area + Balcony Area</t>
  </si>
  <si>
    <t>12,00,000/-</t>
  </si>
  <si>
    <t>25000 TO 33000</t>
  </si>
  <si>
    <t>Recommended Rates / Other charges of the Property have been revised on 28/05/2025.</t>
  </si>
  <si>
    <t>We have updated latest OC plans, CC &amp; OC from MCGM site (On 28/05/2025).</t>
  </si>
  <si>
    <t>In Wing B on Few Floors Flat No. 1 &amp; 2 and Flat No. 3 &amp; 4 are merged.</t>
  </si>
  <si>
    <t>The project consist on Wing A, B, C &amp; EWS Building but only Wing A &amp; B is registered  on RERA site.</t>
  </si>
  <si>
    <t>Rate change by Us Indextap referred</t>
  </si>
  <si>
    <t>Total Flats</t>
  </si>
  <si>
    <t>Grand Total</t>
  </si>
  <si>
    <t>As per OC plans Wing C is located between Wing A &amp; B which consists of G + 7th floor for parking and clubhouse.</t>
  </si>
  <si>
    <t>Planet Godrej</t>
  </si>
  <si>
    <t>Swimming Pool, Gym, Multipurpose Hall, Indoor Games, Jogging Track, Club House, Decorative Entrance Lobby, Etc.</t>
  </si>
  <si>
    <t>Completed</t>
  </si>
  <si>
    <t>Pooja Kawale</t>
  </si>
  <si>
    <t>Karan Misal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</si>
</sst>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3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13" fillId="2" borderId="1" xfId="1" applyFont="1" applyFill="1" applyBorder="1" applyAlignment="1" applyProtection="1">
      <alignment vertical="top"/>
      <protection locked="0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13" fillId="2" borderId="1" xfId="1" applyFont="1" applyFill="1" applyBorder="1" applyAlignment="1" applyProtection="1">
      <alignment vertical="top" wrapText="1"/>
      <protection locked="0"/>
    </xf>
    <xf numFmtId="14" fontId="8" fillId="0" borderId="0" xfId="1" applyNumberFormat="1" applyFont="1"/>
    <xf numFmtId="1" fontId="8" fillId="0" borderId="0" xfId="1" applyNumberFormat="1" applyFont="1"/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24" fillId="0" borderId="0" xfId="1" applyFont="1"/>
    <xf numFmtId="0" fontId="13" fillId="0" borderId="1" xfId="1" applyFont="1" applyBorder="1" applyAlignment="1" applyProtection="1">
      <alignment horizontal="center" vertical="top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3" fillId="0" borderId="11" xfId="1" applyFont="1" applyBorder="1" applyProtection="1">
      <protection hidden="1"/>
    </xf>
    <xf numFmtId="0" fontId="13" fillId="0" borderId="12" xfId="1" applyFont="1" applyBorder="1" applyProtection="1">
      <protection hidden="1"/>
    </xf>
    <xf numFmtId="0" fontId="13" fillId="0" borderId="0" xfId="1" applyFont="1" applyProtection="1">
      <protection hidden="1"/>
    </xf>
    <xf numFmtId="0" fontId="13" fillId="0" borderId="13" xfId="1" applyFont="1" applyBorder="1" applyProtection="1">
      <protection hidden="1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5" fillId="0" borderId="0" xfId="0" applyFont="1" applyProtection="1">
      <protection hidden="1"/>
    </xf>
    <xf numFmtId="0" fontId="13" fillId="0" borderId="13" xfId="1" applyFont="1" applyBorder="1"/>
    <xf numFmtId="0" fontId="13" fillId="0" borderId="1" xfId="1" applyFont="1" applyBorder="1" applyAlignment="1" applyProtection="1">
      <alignment horizontal="center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13" xfId="0" applyFont="1" applyBorder="1" applyProtection="1">
      <protection hidden="1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1" fontId="25" fillId="0" borderId="13" xfId="0" applyNumberFormat="1" applyFont="1" applyBorder="1"/>
    <xf numFmtId="1" fontId="25" fillId="0" borderId="13" xfId="0" applyNumberFormat="1" applyFont="1" applyBorder="1" applyAlignment="1">
      <alignment horizontal="right"/>
    </xf>
    <xf numFmtId="0" fontId="13" fillId="0" borderId="7" xfId="1" applyFont="1" applyBorder="1" applyAlignment="1" applyProtection="1">
      <alignment horizontal="center" wrapText="1"/>
      <protection locked="0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14" xfId="0" applyFont="1" applyBorder="1" applyProtection="1">
      <protection hidden="1"/>
    </xf>
    <xf numFmtId="1" fontId="25" fillId="0" borderId="15" xfId="0" applyNumberFormat="1" applyFont="1" applyBorder="1"/>
    <xf numFmtId="0" fontId="1" fillId="0" borderId="1" xfId="5" applyFont="1" applyBorder="1" applyAlignment="1">
      <alignment horizontal="center" vertical="center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top" wrapText="1"/>
      <protection locked="0"/>
    </xf>
    <xf numFmtId="9" fontId="9" fillId="0" borderId="1" xfId="8" applyFont="1" applyFill="1" applyBorder="1" applyAlignment="1" applyProtection="1">
      <alignment horizontal="center" vertical="top" wrapText="1"/>
      <protection locked="0"/>
    </xf>
    <xf numFmtId="1" fontId="18" fillId="0" borderId="0" xfId="1" applyNumberFormat="1" applyFont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7" xfId="1" applyNumberFormat="1" applyFont="1" applyBorder="1" applyAlignment="1" applyProtection="1">
      <alignment horizontal="center" vertical="center" wrapText="1"/>
      <protection locked="0"/>
    </xf>
    <xf numFmtId="1" fontId="7" fillId="0" borderId="28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1" fontId="14" fillId="0" borderId="23" xfId="0" applyNumberFormat="1" applyFont="1" applyBorder="1" applyAlignment="1" applyProtection="1">
      <alignment vertical="top" wrapText="1"/>
      <protection locked="0"/>
    </xf>
    <xf numFmtId="1" fontId="14" fillId="0" borderId="10" xfId="0" applyNumberFormat="1" applyFont="1" applyBorder="1" applyAlignment="1" applyProtection="1">
      <alignment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1" fontId="7" fillId="0" borderId="10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9" fillId="0" borderId="1" xfId="1" applyNumberFormat="1" applyFont="1" applyBorder="1" applyAlignment="1" applyProtection="1">
      <alignment horizontal="center" vertical="top" wrapText="1"/>
      <protection locked="0"/>
    </xf>
    <xf numFmtId="1" fontId="5" fillId="0" borderId="1" xfId="1" applyNumberFormat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24" xfId="1" applyFont="1" applyBorder="1" applyAlignment="1" applyProtection="1">
      <alignment horizontal="left" vertical="top" wrapText="1"/>
      <protection locked="0"/>
    </xf>
    <xf numFmtId="0" fontId="14" fillId="0" borderId="18" xfId="1" applyFont="1" applyBorder="1" applyAlignment="1" applyProtection="1">
      <alignment horizontal="left" vertical="top" wrapText="1"/>
      <protection locked="0"/>
    </xf>
    <xf numFmtId="0" fontId="14" fillId="0" borderId="16" xfId="1" applyFont="1" applyBorder="1" applyAlignment="1" applyProtection="1">
      <alignment horizontal="left" vertical="top" wrapText="1"/>
      <protection locked="0"/>
    </xf>
    <xf numFmtId="0" fontId="14" fillId="0" borderId="17" xfId="1" applyFont="1" applyBorder="1" applyAlignment="1" applyProtection="1">
      <alignment horizontal="left" vertical="top" wrapText="1"/>
      <protection locked="0"/>
    </xf>
    <xf numFmtId="0" fontId="14" fillId="0" borderId="25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1" fontId="9" fillId="0" borderId="23" xfId="0" applyNumberFormat="1" applyFont="1" applyBorder="1" applyAlignment="1" applyProtection="1">
      <alignment vertical="top" wrapText="1"/>
      <protection locked="0"/>
    </xf>
    <xf numFmtId="1" fontId="9" fillId="0" borderId="10" xfId="0" applyNumberFormat="1" applyFont="1" applyBorder="1" applyAlignment="1" applyProtection="1">
      <alignment vertical="top" wrapText="1"/>
      <protection locked="0"/>
    </xf>
    <xf numFmtId="1" fontId="18" fillId="0" borderId="9" xfId="0" applyNumberFormat="1" applyFont="1" applyBorder="1" applyAlignment="1" applyProtection="1">
      <alignment vertical="top" wrapText="1"/>
      <protection locked="0"/>
    </xf>
    <xf numFmtId="1" fontId="18" fillId="0" borderId="23" xfId="0" applyNumberFormat="1" applyFont="1" applyBorder="1" applyAlignment="1" applyProtection="1">
      <alignment vertical="top" wrapText="1"/>
      <protection locked="0"/>
    </xf>
    <xf numFmtId="1" fontId="18" fillId="0" borderId="10" xfId="0" applyNumberFormat="1" applyFont="1" applyBorder="1" applyAlignment="1" applyProtection="1">
      <alignment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67" fontId="14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167" fontId="13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8" fillId="0" borderId="0" xfId="1" applyFont="1" applyAlignment="1">
      <alignment horizontal="center" vertical="center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23" xfId="1" applyNumberFormat="1" applyFont="1" applyBorder="1" applyAlignment="1" applyProtection="1">
      <alignment horizontal="center" vertical="center" wrapText="1"/>
      <protection locked="0"/>
    </xf>
    <xf numFmtId="1" fontId="9" fillId="0" borderId="10" xfId="1" applyNumberFormat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14" fillId="0" borderId="9" xfId="1" applyFont="1" applyBorder="1" applyAlignment="1" applyProtection="1">
      <alignment horizontal="left" vertical="top"/>
      <protection locked="0"/>
    </xf>
    <xf numFmtId="0" fontId="14" fillId="0" borderId="23" xfId="1" applyFont="1" applyBorder="1" applyAlignment="1" applyProtection="1">
      <alignment horizontal="left" vertical="top"/>
      <protection locked="0"/>
    </xf>
    <xf numFmtId="0" fontId="14" fillId="0" borderId="10" xfId="1" applyFont="1" applyBorder="1" applyAlignment="1" applyProtection="1">
      <alignment horizontal="left" vertical="top"/>
      <protection locked="0"/>
    </xf>
    <xf numFmtId="1" fontId="7" fillId="0" borderId="26" xfId="1" applyNumberFormat="1" applyFont="1" applyBorder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1" fontId="7" fillId="0" borderId="29" xfId="0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5" applyFont="1" applyBorder="1" applyAlignment="1">
      <alignment horizontal="left"/>
    </xf>
    <xf numFmtId="0" fontId="11" fillId="0" borderId="1" xfId="1" applyFont="1" applyBorder="1" applyAlignment="1" applyProtection="1">
      <alignment horizontal="left"/>
      <protection locked="0"/>
    </xf>
    <xf numFmtId="0" fontId="26" fillId="0" borderId="1" xfId="9" applyBorder="1" applyAlignment="1" applyProtection="1">
      <alignment horizontal="left"/>
      <protection locked="0"/>
    </xf>
    <xf numFmtId="0" fontId="8" fillId="0" borderId="1" xfId="1" applyFont="1" applyBorder="1" applyAlignment="1" applyProtection="1">
      <alignment horizontal="left"/>
      <protection locked="0"/>
    </xf>
    <xf numFmtId="0" fontId="14" fillId="0" borderId="30" xfId="1" applyFont="1" applyBorder="1" applyAlignment="1" applyProtection="1">
      <alignment horizontal="left" vertical="top" wrapText="1"/>
      <protection locked="0"/>
    </xf>
    <xf numFmtId="0" fontId="14" fillId="0" borderId="22" xfId="1" applyFont="1" applyBorder="1" applyAlignment="1" applyProtection="1">
      <alignment horizontal="left" vertical="top" wrapText="1"/>
      <protection locked="0"/>
    </xf>
    <xf numFmtId="0" fontId="14" fillId="0" borderId="21" xfId="1" applyFont="1" applyBorder="1" applyAlignment="1" applyProtection="1">
      <alignment horizontal="left" vertical="top" wrapText="1"/>
      <protection locked="0"/>
    </xf>
    <xf numFmtId="0" fontId="14" fillId="0" borderId="2" xfId="1" applyFont="1" applyBorder="1" applyAlignment="1" applyProtection="1">
      <alignment horizontal="left" vertical="top" wrapText="1"/>
      <protection locked="0"/>
    </xf>
    <xf numFmtId="0" fontId="14" fillId="0" borderId="31" xfId="1" applyFont="1" applyBorder="1" applyAlignment="1" applyProtection="1">
      <alignment horizontal="left" vertical="top" wrapText="1"/>
      <protection locked="0"/>
    </xf>
    <xf numFmtId="0" fontId="14" fillId="0" borderId="4" xfId="1" applyFont="1" applyBorder="1" applyAlignment="1" applyProtection="1">
      <alignment horizontal="left" vertical="center"/>
      <protection locked="0"/>
    </xf>
    <xf numFmtId="0" fontId="14" fillId="0" borderId="1" xfId="1" applyFont="1" applyBorder="1" applyAlignment="1" applyProtection="1">
      <alignment horizontal="left" vertical="center"/>
      <protection locked="0"/>
    </xf>
    <xf numFmtId="0" fontId="14" fillId="0" borderId="1" xfId="1" applyFont="1" applyBorder="1" applyAlignment="1" applyProtection="1">
      <alignment horizontal="left" vertical="center" wrapText="1"/>
      <protection locked="0"/>
    </xf>
    <xf numFmtId="0" fontId="14" fillId="0" borderId="5" xfId="1" applyFont="1" applyBorder="1" applyAlignment="1" applyProtection="1">
      <alignment horizontal="left" vertical="center" wrapText="1"/>
      <protection locked="0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1.png"/><Relationship Id="rId1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664950</xdr:colOff>
      <xdr:row>431</xdr:row>
      <xdr:rowOff>196248</xdr:rowOff>
    </xdr:from>
    <xdr:to>
      <xdr:col>7</xdr:col>
      <xdr:colOff>189653</xdr:colOff>
      <xdr:row>452</xdr:row>
      <xdr:rowOff>4787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4950" y="56447663"/>
          <a:ext cx="5446378" cy="396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664950</xdr:colOff>
      <xdr:row>411</xdr:row>
      <xdr:rowOff>44930</xdr:rowOff>
    </xdr:from>
    <xdr:to>
      <xdr:col>7</xdr:col>
      <xdr:colOff>189651</xdr:colOff>
      <xdr:row>431</xdr:row>
      <xdr:rowOff>51155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4950" y="52342572"/>
          <a:ext cx="5446376" cy="396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863600</xdr:colOff>
      <xdr:row>331</xdr:row>
      <xdr:rowOff>57150</xdr:rowOff>
    </xdr:from>
    <xdr:to>
      <xdr:col>11</xdr:col>
      <xdr:colOff>157563</xdr:colOff>
      <xdr:row>345</xdr:row>
      <xdr:rowOff>51105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1100" y="53257450"/>
          <a:ext cx="2049863" cy="27435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10</xdr:col>
      <xdr:colOff>79087</xdr:colOff>
      <xdr:row>331</xdr:row>
      <xdr:rowOff>57150</xdr:rowOff>
    </xdr:from>
    <xdr:ext cx="818750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765887" y="53257450"/>
          <a:ext cx="818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East Tower</a:t>
          </a:r>
        </a:p>
      </xdr:txBody>
    </xdr:sp>
    <xdr:clientData/>
  </xdr:oneCellAnchor>
  <xdr:twoCellAnchor>
    <xdr:from>
      <xdr:col>10</xdr:col>
      <xdr:colOff>448093</xdr:colOff>
      <xdr:row>332</xdr:row>
      <xdr:rowOff>125438</xdr:rowOff>
    </xdr:from>
    <xdr:to>
      <xdr:col>10</xdr:col>
      <xdr:colOff>489039</xdr:colOff>
      <xdr:row>333</xdr:row>
      <xdr:rowOff>86014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stCxn id="16" idx="2"/>
        </xdr:cNvCxnSpPr>
      </xdr:nvCxnSpPr>
      <xdr:spPr>
        <a:xfrm flipH="1">
          <a:off x="9134893" y="53522588"/>
          <a:ext cx="40946" cy="15742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56573</xdr:colOff>
      <xdr:row>332</xdr:row>
      <xdr:rowOff>99869</xdr:rowOff>
    </xdr:from>
    <xdr:ext cx="877997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943273" y="53497019"/>
          <a:ext cx="8779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West Tower</a:t>
          </a:r>
        </a:p>
      </xdr:txBody>
    </xdr:sp>
    <xdr:clientData/>
  </xdr:oneCellAnchor>
  <xdr:twoCellAnchor>
    <xdr:from>
      <xdr:col>9</xdr:col>
      <xdr:colOff>494995</xdr:colOff>
      <xdr:row>333</xdr:row>
      <xdr:rowOff>168156</xdr:rowOff>
    </xdr:from>
    <xdr:to>
      <xdr:col>9</xdr:col>
      <xdr:colOff>681887</xdr:colOff>
      <xdr:row>336</xdr:row>
      <xdr:rowOff>114878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stCxn id="18" idx="2"/>
        </xdr:cNvCxnSpPr>
      </xdr:nvCxnSpPr>
      <xdr:spPr>
        <a:xfrm>
          <a:off x="8381695" y="53762156"/>
          <a:ext cx="186892" cy="53092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232410</xdr:colOff>
      <xdr:row>332</xdr:row>
      <xdr:rowOff>157480</xdr:rowOff>
    </xdr:from>
    <xdr:to>
      <xdr:col>21</xdr:col>
      <xdr:colOff>343566</xdr:colOff>
      <xdr:row>372</xdr:row>
      <xdr:rowOff>114030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8087360" y="64063880"/>
          <a:ext cx="6588156" cy="7824200"/>
          <a:chOff x="133350" y="53486050"/>
          <a:chExt cx="6411626" cy="7824200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26831" y="5915025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3351" y="534860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11057" y="563181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11057" y="534860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3350" y="563181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95112" y="563181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95113" y="534860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4803377" y="53543200"/>
            <a:ext cx="81875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East Tower</a:t>
            </a:r>
          </a:p>
        </xdr:txBody>
      </xdr:sp>
      <xdr:cxnSp macro="">
        <xdr:nvCxnSpPr>
          <xdr:cNvPr id="35" name="Straight Arrow Connector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CxnSpPr>
            <a:stCxn id="34" idx="2"/>
            <a:endCxn id="36" idx="3"/>
          </xdr:cNvCxnSpPr>
        </xdr:nvCxnSpPr>
        <xdr:spPr>
          <a:xfrm>
            <a:off x="5212752" y="53807760"/>
            <a:ext cx="255608" cy="304139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4590363" y="53979619"/>
            <a:ext cx="877997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West Tower</a:t>
            </a:r>
          </a:p>
        </xdr:txBody>
      </xdr:sp>
      <xdr:cxnSp macro="">
        <xdr:nvCxnSpPr>
          <xdr:cNvPr id="37" name="Straight Arrow Connector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CxnSpPr>
            <a:stCxn id="36" idx="2"/>
          </xdr:cNvCxnSpPr>
        </xdr:nvCxnSpPr>
        <xdr:spPr>
          <a:xfrm>
            <a:off x="5028785" y="54244756"/>
            <a:ext cx="186892" cy="530922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8</xdr:col>
      <xdr:colOff>142875</xdr:colOff>
      <xdr:row>41</xdr:row>
      <xdr:rowOff>161925</xdr:rowOff>
    </xdr:from>
    <xdr:to>
      <xdr:col>16</xdr:col>
      <xdr:colOff>148050</xdr:colOff>
      <xdr:row>49</xdr:row>
      <xdr:rowOff>374693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04996D-AE42-45B1-9E8A-6FC5E562D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496050" y="9191625"/>
          <a:ext cx="4320000" cy="2022518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50</xdr:row>
      <xdr:rowOff>123825</xdr:rowOff>
    </xdr:from>
    <xdr:to>
      <xdr:col>17</xdr:col>
      <xdr:colOff>267975</xdr:colOff>
      <xdr:row>51</xdr:row>
      <xdr:rowOff>479044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CBA788-6BF3-46B3-B705-B78B67A30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505575" y="11363325"/>
          <a:ext cx="5040000" cy="1174369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106</xdr:row>
      <xdr:rowOff>19050</xdr:rowOff>
    </xdr:from>
    <xdr:to>
      <xdr:col>18</xdr:col>
      <xdr:colOff>371250</xdr:colOff>
      <xdr:row>132</xdr:row>
      <xdr:rowOff>247174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6F4556-D3BD-457B-9DBA-1CBF99701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67950" y="22307550"/>
          <a:ext cx="1800000" cy="2407444"/>
        </a:xfrm>
        <a:prstGeom prst="rect">
          <a:avLst/>
        </a:prstGeom>
      </xdr:spPr>
    </xdr:pic>
    <xdr:clientData/>
  </xdr:twoCellAnchor>
  <xdr:twoCellAnchor editAs="oneCell">
    <xdr:from>
      <xdr:col>8</xdr:col>
      <xdr:colOff>657225</xdr:colOff>
      <xdr:row>118</xdr:row>
      <xdr:rowOff>190500</xdr:rowOff>
    </xdr:from>
    <xdr:to>
      <xdr:col>12</xdr:col>
      <xdr:colOff>143295</xdr:colOff>
      <xdr:row>141</xdr:row>
      <xdr:rowOff>181365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EE5F1FA-FC12-40A3-8533-E39F01973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010400" y="26174700"/>
          <a:ext cx="3010320" cy="2791215"/>
        </a:xfrm>
        <a:prstGeom prst="rect">
          <a:avLst/>
        </a:prstGeom>
      </xdr:spPr>
    </xdr:pic>
    <xdr:clientData/>
  </xdr:twoCellAnchor>
  <xdr:twoCellAnchor editAs="oneCell">
    <xdr:from>
      <xdr:col>11</xdr:col>
      <xdr:colOff>649605</xdr:colOff>
      <xdr:row>133</xdr:row>
      <xdr:rowOff>108585</xdr:rowOff>
    </xdr:from>
    <xdr:to>
      <xdr:col>18</xdr:col>
      <xdr:colOff>86385</xdr:colOff>
      <xdr:row>152</xdr:row>
      <xdr:rowOff>52111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66E1EEE-33E1-4D8A-8D4B-7E7E6E1C4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877425" y="23905845"/>
          <a:ext cx="2416200" cy="3707806"/>
        </a:xfrm>
        <a:prstGeom prst="rect">
          <a:avLst/>
        </a:prstGeom>
      </xdr:spPr>
    </xdr:pic>
    <xdr:clientData/>
  </xdr:twoCellAnchor>
  <xdr:twoCellAnchor editAs="oneCell">
    <xdr:from>
      <xdr:col>16</xdr:col>
      <xdr:colOff>603885</xdr:colOff>
      <xdr:row>138</xdr:row>
      <xdr:rowOff>64770</xdr:rowOff>
    </xdr:from>
    <xdr:to>
      <xdr:col>21</xdr:col>
      <xdr:colOff>389016</xdr:colOff>
      <xdr:row>154</xdr:row>
      <xdr:rowOff>36638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B5D6DDF-D90F-4DEA-96F8-4C367888E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370945" y="24852630"/>
          <a:ext cx="2909331" cy="3141788"/>
        </a:xfrm>
        <a:prstGeom prst="rect">
          <a:avLst/>
        </a:prstGeom>
      </xdr:spPr>
    </xdr:pic>
    <xdr:clientData/>
  </xdr:twoCellAnchor>
  <xdr:twoCellAnchor editAs="oneCell">
    <xdr:from>
      <xdr:col>12</xdr:col>
      <xdr:colOff>807720</xdr:colOff>
      <xdr:row>170</xdr:row>
      <xdr:rowOff>24765</xdr:rowOff>
    </xdr:from>
    <xdr:to>
      <xdr:col>19</xdr:col>
      <xdr:colOff>534060</xdr:colOff>
      <xdr:row>181</xdr:row>
      <xdr:rowOff>176110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15B9663-DFF6-409E-AAA7-5B6C8C959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759440" y="31152465"/>
          <a:ext cx="2416200" cy="2330665"/>
        </a:xfrm>
        <a:prstGeom prst="rect">
          <a:avLst/>
        </a:prstGeom>
      </xdr:spPr>
    </xdr:pic>
    <xdr:clientData/>
  </xdr:twoCellAnchor>
  <xdr:twoCellAnchor editAs="oneCell">
    <xdr:from>
      <xdr:col>19</xdr:col>
      <xdr:colOff>150495</xdr:colOff>
      <xdr:row>164</xdr:row>
      <xdr:rowOff>188595</xdr:rowOff>
    </xdr:from>
    <xdr:to>
      <xdr:col>24</xdr:col>
      <xdr:colOff>383361</xdr:colOff>
      <xdr:row>173</xdr:row>
      <xdr:rowOff>38330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9F1DF59-1747-4F3E-81C1-9C261E4FA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792075" y="30127575"/>
          <a:ext cx="3357066" cy="1632815"/>
        </a:xfrm>
        <a:prstGeom prst="rect">
          <a:avLst/>
        </a:prstGeom>
      </xdr:spPr>
    </xdr:pic>
    <xdr:clientData/>
  </xdr:twoCellAnchor>
  <xdr:twoCellAnchor editAs="oneCell">
    <xdr:from>
      <xdr:col>8</xdr:col>
      <xdr:colOff>942975</xdr:colOff>
      <xdr:row>179</xdr:row>
      <xdr:rowOff>142875</xdr:rowOff>
    </xdr:from>
    <xdr:to>
      <xdr:col>11</xdr:col>
      <xdr:colOff>654075</xdr:colOff>
      <xdr:row>190</xdr:row>
      <xdr:rowOff>349246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B535051-31A2-461A-A9D7-60C2CA30B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296150" y="35528250"/>
          <a:ext cx="2340000" cy="2406646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179</xdr:row>
      <xdr:rowOff>152400</xdr:rowOff>
    </xdr:from>
    <xdr:to>
      <xdr:col>19</xdr:col>
      <xdr:colOff>381415</xdr:colOff>
      <xdr:row>187</xdr:row>
      <xdr:rowOff>38307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B03ABF8-374A-4B45-97AF-5A6A68752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15500" y="35537775"/>
          <a:ext cx="2972215" cy="1486107"/>
        </a:xfrm>
        <a:prstGeom prst="rect">
          <a:avLst/>
        </a:prstGeom>
      </xdr:spPr>
    </xdr:pic>
    <xdr:clientData/>
  </xdr:twoCellAnchor>
  <xdr:twoCellAnchor editAs="oneCell">
    <xdr:from>
      <xdr:col>8</xdr:col>
      <xdr:colOff>914400</xdr:colOff>
      <xdr:row>193</xdr:row>
      <xdr:rowOff>76200</xdr:rowOff>
    </xdr:from>
    <xdr:to>
      <xdr:col>11</xdr:col>
      <xdr:colOff>857606</xdr:colOff>
      <xdr:row>206</xdr:row>
      <xdr:rowOff>133721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DC8EBE4-AC2E-4E2D-B418-CBD8E44E9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267575" y="38442900"/>
          <a:ext cx="2553056" cy="2657846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190500</xdr:colOff>
      <xdr:row>193</xdr:row>
      <xdr:rowOff>66675</xdr:rowOff>
    </xdr:from>
    <xdr:to>
      <xdr:col>20</xdr:col>
      <xdr:colOff>124266</xdr:colOff>
      <xdr:row>204</xdr:row>
      <xdr:rowOff>28877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B83F2CB-36C4-4779-A782-DB48404DB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877425" y="38433375"/>
          <a:ext cx="3162741" cy="2162477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207</xdr:row>
      <xdr:rowOff>66675</xdr:rowOff>
    </xdr:from>
    <xdr:to>
      <xdr:col>12</xdr:col>
      <xdr:colOff>67096</xdr:colOff>
      <xdr:row>223</xdr:row>
      <xdr:rowOff>29016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A91F21F-35C4-40EA-93B6-09A6FB4D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924675" y="41233725"/>
          <a:ext cx="3019846" cy="3162741"/>
        </a:xfrm>
        <a:prstGeom prst="rect">
          <a:avLst/>
        </a:prstGeom>
      </xdr:spPr>
    </xdr:pic>
    <xdr:clientData/>
  </xdr:twoCellAnchor>
  <xdr:twoCellAnchor editAs="oneCell">
    <xdr:from>
      <xdr:col>12</xdr:col>
      <xdr:colOff>323850</xdr:colOff>
      <xdr:row>207</xdr:row>
      <xdr:rowOff>28575</xdr:rowOff>
    </xdr:from>
    <xdr:to>
      <xdr:col>20</xdr:col>
      <xdr:colOff>133774</xdr:colOff>
      <xdr:row>215</xdr:row>
      <xdr:rowOff>114534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CC2EA0D-353E-4DC4-B09F-B99E32D13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41195625"/>
          <a:ext cx="3038899" cy="1686159"/>
        </a:xfrm>
        <a:prstGeom prst="rect">
          <a:avLst/>
        </a:prstGeom>
      </xdr:spPr>
    </xdr:pic>
    <xdr:clientData/>
  </xdr:twoCellAnchor>
  <xdr:twoCellAnchor editAs="oneCell">
    <xdr:from>
      <xdr:col>16</xdr:col>
      <xdr:colOff>186690</xdr:colOff>
      <xdr:row>214</xdr:row>
      <xdr:rowOff>179070</xdr:rowOff>
    </xdr:from>
    <xdr:to>
      <xdr:col>19</xdr:col>
      <xdr:colOff>548370</xdr:colOff>
      <xdr:row>224</xdr:row>
      <xdr:rowOff>111851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B180D1B-10C4-4044-A46D-F6732C446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144250" y="40222170"/>
          <a:ext cx="2236200" cy="1913981"/>
        </a:xfrm>
        <a:prstGeom prst="rect">
          <a:avLst/>
        </a:prstGeom>
      </xdr:spPr>
    </xdr:pic>
    <xdr:clientData/>
  </xdr:twoCellAnchor>
  <xdr:twoCellAnchor editAs="oneCell">
    <xdr:from>
      <xdr:col>8</xdr:col>
      <xdr:colOff>1104900</xdr:colOff>
      <xdr:row>234</xdr:row>
      <xdr:rowOff>57150</xdr:rowOff>
    </xdr:from>
    <xdr:to>
      <xdr:col>11</xdr:col>
      <xdr:colOff>857580</xdr:colOff>
      <xdr:row>244</xdr:row>
      <xdr:rowOff>162219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8019674-B465-4471-BF94-621908750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458075" y="43548300"/>
          <a:ext cx="2362530" cy="2105319"/>
        </a:xfrm>
        <a:prstGeom prst="rect">
          <a:avLst/>
        </a:prstGeom>
      </xdr:spPr>
    </xdr:pic>
    <xdr:clientData/>
  </xdr:twoCellAnchor>
  <xdr:twoCellAnchor editAs="oneCell">
    <xdr:from>
      <xdr:col>9</xdr:col>
      <xdr:colOff>495300</xdr:colOff>
      <xdr:row>252</xdr:row>
      <xdr:rowOff>161925</xdr:rowOff>
    </xdr:from>
    <xdr:to>
      <xdr:col>16</xdr:col>
      <xdr:colOff>48003</xdr:colOff>
      <xdr:row>264</xdr:row>
      <xdr:rowOff>133680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EF009235-D7C3-4089-87B9-B6DE1C2D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010525" y="47253525"/>
          <a:ext cx="2705478" cy="2372056"/>
        </a:xfrm>
        <a:prstGeom prst="rect">
          <a:avLst/>
        </a:prstGeom>
      </xdr:spPr>
    </xdr:pic>
    <xdr:clientData/>
  </xdr:twoCellAnchor>
  <xdr:twoCellAnchor editAs="oneCell">
    <xdr:from>
      <xdr:col>16</xdr:col>
      <xdr:colOff>607695</xdr:colOff>
      <xdr:row>221</xdr:row>
      <xdr:rowOff>184785</xdr:rowOff>
    </xdr:from>
    <xdr:to>
      <xdr:col>30</xdr:col>
      <xdr:colOff>41118</xdr:colOff>
      <xdr:row>248</xdr:row>
      <xdr:rowOff>6444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71C63E4-64AC-4BB7-98E5-B37178D6D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1565255" y="41614725"/>
          <a:ext cx="8181183" cy="5170899"/>
        </a:xfrm>
        <a:prstGeom prst="rect">
          <a:avLst/>
        </a:prstGeom>
      </xdr:spPr>
    </xdr:pic>
    <xdr:clientData/>
  </xdr:twoCellAnchor>
  <xdr:twoCellAnchor editAs="oneCell">
    <xdr:from>
      <xdr:col>11</xdr:col>
      <xdr:colOff>866775</xdr:colOff>
      <xdr:row>266</xdr:row>
      <xdr:rowOff>9525</xdr:rowOff>
    </xdr:from>
    <xdr:to>
      <xdr:col>19</xdr:col>
      <xdr:colOff>272823</xdr:colOff>
      <xdr:row>284</xdr:row>
      <xdr:rowOff>76712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8CB7550-B072-416B-8911-66F4E3C5D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094595" y="50354865"/>
          <a:ext cx="3010308" cy="3633347"/>
        </a:xfrm>
        <a:prstGeom prst="rect">
          <a:avLst/>
        </a:prstGeom>
      </xdr:spPr>
    </xdr:pic>
    <xdr:clientData/>
  </xdr:twoCellAnchor>
  <xdr:twoCellAnchor editAs="oneCell">
    <xdr:from>
      <xdr:col>8</xdr:col>
      <xdr:colOff>400050</xdr:colOff>
      <xdr:row>51</xdr:row>
      <xdr:rowOff>2705100</xdr:rowOff>
    </xdr:from>
    <xdr:to>
      <xdr:col>18</xdr:col>
      <xdr:colOff>219822</xdr:colOff>
      <xdr:row>59</xdr:row>
      <xdr:rowOff>95513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32F777C3-34A7-4ECF-88E2-3C0B33E15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753225" y="14763750"/>
          <a:ext cx="5353797" cy="1886213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51</xdr:row>
      <xdr:rowOff>514350</xdr:rowOff>
    </xdr:from>
    <xdr:to>
      <xdr:col>17</xdr:col>
      <xdr:colOff>258450</xdr:colOff>
      <xdr:row>51</xdr:row>
      <xdr:rowOff>1530976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AEE2001B-5E27-40DF-98B5-F0CFB2630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496050" y="12573000"/>
          <a:ext cx="5040000" cy="1016626"/>
        </a:xfrm>
        <a:prstGeom prst="rect">
          <a:avLst/>
        </a:prstGeom>
      </xdr:spPr>
    </xdr:pic>
    <xdr:clientData/>
  </xdr:twoCellAnchor>
  <xdr:twoCellAnchor editAs="oneCell">
    <xdr:from>
      <xdr:col>8</xdr:col>
      <xdr:colOff>289560</xdr:colOff>
      <xdr:row>51</xdr:row>
      <xdr:rowOff>1567815</xdr:rowOff>
    </xdr:from>
    <xdr:to>
      <xdr:col>22</xdr:col>
      <xdr:colOff>347831</xdr:colOff>
      <xdr:row>51</xdr:row>
      <xdr:rowOff>2653817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C4E6759F-2480-4D00-9337-7E8FA9419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812280" y="13538835"/>
          <a:ext cx="8242151" cy="1086002"/>
        </a:xfrm>
        <a:prstGeom prst="rect">
          <a:avLst/>
        </a:prstGeom>
      </xdr:spPr>
    </xdr:pic>
    <xdr:clientData/>
  </xdr:twoCellAnchor>
  <xdr:twoCellAnchor>
    <xdr:from>
      <xdr:col>0</xdr:col>
      <xdr:colOff>485775</xdr:colOff>
      <xdr:row>375</xdr:row>
      <xdr:rowOff>190500</xdr:rowOff>
    </xdr:from>
    <xdr:to>
      <xdr:col>7</xdr:col>
      <xdr:colOff>223557</xdr:colOff>
      <xdr:row>402</xdr:row>
      <xdr:rowOff>104880</xdr:rowOff>
    </xdr:to>
    <xdr:grpSp>
      <xdr:nvGrpSpPr>
        <xdr:cNvPr id="46" name="Group 45">
          <a:extLst>
            <a:ext uri="{FF2B5EF4-FFF2-40B4-BE49-F238E27FC236}">
              <a16:creationId xmlns:a16="http://schemas.microsoft.com/office/drawing/2014/main" id="{70FA29FE-6F01-4735-A3D8-82E824D9320E}"/>
            </a:ext>
          </a:extLst>
        </xdr:cNvPr>
        <xdr:cNvGrpSpPr/>
      </xdr:nvGrpSpPr>
      <xdr:grpSpPr>
        <a:xfrm>
          <a:off x="485775" y="72555100"/>
          <a:ext cx="5503582" cy="5229330"/>
          <a:chOff x="762000" y="3665587"/>
          <a:chExt cx="5262282" cy="5315055"/>
        </a:xfrm>
      </xdr:grpSpPr>
      <xdr:grpSp>
        <xdr:nvGrpSpPr>
          <xdr:cNvPr id="47" name="Group 46">
            <a:extLst>
              <a:ext uri="{FF2B5EF4-FFF2-40B4-BE49-F238E27FC236}">
                <a16:creationId xmlns:a16="http://schemas.microsoft.com/office/drawing/2014/main" id="{F73491C6-C8BE-4127-BEB3-A5CD46CDB466}"/>
              </a:ext>
            </a:extLst>
          </xdr:cNvPr>
          <xdr:cNvGrpSpPr/>
        </xdr:nvGrpSpPr>
        <xdr:grpSpPr>
          <a:xfrm>
            <a:off x="762000" y="3665587"/>
            <a:ext cx="5262282" cy="1920403"/>
            <a:chOff x="762000" y="3665587"/>
            <a:chExt cx="5262282" cy="1920403"/>
          </a:xfrm>
        </xdr:grpSpPr>
        <xdr:pic>
          <xdr:nvPicPr>
            <xdr:cNvPr id="49" name="Picture 48">
              <a:extLst>
                <a:ext uri="{FF2B5EF4-FFF2-40B4-BE49-F238E27FC236}">
                  <a16:creationId xmlns:a16="http://schemas.microsoft.com/office/drawing/2014/main" id="{2122C27E-9BD5-4D82-B18F-D7D5418F80E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762000" y="3665587"/>
              <a:ext cx="5262282" cy="192040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50" name="Rectangle 49">
              <a:extLst>
                <a:ext uri="{FF2B5EF4-FFF2-40B4-BE49-F238E27FC236}">
                  <a16:creationId xmlns:a16="http://schemas.microsoft.com/office/drawing/2014/main" id="{086D66AD-E806-4C0D-BBD2-08369ABF8561}"/>
                </a:ext>
              </a:extLst>
            </xdr:cNvPr>
            <xdr:cNvSpPr/>
          </xdr:nvSpPr>
          <xdr:spPr>
            <a:xfrm>
              <a:off x="1314450" y="4152900"/>
              <a:ext cx="920750" cy="984250"/>
            </a:xfrm>
            <a:prstGeom prst="rect">
              <a:avLst/>
            </a:prstGeom>
            <a:noFill/>
            <a:ln w="285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51" name="TextBox 5">
              <a:extLst>
                <a:ext uri="{FF2B5EF4-FFF2-40B4-BE49-F238E27FC236}">
                  <a16:creationId xmlns:a16="http://schemas.microsoft.com/office/drawing/2014/main" id="{500193B1-CF8C-4E58-9108-275AD1690AEB}"/>
                </a:ext>
              </a:extLst>
            </xdr:cNvPr>
            <xdr:cNvSpPr txBox="1"/>
          </xdr:nvSpPr>
          <xdr:spPr>
            <a:xfrm>
              <a:off x="1208405" y="3680996"/>
              <a:ext cx="875561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Wing A</a:t>
              </a:r>
              <a:endParaRPr lang="en-IN" b="1"/>
            </a:p>
          </xdr:txBody>
        </xdr:sp>
        <xdr:sp macro="" textlink="">
          <xdr:nvSpPr>
            <xdr:cNvPr id="52" name="Rectangle 51">
              <a:extLst>
                <a:ext uri="{FF2B5EF4-FFF2-40B4-BE49-F238E27FC236}">
                  <a16:creationId xmlns:a16="http://schemas.microsoft.com/office/drawing/2014/main" id="{9812F11D-F059-4568-BC42-7A38945BEE59}"/>
                </a:ext>
              </a:extLst>
            </xdr:cNvPr>
            <xdr:cNvSpPr/>
          </xdr:nvSpPr>
          <xdr:spPr>
            <a:xfrm>
              <a:off x="3669366" y="4152900"/>
              <a:ext cx="920750" cy="984250"/>
            </a:xfrm>
            <a:prstGeom prst="rect">
              <a:avLst/>
            </a:prstGeom>
            <a:noFill/>
            <a:ln w="285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53" name="TextBox 7">
              <a:extLst>
                <a:ext uri="{FF2B5EF4-FFF2-40B4-BE49-F238E27FC236}">
                  <a16:creationId xmlns:a16="http://schemas.microsoft.com/office/drawing/2014/main" id="{64DF369E-630D-4B21-BE25-96C255EEF285}"/>
                </a:ext>
              </a:extLst>
            </xdr:cNvPr>
            <xdr:cNvSpPr txBox="1"/>
          </xdr:nvSpPr>
          <xdr:spPr>
            <a:xfrm>
              <a:off x="3758174" y="5207188"/>
              <a:ext cx="865943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Wing B</a:t>
              </a:r>
              <a:endParaRPr lang="en-IN" b="1"/>
            </a:p>
          </xdr:txBody>
        </xdr:sp>
        <xdr:sp macro="" textlink="">
          <xdr:nvSpPr>
            <xdr:cNvPr id="54" name="Rectangle 53">
              <a:extLst>
                <a:ext uri="{FF2B5EF4-FFF2-40B4-BE49-F238E27FC236}">
                  <a16:creationId xmlns:a16="http://schemas.microsoft.com/office/drawing/2014/main" id="{44087517-9F65-477B-B295-8F0ADA176254}"/>
                </a:ext>
              </a:extLst>
            </xdr:cNvPr>
            <xdr:cNvSpPr/>
          </xdr:nvSpPr>
          <xdr:spPr>
            <a:xfrm>
              <a:off x="2248152" y="4229990"/>
              <a:ext cx="1421213" cy="984250"/>
            </a:xfrm>
            <a:prstGeom prst="rect">
              <a:avLst/>
            </a:prstGeom>
            <a:noFill/>
            <a:ln w="19050">
              <a:solidFill>
                <a:srgbClr val="7030A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55" name="TextBox 9">
              <a:extLst>
                <a:ext uri="{FF2B5EF4-FFF2-40B4-BE49-F238E27FC236}">
                  <a16:creationId xmlns:a16="http://schemas.microsoft.com/office/drawing/2014/main" id="{242927D1-D905-42BE-BBF6-C00AB389401E}"/>
                </a:ext>
              </a:extLst>
            </xdr:cNvPr>
            <xdr:cNvSpPr txBox="1"/>
          </xdr:nvSpPr>
          <xdr:spPr>
            <a:xfrm>
              <a:off x="2252117" y="3845540"/>
              <a:ext cx="1430200" cy="415498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 b="1">
                  <a:solidFill>
                    <a:srgbClr val="7030A0"/>
                  </a:solidFill>
                </a:rPr>
                <a:t>Wing C</a:t>
              </a:r>
            </a:p>
            <a:p>
              <a:r>
                <a:rPr lang="en-US" sz="1050" b="1">
                  <a:solidFill>
                    <a:srgbClr val="7030A0"/>
                  </a:solidFill>
                </a:rPr>
                <a:t>(Parking &amp; Clubhouse)</a:t>
              </a:r>
              <a:endParaRPr lang="en-IN" sz="1050" b="1">
                <a:solidFill>
                  <a:srgbClr val="7030A0"/>
                </a:solidFill>
              </a:endParaRPr>
            </a:p>
          </xdr:txBody>
        </xdr:sp>
      </xdr:grpSp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F782A951-6DA5-4D80-8608-07C01E5117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/>
          <a:stretch>
            <a:fillRect/>
          </a:stretch>
        </xdr:blipFill>
        <xdr:spPr>
          <a:xfrm>
            <a:off x="1540270" y="5865532"/>
            <a:ext cx="3705742" cy="311511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9</xdr:col>
      <xdr:colOff>327660</xdr:colOff>
      <xdr:row>105</xdr:row>
      <xdr:rowOff>129540</xdr:rowOff>
    </xdr:from>
    <xdr:to>
      <xdr:col>19</xdr:col>
      <xdr:colOff>614640</xdr:colOff>
      <xdr:row>120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EB4991F-BD79-4629-0F58-E1758E5C5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046720" y="21168360"/>
          <a:ext cx="5400000" cy="2040680"/>
        </a:xfrm>
        <a:prstGeom prst="rect">
          <a:avLst/>
        </a:prstGeom>
      </xdr:spPr>
    </xdr:pic>
    <xdr:clientData/>
  </xdr:twoCellAnchor>
  <xdr:twoCellAnchor>
    <xdr:from>
      <xdr:col>0</xdr:col>
      <xdr:colOff>273050</xdr:colOff>
      <xdr:row>332</xdr:row>
      <xdr:rowOff>101600</xdr:rowOff>
    </xdr:from>
    <xdr:to>
      <xdr:col>7</xdr:col>
      <xdr:colOff>579843</xdr:colOff>
      <xdr:row>367</xdr:row>
      <xdr:rowOff>187949</xdr:rowOff>
    </xdr:to>
    <xdr:grpSp>
      <xdr:nvGrpSpPr>
        <xdr:cNvPr id="66" name="Group 65"/>
        <xdr:cNvGrpSpPr/>
      </xdr:nvGrpSpPr>
      <xdr:grpSpPr>
        <a:xfrm>
          <a:off x="273050" y="64008000"/>
          <a:ext cx="6072593" cy="6969749"/>
          <a:chOff x="273050" y="64008000"/>
          <a:chExt cx="6072593" cy="6969749"/>
        </a:xfrm>
      </xdr:grpSpPr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3050" y="640080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8736" y="640080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82206" y="68097749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/>
          <xdr:cNvPicPr>
            <a:picLocks noChangeAspect="1"/>
          </xdr:cNvPicPr>
        </xdr:nvPicPr>
        <xdr:blipFill>
          <a:blip xmlns:r="http://schemas.openxmlformats.org/officeDocument/2006/relationships" r:embed="rId3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8736" y="68097749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665630</xdr:colOff>
      <xdr:row>14</xdr:row>
      <xdr:rowOff>0</xdr:rowOff>
    </xdr:from>
    <xdr:to>
      <xdr:col>10</xdr:col>
      <xdr:colOff>498953</xdr:colOff>
      <xdr:row>29</xdr:row>
      <xdr:rowOff>22500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4806" y="2678206"/>
          <a:ext cx="5122500" cy="28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4</xdr:col>
      <xdr:colOff>416030</xdr:colOff>
      <xdr:row>29</xdr:row>
      <xdr:rowOff>22500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5122500" cy="28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466165</xdr:colOff>
      <xdr:row>31</xdr:row>
      <xdr:rowOff>179293</xdr:rowOff>
    </xdr:from>
    <xdr:to>
      <xdr:col>6</xdr:col>
      <xdr:colOff>753683</xdr:colOff>
      <xdr:row>49</xdr:row>
      <xdr:rowOff>38366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5BD832-A4E3-E6F5-0895-CA081F81C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165" y="5862917"/>
          <a:ext cx="7468247" cy="3086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YhaR3NgDyreK3Gfe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411"/>
  <sheetViews>
    <sheetView tabSelected="1" view="pageBreakPreview" topLeftCell="A302" zoomScaleNormal="100" zoomScaleSheetLayoutView="100" zoomScalePageLayoutView="85" workbookViewId="0">
      <selection activeCell="B306" sqref="B306:H306"/>
    </sheetView>
  </sheetViews>
  <sheetFormatPr defaultColWidth="9.08984375" defaultRowHeight="15.5" x14ac:dyDescent="0.35"/>
  <cols>
    <col min="1" max="1" width="11.453125" style="11" customWidth="1"/>
    <col min="2" max="2" width="12" style="11" customWidth="1"/>
    <col min="3" max="3" width="12.6328125" style="11" customWidth="1"/>
    <col min="4" max="4" width="14.08984375" style="11" customWidth="1"/>
    <col min="5" max="6" width="11.6328125" style="11" customWidth="1"/>
    <col min="7" max="7" width="9.08984375" style="11" customWidth="1"/>
    <col min="8" max="8" width="12.453125" style="11" customWidth="1"/>
    <col min="9" max="9" width="17.453125" style="3" customWidth="1"/>
    <col min="10" max="10" width="11.453125" style="3" customWidth="1"/>
    <col min="11" max="11" width="10.54296875" style="3" bestFit="1" customWidth="1"/>
    <col min="12" max="12" width="13.36328125" style="3" customWidth="1"/>
    <col min="13" max="13" width="11.90625" style="3" customWidth="1"/>
    <col min="14" max="14" width="12.54296875" style="3" hidden="1" customWidth="1"/>
    <col min="15" max="15" width="9.90625" style="3" hidden="1" customWidth="1"/>
    <col min="16" max="16" width="11.6328125" style="3" hidden="1" customWidth="1"/>
    <col min="17" max="247" width="9.08984375" style="3"/>
    <col min="248" max="248" width="8.6328125" style="3" customWidth="1"/>
    <col min="249" max="249" width="9.90625" style="3" customWidth="1"/>
    <col min="250" max="250" width="14.453125" style="3" customWidth="1"/>
    <col min="251" max="251" width="7.36328125" style="3" customWidth="1"/>
    <col min="252" max="252" width="5.54296875" style="3" customWidth="1"/>
    <col min="253" max="253" width="9" style="3" customWidth="1"/>
    <col min="254" max="255" width="9.90625" style="3" customWidth="1"/>
    <col min="256" max="256" width="11.08984375" style="3" customWidth="1"/>
    <col min="257" max="257" width="2.90625" style="3" customWidth="1"/>
    <col min="258" max="258" width="3.54296875" style="3" customWidth="1"/>
    <col min="259" max="503" width="9.08984375" style="3"/>
    <col min="504" max="504" width="8.6328125" style="3" customWidth="1"/>
    <col min="505" max="505" width="9.90625" style="3" customWidth="1"/>
    <col min="506" max="506" width="14.453125" style="3" customWidth="1"/>
    <col min="507" max="507" width="7.36328125" style="3" customWidth="1"/>
    <col min="508" max="508" width="5.54296875" style="3" customWidth="1"/>
    <col min="509" max="509" width="9" style="3" customWidth="1"/>
    <col min="510" max="511" width="9.90625" style="3" customWidth="1"/>
    <col min="512" max="512" width="11.08984375" style="3" customWidth="1"/>
    <col min="513" max="513" width="2.90625" style="3" customWidth="1"/>
    <col min="514" max="514" width="3.54296875" style="3" customWidth="1"/>
    <col min="515" max="759" width="9.08984375" style="3"/>
    <col min="760" max="760" width="8.6328125" style="3" customWidth="1"/>
    <col min="761" max="761" width="9.90625" style="3" customWidth="1"/>
    <col min="762" max="762" width="14.453125" style="3" customWidth="1"/>
    <col min="763" max="763" width="7.36328125" style="3" customWidth="1"/>
    <col min="764" max="764" width="5.54296875" style="3" customWidth="1"/>
    <col min="765" max="765" width="9" style="3" customWidth="1"/>
    <col min="766" max="767" width="9.90625" style="3" customWidth="1"/>
    <col min="768" max="768" width="11.08984375" style="3" customWidth="1"/>
    <col min="769" max="769" width="2.90625" style="3" customWidth="1"/>
    <col min="770" max="770" width="3.54296875" style="3" customWidth="1"/>
    <col min="771" max="1015" width="9.08984375" style="3"/>
    <col min="1016" max="1016" width="8.6328125" style="3" customWidth="1"/>
    <col min="1017" max="1017" width="9.90625" style="3" customWidth="1"/>
    <col min="1018" max="1018" width="14.453125" style="3" customWidth="1"/>
    <col min="1019" max="1019" width="7.36328125" style="3" customWidth="1"/>
    <col min="1020" max="1020" width="5.54296875" style="3" customWidth="1"/>
    <col min="1021" max="1021" width="9" style="3" customWidth="1"/>
    <col min="1022" max="1023" width="9.90625" style="3" customWidth="1"/>
    <col min="1024" max="1024" width="11.08984375" style="3" customWidth="1"/>
    <col min="1025" max="1025" width="2.90625" style="3" customWidth="1"/>
    <col min="1026" max="1026" width="3.54296875" style="3" customWidth="1"/>
    <col min="1027" max="1271" width="9.08984375" style="3"/>
    <col min="1272" max="1272" width="8.6328125" style="3" customWidth="1"/>
    <col min="1273" max="1273" width="9.90625" style="3" customWidth="1"/>
    <col min="1274" max="1274" width="14.453125" style="3" customWidth="1"/>
    <col min="1275" max="1275" width="7.36328125" style="3" customWidth="1"/>
    <col min="1276" max="1276" width="5.54296875" style="3" customWidth="1"/>
    <col min="1277" max="1277" width="9" style="3" customWidth="1"/>
    <col min="1278" max="1279" width="9.90625" style="3" customWidth="1"/>
    <col min="1280" max="1280" width="11.08984375" style="3" customWidth="1"/>
    <col min="1281" max="1281" width="2.90625" style="3" customWidth="1"/>
    <col min="1282" max="1282" width="3.54296875" style="3" customWidth="1"/>
    <col min="1283" max="1527" width="9.08984375" style="3"/>
    <col min="1528" max="1528" width="8.6328125" style="3" customWidth="1"/>
    <col min="1529" max="1529" width="9.90625" style="3" customWidth="1"/>
    <col min="1530" max="1530" width="14.453125" style="3" customWidth="1"/>
    <col min="1531" max="1531" width="7.36328125" style="3" customWidth="1"/>
    <col min="1532" max="1532" width="5.54296875" style="3" customWidth="1"/>
    <col min="1533" max="1533" width="9" style="3" customWidth="1"/>
    <col min="1534" max="1535" width="9.90625" style="3" customWidth="1"/>
    <col min="1536" max="1536" width="11.08984375" style="3" customWidth="1"/>
    <col min="1537" max="1537" width="2.90625" style="3" customWidth="1"/>
    <col min="1538" max="1538" width="3.54296875" style="3" customWidth="1"/>
    <col min="1539" max="1783" width="9.08984375" style="3"/>
    <col min="1784" max="1784" width="8.6328125" style="3" customWidth="1"/>
    <col min="1785" max="1785" width="9.90625" style="3" customWidth="1"/>
    <col min="1786" max="1786" width="14.453125" style="3" customWidth="1"/>
    <col min="1787" max="1787" width="7.36328125" style="3" customWidth="1"/>
    <col min="1788" max="1788" width="5.54296875" style="3" customWidth="1"/>
    <col min="1789" max="1789" width="9" style="3" customWidth="1"/>
    <col min="1790" max="1791" width="9.90625" style="3" customWidth="1"/>
    <col min="1792" max="1792" width="11.08984375" style="3" customWidth="1"/>
    <col min="1793" max="1793" width="2.90625" style="3" customWidth="1"/>
    <col min="1794" max="1794" width="3.54296875" style="3" customWidth="1"/>
    <col min="1795" max="2039" width="9.08984375" style="3"/>
    <col min="2040" max="2040" width="8.6328125" style="3" customWidth="1"/>
    <col min="2041" max="2041" width="9.90625" style="3" customWidth="1"/>
    <col min="2042" max="2042" width="14.453125" style="3" customWidth="1"/>
    <col min="2043" max="2043" width="7.36328125" style="3" customWidth="1"/>
    <col min="2044" max="2044" width="5.54296875" style="3" customWidth="1"/>
    <col min="2045" max="2045" width="9" style="3" customWidth="1"/>
    <col min="2046" max="2047" width="9.90625" style="3" customWidth="1"/>
    <col min="2048" max="2048" width="11.08984375" style="3" customWidth="1"/>
    <col min="2049" max="2049" width="2.90625" style="3" customWidth="1"/>
    <col min="2050" max="2050" width="3.54296875" style="3" customWidth="1"/>
    <col min="2051" max="2295" width="9.08984375" style="3"/>
    <col min="2296" max="2296" width="8.6328125" style="3" customWidth="1"/>
    <col min="2297" max="2297" width="9.90625" style="3" customWidth="1"/>
    <col min="2298" max="2298" width="14.453125" style="3" customWidth="1"/>
    <col min="2299" max="2299" width="7.36328125" style="3" customWidth="1"/>
    <col min="2300" max="2300" width="5.54296875" style="3" customWidth="1"/>
    <col min="2301" max="2301" width="9" style="3" customWidth="1"/>
    <col min="2302" max="2303" width="9.90625" style="3" customWidth="1"/>
    <col min="2304" max="2304" width="11.08984375" style="3" customWidth="1"/>
    <col min="2305" max="2305" width="2.90625" style="3" customWidth="1"/>
    <col min="2306" max="2306" width="3.54296875" style="3" customWidth="1"/>
    <col min="2307" max="2551" width="9.08984375" style="3"/>
    <col min="2552" max="2552" width="8.6328125" style="3" customWidth="1"/>
    <col min="2553" max="2553" width="9.90625" style="3" customWidth="1"/>
    <col min="2554" max="2554" width="14.453125" style="3" customWidth="1"/>
    <col min="2555" max="2555" width="7.36328125" style="3" customWidth="1"/>
    <col min="2556" max="2556" width="5.54296875" style="3" customWidth="1"/>
    <col min="2557" max="2557" width="9" style="3" customWidth="1"/>
    <col min="2558" max="2559" width="9.90625" style="3" customWidth="1"/>
    <col min="2560" max="2560" width="11.08984375" style="3" customWidth="1"/>
    <col min="2561" max="2561" width="2.90625" style="3" customWidth="1"/>
    <col min="2562" max="2562" width="3.54296875" style="3" customWidth="1"/>
    <col min="2563" max="2807" width="9.08984375" style="3"/>
    <col min="2808" max="2808" width="8.6328125" style="3" customWidth="1"/>
    <col min="2809" max="2809" width="9.90625" style="3" customWidth="1"/>
    <col min="2810" max="2810" width="14.453125" style="3" customWidth="1"/>
    <col min="2811" max="2811" width="7.36328125" style="3" customWidth="1"/>
    <col min="2812" max="2812" width="5.54296875" style="3" customWidth="1"/>
    <col min="2813" max="2813" width="9" style="3" customWidth="1"/>
    <col min="2814" max="2815" width="9.90625" style="3" customWidth="1"/>
    <col min="2816" max="2816" width="11.08984375" style="3" customWidth="1"/>
    <col min="2817" max="2817" width="2.90625" style="3" customWidth="1"/>
    <col min="2818" max="2818" width="3.54296875" style="3" customWidth="1"/>
    <col min="2819" max="3063" width="9.08984375" style="3"/>
    <col min="3064" max="3064" width="8.6328125" style="3" customWidth="1"/>
    <col min="3065" max="3065" width="9.90625" style="3" customWidth="1"/>
    <col min="3066" max="3066" width="14.453125" style="3" customWidth="1"/>
    <col min="3067" max="3067" width="7.36328125" style="3" customWidth="1"/>
    <col min="3068" max="3068" width="5.54296875" style="3" customWidth="1"/>
    <col min="3069" max="3069" width="9" style="3" customWidth="1"/>
    <col min="3070" max="3071" width="9.90625" style="3" customWidth="1"/>
    <col min="3072" max="3072" width="11.08984375" style="3" customWidth="1"/>
    <col min="3073" max="3073" width="2.90625" style="3" customWidth="1"/>
    <col min="3074" max="3074" width="3.54296875" style="3" customWidth="1"/>
    <col min="3075" max="3319" width="9.08984375" style="3"/>
    <col min="3320" max="3320" width="8.6328125" style="3" customWidth="1"/>
    <col min="3321" max="3321" width="9.90625" style="3" customWidth="1"/>
    <col min="3322" max="3322" width="14.453125" style="3" customWidth="1"/>
    <col min="3323" max="3323" width="7.36328125" style="3" customWidth="1"/>
    <col min="3324" max="3324" width="5.54296875" style="3" customWidth="1"/>
    <col min="3325" max="3325" width="9" style="3" customWidth="1"/>
    <col min="3326" max="3327" width="9.90625" style="3" customWidth="1"/>
    <col min="3328" max="3328" width="11.08984375" style="3" customWidth="1"/>
    <col min="3329" max="3329" width="2.90625" style="3" customWidth="1"/>
    <col min="3330" max="3330" width="3.54296875" style="3" customWidth="1"/>
    <col min="3331" max="3575" width="9.08984375" style="3"/>
    <col min="3576" max="3576" width="8.6328125" style="3" customWidth="1"/>
    <col min="3577" max="3577" width="9.90625" style="3" customWidth="1"/>
    <col min="3578" max="3578" width="14.453125" style="3" customWidth="1"/>
    <col min="3579" max="3579" width="7.36328125" style="3" customWidth="1"/>
    <col min="3580" max="3580" width="5.54296875" style="3" customWidth="1"/>
    <col min="3581" max="3581" width="9" style="3" customWidth="1"/>
    <col min="3582" max="3583" width="9.90625" style="3" customWidth="1"/>
    <col min="3584" max="3584" width="11.08984375" style="3" customWidth="1"/>
    <col min="3585" max="3585" width="2.90625" style="3" customWidth="1"/>
    <col min="3586" max="3586" width="3.54296875" style="3" customWidth="1"/>
    <col min="3587" max="3831" width="9.08984375" style="3"/>
    <col min="3832" max="3832" width="8.6328125" style="3" customWidth="1"/>
    <col min="3833" max="3833" width="9.90625" style="3" customWidth="1"/>
    <col min="3834" max="3834" width="14.453125" style="3" customWidth="1"/>
    <col min="3835" max="3835" width="7.36328125" style="3" customWidth="1"/>
    <col min="3836" max="3836" width="5.54296875" style="3" customWidth="1"/>
    <col min="3837" max="3837" width="9" style="3" customWidth="1"/>
    <col min="3838" max="3839" width="9.90625" style="3" customWidth="1"/>
    <col min="3840" max="3840" width="11.08984375" style="3" customWidth="1"/>
    <col min="3841" max="3841" width="2.90625" style="3" customWidth="1"/>
    <col min="3842" max="3842" width="3.54296875" style="3" customWidth="1"/>
    <col min="3843" max="4087" width="9.08984375" style="3"/>
    <col min="4088" max="4088" width="8.6328125" style="3" customWidth="1"/>
    <col min="4089" max="4089" width="9.90625" style="3" customWidth="1"/>
    <col min="4090" max="4090" width="14.453125" style="3" customWidth="1"/>
    <col min="4091" max="4091" width="7.36328125" style="3" customWidth="1"/>
    <col min="4092" max="4092" width="5.54296875" style="3" customWidth="1"/>
    <col min="4093" max="4093" width="9" style="3" customWidth="1"/>
    <col min="4094" max="4095" width="9.90625" style="3" customWidth="1"/>
    <col min="4096" max="4096" width="11.08984375" style="3" customWidth="1"/>
    <col min="4097" max="4097" width="2.90625" style="3" customWidth="1"/>
    <col min="4098" max="4098" width="3.54296875" style="3" customWidth="1"/>
    <col min="4099" max="4343" width="9.08984375" style="3"/>
    <col min="4344" max="4344" width="8.6328125" style="3" customWidth="1"/>
    <col min="4345" max="4345" width="9.90625" style="3" customWidth="1"/>
    <col min="4346" max="4346" width="14.453125" style="3" customWidth="1"/>
    <col min="4347" max="4347" width="7.36328125" style="3" customWidth="1"/>
    <col min="4348" max="4348" width="5.54296875" style="3" customWidth="1"/>
    <col min="4349" max="4349" width="9" style="3" customWidth="1"/>
    <col min="4350" max="4351" width="9.90625" style="3" customWidth="1"/>
    <col min="4352" max="4352" width="11.08984375" style="3" customWidth="1"/>
    <col min="4353" max="4353" width="2.90625" style="3" customWidth="1"/>
    <col min="4354" max="4354" width="3.54296875" style="3" customWidth="1"/>
    <col min="4355" max="4599" width="9.08984375" style="3"/>
    <col min="4600" max="4600" width="8.6328125" style="3" customWidth="1"/>
    <col min="4601" max="4601" width="9.90625" style="3" customWidth="1"/>
    <col min="4602" max="4602" width="14.453125" style="3" customWidth="1"/>
    <col min="4603" max="4603" width="7.36328125" style="3" customWidth="1"/>
    <col min="4604" max="4604" width="5.54296875" style="3" customWidth="1"/>
    <col min="4605" max="4605" width="9" style="3" customWidth="1"/>
    <col min="4606" max="4607" width="9.90625" style="3" customWidth="1"/>
    <col min="4608" max="4608" width="11.08984375" style="3" customWidth="1"/>
    <col min="4609" max="4609" width="2.90625" style="3" customWidth="1"/>
    <col min="4610" max="4610" width="3.54296875" style="3" customWidth="1"/>
    <col min="4611" max="4855" width="9.08984375" style="3"/>
    <col min="4856" max="4856" width="8.6328125" style="3" customWidth="1"/>
    <col min="4857" max="4857" width="9.90625" style="3" customWidth="1"/>
    <col min="4858" max="4858" width="14.453125" style="3" customWidth="1"/>
    <col min="4859" max="4859" width="7.36328125" style="3" customWidth="1"/>
    <col min="4860" max="4860" width="5.54296875" style="3" customWidth="1"/>
    <col min="4861" max="4861" width="9" style="3" customWidth="1"/>
    <col min="4862" max="4863" width="9.90625" style="3" customWidth="1"/>
    <col min="4864" max="4864" width="11.08984375" style="3" customWidth="1"/>
    <col min="4865" max="4865" width="2.90625" style="3" customWidth="1"/>
    <col min="4866" max="4866" width="3.54296875" style="3" customWidth="1"/>
    <col min="4867" max="5111" width="9.08984375" style="3"/>
    <col min="5112" max="5112" width="8.6328125" style="3" customWidth="1"/>
    <col min="5113" max="5113" width="9.90625" style="3" customWidth="1"/>
    <col min="5114" max="5114" width="14.453125" style="3" customWidth="1"/>
    <col min="5115" max="5115" width="7.36328125" style="3" customWidth="1"/>
    <col min="5116" max="5116" width="5.54296875" style="3" customWidth="1"/>
    <col min="5117" max="5117" width="9" style="3" customWidth="1"/>
    <col min="5118" max="5119" width="9.90625" style="3" customWidth="1"/>
    <col min="5120" max="5120" width="11.08984375" style="3" customWidth="1"/>
    <col min="5121" max="5121" width="2.90625" style="3" customWidth="1"/>
    <col min="5122" max="5122" width="3.54296875" style="3" customWidth="1"/>
    <col min="5123" max="5367" width="9.08984375" style="3"/>
    <col min="5368" max="5368" width="8.6328125" style="3" customWidth="1"/>
    <col min="5369" max="5369" width="9.90625" style="3" customWidth="1"/>
    <col min="5370" max="5370" width="14.453125" style="3" customWidth="1"/>
    <col min="5371" max="5371" width="7.36328125" style="3" customWidth="1"/>
    <col min="5372" max="5372" width="5.54296875" style="3" customWidth="1"/>
    <col min="5373" max="5373" width="9" style="3" customWidth="1"/>
    <col min="5374" max="5375" width="9.90625" style="3" customWidth="1"/>
    <col min="5376" max="5376" width="11.08984375" style="3" customWidth="1"/>
    <col min="5377" max="5377" width="2.90625" style="3" customWidth="1"/>
    <col min="5378" max="5378" width="3.54296875" style="3" customWidth="1"/>
    <col min="5379" max="5623" width="9.08984375" style="3"/>
    <col min="5624" max="5624" width="8.6328125" style="3" customWidth="1"/>
    <col min="5625" max="5625" width="9.90625" style="3" customWidth="1"/>
    <col min="5626" max="5626" width="14.453125" style="3" customWidth="1"/>
    <col min="5627" max="5627" width="7.36328125" style="3" customWidth="1"/>
    <col min="5628" max="5628" width="5.54296875" style="3" customWidth="1"/>
    <col min="5629" max="5629" width="9" style="3" customWidth="1"/>
    <col min="5630" max="5631" width="9.90625" style="3" customWidth="1"/>
    <col min="5632" max="5632" width="11.08984375" style="3" customWidth="1"/>
    <col min="5633" max="5633" width="2.90625" style="3" customWidth="1"/>
    <col min="5634" max="5634" width="3.54296875" style="3" customWidth="1"/>
    <col min="5635" max="5879" width="9.08984375" style="3"/>
    <col min="5880" max="5880" width="8.6328125" style="3" customWidth="1"/>
    <col min="5881" max="5881" width="9.90625" style="3" customWidth="1"/>
    <col min="5882" max="5882" width="14.453125" style="3" customWidth="1"/>
    <col min="5883" max="5883" width="7.36328125" style="3" customWidth="1"/>
    <col min="5884" max="5884" width="5.54296875" style="3" customWidth="1"/>
    <col min="5885" max="5885" width="9" style="3" customWidth="1"/>
    <col min="5886" max="5887" width="9.90625" style="3" customWidth="1"/>
    <col min="5888" max="5888" width="11.08984375" style="3" customWidth="1"/>
    <col min="5889" max="5889" width="2.90625" style="3" customWidth="1"/>
    <col min="5890" max="5890" width="3.54296875" style="3" customWidth="1"/>
    <col min="5891" max="6135" width="9.08984375" style="3"/>
    <col min="6136" max="6136" width="8.6328125" style="3" customWidth="1"/>
    <col min="6137" max="6137" width="9.90625" style="3" customWidth="1"/>
    <col min="6138" max="6138" width="14.453125" style="3" customWidth="1"/>
    <col min="6139" max="6139" width="7.36328125" style="3" customWidth="1"/>
    <col min="6140" max="6140" width="5.54296875" style="3" customWidth="1"/>
    <col min="6141" max="6141" width="9" style="3" customWidth="1"/>
    <col min="6142" max="6143" width="9.90625" style="3" customWidth="1"/>
    <col min="6144" max="6144" width="11.08984375" style="3" customWidth="1"/>
    <col min="6145" max="6145" width="2.90625" style="3" customWidth="1"/>
    <col min="6146" max="6146" width="3.54296875" style="3" customWidth="1"/>
    <col min="6147" max="6391" width="9.08984375" style="3"/>
    <col min="6392" max="6392" width="8.6328125" style="3" customWidth="1"/>
    <col min="6393" max="6393" width="9.90625" style="3" customWidth="1"/>
    <col min="6394" max="6394" width="14.453125" style="3" customWidth="1"/>
    <col min="6395" max="6395" width="7.36328125" style="3" customWidth="1"/>
    <col min="6396" max="6396" width="5.54296875" style="3" customWidth="1"/>
    <col min="6397" max="6397" width="9" style="3" customWidth="1"/>
    <col min="6398" max="6399" width="9.90625" style="3" customWidth="1"/>
    <col min="6400" max="6400" width="11.08984375" style="3" customWidth="1"/>
    <col min="6401" max="6401" width="2.90625" style="3" customWidth="1"/>
    <col min="6402" max="6402" width="3.54296875" style="3" customWidth="1"/>
    <col min="6403" max="6647" width="9.08984375" style="3"/>
    <col min="6648" max="6648" width="8.6328125" style="3" customWidth="1"/>
    <col min="6649" max="6649" width="9.90625" style="3" customWidth="1"/>
    <col min="6650" max="6650" width="14.453125" style="3" customWidth="1"/>
    <col min="6651" max="6651" width="7.36328125" style="3" customWidth="1"/>
    <col min="6652" max="6652" width="5.54296875" style="3" customWidth="1"/>
    <col min="6653" max="6653" width="9" style="3" customWidth="1"/>
    <col min="6654" max="6655" width="9.90625" style="3" customWidth="1"/>
    <col min="6656" max="6656" width="11.08984375" style="3" customWidth="1"/>
    <col min="6657" max="6657" width="2.90625" style="3" customWidth="1"/>
    <col min="6658" max="6658" width="3.54296875" style="3" customWidth="1"/>
    <col min="6659" max="6903" width="9.08984375" style="3"/>
    <col min="6904" max="6904" width="8.6328125" style="3" customWidth="1"/>
    <col min="6905" max="6905" width="9.90625" style="3" customWidth="1"/>
    <col min="6906" max="6906" width="14.453125" style="3" customWidth="1"/>
    <col min="6907" max="6907" width="7.36328125" style="3" customWidth="1"/>
    <col min="6908" max="6908" width="5.54296875" style="3" customWidth="1"/>
    <col min="6909" max="6909" width="9" style="3" customWidth="1"/>
    <col min="6910" max="6911" width="9.90625" style="3" customWidth="1"/>
    <col min="6912" max="6912" width="11.08984375" style="3" customWidth="1"/>
    <col min="6913" max="6913" width="2.90625" style="3" customWidth="1"/>
    <col min="6914" max="6914" width="3.54296875" style="3" customWidth="1"/>
    <col min="6915" max="7159" width="9.08984375" style="3"/>
    <col min="7160" max="7160" width="8.6328125" style="3" customWidth="1"/>
    <col min="7161" max="7161" width="9.90625" style="3" customWidth="1"/>
    <col min="7162" max="7162" width="14.453125" style="3" customWidth="1"/>
    <col min="7163" max="7163" width="7.36328125" style="3" customWidth="1"/>
    <col min="7164" max="7164" width="5.54296875" style="3" customWidth="1"/>
    <col min="7165" max="7165" width="9" style="3" customWidth="1"/>
    <col min="7166" max="7167" width="9.90625" style="3" customWidth="1"/>
    <col min="7168" max="7168" width="11.08984375" style="3" customWidth="1"/>
    <col min="7169" max="7169" width="2.90625" style="3" customWidth="1"/>
    <col min="7170" max="7170" width="3.54296875" style="3" customWidth="1"/>
    <col min="7171" max="7415" width="9.08984375" style="3"/>
    <col min="7416" max="7416" width="8.6328125" style="3" customWidth="1"/>
    <col min="7417" max="7417" width="9.90625" style="3" customWidth="1"/>
    <col min="7418" max="7418" width="14.453125" style="3" customWidth="1"/>
    <col min="7419" max="7419" width="7.36328125" style="3" customWidth="1"/>
    <col min="7420" max="7420" width="5.54296875" style="3" customWidth="1"/>
    <col min="7421" max="7421" width="9" style="3" customWidth="1"/>
    <col min="7422" max="7423" width="9.90625" style="3" customWidth="1"/>
    <col min="7424" max="7424" width="11.08984375" style="3" customWidth="1"/>
    <col min="7425" max="7425" width="2.90625" style="3" customWidth="1"/>
    <col min="7426" max="7426" width="3.54296875" style="3" customWidth="1"/>
    <col min="7427" max="7671" width="9.08984375" style="3"/>
    <col min="7672" max="7672" width="8.6328125" style="3" customWidth="1"/>
    <col min="7673" max="7673" width="9.90625" style="3" customWidth="1"/>
    <col min="7674" max="7674" width="14.453125" style="3" customWidth="1"/>
    <col min="7675" max="7675" width="7.36328125" style="3" customWidth="1"/>
    <col min="7676" max="7676" width="5.54296875" style="3" customWidth="1"/>
    <col min="7677" max="7677" width="9" style="3" customWidth="1"/>
    <col min="7678" max="7679" width="9.90625" style="3" customWidth="1"/>
    <col min="7680" max="7680" width="11.08984375" style="3" customWidth="1"/>
    <col min="7681" max="7681" width="2.90625" style="3" customWidth="1"/>
    <col min="7682" max="7682" width="3.54296875" style="3" customWidth="1"/>
    <col min="7683" max="7927" width="9.08984375" style="3"/>
    <col min="7928" max="7928" width="8.6328125" style="3" customWidth="1"/>
    <col min="7929" max="7929" width="9.90625" style="3" customWidth="1"/>
    <col min="7930" max="7930" width="14.453125" style="3" customWidth="1"/>
    <col min="7931" max="7931" width="7.36328125" style="3" customWidth="1"/>
    <col min="7932" max="7932" width="5.54296875" style="3" customWidth="1"/>
    <col min="7933" max="7933" width="9" style="3" customWidth="1"/>
    <col min="7934" max="7935" width="9.90625" style="3" customWidth="1"/>
    <col min="7936" max="7936" width="11.08984375" style="3" customWidth="1"/>
    <col min="7937" max="7937" width="2.90625" style="3" customWidth="1"/>
    <col min="7938" max="7938" width="3.54296875" style="3" customWidth="1"/>
    <col min="7939" max="8183" width="9.08984375" style="3"/>
    <col min="8184" max="8184" width="8.6328125" style="3" customWidth="1"/>
    <col min="8185" max="8185" width="9.90625" style="3" customWidth="1"/>
    <col min="8186" max="8186" width="14.453125" style="3" customWidth="1"/>
    <col min="8187" max="8187" width="7.36328125" style="3" customWidth="1"/>
    <col min="8188" max="8188" width="5.54296875" style="3" customWidth="1"/>
    <col min="8189" max="8189" width="9" style="3" customWidth="1"/>
    <col min="8190" max="8191" width="9.90625" style="3" customWidth="1"/>
    <col min="8192" max="8192" width="11.08984375" style="3" customWidth="1"/>
    <col min="8193" max="8193" width="2.90625" style="3" customWidth="1"/>
    <col min="8194" max="8194" width="3.54296875" style="3" customWidth="1"/>
    <col min="8195" max="8439" width="9.08984375" style="3"/>
    <col min="8440" max="8440" width="8.6328125" style="3" customWidth="1"/>
    <col min="8441" max="8441" width="9.90625" style="3" customWidth="1"/>
    <col min="8442" max="8442" width="14.453125" style="3" customWidth="1"/>
    <col min="8443" max="8443" width="7.36328125" style="3" customWidth="1"/>
    <col min="8444" max="8444" width="5.54296875" style="3" customWidth="1"/>
    <col min="8445" max="8445" width="9" style="3" customWidth="1"/>
    <col min="8446" max="8447" width="9.90625" style="3" customWidth="1"/>
    <col min="8448" max="8448" width="11.08984375" style="3" customWidth="1"/>
    <col min="8449" max="8449" width="2.90625" style="3" customWidth="1"/>
    <col min="8450" max="8450" width="3.54296875" style="3" customWidth="1"/>
    <col min="8451" max="8695" width="9.08984375" style="3"/>
    <col min="8696" max="8696" width="8.6328125" style="3" customWidth="1"/>
    <col min="8697" max="8697" width="9.90625" style="3" customWidth="1"/>
    <col min="8698" max="8698" width="14.453125" style="3" customWidth="1"/>
    <col min="8699" max="8699" width="7.36328125" style="3" customWidth="1"/>
    <col min="8700" max="8700" width="5.54296875" style="3" customWidth="1"/>
    <col min="8701" max="8701" width="9" style="3" customWidth="1"/>
    <col min="8702" max="8703" width="9.90625" style="3" customWidth="1"/>
    <col min="8704" max="8704" width="11.08984375" style="3" customWidth="1"/>
    <col min="8705" max="8705" width="2.90625" style="3" customWidth="1"/>
    <col min="8706" max="8706" width="3.54296875" style="3" customWidth="1"/>
    <col min="8707" max="8951" width="9.08984375" style="3"/>
    <col min="8952" max="8952" width="8.6328125" style="3" customWidth="1"/>
    <col min="8953" max="8953" width="9.90625" style="3" customWidth="1"/>
    <col min="8954" max="8954" width="14.453125" style="3" customWidth="1"/>
    <col min="8955" max="8955" width="7.36328125" style="3" customWidth="1"/>
    <col min="8956" max="8956" width="5.54296875" style="3" customWidth="1"/>
    <col min="8957" max="8957" width="9" style="3" customWidth="1"/>
    <col min="8958" max="8959" width="9.90625" style="3" customWidth="1"/>
    <col min="8960" max="8960" width="11.08984375" style="3" customWidth="1"/>
    <col min="8961" max="8961" width="2.90625" style="3" customWidth="1"/>
    <col min="8962" max="8962" width="3.54296875" style="3" customWidth="1"/>
    <col min="8963" max="9207" width="9.08984375" style="3"/>
    <col min="9208" max="9208" width="8.6328125" style="3" customWidth="1"/>
    <col min="9209" max="9209" width="9.90625" style="3" customWidth="1"/>
    <col min="9210" max="9210" width="14.453125" style="3" customWidth="1"/>
    <col min="9211" max="9211" width="7.36328125" style="3" customWidth="1"/>
    <col min="9212" max="9212" width="5.54296875" style="3" customWidth="1"/>
    <col min="9213" max="9213" width="9" style="3" customWidth="1"/>
    <col min="9214" max="9215" width="9.90625" style="3" customWidth="1"/>
    <col min="9216" max="9216" width="11.08984375" style="3" customWidth="1"/>
    <col min="9217" max="9217" width="2.90625" style="3" customWidth="1"/>
    <col min="9218" max="9218" width="3.54296875" style="3" customWidth="1"/>
    <col min="9219" max="9463" width="9.08984375" style="3"/>
    <col min="9464" max="9464" width="8.6328125" style="3" customWidth="1"/>
    <col min="9465" max="9465" width="9.90625" style="3" customWidth="1"/>
    <col min="9466" max="9466" width="14.453125" style="3" customWidth="1"/>
    <col min="9467" max="9467" width="7.36328125" style="3" customWidth="1"/>
    <col min="9468" max="9468" width="5.54296875" style="3" customWidth="1"/>
    <col min="9469" max="9469" width="9" style="3" customWidth="1"/>
    <col min="9470" max="9471" width="9.90625" style="3" customWidth="1"/>
    <col min="9472" max="9472" width="11.08984375" style="3" customWidth="1"/>
    <col min="9473" max="9473" width="2.90625" style="3" customWidth="1"/>
    <col min="9474" max="9474" width="3.54296875" style="3" customWidth="1"/>
    <col min="9475" max="9719" width="9.08984375" style="3"/>
    <col min="9720" max="9720" width="8.6328125" style="3" customWidth="1"/>
    <col min="9721" max="9721" width="9.90625" style="3" customWidth="1"/>
    <col min="9722" max="9722" width="14.453125" style="3" customWidth="1"/>
    <col min="9723" max="9723" width="7.36328125" style="3" customWidth="1"/>
    <col min="9724" max="9724" width="5.54296875" style="3" customWidth="1"/>
    <col min="9725" max="9725" width="9" style="3" customWidth="1"/>
    <col min="9726" max="9727" width="9.90625" style="3" customWidth="1"/>
    <col min="9728" max="9728" width="11.08984375" style="3" customWidth="1"/>
    <col min="9729" max="9729" width="2.90625" style="3" customWidth="1"/>
    <col min="9730" max="9730" width="3.54296875" style="3" customWidth="1"/>
    <col min="9731" max="9975" width="9.08984375" style="3"/>
    <col min="9976" max="9976" width="8.6328125" style="3" customWidth="1"/>
    <col min="9977" max="9977" width="9.90625" style="3" customWidth="1"/>
    <col min="9978" max="9978" width="14.453125" style="3" customWidth="1"/>
    <col min="9979" max="9979" width="7.36328125" style="3" customWidth="1"/>
    <col min="9980" max="9980" width="5.54296875" style="3" customWidth="1"/>
    <col min="9981" max="9981" width="9" style="3" customWidth="1"/>
    <col min="9982" max="9983" width="9.90625" style="3" customWidth="1"/>
    <col min="9984" max="9984" width="11.08984375" style="3" customWidth="1"/>
    <col min="9985" max="9985" width="2.90625" style="3" customWidth="1"/>
    <col min="9986" max="9986" width="3.54296875" style="3" customWidth="1"/>
    <col min="9987" max="10231" width="9.08984375" style="3"/>
    <col min="10232" max="10232" width="8.6328125" style="3" customWidth="1"/>
    <col min="10233" max="10233" width="9.90625" style="3" customWidth="1"/>
    <col min="10234" max="10234" width="14.453125" style="3" customWidth="1"/>
    <col min="10235" max="10235" width="7.36328125" style="3" customWidth="1"/>
    <col min="10236" max="10236" width="5.54296875" style="3" customWidth="1"/>
    <col min="10237" max="10237" width="9" style="3" customWidth="1"/>
    <col min="10238" max="10239" width="9.90625" style="3" customWidth="1"/>
    <col min="10240" max="10240" width="11.08984375" style="3" customWidth="1"/>
    <col min="10241" max="10241" width="2.90625" style="3" customWidth="1"/>
    <col min="10242" max="10242" width="3.54296875" style="3" customWidth="1"/>
    <col min="10243" max="10487" width="9.08984375" style="3"/>
    <col min="10488" max="10488" width="8.6328125" style="3" customWidth="1"/>
    <col min="10489" max="10489" width="9.90625" style="3" customWidth="1"/>
    <col min="10490" max="10490" width="14.453125" style="3" customWidth="1"/>
    <col min="10491" max="10491" width="7.36328125" style="3" customWidth="1"/>
    <col min="10492" max="10492" width="5.54296875" style="3" customWidth="1"/>
    <col min="10493" max="10493" width="9" style="3" customWidth="1"/>
    <col min="10494" max="10495" width="9.90625" style="3" customWidth="1"/>
    <col min="10496" max="10496" width="11.08984375" style="3" customWidth="1"/>
    <col min="10497" max="10497" width="2.90625" style="3" customWidth="1"/>
    <col min="10498" max="10498" width="3.54296875" style="3" customWidth="1"/>
    <col min="10499" max="10743" width="9.08984375" style="3"/>
    <col min="10744" max="10744" width="8.6328125" style="3" customWidth="1"/>
    <col min="10745" max="10745" width="9.90625" style="3" customWidth="1"/>
    <col min="10746" max="10746" width="14.453125" style="3" customWidth="1"/>
    <col min="10747" max="10747" width="7.36328125" style="3" customWidth="1"/>
    <col min="10748" max="10748" width="5.54296875" style="3" customWidth="1"/>
    <col min="10749" max="10749" width="9" style="3" customWidth="1"/>
    <col min="10750" max="10751" width="9.90625" style="3" customWidth="1"/>
    <col min="10752" max="10752" width="11.08984375" style="3" customWidth="1"/>
    <col min="10753" max="10753" width="2.90625" style="3" customWidth="1"/>
    <col min="10754" max="10754" width="3.54296875" style="3" customWidth="1"/>
    <col min="10755" max="10999" width="9.08984375" style="3"/>
    <col min="11000" max="11000" width="8.6328125" style="3" customWidth="1"/>
    <col min="11001" max="11001" width="9.90625" style="3" customWidth="1"/>
    <col min="11002" max="11002" width="14.453125" style="3" customWidth="1"/>
    <col min="11003" max="11003" width="7.36328125" style="3" customWidth="1"/>
    <col min="11004" max="11004" width="5.54296875" style="3" customWidth="1"/>
    <col min="11005" max="11005" width="9" style="3" customWidth="1"/>
    <col min="11006" max="11007" width="9.90625" style="3" customWidth="1"/>
    <col min="11008" max="11008" width="11.08984375" style="3" customWidth="1"/>
    <col min="11009" max="11009" width="2.90625" style="3" customWidth="1"/>
    <col min="11010" max="11010" width="3.54296875" style="3" customWidth="1"/>
    <col min="11011" max="11255" width="9.08984375" style="3"/>
    <col min="11256" max="11256" width="8.6328125" style="3" customWidth="1"/>
    <col min="11257" max="11257" width="9.90625" style="3" customWidth="1"/>
    <col min="11258" max="11258" width="14.453125" style="3" customWidth="1"/>
    <col min="11259" max="11259" width="7.36328125" style="3" customWidth="1"/>
    <col min="11260" max="11260" width="5.54296875" style="3" customWidth="1"/>
    <col min="11261" max="11261" width="9" style="3" customWidth="1"/>
    <col min="11262" max="11263" width="9.90625" style="3" customWidth="1"/>
    <col min="11264" max="11264" width="11.08984375" style="3" customWidth="1"/>
    <col min="11265" max="11265" width="2.90625" style="3" customWidth="1"/>
    <col min="11266" max="11266" width="3.54296875" style="3" customWidth="1"/>
    <col min="11267" max="11511" width="9.08984375" style="3"/>
    <col min="11512" max="11512" width="8.6328125" style="3" customWidth="1"/>
    <col min="11513" max="11513" width="9.90625" style="3" customWidth="1"/>
    <col min="11514" max="11514" width="14.453125" style="3" customWidth="1"/>
    <col min="11515" max="11515" width="7.36328125" style="3" customWidth="1"/>
    <col min="11516" max="11516" width="5.54296875" style="3" customWidth="1"/>
    <col min="11517" max="11517" width="9" style="3" customWidth="1"/>
    <col min="11518" max="11519" width="9.90625" style="3" customWidth="1"/>
    <col min="11520" max="11520" width="11.08984375" style="3" customWidth="1"/>
    <col min="11521" max="11521" width="2.90625" style="3" customWidth="1"/>
    <col min="11522" max="11522" width="3.54296875" style="3" customWidth="1"/>
    <col min="11523" max="11767" width="9.08984375" style="3"/>
    <col min="11768" max="11768" width="8.6328125" style="3" customWidth="1"/>
    <col min="11769" max="11769" width="9.90625" style="3" customWidth="1"/>
    <col min="11770" max="11770" width="14.453125" style="3" customWidth="1"/>
    <col min="11771" max="11771" width="7.36328125" style="3" customWidth="1"/>
    <col min="11772" max="11772" width="5.54296875" style="3" customWidth="1"/>
    <col min="11773" max="11773" width="9" style="3" customWidth="1"/>
    <col min="11774" max="11775" width="9.90625" style="3" customWidth="1"/>
    <col min="11776" max="11776" width="11.08984375" style="3" customWidth="1"/>
    <col min="11777" max="11777" width="2.90625" style="3" customWidth="1"/>
    <col min="11778" max="11778" width="3.54296875" style="3" customWidth="1"/>
    <col min="11779" max="12023" width="9.08984375" style="3"/>
    <col min="12024" max="12024" width="8.6328125" style="3" customWidth="1"/>
    <col min="12025" max="12025" width="9.90625" style="3" customWidth="1"/>
    <col min="12026" max="12026" width="14.453125" style="3" customWidth="1"/>
    <col min="12027" max="12027" width="7.36328125" style="3" customWidth="1"/>
    <col min="12028" max="12028" width="5.54296875" style="3" customWidth="1"/>
    <col min="12029" max="12029" width="9" style="3" customWidth="1"/>
    <col min="12030" max="12031" width="9.90625" style="3" customWidth="1"/>
    <col min="12032" max="12032" width="11.08984375" style="3" customWidth="1"/>
    <col min="12033" max="12033" width="2.90625" style="3" customWidth="1"/>
    <col min="12034" max="12034" width="3.54296875" style="3" customWidth="1"/>
    <col min="12035" max="12279" width="9.08984375" style="3"/>
    <col min="12280" max="12280" width="8.6328125" style="3" customWidth="1"/>
    <col min="12281" max="12281" width="9.90625" style="3" customWidth="1"/>
    <col min="12282" max="12282" width="14.453125" style="3" customWidth="1"/>
    <col min="12283" max="12283" width="7.36328125" style="3" customWidth="1"/>
    <col min="12284" max="12284" width="5.54296875" style="3" customWidth="1"/>
    <col min="12285" max="12285" width="9" style="3" customWidth="1"/>
    <col min="12286" max="12287" width="9.90625" style="3" customWidth="1"/>
    <col min="12288" max="12288" width="11.08984375" style="3" customWidth="1"/>
    <col min="12289" max="12289" width="2.90625" style="3" customWidth="1"/>
    <col min="12290" max="12290" width="3.54296875" style="3" customWidth="1"/>
    <col min="12291" max="12535" width="9.08984375" style="3"/>
    <col min="12536" max="12536" width="8.6328125" style="3" customWidth="1"/>
    <col min="12537" max="12537" width="9.90625" style="3" customWidth="1"/>
    <col min="12538" max="12538" width="14.453125" style="3" customWidth="1"/>
    <col min="12539" max="12539" width="7.36328125" style="3" customWidth="1"/>
    <col min="12540" max="12540" width="5.54296875" style="3" customWidth="1"/>
    <col min="12541" max="12541" width="9" style="3" customWidth="1"/>
    <col min="12542" max="12543" width="9.90625" style="3" customWidth="1"/>
    <col min="12544" max="12544" width="11.08984375" style="3" customWidth="1"/>
    <col min="12545" max="12545" width="2.90625" style="3" customWidth="1"/>
    <col min="12546" max="12546" width="3.54296875" style="3" customWidth="1"/>
    <col min="12547" max="12791" width="9.08984375" style="3"/>
    <col min="12792" max="12792" width="8.6328125" style="3" customWidth="1"/>
    <col min="12793" max="12793" width="9.90625" style="3" customWidth="1"/>
    <col min="12794" max="12794" width="14.453125" style="3" customWidth="1"/>
    <col min="12795" max="12795" width="7.36328125" style="3" customWidth="1"/>
    <col min="12796" max="12796" width="5.54296875" style="3" customWidth="1"/>
    <col min="12797" max="12797" width="9" style="3" customWidth="1"/>
    <col min="12798" max="12799" width="9.90625" style="3" customWidth="1"/>
    <col min="12800" max="12800" width="11.08984375" style="3" customWidth="1"/>
    <col min="12801" max="12801" width="2.90625" style="3" customWidth="1"/>
    <col min="12802" max="12802" width="3.54296875" style="3" customWidth="1"/>
    <col min="12803" max="13047" width="9.08984375" style="3"/>
    <col min="13048" max="13048" width="8.6328125" style="3" customWidth="1"/>
    <col min="13049" max="13049" width="9.90625" style="3" customWidth="1"/>
    <col min="13050" max="13050" width="14.453125" style="3" customWidth="1"/>
    <col min="13051" max="13051" width="7.36328125" style="3" customWidth="1"/>
    <col min="13052" max="13052" width="5.54296875" style="3" customWidth="1"/>
    <col min="13053" max="13053" width="9" style="3" customWidth="1"/>
    <col min="13054" max="13055" width="9.90625" style="3" customWidth="1"/>
    <col min="13056" max="13056" width="11.08984375" style="3" customWidth="1"/>
    <col min="13057" max="13057" width="2.90625" style="3" customWidth="1"/>
    <col min="13058" max="13058" width="3.54296875" style="3" customWidth="1"/>
    <col min="13059" max="13303" width="9.08984375" style="3"/>
    <col min="13304" max="13304" width="8.6328125" style="3" customWidth="1"/>
    <col min="13305" max="13305" width="9.90625" style="3" customWidth="1"/>
    <col min="13306" max="13306" width="14.453125" style="3" customWidth="1"/>
    <col min="13307" max="13307" width="7.36328125" style="3" customWidth="1"/>
    <col min="13308" max="13308" width="5.54296875" style="3" customWidth="1"/>
    <col min="13309" max="13309" width="9" style="3" customWidth="1"/>
    <col min="13310" max="13311" width="9.90625" style="3" customWidth="1"/>
    <col min="13312" max="13312" width="11.08984375" style="3" customWidth="1"/>
    <col min="13313" max="13313" width="2.90625" style="3" customWidth="1"/>
    <col min="13314" max="13314" width="3.54296875" style="3" customWidth="1"/>
    <col min="13315" max="13559" width="9.08984375" style="3"/>
    <col min="13560" max="13560" width="8.6328125" style="3" customWidth="1"/>
    <col min="13561" max="13561" width="9.90625" style="3" customWidth="1"/>
    <col min="13562" max="13562" width="14.453125" style="3" customWidth="1"/>
    <col min="13563" max="13563" width="7.36328125" style="3" customWidth="1"/>
    <col min="13564" max="13564" width="5.54296875" style="3" customWidth="1"/>
    <col min="13565" max="13565" width="9" style="3" customWidth="1"/>
    <col min="13566" max="13567" width="9.90625" style="3" customWidth="1"/>
    <col min="13568" max="13568" width="11.08984375" style="3" customWidth="1"/>
    <col min="13569" max="13569" width="2.90625" style="3" customWidth="1"/>
    <col min="13570" max="13570" width="3.54296875" style="3" customWidth="1"/>
    <col min="13571" max="13815" width="9.08984375" style="3"/>
    <col min="13816" max="13816" width="8.6328125" style="3" customWidth="1"/>
    <col min="13817" max="13817" width="9.90625" style="3" customWidth="1"/>
    <col min="13818" max="13818" width="14.453125" style="3" customWidth="1"/>
    <col min="13819" max="13819" width="7.36328125" style="3" customWidth="1"/>
    <col min="13820" max="13820" width="5.54296875" style="3" customWidth="1"/>
    <col min="13821" max="13821" width="9" style="3" customWidth="1"/>
    <col min="13822" max="13823" width="9.90625" style="3" customWidth="1"/>
    <col min="13824" max="13824" width="11.08984375" style="3" customWidth="1"/>
    <col min="13825" max="13825" width="2.90625" style="3" customWidth="1"/>
    <col min="13826" max="13826" width="3.54296875" style="3" customWidth="1"/>
    <col min="13827" max="14071" width="9.08984375" style="3"/>
    <col min="14072" max="14072" width="8.6328125" style="3" customWidth="1"/>
    <col min="14073" max="14073" width="9.90625" style="3" customWidth="1"/>
    <col min="14074" max="14074" width="14.453125" style="3" customWidth="1"/>
    <col min="14075" max="14075" width="7.36328125" style="3" customWidth="1"/>
    <col min="14076" max="14076" width="5.54296875" style="3" customWidth="1"/>
    <col min="14077" max="14077" width="9" style="3" customWidth="1"/>
    <col min="14078" max="14079" width="9.90625" style="3" customWidth="1"/>
    <col min="14080" max="14080" width="11.08984375" style="3" customWidth="1"/>
    <col min="14081" max="14081" width="2.90625" style="3" customWidth="1"/>
    <col min="14082" max="14082" width="3.54296875" style="3" customWidth="1"/>
    <col min="14083" max="14327" width="9.08984375" style="3"/>
    <col min="14328" max="14328" width="8.6328125" style="3" customWidth="1"/>
    <col min="14329" max="14329" width="9.90625" style="3" customWidth="1"/>
    <col min="14330" max="14330" width="14.453125" style="3" customWidth="1"/>
    <col min="14331" max="14331" width="7.36328125" style="3" customWidth="1"/>
    <col min="14332" max="14332" width="5.54296875" style="3" customWidth="1"/>
    <col min="14333" max="14333" width="9" style="3" customWidth="1"/>
    <col min="14334" max="14335" width="9.90625" style="3" customWidth="1"/>
    <col min="14336" max="14336" width="11.08984375" style="3" customWidth="1"/>
    <col min="14337" max="14337" width="2.90625" style="3" customWidth="1"/>
    <col min="14338" max="14338" width="3.54296875" style="3" customWidth="1"/>
    <col min="14339" max="14583" width="9.08984375" style="3"/>
    <col min="14584" max="14584" width="8.6328125" style="3" customWidth="1"/>
    <col min="14585" max="14585" width="9.90625" style="3" customWidth="1"/>
    <col min="14586" max="14586" width="14.453125" style="3" customWidth="1"/>
    <col min="14587" max="14587" width="7.36328125" style="3" customWidth="1"/>
    <col min="14588" max="14588" width="5.54296875" style="3" customWidth="1"/>
    <col min="14589" max="14589" width="9" style="3" customWidth="1"/>
    <col min="14590" max="14591" width="9.90625" style="3" customWidth="1"/>
    <col min="14592" max="14592" width="11.08984375" style="3" customWidth="1"/>
    <col min="14593" max="14593" width="2.90625" style="3" customWidth="1"/>
    <col min="14594" max="14594" width="3.54296875" style="3" customWidth="1"/>
    <col min="14595" max="14839" width="9.08984375" style="3"/>
    <col min="14840" max="14840" width="8.6328125" style="3" customWidth="1"/>
    <col min="14841" max="14841" width="9.90625" style="3" customWidth="1"/>
    <col min="14842" max="14842" width="14.453125" style="3" customWidth="1"/>
    <col min="14843" max="14843" width="7.36328125" style="3" customWidth="1"/>
    <col min="14844" max="14844" width="5.54296875" style="3" customWidth="1"/>
    <col min="14845" max="14845" width="9" style="3" customWidth="1"/>
    <col min="14846" max="14847" width="9.90625" style="3" customWidth="1"/>
    <col min="14848" max="14848" width="11.08984375" style="3" customWidth="1"/>
    <col min="14849" max="14849" width="2.90625" style="3" customWidth="1"/>
    <col min="14850" max="14850" width="3.54296875" style="3" customWidth="1"/>
    <col min="14851" max="15095" width="9.08984375" style="3"/>
    <col min="15096" max="15096" width="8.6328125" style="3" customWidth="1"/>
    <col min="15097" max="15097" width="9.90625" style="3" customWidth="1"/>
    <col min="15098" max="15098" width="14.453125" style="3" customWidth="1"/>
    <col min="15099" max="15099" width="7.36328125" style="3" customWidth="1"/>
    <col min="15100" max="15100" width="5.54296875" style="3" customWidth="1"/>
    <col min="15101" max="15101" width="9" style="3" customWidth="1"/>
    <col min="15102" max="15103" width="9.90625" style="3" customWidth="1"/>
    <col min="15104" max="15104" width="11.08984375" style="3" customWidth="1"/>
    <col min="15105" max="15105" width="2.90625" style="3" customWidth="1"/>
    <col min="15106" max="15106" width="3.54296875" style="3" customWidth="1"/>
    <col min="15107" max="15351" width="9.08984375" style="3"/>
    <col min="15352" max="15352" width="8.6328125" style="3" customWidth="1"/>
    <col min="15353" max="15353" width="9.90625" style="3" customWidth="1"/>
    <col min="15354" max="15354" width="14.453125" style="3" customWidth="1"/>
    <col min="15355" max="15355" width="7.36328125" style="3" customWidth="1"/>
    <col min="15356" max="15356" width="5.54296875" style="3" customWidth="1"/>
    <col min="15357" max="15357" width="9" style="3" customWidth="1"/>
    <col min="15358" max="15359" width="9.90625" style="3" customWidth="1"/>
    <col min="15360" max="15360" width="11.08984375" style="3" customWidth="1"/>
    <col min="15361" max="15361" width="2.90625" style="3" customWidth="1"/>
    <col min="15362" max="15362" width="3.54296875" style="3" customWidth="1"/>
    <col min="15363" max="15607" width="9.08984375" style="3"/>
    <col min="15608" max="15608" width="8.6328125" style="3" customWidth="1"/>
    <col min="15609" max="15609" width="9.90625" style="3" customWidth="1"/>
    <col min="15610" max="15610" width="14.453125" style="3" customWidth="1"/>
    <col min="15611" max="15611" width="7.36328125" style="3" customWidth="1"/>
    <col min="15612" max="15612" width="5.54296875" style="3" customWidth="1"/>
    <col min="15613" max="15613" width="9" style="3" customWidth="1"/>
    <col min="15614" max="15615" width="9.90625" style="3" customWidth="1"/>
    <col min="15616" max="15616" width="11.08984375" style="3" customWidth="1"/>
    <col min="15617" max="15617" width="2.90625" style="3" customWidth="1"/>
    <col min="15618" max="15618" width="3.54296875" style="3" customWidth="1"/>
    <col min="15619" max="15863" width="9.08984375" style="3"/>
    <col min="15864" max="15864" width="8.6328125" style="3" customWidth="1"/>
    <col min="15865" max="15865" width="9.90625" style="3" customWidth="1"/>
    <col min="15866" max="15866" width="14.453125" style="3" customWidth="1"/>
    <col min="15867" max="15867" width="7.36328125" style="3" customWidth="1"/>
    <col min="15868" max="15868" width="5.54296875" style="3" customWidth="1"/>
    <col min="15869" max="15869" width="9" style="3" customWidth="1"/>
    <col min="15870" max="15871" width="9.90625" style="3" customWidth="1"/>
    <col min="15872" max="15872" width="11.08984375" style="3" customWidth="1"/>
    <col min="15873" max="15873" width="2.90625" style="3" customWidth="1"/>
    <col min="15874" max="15874" width="3.54296875" style="3" customWidth="1"/>
    <col min="15875" max="16119" width="9.08984375" style="3"/>
    <col min="16120" max="16120" width="8.6328125" style="3" customWidth="1"/>
    <col min="16121" max="16121" width="9.90625" style="3" customWidth="1"/>
    <col min="16122" max="16122" width="14.453125" style="3" customWidth="1"/>
    <col min="16123" max="16123" width="7.36328125" style="3" customWidth="1"/>
    <col min="16124" max="16124" width="5.54296875" style="3" customWidth="1"/>
    <col min="16125" max="16125" width="9" style="3" customWidth="1"/>
    <col min="16126" max="16127" width="9.90625" style="3" customWidth="1"/>
    <col min="16128" max="16128" width="11.08984375" style="3" customWidth="1"/>
    <col min="16129" max="16129" width="2.90625" style="3" customWidth="1"/>
    <col min="16130" max="16130" width="3.54296875" style="3" customWidth="1"/>
    <col min="16131" max="16384" width="9.08984375" style="3"/>
  </cols>
  <sheetData>
    <row r="1" spans="1:8" ht="46.5" customHeight="1" x14ac:dyDescent="0.35">
      <c r="A1" s="140" t="s">
        <v>204</v>
      </c>
      <c r="B1" s="140"/>
      <c r="C1" s="140"/>
      <c r="D1" s="140"/>
      <c r="E1" s="140"/>
      <c r="F1" s="140"/>
      <c r="G1" s="140"/>
      <c r="H1" s="140"/>
    </row>
    <row r="2" spans="1:8" ht="16.5" customHeight="1" x14ac:dyDescent="0.35">
      <c r="A2" s="141" t="s">
        <v>0</v>
      </c>
      <c r="B2" s="141"/>
      <c r="C2" s="141"/>
      <c r="D2" s="141"/>
      <c r="E2" s="141"/>
      <c r="F2" s="141"/>
      <c r="G2" s="141"/>
      <c r="H2" s="141"/>
    </row>
    <row r="3" spans="1:8" x14ac:dyDescent="0.35">
      <c r="A3" s="87" t="s">
        <v>1</v>
      </c>
      <c r="B3" s="87"/>
      <c r="C3" s="87"/>
      <c r="D3" s="87"/>
      <c r="E3" s="142" t="str">
        <f ca="1">TEXT(TODAY(),"DD/MM/YYYY")</f>
        <v>05/09/2025</v>
      </c>
      <c r="F3" s="142"/>
      <c r="G3" s="142"/>
      <c r="H3" s="142"/>
    </row>
    <row r="4" spans="1:8" ht="15" customHeight="1" x14ac:dyDescent="0.35">
      <c r="A4" s="87" t="s">
        <v>2</v>
      </c>
      <c r="B4" s="87"/>
      <c r="C4" s="87"/>
      <c r="D4" s="87"/>
      <c r="E4" s="143" t="s">
        <v>168</v>
      </c>
      <c r="F4" s="143"/>
      <c r="G4" s="143"/>
      <c r="H4" s="143"/>
    </row>
    <row r="5" spans="1:8" x14ac:dyDescent="0.35">
      <c r="A5" s="87" t="s">
        <v>3</v>
      </c>
      <c r="B5" s="87"/>
      <c r="C5" s="87"/>
      <c r="D5" s="87"/>
      <c r="E5" s="144">
        <v>45904</v>
      </c>
      <c r="F5" s="144"/>
      <c r="G5" s="144"/>
      <c r="H5" s="144"/>
    </row>
    <row r="6" spans="1:8" ht="16.5" customHeight="1" x14ac:dyDescent="0.35">
      <c r="A6" s="87" t="s">
        <v>4</v>
      </c>
      <c r="B6" s="87"/>
      <c r="C6" s="87"/>
      <c r="D6" s="87"/>
      <c r="E6" s="100" t="s">
        <v>171</v>
      </c>
      <c r="F6" s="100"/>
      <c r="G6" s="100"/>
      <c r="H6" s="100"/>
    </row>
    <row r="7" spans="1:8" ht="15" customHeight="1" x14ac:dyDescent="0.35">
      <c r="A7" s="87" t="s">
        <v>5</v>
      </c>
      <c r="B7" s="87"/>
      <c r="C7" s="87"/>
      <c r="D7" s="87"/>
      <c r="E7" s="100" t="str">
        <f>E6</f>
        <v>M/s. Prestige Estates Projects Limited</v>
      </c>
      <c r="F7" s="100"/>
      <c r="G7" s="100"/>
      <c r="H7" s="100"/>
    </row>
    <row r="8" spans="1:8" x14ac:dyDescent="0.35">
      <c r="A8" s="87" t="s">
        <v>6</v>
      </c>
      <c r="B8" s="87"/>
      <c r="C8" s="87"/>
      <c r="D8" s="87"/>
      <c r="E8" s="99" t="s">
        <v>170</v>
      </c>
      <c r="F8" s="99"/>
      <c r="G8" s="99"/>
      <c r="H8" s="99"/>
    </row>
    <row r="9" spans="1:8" x14ac:dyDescent="0.35">
      <c r="A9" s="87" t="s">
        <v>134</v>
      </c>
      <c r="B9" s="87"/>
      <c r="C9" s="87"/>
      <c r="D9" s="87"/>
      <c r="E9" s="87" t="s">
        <v>203</v>
      </c>
      <c r="F9" s="87"/>
      <c r="G9" s="87"/>
      <c r="H9" s="87"/>
    </row>
    <row r="10" spans="1:8" x14ac:dyDescent="0.35">
      <c r="A10" s="118" t="s">
        <v>7</v>
      </c>
      <c r="B10" s="118"/>
      <c r="C10" s="118"/>
      <c r="D10" s="118"/>
      <c r="E10" s="118" t="s">
        <v>199</v>
      </c>
      <c r="F10" s="118"/>
      <c r="G10" s="118"/>
      <c r="H10" s="118"/>
    </row>
    <row r="11" spans="1:8" ht="16.5" customHeight="1" x14ac:dyDescent="0.35">
      <c r="A11" s="87" t="s">
        <v>8</v>
      </c>
      <c r="B11" s="87"/>
      <c r="C11" s="87"/>
      <c r="D11" s="87"/>
      <c r="E11" s="117" t="s">
        <v>198</v>
      </c>
      <c r="F11" s="117"/>
      <c r="G11" s="117"/>
      <c r="H11" s="117"/>
    </row>
    <row r="12" spans="1:8" x14ac:dyDescent="0.35">
      <c r="A12" s="87" t="s">
        <v>9</v>
      </c>
      <c r="B12" s="87"/>
      <c r="C12" s="87"/>
      <c r="D12" s="87"/>
      <c r="E12" s="117" t="s">
        <v>169</v>
      </c>
      <c r="F12" s="118"/>
      <c r="G12" s="118"/>
      <c r="H12" s="118"/>
    </row>
    <row r="13" spans="1:8" ht="33" customHeight="1" x14ac:dyDescent="0.35">
      <c r="A13" s="100" t="s">
        <v>10</v>
      </c>
      <c r="B13" s="100"/>
      <c r="C13" s="100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Prestige Jasdan Classic, CTS No.2020, near BMC Printing Press Byculla, NM Joshi Marg, Byculla, Byculla West, Mumbai, Mumbai - 400011.</v>
      </c>
      <c r="D13" s="100"/>
      <c r="E13" s="100"/>
      <c r="F13" s="100"/>
      <c r="G13" s="100"/>
      <c r="H13" s="100"/>
    </row>
    <row r="14" spans="1:8" x14ac:dyDescent="0.35">
      <c r="A14" s="117" t="s">
        <v>177</v>
      </c>
      <c r="B14" s="117"/>
      <c r="C14" s="117">
        <v>2020</v>
      </c>
      <c r="D14" s="117"/>
      <c r="E14" s="117"/>
      <c r="F14" s="117"/>
      <c r="G14" s="117"/>
      <c r="H14" s="117"/>
    </row>
    <row r="15" spans="1:8" ht="15.75" customHeight="1" x14ac:dyDescent="0.35">
      <c r="A15" s="100" t="s">
        <v>11</v>
      </c>
      <c r="B15" s="100"/>
      <c r="C15" s="118" t="s">
        <v>173</v>
      </c>
      <c r="D15" s="118"/>
      <c r="E15" s="100" t="s">
        <v>76</v>
      </c>
      <c r="F15" s="100"/>
      <c r="G15" s="117" t="s">
        <v>174</v>
      </c>
      <c r="H15" s="117"/>
    </row>
    <row r="16" spans="1:8" x14ac:dyDescent="0.35">
      <c r="A16" s="87" t="s">
        <v>13</v>
      </c>
      <c r="B16" s="87"/>
      <c r="C16" s="117" t="s">
        <v>175</v>
      </c>
      <c r="D16" s="117"/>
      <c r="E16" s="100" t="s">
        <v>12</v>
      </c>
      <c r="F16" s="100"/>
      <c r="G16" s="145" t="s">
        <v>176</v>
      </c>
      <c r="H16" s="145"/>
    </row>
    <row r="17" spans="1:8" x14ac:dyDescent="0.35">
      <c r="A17" s="87" t="s">
        <v>77</v>
      </c>
      <c r="B17" s="87"/>
      <c r="C17" s="117" t="s">
        <v>176</v>
      </c>
      <c r="D17" s="117"/>
      <c r="E17" s="100" t="s">
        <v>14</v>
      </c>
      <c r="F17" s="100"/>
      <c r="G17" s="117">
        <v>400011</v>
      </c>
      <c r="H17" s="117"/>
    </row>
    <row r="18" spans="1:8" ht="32.25" customHeight="1" x14ac:dyDescent="0.35">
      <c r="A18" s="87" t="s">
        <v>136</v>
      </c>
      <c r="B18" s="87"/>
      <c r="C18" s="146" t="s">
        <v>172</v>
      </c>
      <c r="D18" s="146"/>
      <c r="E18" s="100" t="s">
        <v>15</v>
      </c>
      <c r="F18" s="100"/>
      <c r="G18" s="117" t="s">
        <v>181</v>
      </c>
      <c r="H18" s="117"/>
    </row>
    <row r="19" spans="1:8" ht="15" customHeight="1" x14ac:dyDescent="0.35">
      <c r="A19" s="100" t="s">
        <v>81</v>
      </c>
      <c r="B19" s="100"/>
      <c r="C19" s="100"/>
      <c r="D19" s="100"/>
      <c r="E19" s="118" t="s">
        <v>16</v>
      </c>
      <c r="F19" s="118"/>
      <c r="G19" s="118"/>
      <c r="H19" s="118"/>
    </row>
    <row r="20" spans="1:8" ht="18.75" customHeight="1" x14ac:dyDescent="0.35">
      <c r="A20" s="100"/>
      <c r="B20" s="100"/>
      <c r="C20" s="100"/>
      <c r="D20" s="100"/>
      <c r="E20" s="118"/>
      <c r="F20" s="118"/>
      <c r="G20" s="118"/>
      <c r="H20" s="118"/>
    </row>
    <row r="21" spans="1:8" ht="15" customHeight="1" x14ac:dyDescent="0.35">
      <c r="A21" s="100" t="s">
        <v>17</v>
      </c>
      <c r="B21" s="100"/>
      <c r="C21" s="100"/>
      <c r="D21" s="100"/>
      <c r="E21" s="117" t="s">
        <v>18</v>
      </c>
      <c r="F21" s="117"/>
      <c r="G21" s="117"/>
      <c r="H21" s="117"/>
    </row>
    <row r="22" spans="1:8" ht="15" customHeight="1" x14ac:dyDescent="0.35">
      <c r="A22" s="87" t="s">
        <v>19</v>
      </c>
      <c r="B22" s="87"/>
      <c r="C22" s="87"/>
      <c r="D22" s="87"/>
      <c r="E22" s="117" t="str">
        <f>IF(AND(G16="Mumbai"),"Upper Class","Middle Class")</f>
        <v>Upper Class</v>
      </c>
      <c r="F22" s="117"/>
      <c r="G22" s="117"/>
      <c r="H22" s="117"/>
    </row>
    <row r="23" spans="1:8" x14ac:dyDescent="0.35">
      <c r="A23" s="87" t="s">
        <v>20</v>
      </c>
      <c r="B23" s="87"/>
      <c r="C23" s="87"/>
      <c r="D23" s="87"/>
      <c r="E23" s="117" t="s">
        <v>21</v>
      </c>
      <c r="F23" s="117"/>
      <c r="G23" s="117"/>
      <c r="H23" s="117"/>
    </row>
    <row r="24" spans="1:8" ht="15.75" customHeight="1" x14ac:dyDescent="0.35">
      <c r="A24" s="87" t="s">
        <v>22</v>
      </c>
      <c r="B24" s="87"/>
      <c r="C24" s="87"/>
      <c r="D24" s="87"/>
      <c r="E24" s="117" t="str">
        <f>IF(AND(G16="Mumbai"),"Developed","Developing")</f>
        <v>Developed</v>
      </c>
      <c r="F24" s="117"/>
      <c r="G24" s="117"/>
      <c r="H24" s="117"/>
    </row>
    <row r="25" spans="1:8" x14ac:dyDescent="0.35">
      <c r="A25" s="87" t="s">
        <v>23</v>
      </c>
      <c r="B25" s="87"/>
      <c r="C25" s="87"/>
      <c r="D25" s="87"/>
      <c r="E25" s="117" t="s">
        <v>24</v>
      </c>
      <c r="F25" s="117"/>
      <c r="G25" s="117"/>
      <c r="H25" s="117"/>
    </row>
    <row r="26" spans="1:8" x14ac:dyDescent="0.35">
      <c r="A26" s="87" t="s">
        <v>88</v>
      </c>
      <c r="B26" s="87"/>
      <c r="C26" s="87"/>
      <c r="D26" s="87"/>
      <c r="E26" s="117" t="s">
        <v>89</v>
      </c>
      <c r="F26" s="117"/>
      <c r="G26" s="117"/>
      <c r="H26" s="117"/>
    </row>
    <row r="27" spans="1:8" ht="15" customHeight="1" x14ac:dyDescent="0.35">
      <c r="A27" s="100" t="s">
        <v>32</v>
      </c>
      <c r="B27" s="100"/>
      <c r="C27" s="100"/>
      <c r="D27" s="100"/>
      <c r="E27" s="143" t="str">
        <f>IF(ISNUMBER(SEARCH("Shop",D55)),"Residential + Commercial",IF(ISNUMBER(SEARCH("Office",D55)),"Residential + Commercial",IF(SEARCH("Flats",D55),"Residential","")))</f>
        <v>Residential</v>
      </c>
      <c r="F27" s="143"/>
      <c r="G27" s="143"/>
      <c r="H27" s="143"/>
    </row>
    <row r="28" spans="1:8" x14ac:dyDescent="0.35">
      <c r="A28" s="100" t="s">
        <v>100</v>
      </c>
      <c r="B28" s="100"/>
      <c r="C28" s="100"/>
      <c r="D28" s="100"/>
      <c r="E28" s="100" t="s">
        <v>33</v>
      </c>
      <c r="F28" s="100"/>
      <c r="G28" s="100"/>
      <c r="H28" s="100"/>
    </row>
    <row r="29" spans="1:8" s="6" customFormat="1" x14ac:dyDescent="0.35">
      <c r="A29" s="151" t="s">
        <v>101</v>
      </c>
      <c r="B29" s="151"/>
      <c r="C29" s="150" t="s">
        <v>266</v>
      </c>
      <c r="D29" s="150"/>
      <c r="E29" s="150"/>
      <c r="F29" s="150" t="s">
        <v>30</v>
      </c>
      <c r="G29" s="150"/>
      <c r="H29" s="150"/>
    </row>
    <row r="30" spans="1:8" s="6" customFormat="1" x14ac:dyDescent="0.35">
      <c r="A30" s="147" t="s">
        <v>25</v>
      </c>
      <c r="B30" s="147" t="s">
        <v>29</v>
      </c>
      <c r="C30" s="148" t="s">
        <v>268</v>
      </c>
      <c r="D30" s="148"/>
      <c r="E30" s="148"/>
      <c r="F30" s="148" t="s">
        <v>173</v>
      </c>
      <c r="G30" s="148"/>
      <c r="H30" s="148"/>
    </row>
    <row r="31" spans="1:8" x14ac:dyDescent="0.35">
      <c r="A31" s="147" t="s">
        <v>26</v>
      </c>
      <c r="B31" s="147" t="s">
        <v>29</v>
      </c>
      <c r="C31" s="148" t="s">
        <v>267</v>
      </c>
      <c r="D31" s="148"/>
      <c r="E31" s="148"/>
      <c r="F31" s="148" t="s">
        <v>180</v>
      </c>
      <c r="G31" s="148"/>
      <c r="H31" s="148"/>
    </row>
    <row r="32" spans="1:8" s="6" customFormat="1" x14ac:dyDescent="0.35">
      <c r="A32" s="147" t="s">
        <v>28</v>
      </c>
      <c r="B32" s="147" t="s">
        <v>29</v>
      </c>
      <c r="C32" s="148" t="s">
        <v>267</v>
      </c>
      <c r="D32" s="148"/>
      <c r="E32" s="148"/>
      <c r="F32" s="148" t="s">
        <v>179</v>
      </c>
      <c r="G32" s="148"/>
      <c r="H32" s="148"/>
    </row>
    <row r="33" spans="1:8" x14ac:dyDescent="0.35">
      <c r="A33" s="147" t="s">
        <v>27</v>
      </c>
      <c r="B33" s="147" t="s">
        <v>29</v>
      </c>
      <c r="C33" s="148" t="s">
        <v>267</v>
      </c>
      <c r="D33" s="148"/>
      <c r="E33" s="148"/>
      <c r="F33" s="148" t="s">
        <v>284</v>
      </c>
      <c r="G33" s="148"/>
      <c r="H33" s="148"/>
    </row>
    <row r="34" spans="1:8" x14ac:dyDescent="0.35">
      <c r="A34" s="87" t="s">
        <v>31</v>
      </c>
      <c r="B34" s="87"/>
      <c r="C34" s="87"/>
      <c r="D34" s="87"/>
      <c r="E34" s="87"/>
      <c r="F34" s="87"/>
      <c r="G34" s="87"/>
      <c r="H34" s="87"/>
    </row>
    <row r="35" spans="1:8" ht="15.75" customHeight="1" x14ac:dyDescent="0.35">
      <c r="A35" s="87" t="s">
        <v>269</v>
      </c>
      <c r="B35" s="87"/>
      <c r="C35" s="171" t="s">
        <v>270</v>
      </c>
      <c r="D35" s="171"/>
      <c r="E35" s="171"/>
      <c r="F35" s="171"/>
      <c r="G35" s="171"/>
      <c r="H35" s="171"/>
    </row>
    <row r="36" spans="1:8" ht="15.75" customHeight="1" x14ac:dyDescent="0.35">
      <c r="A36" s="87" t="s">
        <v>205</v>
      </c>
      <c r="B36" s="87"/>
      <c r="C36" s="172" t="s">
        <v>206</v>
      </c>
      <c r="D36" s="173"/>
      <c r="E36" s="173"/>
      <c r="F36" s="173"/>
      <c r="G36" s="173"/>
      <c r="H36" s="173"/>
    </row>
    <row r="37" spans="1:8" x14ac:dyDescent="0.35">
      <c r="A37" s="99" t="s">
        <v>34</v>
      </c>
      <c r="B37" s="99"/>
      <c r="C37" s="99"/>
      <c r="D37" s="99"/>
      <c r="E37" s="99"/>
      <c r="F37" s="99"/>
      <c r="G37" s="99"/>
      <c r="H37" s="99"/>
    </row>
    <row r="38" spans="1:8" x14ac:dyDescent="0.35">
      <c r="A38" s="87" t="s">
        <v>35</v>
      </c>
      <c r="B38" s="87"/>
      <c r="C38" s="87"/>
      <c r="D38" s="87"/>
      <c r="E38" s="149">
        <v>8691.2099999999991</v>
      </c>
      <c r="F38" s="149"/>
      <c r="G38" s="149"/>
      <c r="H38" s="149"/>
    </row>
    <row r="39" spans="1:8" x14ac:dyDescent="0.35">
      <c r="A39" s="87" t="s">
        <v>36</v>
      </c>
      <c r="B39" s="87"/>
      <c r="C39" s="87"/>
      <c r="D39" s="87"/>
      <c r="E39" s="86">
        <v>1.33</v>
      </c>
      <c r="F39" s="86"/>
      <c r="G39" s="86"/>
      <c r="H39" s="86"/>
    </row>
    <row r="40" spans="1:8" x14ac:dyDescent="0.35">
      <c r="A40" s="87" t="s">
        <v>37</v>
      </c>
      <c r="B40" s="87"/>
      <c r="C40" s="87"/>
      <c r="D40" s="87"/>
      <c r="E40" s="86">
        <f>E42/E38-E39</f>
        <v>2.5164759222248687</v>
      </c>
      <c r="F40" s="86"/>
      <c r="G40" s="86"/>
      <c r="H40" s="86"/>
    </row>
    <row r="41" spans="1:8" x14ac:dyDescent="0.35">
      <c r="A41" s="87" t="s">
        <v>38</v>
      </c>
      <c r="B41" s="87"/>
      <c r="C41" s="87"/>
      <c r="D41" s="87"/>
      <c r="E41" s="86">
        <f>E39+E40</f>
        <v>3.8464759222248688</v>
      </c>
      <c r="F41" s="86"/>
      <c r="G41" s="86"/>
      <c r="H41" s="86"/>
    </row>
    <row r="42" spans="1:8" x14ac:dyDescent="0.35">
      <c r="A42" s="87" t="s">
        <v>99</v>
      </c>
      <c r="B42" s="87"/>
      <c r="C42" s="87"/>
      <c r="D42" s="87"/>
      <c r="E42" s="137">
        <v>33430.53</v>
      </c>
      <c r="F42" s="137"/>
      <c r="G42" s="137"/>
      <c r="H42" s="137"/>
    </row>
    <row r="43" spans="1:8" x14ac:dyDescent="0.35">
      <c r="A43" s="118" t="s">
        <v>39</v>
      </c>
      <c r="B43" s="118"/>
      <c r="C43" s="118"/>
      <c r="D43" s="118"/>
      <c r="E43" s="118" t="s">
        <v>197</v>
      </c>
      <c r="F43" s="118"/>
      <c r="G43" s="118"/>
      <c r="H43" s="118"/>
    </row>
    <row r="44" spans="1:8" x14ac:dyDescent="0.35">
      <c r="A44" s="99" t="s">
        <v>40</v>
      </c>
      <c r="B44" s="99"/>
      <c r="C44" s="99"/>
      <c r="D44" s="99"/>
      <c r="E44" s="99"/>
      <c r="F44" s="99"/>
      <c r="G44" s="99"/>
      <c r="H44" s="99"/>
    </row>
    <row r="45" spans="1:8" ht="33.75" customHeight="1" x14ac:dyDescent="0.35">
      <c r="A45" s="156" t="s">
        <v>166</v>
      </c>
      <c r="B45" s="157"/>
      <c r="C45" s="158" t="s">
        <v>178</v>
      </c>
      <c r="D45" s="159"/>
      <c r="E45" s="159"/>
      <c r="F45" s="159"/>
      <c r="G45" s="159"/>
      <c r="H45" s="160"/>
    </row>
    <row r="46" spans="1:8" ht="30.75" customHeight="1" x14ac:dyDescent="0.35">
      <c r="A46" s="100" t="s">
        <v>41</v>
      </c>
      <c r="B46" s="100"/>
      <c r="C46" s="101" t="s">
        <v>211</v>
      </c>
      <c r="D46" s="101"/>
      <c r="E46" s="101"/>
      <c r="F46" s="55" t="s">
        <v>42</v>
      </c>
      <c r="G46" s="110">
        <v>45728</v>
      </c>
      <c r="H46" s="110"/>
    </row>
    <row r="47" spans="1:8" ht="30.75" customHeight="1" x14ac:dyDescent="0.35">
      <c r="A47" s="87" t="s">
        <v>43</v>
      </c>
      <c r="B47" s="87"/>
      <c r="C47" s="101" t="str">
        <f>C46</f>
        <v>CHE/CTY/1577/E/337(NEW)/337/14/Amend</v>
      </c>
      <c r="D47" s="101"/>
      <c r="E47" s="101"/>
      <c r="F47" s="55" t="s">
        <v>42</v>
      </c>
      <c r="G47" s="110">
        <f>G46</f>
        <v>45728</v>
      </c>
      <c r="H47" s="110"/>
    </row>
    <row r="48" spans="1:8" s="5" customFormat="1" ht="32.15" hidden="1" customHeight="1" x14ac:dyDescent="0.35">
      <c r="A48" s="117" t="s">
        <v>44</v>
      </c>
      <c r="B48" s="117"/>
      <c r="C48" s="101" t="s">
        <v>207</v>
      </c>
      <c r="D48" s="98"/>
      <c r="E48" s="98"/>
      <c r="F48" s="8" t="s">
        <v>42</v>
      </c>
      <c r="G48" s="110">
        <v>45589</v>
      </c>
      <c r="H48" s="110"/>
    </row>
    <row r="49" spans="1:14" s="5" customFormat="1" ht="64.5" hidden="1" customHeight="1" x14ac:dyDescent="0.35">
      <c r="A49" s="117"/>
      <c r="B49" s="117"/>
      <c r="C49" s="101" t="s">
        <v>214</v>
      </c>
      <c r="D49" s="98"/>
      <c r="E49" s="98"/>
      <c r="F49" s="28" t="s">
        <v>135</v>
      </c>
      <c r="G49" s="110">
        <v>45953</v>
      </c>
      <c r="H49" s="110"/>
    </row>
    <row r="50" spans="1:14" s="5" customFormat="1" ht="32.15" customHeight="1" x14ac:dyDescent="0.35">
      <c r="A50" s="117" t="s">
        <v>44</v>
      </c>
      <c r="B50" s="117"/>
      <c r="C50" s="101" t="s">
        <v>212</v>
      </c>
      <c r="D50" s="98"/>
      <c r="E50" s="98"/>
      <c r="F50" s="8" t="s">
        <v>42</v>
      </c>
      <c r="G50" s="110">
        <v>45731</v>
      </c>
      <c r="H50" s="110"/>
    </row>
    <row r="51" spans="1:14" s="5" customFormat="1" ht="64.5" customHeight="1" x14ac:dyDescent="0.35">
      <c r="A51" s="117"/>
      <c r="B51" s="117"/>
      <c r="C51" s="101" t="s">
        <v>213</v>
      </c>
      <c r="D51" s="98"/>
      <c r="E51" s="98"/>
      <c r="F51" s="28" t="s">
        <v>135</v>
      </c>
      <c r="G51" s="110">
        <v>46019</v>
      </c>
      <c r="H51" s="110"/>
    </row>
    <row r="52" spans="1:14" s="5" customFormat="1" ht="228" customHeight="1" x14ac:dyDescent="0.35">
      <c r="A52" s="113" t="s">
        <v>261</v>
      </c>
      <c r="B52" s="113"/>
      <c r="C52" s="114" t="s">
        <v>260</v>
      </c>
      <c r="D52" s="115"/>
      <c r="E52" s="115" t="s">
        <v>45</v>
      </c>
      <c r="F52" s="36" t="s">
        <v>42</v>
      </c>
      <c r="G52" s="120">
        <v>45804</v>
      </c>
      <c r="H52" s="120"/>
    </row>
    <row r="53" spans="1:14" x14ac:dyDescent="0.35">
      <c r="A53" s="116" t="s">
        <v>47</v>
      </c>
      <c r="B53" s="116"/>
      <c r="C53" s="116"/>
      <c r="D53" s="116"/>
      <c r="E53" s="116"/>
      <c r="F53" s="116"/>
      <c r="G53" s="116"/>
      <c r="H53" s="116"/>
    </row>
    <row r="54" spans="1:14" x14ac:dyDescent="0.35">
      <c r="A54" s="100" t="s">
        <v>98</v>
      </c>
      <c r="B54" s="100"/>
      <c r="C54" s="100"/>
      <c r="D54" s="87">
        <f>E42</f>
        <v>33430.53</v>
      </c>
      <c r="E54" s="87"/>
      <c r="F54" s="87"/>
      <c r="G54" s="87"/>
      <c r="H54" s="87"/>
    </row>
    <row r="55" spans="1:14" x14ac:dyDescent="0.35">
      <c r="A55" s="117" t="s">
        <v>48</v>
      </c>
      <c r="B55" s="118"/>
      <c r="C55" s="118"/>
      <c r="D55" s="119" t="s">
        <v>264</v>
      </c>
      <c r="E55" s="119"/>
      <c r="F55" s="119"/>
      <c r="G55" s="119"/>
      <c r="H55" s="119"/>
      <c r="I55" s="30"/>
    </row>
    <row r="56" spans="1:14" ht="31.5" customHeight="1" x14ac:dyDescent="0.35">
      <c r="A56" s="111" t="s">
        <v>49</v>
      </c>
      <c r="B56" s="112"/>
      <c r="C56" s="139"/>
      <c r="D56" s="125" t="s">
        <v>215</v>
      </c>
      <c r="E56" s="138"/>
      <c r="F56" s="138"/>
      <c r="G56" s="138"/>
      <c r="H56" s="138"/>
    </row>
    <row r="57" spans="1:14" ht="15.75" customHeight="1" x14ac:dyDescent="0.35">
      <c r="A57" s="117" t="s">
        <v>96</v>
      </c>
      <c r="B57" s="117"/>
      <c r="C57" s="117"/>
      <c r="D57" s="118" t="s">
        <v>208</v>
      </c>
      <c r="E57" s="118"/>
      <c r="F57" s="118"/>
      <c r="G57" s="118"/>
      <c r="H57" s="118"/>
    </row>
    <row r="58" spans="1:14" ht="15.75" customHeight="1" x14ac:dyDescent="0.35">
      <c r="A58" s="117"/>
      <c r="B58" s="117"/>
      <c r="C58" s="117"/>
      <c r="D58" s="118" t="s">
        <v>209</v>
      </c>
      <c r="E58" s="118"/>
      <c r="F58" s="118"/>
      <c r="G58" s="118"/>
      <c r="H58" s="118"/>
    </row>
    <row r="59" spans="1:14" ht="15.75" customHeight="1" x14ac:dyDescent="0.35">
      <c r="A59" s="87" t="s">
        <v>46</v>
      </c>
      <c r="B59" s="87"/>
      <c r="C59" s="87"/>
      <c r="D59" s="117" t="s">
        <v>286</v>
      </c>
      <c r="E59" s="117"/>
      <c r="F59" s="117"/>
      <c r="G59" s="117"/>
      <c r="H59" s="117"/>
      <c r="J59" s="29"/>
      <c r="K59" s="30"/>
      <c r="N59" s="30"/>
    </row>
    <row r="60" spans="1:14" ht="15.75" customHeight="1" x14ac:dyDescent="0.35">
      <c r="A60" s="87" t="s">
        <v>94</v>
      </c>
      <c r="B60" s="87"/>
      <c r="C60" s="87"/>
      <c r="D60" s="136" t="str">
        <f ca="1">(IF(G52="NA","60 Years After Completion",IF(G52&lt;&gt;"NA",""&amp;60-ROUNDDOWN((E3-G52)/360,0)&amp;" Years"," ")))</f>
        <v>60 Years</v>
      </c>
      <c r="E60" s="136"/>
      <c r="F60" s="136"/>
      <c r="G60" s="136"/>
      <c r="H60" s="136"/>
      <c r="N60" s="30"/>
    </row>
    <row r="61" spans="1:14" ht="15.75" customHeight="1" x14ac:dyDescent="0.35">
      <c r="A61" s="87" t="s">
        <v>95</v>
      </c>
      <c r="B61" s="87"/>
      <c r="C61" s="87"/>
      <c r="D61" s="100" t="s">
        <v>24</v>
      </c>
      <c r="E61" s="100"/>
      <c r="F61" s="100"/>
      <c r="G61" s="100"/>
      <c r="H61" s="100"/>
      <c r="J61" s="13"/>
      <c r="K61" s="13"/>
    </row>
    <row r="62" spans="1:14" ht="33.65" customHeight="1" x14ac:dyDescent="0.35">
      <c r="A62" s="87" t="s">
        <v>78</v>
      </c>
      <c r="B62" s="87"/>
      <c r="C62" s="87"/>
      <c r="D62" s="117" t="s">
        <v>285</v>
      </c>
      <c r="E62" s="100"/>
      <c r="F62" s="100"/>
      <c r="G62" s="100"/>
      <c r="H62" s="100"/>
    </row>
    <row r="63" spans="1:14" x14ac:dyDescent="0.35">
      <c r="A63" s="100" t="s">
        <v>163</v>
      </c>
      <c r="B63" s="100"/>
      <c r="C63" s="100"/>
      <c r="D63" s="100" t="s">
        <v>29</v>
      </c>
      <c r="E63" s="100"/>
      <c r="F63" s="100"/>
      <c r="G63" s="100"/>
      <c r="H63" s="100"/>
      <c r="I63" s="34"/>
      <c r="J63" s="34"/>
      <c r="K63" s="34"/>
      <c r="L63" s="34"/>
      <c r="M63" s="34"/>
      <c r="N63" s="34"/>
    </row>
    <row r="64" spans="1:14" ht="15.75" customHeight="1" x14ac:dyDescent="0.35">
      <c r="A64" s="87" t="s">
        <v>93</v>
      </c>
      <c r="B64" s="87"/>
      <c r="C64" s="87"/>
      <c r="D64" s="117" t="str">
        <f ca="1">(IF(G70&gt;95%,"Nothing",IF(G70&gt;0%,"Cement, Aggregate, Steel, etc",IF(G70=0%,"Work not yet Started"))))</f>
        <v>Nothing</v>
      </c>
      <c r="E64" s="117"/>
      <c r="F64" s="117"/>
      <c r="G64" s="117"/>
      <c r="H64" s="117"/>
      <c r="J64" s="13"/>
    </row>
    <row r="65" spans="1:10" ht="33.75" customHeight="1" thickBot="1" x14ac:dyDescent="0.4">
      <c r="A65" s="100" t="s">
        <v>128</v>
      </c>
      <c r="B65" s="100"/>
      <c r="C65" s="100"/>
      <c r="D65" s="117" t="str">
        <f ca="1">(IF(D64="Nothing","Yes",IF(D64="Cement, Aggregate, Steel, etc","Under Construction",IF(D64="Work not yet Started","Work not yet Started"))))</f>
        <v>Yes</v>
      </c>
      <c r="E65" s="117"/>
      <c r="F65" s="117" t="str">
        <f ca="1">(IF(D64="Nothing","Yes",IF(D64="Cement, Aggregate, Steel, etc","Under Construction",IF(D64="Work not yet Started","Work not yet Started"))))</f>
        <v>Yes</v>
      </c>
      <c r="G65" s="117"/>
      <c r="H65" s="117"/>
    </row>
    <row r="66" spans="1:10" s="5" customFormat="1" x14ac:dyDescent="0.35">
      <c r="A66" s="174" t="s">
        <v>155</v>
      </c>
      <c r="B66" s="175"/>
      <c r="C66" s="176" t="s">
        <v>271</v>
      </c>
      <c r="D66" s="177"/>
      <c r="E66" s="177"/>
      <c r="F66" s="177"/>
      <c r="G66" s="177"/>
      <c r="H66" s="178"/>
      <c r="I66" s="37" t="str">
        <f ca="1">(IF(E70&gt;99%,"All work completed. Please provide OC.",IF(E70&gt;89.8%,"Plinth, RCC, Brick, Plaster, Flooring, Painting work Completed. Finishing work is in process.",IF(E70&lt;94%,(IF(C70=0,"Work not yet Started.",IF(D70=25%,"Piling work in process",IF(D70=50%,"Excavation work in process",IF(D70=100%,"Excavation work Completed. ","0")))&amp;(IF(C71=0%,"",IF(C71=J72,"Footing work is process",IF(C71=J73,"Footing work Completed",IF(C71=J74,"1st Basement Completed",IF(C71=J75,"1st &amp; 2nd Basement Completed",IF(C71=J76,"1st to 3rd Basement Completed",IF(C71=J77,"1st to 4th Basement Completed",IF(C71=J78,"Plinth work is process",IF(C71=J79,"Plinth work completed","0")))))))))))&amp;(IF(C72=(D67+F67+H67),", RCC Slab",IF(C72&gt;0,", RCC upto "&amp;C72&amp;" Slab",""))&amp;(IF(C73=H67,", Brickwork",IF(C73&gt;0,", Brickwork upto "&amp;C73&amp;" Floor",""))&amp;(IF(C74=H67,", Internal Plaster",IF(C74&gt;0,", Internal Plaster upto "&amp;C74&amp;" Floor",""))&amp;(IF(C75=H67,", External Plaster",IF(C75&gt;0,", External Plaster upto "&amp;C75&amp;" Floor",""))&amp;(IF(C76=H67,", Flooring",IF(C76&gt;0,", Flooring upto "&amp;C76&amp;" Floor",""))&amp;(IF(C77=H67,", Painting",IF(C77&gt;0,", Painting upto "&amp;C77&amp;" Floor",""))&amp;(IF(C78&gt;0,", Finishing upto "&amp;C78&amp;" Floor","")&amp;(IF(C72&gt;0.5," Completed",""))))))))))))))</f>
        <v>All work completed. Please provide OC.</v>
      </c>
      <c r="J66" s="38"/>
    </row>
    <row r="67" spans="1:10" s="5" customFormat="1" x14ac:dyDescent="0.35">
      <c r="A67" s="32" t="s">
        <v>157</v>
      </c>
      <c r="B67" s="35">
        <v>1</v>
      </c>
      <c r="C67" s="35" t="s">
        <v>75</v>
      </c>
      <c r="D67" s="35">
        <v>1</v>
      </c>
      <c r="E67" s="35" t="s">
        <v>74</v>
      </c>
      <c r="F67" s="35">
        <v>0</v>
      </c>
      <c r="G67" s="35" t="s">
        <v>87</v>
      </c>
      <c r="H67" s="33">
        <f ca="1">--TRIM(RIGHT(SUBSTITUTE(LEFT(C66,_xlfn.AGGREGATE(16,6,FIND({0,1,2,3,4,5,6,7,8,9},C66,ROW(INDIRECT("1:"&amp;LEN(C66)))),1))," ",REPT(" ",LEN(C66))),LEN(C66)))</f>
        <v>45</v>
      </c>
      <c r="I67" s="39"/>
      <c r="J67" s="40"/>
    </row>
    <row r="68" spans="1:10" s="5" customFormat="1" ht="20" customHeight="1" x14ac:dyDescent="0.35">
      <c r="A68" s="179" t="s">
        <v>97</v>
      </c>
      <c r="B68" s="180"/>
      <c r="C68" s="181" t="str">
        <f>I68</f>
        <v>All work Completed. OC Received.</v>
      </c>
      <c r="D68" s="181"/>
      <c r="E68" s="181"/>
      <c r="F68" s="181"/>
      <c r="G68" s="181"/>
      <c r="H68" s="182"/>
      <c r="I68" s="39" t="s">
        <v>115</v>
      </c>
      <c r="J68" s="40"/>
    </row>
    <row r="69" spans="1:10" s="5" customFormat="1" ht="15.75" customHeight="1" x14ac:dyDescent="0.35">
      <c r="A69" s="91" t="s">
        <v>50</v>
      </c>
      <c r="B69" s="92"/>
      <c r="C69" s="41" t="s">
        <v>154</v>
      </c>
      <c r="D69" s="41" t="s">
        <v>90</v>
      </c>
      <c r="E69" s="92" t="s">
        <v>92</v>
      </c>
      <c r="F69" s="92"/>
      <c r="G69" s="92" t="s">
        <v>91</v>
      </c>
      <c r="H69" s="126"/>
      <c r="I69" s="42" t="s">
        <v>156</v>
      </c>
      <c r="J69" s="43">
        <f ca="1">H67*25%</f>
        <v>11.25</v>
      </c>
    </row>
    <row r="70" spans="1:10" s="5" customFormat="1" x14ac:dyDescent="0.35">
      <c r="A70" s="91" t="s">
        <v>143</v>
      </c>
      <c r="B70" s="92"/>
      <c r="C70" s="44">
        <f ca="1">J71</f>
        <v>45</v>
      </c>
      <c r="D70" s="45">
        <f ca="1">((100/H67)*C70)/100</f>
        <v>1</v>
      </c>
      <c r="E70" s="130">
        <f ca="1">(((C71/H67*10)+(40/(D67+F67+H67)*C72)+(7.5/(H67)*C73)+(7.5/(H67)*C74)+(10/H67*C75)+(10/H67*C76)+(5/H67*C77)+(5/H67*C78)+(5/H67*C79))/100)</f>
        <v>1</v>
      </c>
      <c r="F70" s="130"/>
      <c r="G70" s="130">
        <f ca="1">((((C70/H67)*20)+((C71/H67)*25)+(30/(H67+F67+D67)*C72)+(5/H67*C73)+(5/H67*C74)+(5/H67*C75)+(5/H67*C76)+(0/H67*C77)+(0/H67*C78)+(5/H67*C79))/100)</f>
        <v>1</v>
      </c>
      <c r="H70" s="132"/>
      <c r="I70" s="42" t="s">
        <v>110</v>
      </c>
      <c r="J70" s="46">
        <f ca="1">H67*50%</f>
        <v>22.5</v>
      </c>
    </row>
    <row r="71" spans="1:10" s="5" customFormat="1" x14ac:dyDescent="0.35">
      <c r="A71" s="91" t="s">
        <v>51</v>
      </c>
      <c r="B71" s="92"/>
      <c r="C71" s="47">
        <f ca="1">J79</f>
        <v>45</v>
      </c>
      <c r="D71" s="45">
        <f ca="1">((100/H67)*C71)/100</f>
        <v>1</v>
      </c>
      <c r="E71" s="130"/>
      <c r="F71" s="130"/>
      <c r="G71" s="130"/>
      <c r="H71" s="132"/>
      <c r="I71" s="42" t="s">
        <v>111</v>
      </c>
      <c r="J71" s="46">
        <f ca="1">H67</f>
        <v>45</v>
      </c>
    </row>
    <row r="72" spans="1:10" s="5" customFormat="1" ht="15.75" customHeight="1" x14ac:dyDescent="0.35">
      <c r="A72" s="91" t="s">
        <v>144</v>
      </c>
      <c r="B72" s="92"/>
      <c r="C72" s="47">
        <v>46</v>
      </c>
      <c r="D72" s="45">
        <f ca="1">((100/(D67+F67+H67))*C72)/100</f>
        <v>1</v>
      </c>
      <c r="E72" s="130"/>
      <c r="F72" s="130"/>
      <c r="G72" s="130"/>
      <c r="H72" s="132"/>
      <c r="I72" s="42" t="s">
        <v>112</v>
      </c>
      <c r="J72" s="48">
        <f ca="1">(IF(B67&gt;1,(H67/(B67+2)),H67/4))</f>
        <v>11.25</v>
      </c>
    </row>
    <row r="73" spans="1:10" s="5" customFormat="1" ht="15.75" customHeight="1" x14ac:dyDescent="0.35">
      <c r="A73" s="91" t="s">
        <v>151</v>
      </c>
      <c r="B73" s="92" t="s">
        <v>145</v>
      </c>
      <c r="C73" s="44">
        <v>45</v>
      </c>
      <c r="D73" s="45">
        <f ca="1">((100/H67)*C73)/100</f>
        <v>1</v>
      </c>
      <c r="E73" s="130"/>
      <c r="F73" s="130"/>
      <c r="G73" s="130"/>
      <c r="H73" s="132"/>
      <c r="I73" s="42" t="s">
        <v>113</v>
      </c>
      <c r="J73" s="48">
        <f ca="1">(IF(B67&gt;1,(H67/(B67+2)+J72),H67/4+J72))</f>
        <v>22.5</v>
      </c>
    </row>
    <row r="74" spans="1:10" s="5" customFormat="1" ht="15.75" customHeight="1" x14ac:dyDescent="0.35">
      <c r="A74" s="91" t="s">
        <v>152</v>
      </c>
      <c r="B74" s="92" t="s">
        <v>145</v>
      </c>
      <c r="C74" s="44">
        <v>45</v>
      </c>
      <c r="D74" s="45">
        <f ca="1">((100/H67)*C74)/100</f>
        <v>1</v>
      </c>
      <c r="E74" s="130"/>
      <c r="F74" s="130"/>
      <c r="G74" s="130"/>
      <c r="H74" s="132"/>
      <c r="I74" s="42" t="s">
        <v>161</v>
      </c>
      <c r="J74" s="48">
        <f>(IF(B67&gt;1,(H67/(B67+2)+J73),0))</f>
        <v>0</v>
      </c>
    </row>
    <row r="75" spans="1:10" s="5" customFormat="1" ht="15" customHeight="1" x14ac:dyDescent="0.35">
      <c r="A75" s="91" t="s">
        <v>150</v>
      </c>
      <c r="B75" s="92" t="s">
        <v>147</v>
      </c>
      <c r="C75" s="44">
        <v>45</v>
      </c>
      <c r="D75" s="45">
        <f ca="1">((100/(H67))*C75)/100</f>
        <v>1</v>
      </c>
      <c r="E75" s="130"/>
      <c r="F75" s="130"/>
      <c r="G75" s="130"/>
      <c r="H75" s="132"/>
      <c r="I75" s="42" t="s">
        <v>158</v>
      </c>
      <c r="J75" s="48">
        <f>(IF(B67&gt;2,(H67/(B67+2)+J74),0))</f>
        <v>0</v>
      </c>
    </row>
    <row r="76" spans="1:10" s="5" customFormat="1" ht="15.75" customHeight="1" x14ac:dyDescent="0.35">
      <c r="A76" s="91" t="s">
        <v>146</v>
      </c>
      <c r="B76" s="92" t="s">
        <v>146</v>
      </c>
      <c r="C76" s="44">
        <v>45</v>
      </c>
      <c r="D76" s="45">
        <f ca="1">((100/H67)*C76)/100</f>
        <v>1</v>
      </c>
      <c r="E76" s="130"/>
      <c r="F76" s="130"/>
      <c r="G76" s="130"/>
      <c r="H76" s="132"/>
      <c r="I76" s="42" t="s">
        <v>159</v>
      </c>
      <c r="J76" s="49">
        <f>(IF(B67&gt;3,(H67/(B67+2)+J75),0))</f>
        <v>0</v>
      </c>
    </row>
    <row r="77" spans="1:10" s="5" customFormat="1" ht="15.75" customHeight="1" x14ac:dyDescent="0.35">
      <c r="A77" s="91" t="s">
        <v>153</v>
      </c>
      <c r="B77" s="92"/>
      <c r="C77" s="44">
        <v>45</v>
      </c>
      <c r="D77" s="45">
        <f ca="1">((100/H67)*C77)/100</f>
        <v>1</v>
      </c>
      <c r="E77" s="130"/>
      <c r="F77" s="130"/>
      <c r="G77" s="130"/>
      <c r="H77" s="132"/>
      <c r="I77" s="42" t="s">
        <v>160</v>
      </c>
      <c r="J77" s="48">
        <f>(IF(B67&gt;4,(H67/(B67+2)+J76),0))</f>
        <v>0</v>
      </c>
    </row>
    <row r="78" spans="1:10" s="5" customFormat="1" ht="15.75" customHeight="1" x14ac:dyDescent="0.35">
      <c r="A78" s="91" t="s">
        <v>148</v>
      </c>
      <c r="B78" s="92" t="s">
        <v>148</v>
      </c>
      <c r="C78" s="44">
        <v>45</v>
      </c>
      <c r="D78" s="45">
        <f ca="1">((100/(H67))*C78)/100</f>
        <v>1</v>
      </c>
      <c r="E78" s="130"/>
      <c r="F78" s="130"/>
      <c r="G78" s="130"/>
      <c r="H78" s="132"/>
      <c r="I78" s="42" t="s">
        <v>162</v>
      </c>
      <c r="J78" s="48">
        <f ca="1">(IF(B67=1,(H67/(B67+3)+J73),IF(B67=0,(H67/4+J73),IF(B67&gt;1,0))))</f>
        <v>33.75</v>
      </c>
    </row>
    <row r="79" spans="1:10" s="5" customFormat="1" ht="16" thickBot="1" x14ac:dyDescent="0.4">
      <c r="A79" s="134" t="s">
        <v>149</v>
      </c>
      <c r="B79" s="135"/>
      <c r="C79" s="50">
        <v>45</v>
      </c>
      <c r="D79" s="51">
        <f ca="1">((100/(H67))*C79)/100</f>
        <v>1</v>
      </c>
      <c r="E79" s="131"/>
      <c r="F79" s="131"/>
      <c r="G79" s="131"/>
      <c r="H79" s="133"/>
      <c r="I79" s="52" t="s">
        <v>114</v>
      </c>
      <c r="J79" s="53">
        <f ca="1">(IF(B67&gt;1.5,(H67/(B67+2)+J73+MAX(0,J74-J73)+MAX(0,J75-J74)+MAX(0,J76-J75)+MAX(0,J77-J76)+MAX(0,J78-J77)),IF(B67=1,(H67/(B67+3)+J78),IF(B67=0,H67/4+J78))))</f>
        <v>45</v>
      </c>
    </row>
    <row r="80" spans="1:10" s="5" customFormat="1" ht="15.75" hidden="1" customHeight="1" x14ac:dyDescent="0.35">
      <c r="A80" s="93" t="s">
        <v>155</v>
      </c>
      <c r="B80" s="94"/>
      <c r="C80" s="95" t="str">
        <f>D58</f>
        <v>B Wing (East Tower) = B + G + 1st to 45th Floor</v>
      </c>
      <c r="D80" s="96"/>
      <c r="E80" s="96"/>
      <c r="F80" s="96"/>
      <c r="G80" s="96"/>
      <c r="H80" s="97"/>
      <c r="I80" s="37" t="str">
        <f ca="1">(IF(E84&gt;99%,"All work completed. Please provide OC.",IF(E84&gt;89.8%,"Plinth, RCC, Brick, Plaster, Flooring, Painting work Completed. Finishing work is in process.",IF(E84&lt;94%,(IF(C84=0,"Work not yet Started.",IF(D84=25%,"Piling work in process",IF(D84=50%,"Excavation work in process",IF(D84=100%,"Excavation work Completed. ","0")))&amp;(IF(C85=0%,"",IF(C85=J86,"Footing work is process",IF(C85=J87,"Footing work Completed",IF(C85=J88,"1st Basement Completed",IF(C85=J89,"1st &amp; 2nd Basement Completed",IF(C85=J90,"1st to 3rd Basement Completed",IF(C85=J91,"1st to 4th Basement Completed",IF(C85=J92,"Plinth work is process",IF(C85=J93,"Plinth work completed","0")))))))))))&amp;(IF(C86=(D81+F81+H81),", RCC Slab",IF(C86&gt;0,", RCC upto "&amp;C86&amp;" Slab",""))&amp;(IF(C87=H81,", Brickwork",IF(C87&gt;0,", Brickwork upto "&amp;C87&amp;" Floor",""))&amp;(IF(C88=H81,", Internal Plaster",IF(C88&gt;0,", Internal Plaster upto "&amp;C88&amp;" Floor",""))&amp;(IF(C89=H81,", External Plaster",IF(C89&gt;0,", External Plaster upto "&amp;C89&amp;" Floor",""))&amp;(IF(C90=H81,", Flooring",IF(C90&gt;0,", Flooring upto "&amp;C90&amp;" Floor",""))&amp;(IF(C91=H81,", Painting",IF(C91&gt;0,", Painting upto "&amp;C91&amp;" Floor",""))&amp;(IF(C92&gt;0,", Finishing upto "&amp;C92&amp;" Floor","")&amp;(IF(C86&gt;0.5," Completed",""))))))))))))))</f>
        <v>All work completed. Please provide OC.</v>
      </c>
      <c r="J80" s="38"/>
    </row>
    <row r="81" spans="1:13" s="5" customFormat="1" hidden="1" x14ac:dyDescent="0.35">
      <c r="A81" s="32" t="s">
        <v>157</v>
      </c>
      <c r="B81" s="35">
        <v>1</v>
      </c>
      <c r="C81" s="35" t="s">
        <v>75</v>
      </c>
      <c r="D81" s="35">
        <v>1</v>
      </c>
      <c r="E81" s="35" t="s">
        <v>74</v>
      </c>
      <c r="F81" s="35">
        <v>0</v>
      </c>
      <c r="G81" s="35" t="s">
        <v>87</v>
      </c>
      <c r="H81" s="33">
        <f ca="1">--TRIM(RIGHT(SUBSTITUTE(LEFT(C80,_xlfn.AGGREGATE(16,6,FIND({0,1,2,3,4,5,6,7,8,9},C80,ROW(INDIRECT("1:"&amp;LEN(C80)))),1))," ",REPT(" ",LEN(C80))),LEN(C80)))</f>
        <v>45</v>
      </c>
      <c r="I81" s="39"/>
      <c r="J81" s="40"/>
    </row>
    <row r="82" spans="1:13" s="5" customFormat="1" hidden="1" x14ac:dyDescent="0.35">
      <c r="A82" s="127" t="s">
        <v>97</v>
      </c>
      <c r="B82" s="128"/>
      <c r="C82" s="113" t="str">
        <f>I82</f>
        <v>All work Completed. OC Received.</v>
      </c>
      <c r="D82" s="113"/>
      <c r="E82" s="113"/>
      <c r="F82" s="113"/>
      <c r="G82" s="113"/>
      <c r="H82" s="129"/>
      <c r="I82" s="39" t="s">
        <v>115</v>
      </c>
      <c r="J82" s="40"/>
    </row>
    <row r="83" spans="1:13" s="5" customFormat="1" ht="15.75" hidden="1" customHeight="1" x14ac:dyDescent="0.35">
      <c r="A83" s="91" t="s">
        <v>50</v>
      </c>
      <c r="B83" s="92"/>
      <c r="C83" s="41" t="s">
        <v>154</v>
      </c>
      <c r="D83" s="41" t="s">
        <v>90</v>
      </c>
      <c r="E83" s="92" t="s">
        <v>92</v>
      </c>
      <c r="F83" s="92"/>
      <c r="G83" s="92" t="s">
        <v>91</v>
      </c>
      <c r="H83" s="126"/>
      <c r="I83" s="42" t="s">
        <v>156</v>
      </c>
      <c r="J83" s="43">
        <f ca="1">H81*25%</f>
        <v>11.25</v>
      </c>
    </row>
    <row r="84" spans="1:13" s="5" customFormat="1" hidden="1" x14ac:dyDescent="0.35">
      <c r="A84" s="91" t="s">
        <v>143</v>
      </c>
      <c r="B84" s="92"/>
      <c r="C84" s="44">
        <f ca="1">J85</f>
        <v>45</v>
      </c>
      <c r="D84" s="45">
        <f ca="1">((100/H81)*C84)/100</f>
        <v>1</v>
      </c>
      <c r="E84" s="130">
        <f ca="1">(((C85/H81*10)+(40/(D81+F81+H81)*C86)+(7.5/(H81)*C87)+(7.5/(H81)*C88)+(10/H81*C89)+(10/H81*C90)+(5/H81*C91)+(5/H81*C92)+(5/H81*C93))/100)</f>
        <v>1</v>
      </c>
      <c r="F84" s="130"/>
      <c r="G84" s="130">
        <f ca="1">((((C84/H81)*20)+((C85/H81)*25)+(30/(H81+F81+D81)*C86)+(5/H81*C87)+(5/H81*C88)+(5/H81*C89)+(5/H81*C90)+(0/H81*C91)+(0/H81*C92)+(5/H81*C93))/100)</f>
        <v>1</v>
      </c>
      <c r="H84" s="132"/>
      <c r="I84" s="42" t="s">
        <v>110</v>
      </c>
      <c r="J84" s="46">
        <f ca="1">H81*50%</f>
        <v>22.5</v>
      </c>
    </row>
    <row r="85" spans="1:13" s="5" customFormat="1" hidden="1" x14ac:dyDescent="0.35">
      <c r="A85" s="91" t="s">
        <v>51</v>
      </c>
      <c r="B85" s="92"/>
      <c r="C85" s="47">
        <f ca="1">J93</f>
        <v>45</v>
      </c>
      <c r="D85" s="45">
        <f ca="1">((100/H81)*C85)/100</f>
        <v>1</v>
      </c>
      <c r="E85" s="130"/>
      <c r="F85" s="130"/>
      <c r="G85" s="130"/>
      <c r="H85" s="132"/>
      <c r="I85" s="42" t="s">
        <v>111</v>
      </c>
      <c r="J85" s="46">
        <f ca="1">H81</f>
        <v>45</v>
      </c>
    </row>
    <row r="86" spans="1:13" s="5" customFormat="1" ht="15.75" hidden="1" customHeight="1" x14ac:dyDescent="0.35">
      <c r="A86" s="91" t="s">
        <v>144</v>
      </c>
      <c r="B86" s="92"/>
      <c r="C86" s="47">
        <v>46</v>
      </c>
      <c r="D86" s="45">
        <f ca="1">((100/(D81+F81+H81))*C86)/100</f>
        <v>1</v>
      </c>
      <c r="E86" s="130"/>
      <c r="F86" s="130"/>
      <c r="G86" s="130"/>
      <c r="H86" s="132"/>
      <c r="I86" s="42" t="s">
        <v>112</v>
      </c>
      <c r="J86" s="48">
        <f ca="1">(IF(B81&gt;1,(H81/(B81+2)),H81/4))</f>
        <v>11.25</v>
      </c>
    </row>
    <row r="87" spans="1:13" s="5" customFormat="1" ht="15.75" hidden="1" customHeight="1" x14ac:dyDescent="0.35">
      <c r="A87" s="91" t="s">
        <v>151</v>
      </c>
      <c r="B87" s="92" t="s">
        <v>145</v>
      </c>
      <c r="C87" s="44">
        <v>45</v>
      </c>
      <c r="D87" s="45">
        <f ca="1">((100/H81)*C87)/100</f>
        <v>1</v>
      </c>
      <c r="E87" s="130"/>
      <c r="F87" s="130"/>
      <c r="G87" s="130"/>
      <c r="H87" s="132"/>
      <c r="I87" s="42" t="s">
        <v>113</v>
      </c>
      <c r="J87" s="48">
        <f ca="1">(IF(B81&gt;1,(H81/(B81+2)+J86),H81/4+J86))</f>
        <v>22.5</v>
      </c>
    </row>
    <row r="88" spans="1:13" s="5" customFormat="1" ht="15.75" hidden="1" customHeight="1" x14ac:dyDescent="0.35">
      <c r="A88" s="91" t="s">
        <v>152</v>
      </c>
      <c r="B88" s="92" t="s">
        <v>145</v>
      </c>
      <c r="C88" s="44">
        <v>45</v>
      </c>
      <c r="D88" s="45">
        <f ca="1">((100/H81)*C88)/100</f>
        <v>1</v>
      </c>
      <c r="E88" s="130"/>
      <c r="F88" s="130"/>
      <c r="G88" s="130"/>
      <c r="H88" s="132"/>
      <c r="I88" s="42" t="s">
        <v>161</v>
      </c>
      <c r="J88" s="48">
        <f>(IF(B81&gt;1,(H81/(B81+2)+J87),0))</f>
        <v>0</v>
      </c>
    </row>
    <row r="89" spans="1:13" s="5" customFormat="1" ht="15" hidden="1" customHeight="1" x14ac:dyDescent="0.35">
      <c r="A89" s="91" t="s">
        <v>150</v>
      </c>
      <c r="B89" s="92" t="s">
        <v>147</v>
      </c>
      <c r="C89" s="44">
        <v>45</v>
      </c>
      <c r="D89" s="45">
        <f ca="1">((100/(H81))*C89)/100</f>
        <v>1</v>
      </c>
      <c r="E89" s="130"/>
      <c r="F89" s="130"/>
      <c r="G89" s="130"/>
      <c r="H89" s="132"/>
      <c r="I89" s="42" t="s">
        <v>158</v>
      </c>
      <c r="J89" s="48">
        <f>(IF(B81&gt;2,(H81/(B81+2)+J88),0))</f>
        <v>0</v>
      </c>
    </row>
    <row r="90" spans="1:13" s="5" customFormat="1" ht="15.75" hidden="1" customHeight="1" x14ac:dyDescent="0.35">
      <c r="A90" s="91" t="s">
        <v>146</v>
      </c>
      <c r="B90" s="92" t="s">
        <v>146</v>
      </c>
      <c r="C90" s="44">
        <v>45</v>
      </c>
      <c r="D90" s="45">
        <f ca="1">((100/H81)*C90)/100</f>
        <v>1</v>
      </c>
      <c r="E90" s="130"/>
      <c r="F90" s="130"/>
      <c r="G90" s="130"/>
      <c r="H90" s="132"/>
      <c r="I90" s="42" t="s">
        <v>159</v>
      </c>
      <c r="J90" s="49">
        <f>(IF(B81&gt;3,(H81/(B81+2)+J89),0))</f>
        <v>0</v>
      </c>
    </row>
    <row r="91" spans="1:13" s="5" customFormat="1" ht="15.75" hidden="1" customHeight="1" x14ac:dyDescent="0.35">
      <c r="A91" s="91" t="s">
        <v>153</v>
      </c>
      <c r="B91" s="92"/>
      <c r="C91" s="44">
        <v>45</v>
      </c>
      <c r="D91" s="45">
        <f ca="1">((100/H81)*C91)/100</f>
        <v>1</v>
      </c>
      <c r="E91" s="130"/>
      <c r="F91" s="130"/>
      <c r="G91" s="130"/>
      <c r="H91" s="132"/>
      <c r="I91" s="42" t="s">
        <v>160</v>
      </c>
      <c r="J91" s="48">
        <f>(IF(B81&gt;4,(H81/(B81+2)+J90),0))</f>
        <v>0</v>
      </c>
    </row>
    <row r="92" spans="1:13" s="5" customFormat="1" ht="15.75" hidden="1" customHeight="1" x14ac:dyDescent="0.35">
      <c r="A92" s="91" t="s">
        <v>148</v>
      </c>
      <c r="B92" s="92" t="s">
        <v>148</v>
      </c>
      <c r="C92" s="44">
        <v>45</v>
      </c>
      <c r="D92" s="45">
        <f ca="1">((100/(H81))*C92)/100</f>
        <v>1</v>
      </c>
      <c r="E92" s="130"/>
      <c r="F92" s="130"/>
      <c r="G92" s="130"/>
      <c r="H92" s="132"/>
      <c r="I92" s="42" t="s">
        <v>162</v>
      </c>
      <c r="J92" s="48">
        <f ca="1">(IF(B81=1,(H81/(B81+3)+J87),IF(B81=0,(H81/4+J87),IF(B81&gt;1,0))))</f>
        <v>33.75</v>
      </c>
    </row>
    <row r="93" spans="1:13" s="5" customFormat="1" ht="16" hidden="1" thickBot="1" x14ac:dyDescent="0.4">
      <c r="A93" s="134" t="s">
        <v>149</v>
      </c>
      <c r="B93" s="135"/>
      <c r="C93" s="50">
        <v>45</v>
      </c>
      <c r="D93" s="51">
        <f ca="1">((100/(H81))*C93)/100</f>
        <v>1</v>
      </c>
      <c r="E93" s="131"/>
      <c r="F93" s="131"/>
      <c r="G93" s="131"/>
      <c r="H93" s="133"/>
      <c r="I93" s="52" t="s">
        <v>114</v>
      </c>
      <c r="J93" s="53">
        <f ca="1">(IF(B81&gt;1.5,(H81/(B81+2)+J87+MAX(0,J88-J87)+MAX(0,J89-J88)+MAX(0,J90-J89)+MAX(0,J91-J90)+MAX(0,J92-J91)),IF(B81=1,(H81/(B81+3)+J92),IF(B81=0,H81/4+J92))))</f>
        <v>45</v>
      </c>
    </row>
    <row r="94" spans="1:13" x14ac:dyDescent="0.35">
      <c r="A94" s="99" t="s">
        <v>52</v>
      </c>
      <c r="B94" s="99"/>
      <c r="C94" s="99"/>
      <c r="D94" s="99"/>
      <c r="E94" s="99"/>
      <c r="F94" s="99"/>
      <c r="G94" s="99"/>
      <c r="H94" s="99"/>
    </row>
    <row r="95" spans="1:13" x14ac:dyDescent="0.35">
      <c r="A95" s="87" t="s">
        <v>79</v>
      </c>
      <c r="B95" s="87"/>
      <c r="C95" s="87"/>
      <c r="D95" s="87"/>
      <c r="E95" s="87"/>
      <c r="F95" s="98">
        <v>33000</v>
      </c>
      <c r="G95" s="98"/>
      <c r="H95" s="98"/>
      <c r="I95" s="3" t="s">
        <v>275</v>
      </c>
      <c r="J95" s="3" t="s">
        <v>280</v>
      </c>
      <c r="M95" s="1">
        <f>67500000/(1256*1.6)</f>
        <v>33588.773885350318</v>
      </c>
    </row>
    <row r="96" spans="1:13" hidden="1" x14ac:dyDescent="0.35">
      <c r="A96" s="87" t="s">
        <v>85</v>
      </c>
      <c r="B96" s="87"/>
      <c r="C96" s="87"/>
      <c r="D96" s="87"/>
      <c r="E96" s="87"/>
      <c r="F96" s="98"/>
      <c r="G96" s="98"/>
      <c r="H96" s="98"/>
    </row>
    <row r="97" spans="1:8" hidden="1" x14ac:dyDescent="0.35">
      <c r="A97" s="87" t="s">
        <v>86</v>
      </c>
      <c r="B97" s="87"/>
      <c r="C97" s="87"/>
      <c r="D97" s="87"/>
      <c r="E97" s="87"/>
      <c r="F97" s="98"/>
      <c r="G97" s="98"/>
      <c r="H97" s="98"/>
    </row>
    <row r="98" spans="1:8" s="7" customFormat="1" hidden="1" x14ac:dyDescent="0.3">
      <c r="A98" s="87" t="s">
        <v>102</v>
      </c>
      <c r="B98" s="87"/>
      <c r="C98" s="87"/>
      <c r="D98" s="87"/>
      <c r="E98" s="87"/>
      <c r="F98" s="98" t="s">
        <v>29</v>
      </c>
      <c r="G98" s="98"/>
      <c r="H98" s="98"/>
    </row>
    <row r="99" spans="1:8" s="7" customFormat="1" hidden="1" x14ac:dyDescent="0.3">
      <c r="A99" s="87" t="s">
        <v>103</v>
      </c>
      <c r="B99" s="87"/>
      <c r="C99" s="87"/>
      <c r="D99" s="87"/>
      <c r="E99" s="87"/>
      <c r="F99" s="98" t="s">
        <v>29</v>
      </c>
      <c r="G99" s="98"/>
      <c r="H99" s="98"/>
    </row>
    <row r="100" spans="1:8" s="7" customFormat="1" hidden="1" x14ac:dyDescent="0.3">
      <c r="A100" s="87" t="s">
        <v>104</v>
      </c>
      <c r="B100" s="87"/>
      <c r="C100" s="87"/>
      <c r="D100" s="87"/>
      <c r="E100" s="87"/>
      <c r="F100" s="98" t="s">
        <v>29</v>
      </c>
      <c r="G100" s="98"/>
      <c r="H100" s="98"/>
    </row>
    <row r="101" spans="1:8" s="7" customFormat="1" hidden="1" x14ac:dyDescent="0.3">
      <c r="A101" s="87" t="s">
        <v>105</v>
      </c>
      <c r="B101" s="87"/>
      <c r="C101" s="87"/>
      <c r="D101" s="87"/>
      <c r="E101" s="87"/>
      <c r="F101" s="98" t="s">
        <v>29</v>
      </c>
      <c r="G101" s="98"/>
      <c r="H101" s="98"/>
    </row>
    <row r="102" spans="1:8" s="7" customFormat="1" hidden="1" x14ac:dyDescent="0.3">
      <c r="A102" s="87" t="s">
        <v>106</v>
      </c>
      <c r="B102" s="87"/>
      <c r="C102" s="87"/>
      <c r="D102" s="87"/>
      <c r="E102" s="87"/>
      <c r="F102" s="98" t="s">
        <v>29</v>
      </c>
      <c r="G102" s="98"/>
      <c r="H102" s="98"/>
    </row>
    <row r="103" spans="1:8" s="7" customFormat="1" hidden="1" x14ac:dyDescent="0.3">
      <c r="A103" s="87" t="s">
        <v>107</v>
      </c>
      <c r="B103" s="87"/>
      <c r="C103" s="87"/>
      <c r="D103" s="87"/>
      <c r="E103" s="87"/>
      <c r="F103" s="98" t="s">
        <v>29</v>
      </c>
      <c r="G103" s="98"/>
      <c r="H103" s="98"/>
    </row>
    <row r="104" spans="1:8" s="7" customFormat="1" hidden="1" x14ac:dyDescent="0.3">
      <c r="A104" s="87" t="s">
        <v>108</v>
      </c>
      <c r="B104" s="87"/>
      <c r="C104" s="87"/>
      <c r="D104" s="87"/>
      <c r="E104" s="87"/>
      <c r="F104" s="98" t="s">
        <v>29</v>
      </c>
      <c r="G104" s="98"/>
      <c r="H104" s="98"/>
    </row>
    <row r="105" spans="1:8" s="7" customFormat="1" hidden="1" x14ac:dyDescent="0.3">
      <c r="A105" s="87" t="s">
        <v>109</v>
      </c>
      <c r="B105" s="87"/>
      <c r="C105" s="87"/>
      <c r="D105" s="87"/>
      <c r="E105" s="87"/>
      <c r="F105" s="98" t="s">
        <v>29</v>
      </c>
      <c r="G105" s="98"/>
      <c r="H105" s="98"/>
    </row>
    <row r="106" spans="1:8" x14ac:dyDescent="0.35">
      <c r="A106" s="87" t="s">
        <v>53</v>
      </c>
      <c r="B106" s="87"/>
      <c r="C106" s="87"/>
      <c r="D106" s="87"/>
      <c r="E106" s="87"/>
      <c r="F106" s="101" t="s">
        <v>274</v>
      </c>
      <c r="G106" s="101"/>
      <c r="H106" s="101"/>
    </row>
    <row r="107" spans="1:8" s="4" customFormat="1" x14ac:dyDescent="0.35">
      <c r="A107" s="99" t="s">
        <v>54</v>
      </c>
      <c r="B107" s="99"/>
      <c r="C107" s="99"/>
      <c r="D107" s="99"/>
      <c r="E107" s="99"/>
      <c r="F107" s="98">
        <f>F95*0.8</f>
        <v>26400</v>
      </c>
      <c r="G107" s="98"/>
      <c r="H107" s="98"/>
    </row>
    <row r="108" spans="1:8" s="1" customFormat="1" ht="15.75" hidden="1" customHeight="1" x14ac:dyDescent="0.35">
      <c r="A108" s="73" t="s">
        <v>80</v>
      </c>
      <c r="B108" s="73"/>
      <c r="C108" s="73"/>
      <c r="D108" s="73"/>
      <c r="E108" s="73"/>
      <c r="F108" s="73"/>
      <c r="G108" s="73"/>
      <c r="H108" s="73"/>
    </row>
    <row r="109" spans="1:8" s="1" customFormat="1" ht="15.75" hidden="1" customHeight="1" x14ac:dyDescent="0.35">
      <c r="A109" s="82" t="s">
        <v>55</v>
      </c>
      <c r="B109" s="82"/>
      <c r="C109" s="75" t="s">
        <v>83</v>
      </c>
      <c r="D109" s="75"/>
      <c r="E109" s="81" t="s">
        <v>56</v>
      </c>
      <c r="F109" s="81"/>
      <c r="G109" s="82" t="s">
        <v>57</v>
      </c>
      <c r="H109" s="82"/>
    </row>
    <row r="110" spans="1:8" s="1" customFormat="1" hidden="1" x14ac:dyDescent="0.35">
      <c r="A110" s="83"/>
      <c r="B110" s="83"/>
      <c r="C110" s="102"/>
      <c r="D110" s="102"/>
      <c r="E110" s="103"/>
      <c r="F110" s="103"/>
      <c r="G110" s="80"/>
      <c r="H110" s="80"/>
    </row>
    <row r="111" spans="1:8" s="1" customFormat="1" hidden="1" x14ac:dyDescent="0.35">
      <c r="A111" s="83"/>
      <c r="B111" s="83"/>
      <c r="C111" s="102"/>
      <c r="D111" s="102"/>
      <c r="E111" s="103"/>
      <c r="F111" s="103"/>
      <c r="G111" s="80"/>
      <c r="H111" s="80"/>
    </row>
    <row r="112" spans="1:8" s="1" customFormat="1" hidden="1" x14ac:dyDescent="0.35">
      <c r="A112" s="73" t="s">
        <v>165</v>
      </c>
      <c r="B112" s="73"/>
      <c r="C112" s="75"/>
      <c r="D112" s="75"/>
      <c r="E112" s="81"/>
      <c r="F112" s="81"/>
      <c r="G112" s="82"/>
      <c r="H112" s="82"/>
    </row>
    <row r="113" spans="1:14" s="1" customFormat="1" x14ac:dyDescent="0.35">
      <c r="A113" s="73" t="s">
        <v>73</v>
      </c>
      <c r="B113" s="73"/>
      <c r="C113" s="73"/>
      <c r="D113" s="73"/>
      <c r="E113" s="73"/>
      <c r="F113" s="73"/>
      <c r="G113" s="73"/>
      <c r="H113" s="73"/>
    </row>
    <row r="114" spans="1:14" s="1" customFormat="1" ht="15.75" customHeight="1" x14ac:dyDescent="0.35">
      <c r="A114" s="82" t="s">
        <v>55</v>
      </c>
      <c r="B114" s="82"/>
      <c r="C114" s="75" t="s">
        <v>83</v>
      </c>
      <c r="D114" s="75"/>
      <c r="E114" s="81" t="s">
        <v>56</v>
      </c>
      <c r="F114" s="81"/>
      <c r="G114" s="82" t="s">
        <v>57</v>
      </c>
      <c r="H114" s="82"/>
      <c r="I114" s="1">
        <f>38000/1.6</f>
        <v>23750</v>
      </c>
    </row>
    <row r="115" spans="1:14" s="1" customFormat="1" ht="15.75" customHeight="1" x14ac:dyDescent="0.35">
      <c r="A115" s="164" t="s">
        <v>192</v>
      </c>
      <c r="B115" s="56" t="s">
        <v>262</v>
      </c>
      <c r="C115" s="84">
        <f>COUNT(D141)*5+COUNT(D144,D147,D150)+COUNT(D154:D155)+COUNT(D157:D158)*2+COUNT(D160:D161)*2+COUNT(D163:D164)+COUNT(D166:D167)*4+COUNT(D169)+COUNT(D173)*3+COUNT(D177:D178)*3+COUNT(D180:D181)*12+COUNT(D184:D185)*3+COUNT(D187:D188)*3+COUNT(D190:D191)</f>
        <v>76</v>
      </c>
      <c r="D115" s="84"/>
      <c r="E115" s="84">
        <f>SUM(D141)*5+SUM(D144,D147,D150)+SUM(D154:D155)+SUM(D157:D158)*2+SUM(D160:D161)*2+SUM(D163:D164)+SUM(D166:D167)*4+SUM(D169)+SUM(D173)*3+SUM(D177:D178)*3+SUM(D180:D181)*12+SUM(D184:D185)*3+SUM(D187:D188)*3+SUM(D190:D191)</f>
        <v>156364.64531999995</v>
      </c>
      <c r="F115" s="84"/>
      <c r="G115" s="84">
        <f>SUM(F141)*5+SUM(F144,F147,F150)+SUM(F154:F155)+SUM(F157:F158)*2+SUM(F160:F161)*2+SUM(F163:F164)+SUM(F166:F167)*4+SUM(F169)+SUM(F173)*3+SUM(F177:F178)*3+SUM(F180:F181)*12+SUM(F184:F185)*3+SUM(F187:F188)*3+SUM(F190:F191)</f>
        <v>250183.432512</v>
      </c>
      <c r="H115" s="84"/>
    </row>
    <row r="116" spans="1:14" s="1" customFormat="1" ht="30" customHeight="1" x14ac:dyDescent="0.35">
      <c r="A116" s="165"/>
      <c r="B116" s="56" t="s">
        <v>227</v>
      </c>
      <c r="C116" s="84">
        <f>COUNT(D170)+COUNT(D174)*3</f>
        <v>4</v>
      </c>
      <c r="D116" s="84"/>
      <c r="E116" s="163">
        <f>SUM(D170)+SUM(D174)*3+SUM(D191)</f>
        <v>3297.2822999999999</v>
      </c>
      <c r="F116" s="163"/>
      <c r="G116" s="163">
        <f>SUM(F170)+SUM(F174)*3+SUM(F191)</f>
        <v>5275.6516799999999</v>
      </c>
      <c r="H116" s="163"/>
    </row>
    <row r="117" spans="1:14" s="1" customFormat="1" x14ac:dyDescent="0.35">
      <c r="A117" s="83" t="s">
        <v>196</v>
      </c>
      <c r="B117" s="83"/>
      <c r="C117" s="84">
        <f>COUNT(D200:D201)*5+COUNT(D205:D206)+COUNT(D210)+COUNT(D214:D215)+COUNT(D218:D221)+COUNT(D223:D226)+COUNT(D228:D231)*2+COUNT(D233:D236)*4+COUNT(D238:D240)+COUNT(D242:D244)+COUNT(D246:D247)+COUNT(D250:D251)+COUNT(D254:D257)+COUNT(D259:D262)*10+COUNT(D264:D267)*3+COUNT(D269:D271)*2+COUNT(D274:D276)*2+COUNT(D278:D280)+COUNT(D283:D285)+COUNT(D287:D289)+COUNT(D291:D293)+COUNT(D296:D298)+COUNT(D300,D302:D303)</f>
        <v>143</v>
      </c>
      <c r="D117" s="84"/>
      <c r="E117" s="85">
        <f>SUM(D200:D201)*5+SUM(D205:D206)+SUM(D210)+SUM(D214:D215)+SUM(D218:D221)+SUM(D223:D226)+SUM(D228:D231)*2+SUM(D233:D236)*4+SUM(D238:D240)+SUM(D242:D244)+SUM(D246:D247)+SUM(D250:D251)+SUM(D254:D257)+SUM(D259:D262)*10+SUM(D264:D267)*3+SUM(D269:D271)*2+SUM(D274:D276)*2+SUM(D278:D280)+SUM(D283:D285)+SUM(D287:D289)+SUM(D291:D293)+SUM(D296:D298)+SUM(D300,D302:D303)</f>
        <v>165607.21312199999</v>
      </c>
      <c r="F117" s="85"/>
      <c r="G117" s="85">
        <f>SUM(F200:F201)*5+SUM(F205:F206)+SUM(F210)+SUM(F214:F215)+SUM(F218:F221)+SUM(F223:F226)+SUM(F228:F231)*2+SUM(F233:F236)*4+SUM(F238:F240)+SUM(F242:F244)+SUM(F246:F247)+SUM(F250:F251)+SUM(F254:F257)+SUM(F259:F262)*10+SUM(F264:F267)*3+SUM(F269:F271)*2+SUM(F274:F276)*2+SUM(F278:F280)+SUM(F283:F285)+SUM(F287:F289)+SUM(F291:F293)+SUM(F296:F298)+SUM(F300,F302:F303)</f>
        <v>264971.54099519993</v>
      </c>
      <c r="H117" s="85"/>
      <c r="J117" s="1">
        <f>289-66</f>
        <v>223</v>
      </c>
    </row>
    <row r="118" spans="1:14" s="1" customFormat="1" x14ac:dyDescent="0.35">
      <c r="A118" s="73" t="s">
        <v>281</v>
      </c>
      <c r="B118" s="73"/>
      <c r="C118" s="74">
        <f>C115+C117</f>
        <v>219</v>
      </c>
      <c r="D118" s="75"/>
      <c r="E118" s="74">
        <f>E115+E117</f>
        <v>321971.85844199994</v>
      </c>
      <c r="F118" s="75"/>
      <c r="G118" s="74">
        <f>G115+G117</f>
        <v>515154.9735071999</v>
      </c>
      <c r="H118" s="75"/>
    </row>
    <row r="119" spans="1:14" s="1" customFormat="1" x14ac:dyDescent="0.35">
      <c r="A119" s="73" t="s">
        <v>282</v>
      </c>
      <c r="B119" s="73"/>
      <c r="C119" s="74">
        <f>C116+C118</f>
        <v>223</v>
      </c>
      <c r="D119" s="75"/>
      <c r="E119" s="74">
        <f>E116+E118</f>
        <v>325269.14074199996</v>
      </c>
      <c r="F119" s="75"/>
      <c r="G119" s="74">
        <f>G116+G118</f>
        <v>520430.62518719991</v>
      </c>
      <c r="H119" s="75"/>
    </row>
    <row r="120" spans="1:14" s="4" customFormat="1" x14ac:dyDescent="0.35">
      <c r="A120" s="141" t="s">
        <v>58</v>
      </c>
      <c r="B120" s="141"/>
      <c r="C120" s="141"/>
      <c r="D120" s="141"/>
      <c r="E120" s="141"/>
      <c r="F120" s="141"/>
      <c r="G120" s="141"/>
      <c r="H120" s="141"/>
    </row>
    <row r="121" spans="1:14" x14ac:dyDescent="0.35">
      <c r="A121" s="141" t="s">
        <v>59</v>
      </c>
      <c r="B121" s="141"/>
      <c r="C121" s="141"/>
      <c r="D121" s="141"/>
      <c r="E121" s="141"/>
      <c r="F121" s="141"/>
      <c r="G121" s="141"/>
      <c r="H121" s="141"/>
    </row>
    <row r="122" spans="1:14" ht="47.25" hidden="1" customHeight="1" x14ac:dyDescent="0.35">
      <c r="A122" s="89" t="s">
        <v>131</v>
      </c>
      <c r="B122" s="89" t="s">
        <v>130</v>
      </c>
      <c r="C122" s="89" t="s">
        <v>60</v>
      </c>
      <c r="D122" s="89" t="s">
        <v>61</v>
      </c>
      <c r="E122" s="90" t="s">
        <v>62</v>
      </c>
      <c r="F122" s="57" t="s">
        <v>164</v>
      </c>
      <c r="G122" s="89" t="s">
        <v>63</v>
      </c>
      <c r="H122" s="89"/>
    </row>
    <row r="123" spans="1:14" s="2" customFormat="1" hidden="1" x14ac:dyDescent="0.35">
      <c r="A123" s="89"/>
      <c r="B123" s="89"/>
      <c r="C123" s="89"/>
      <c r="D123" s="89"/>
      <c r="E123" s="90"/>
      <c r="F123" s="58">
        <v>0.6</v>
      </c>
      <c r="G123" s="89"/>
      <c r="H123" s="89"/>
    </row>
    <row r="124" spans="1:14" s="2" customFormat="1" hidden="1" x14ac:dyDescent="0.35">
      <c r="A124" s="123" t="s">
        <v>129</v>
      </c>
      <c r="B124" s="123"/>
      <c r="C124" s="123"/>
      <c r="D124" s="123"/>
      <c r="E124" s="123"/>
      <c r="F124" s="123"/>
      <c r="G124" s="123"/>
      <c r="H124" s="123"/>
      <c r="J124" s="27"/>
    </row>
    <row r="125" spans="1:14" s="2" customFormat="1" hidden="1" x14ac:dyDescent="0.35">
      <c r="A125" s="76">
        <v>1</v>
      </c>
      <c r="B125" s="76"/>
      <c r="C125" s="14"/>
      <c r="D125" s="14"/>
      <c r="E125" s="14">
        <v>0</v>
      </c>
      <c r="F125" s="14">
        <f>D125*(($F$123)+1)+(IF(E125&lt;101,E125,IF(E125&lt;201,E125/2,IF(E125&lt;=301,E125/3,E125/4))))</f>
        <v>0</v>
      </c>
      <c r="G125" s="76" t="str">
        <f>A124</f>
        <v>Ground Floor</v>
      </c>
      <c r="H125" s="76"/>
      <c r="I125" s="27"/>
      <c r="L125" s="152"/>
      <c r="M125" s="152"/>
      <c r="N125" s="27"/>
    </row>
    <row r="126" spans="1:14" s="2" customFormat="1" hidden="1" x14ac:dyDescent="0.35">
      <c r="A126" s="76">
        <f t="shared" ref="A126:A131" si="0">A125+1</f>
        <v>2</v>
      </c>
      <c r="B126" s="76"/>
      <c r="C126" s="14"/>
      <c r="D126" s="14"/>
      <c r="E126" s="14">
        <v>0</v>
      </c>
      <c r="F126" s="14">
        <f t="shared" ref="F126:F131" si="1">D126*(($F$123)+1)+(IF(E126&lt;101,E126,IF(E126&lt;201,E126/2,IF(E126&lt;=301,E126/3,E126/4))))</f>
        <v>0</v>
      </c>
      <c r="G126" s="76" t="str">
        <f t="shared" ref="G126:G131" si="2">G125</f>
        <v>Ground Floor</v>
      </c>
      <c r="H126" s="76"/>
      <c r="I126" s="27"/>
      <c r="L126" s="152"/>
      <c r="M126" s="152"/>
      <c r="N126" s="27"/>
    </row>
    <row r="127" spans="1:14" s="2" customFormat="1" hidden="1" x14ac:dyDescent="0.35">
      <c r="A127" s="76">
        <f t="shared" si="0"/>
        <v>3</v>
      </c>
      <c r="B127" s="76"/>
      <c r="C127" s="14"/>
      <c r="D127" s="14"/>
      <c r="E127" s="14">
        <v>0</v>
      </c>
      <c r="F127" s="14">
        <f t="shared" si="1"/>
        <v>0</v>
      </c>
      <c r="G127" s="76" t="str">
        <f t="shared" si="2"/>
        <v>Ground Floor</v>
      </c>
      <c r="H127" s="76"/>
      <c r="I127" s="27"/>
      <c r="L127" s="152"/>
      <c r="M127" s="152"/>
      <c r="N127" s="27"/>
    </row>
    <row r="128" spans="1:14" s="2" customFormat="1" hidden="1" x14ac:dyDescent="0.35">
      <c r="A128" s="76">
        <f t="shared" si="0"/>
        <v>4</v>
      </c>
      <c r="B128" s="76"/>
      <c r="C128" s="14"/>
      <c r="D128" s="14"/>
      <c r="E128" s="14">
        <v>0</v>
      </c>
      <c r="F128" s="14">
        <f t="shared" si="1"/>
        <v>0</v>
      </c>
      <c r="G128" s="76" t="str">
        <f t="shared" si="2"/>
        <v>Ground Floor</v>
      </c>
      <c r="H128" s="76"/>
      <c r="I128" s="27"/>
      <c r="L128" s="152"/>
      <c r="M128" s="152"/>
      <c r="N128" s="27"/>
    </row>
    <row r="129" spans="1:14" s="2" customFormat="1" hidden="1" x14ac:dyDescent="0.35">
      <c r="A129" s="76">
        <f t="shared" si="0"/>
        <v>5</v>
      </c>
      <c r="B129" s="76"/>
      <c r="C129" s="14"/>
      <c r="D129" s="14"/>
      <c r="E129" s="14">
        <v>0</v>
      </c>
      <c r="F129" s="14">
        <f t="shared" si="1"/>
        <v>0</v>
      </c>
      <c r="G129" s="76" t="str">
        <f t="shared" si="2"/>
        <v>Ground Floor</v>
      </c>
      <c r="H129" s="76"/>
      <c r="I129" s="27"/>
      <c r="L129" s="152"/>
      <c r="M129" s="152"/>
      <c r="N129" s="27"/>
    </row>
    <row r="130" spans="1:14" s="2" customFormat="1" hidden="1" x14ac:dyDescent="0.35">
      <c r="A130" s="76">
        <f t="shared" si="0"/>
        <v>6</v>
      </c>
      <c r="B130" s="76"/>
      <c r="C130" s="14"/>
      <c r="D130" s="14"/>
      <c r="E130" s="14">
        <v>0</v>
      </c>
      <c r="F130" s="14">
        <f t="shared" si="1"/>
        <v>0</v>
      </c>
      <c r="G130" s="76" t="str">
        <f t="shared" si="2"/>
        <v>Ground Floor</v>
      </c>
      <c r="H130" s="76"/>
      <c r="I130" s="27"/>
      <c r="L130" s="152"/>
      <c r="M130" s="152"/>
      <c r="N130" s="27"/>
    </row>
    <row r="131" spans="1:14" s="2" customFormat="1" hidden="1" x14ac:dyDescent="0.35">
      <c r="A131" s="76">
        <f t="shared" si="0"/>
        <v>7</v>
      </c>
      <c r="B131" s="76"/>
      <c r="C131" s="14"/>
      <c r="D131" s="14"/>
      <c r="E131" s="14">
        <v>0</v>
      </c>
      <c r="F131" s="14">
        <f t="shared" si="1"/>
        <v>0</v>
      </c>
      <c r="G131" s="76" t="str">
        <f t="shared" si="2"/>
        <v>Ground Floor</v>
      </c>
      <c r="H131" s="76"/>
      <c r="I131" s="27"/>
      <c r="L131" s="152"/>
      <c r="M131" s="152"/>
      <c r="N131" s="27"/>
    </row>
    <row r="132" spans="1:14" s="2" customFormat="1" hidden="1" x14ac:dyDescent="0.35">
      <c r="A132" s="76"/>
      <c r="B132" s="76"/>
      <c r="C132" s="76"/>
      <c r="D132" s="76"/>
      <c r="E132" s="76"/>
      <c r="F132" s="76"/>
      <c r="G132" s="76"/>
      <c r="H132" s="76"/>
      <c r="I132" s="27"/>
      <c r="N132" s="27"/>
    </row>
    <row r="133" spans="1:14" ht="47.25" customHeight="1" x14ac:dyDescent="0.35">
      <c r="A133" s="89" t="s">
        <v>132</v>
      </c>
      <c r="B133" s="89" t="s">
        <v>133</v>
      </c>
      <c r="C133" s="89" t="s">
        <v>60</v>
      </c>
      <c r="D133" s="89" t="s">
        <v>273</v>
      </c>
      <c r="E133" s="90" t="s">
        <v>62</v>
      </c>
      <c r="F133" s="57" t="s">
        <v>164</v>
      </c>
      <c r="G133" s="89" t="s">
        <v>63</v>
      </c>
      <c r="H133" s="89"/>
      <c r="I133" s="27"/>
    </row>
    <row r="134" spans="1:14" s="2" customFormat="1" x14ac:dyDescent="0.35">
      <c r="A134" s="89"/>
      <c r="B134" s="89"/>
      <c r="C134" s="89"/>
      <c r="D134" s="89"/>
      <c r="E134" s="90"/>
      <c r="F134" s="58">
        <v>0.6</v>
      </c>
      <c r="G134" s="89"/>
      <c r="H134" s="89"/>
      <c r="I134" s="27"/>
    </row>
    <row r="135" spans="1:14" s="2" customFormat="1" x14ac:dyDescent="0.35">
      <c r="A135" s="123" t="s">
        <v>235</v>
      </c>
      <c r="B135" s="123"/>
      <c r="C135" s="123"/>
      <c r="D135" s="123"/>
      <c r="E135" s="123"/>
      <c r="F135" s="123"/>
      <c r="G135" s="123"/>
      <c r="H135" s="123"/>
      <c r="J135" s="27"/>
    </row>
    <row r="136" spans="1:14" s="2" customFormat="1" x14ac:dyDescent="0.35">
      <c r="A136" s="123" t="s">
        <v>182</v>
      </c>
      <c r="B136" s="123"/>
      <c r="C136" s="123"/>
      <c r="D136" s="123"/>
      <c r="E136" s="123"/>
      <c r="F136" s="123"/>
      <c r="G136" s="123"/>
      <c r="H136" s="123"/>
      <c r="J136" s="27"/>
    </row>
    <row r="137" spans="1:14" s="2" customFormat="1" x14ac:dyDescent="0.35">
      <c r="A137" s="123" t="s">
        <v>216</v>
      </c>
      <c r="B137" s="123"/>
      <c r="C137" s="123"/>
      <c r="D137" s="123"/>
      <c r="E137" s="123"/>
      <c r="F137" s="123"/>
      <c r="G137" s="123"/>
      <c r="H137" s="123"/>
      <c r="J137" s="27"/>
    </row>
    <row r="138" spans="1:14" s="2" customFormat="1" x14ac:dyDescent="0.35">
      <c r="A138" s="123" t="s">
        <v>218</v>
      </c>
      <c r="B138" s="123"/>
      <c r="C138" s="123"/>
      <c r="D138" s="123"/>
      <c r="E138" s="123"/>
      <c r="F138" s="123"/>
      <c r="G138" s="123"/>
      <c r="H138" s="123"/>
      <c r="J138" s="27"/>
    </row>
    <row r="139" spans="1:14" s="2" customFormat="1" x14ac:dyDescent="0.35">
      <c r="A139" s="123" t="s">
        <v>183</v>
      </c>
      <c r="B139" s="123"/>
      <c r="C139" s="123"/>
      <c r="D139" s="123"/>
      <c r="E139" s="123"/>
      <c r="F139" s="123"/>
      <c r="G139" s="123"/>
      <c r="H139" s="123"/>
      <c r="I139" s="62">
        <v>1</v>
      </c>
      <c r="J139" s="27"/>
    </row>
    <row r="140" spans="1:14" s="2" customFormat="1" x14ac:dyDescent="0.35">
      <c r="A140" s="123" t="s">
        <v>184</v>
      </c>
      <c r="B140" s="123"/>
      <c r="C140" s="123"/>
      <c r="D140" s="123"/>
      <c r="E140" s="123"/>
      <c r="F140" s="123"/>
      <c r="G140" s="123"/>
      <c r="H140" s="123"/>
      <c r="I140" s="61">
        <v>5</v>
      </c>
      <c r="L140" s="152"/>
      <c r="M140" s="152"/>
    </row>
    <row r="141" spans="1:14" s="2" customFormat="1" ht="15.65" customHeight="1" x14ac:dyDescent="0.35">
      <c r="A141" s="76">
        <v>1</v>
      </c>
      <c r="B141" s="76"/>
      <c r="C141" s="63" t="s">
        <v>185</v>
      </c>
      <c r="D141" s="63">
        <f>(203.49+6.94*1.5)*10.764</f>
        <v>2302.4195999999997</v>
      </c>
      <c r="E141" s="63">
        <v>0</v>
      </c>
      <c r="F141" s="63">
        <f>D141*(($F$134)+1)+(IF(E141&lt;101,E141,IF(E141&lt;201,E141/2,IF(E141&lt;=301,E141/3,E141/4))))</f>
        <v>3683.8713599999996</v>
      </c>
      <c r="G141" s="76" t="str">
        <f>A140</f>
        <v>2nd to 5th &amp; 8th Floor</v>
      </c>
      <c r="H141" s="76"/>
      <c r="I141" s="27"/>
      <c r="N141" s="27"/>
    </row>
    <row r="142" spans="1:14" s="2" customFormat="1" ht="15.65" customHeight="1" x14ac:dyDescent="0.35">
      <c r="A142" s="76" t="s">
        <v>220</v>
      </c>
      <c r="B142" s="76"/>
      <c r="C142" s="76" t="s">
        <v>193</v>
      </c>
      <c r="D142" s="76"/>
      <c r="E142" s="76"/>
      <c r="F142" s="76"/>
      <c r="G142" s="76"/>
      <c r="H142" s="76"/>
      <c r="I142" s="27"/>
      <c r="N142" s="27"/>
    </row>
    <row r="143" spans="1:14" s="2" customFormat="1" x14ac:dyDescent="0.35">
      <c r="A143" s="123" t="s">
        <v>186</v>
      </c>
      <c r="B143" s="123"/>
      <c r="C143" s="123"/>
      <c r="D143" s="123"/>
      <c r="E143" s="123"/>
      <c r="F143" s="123"/>
      <c r="G143" s="123"/>
      <c r="H143" s="123"/>
      <c r="I143" s="61">
        <v>1</v>
      </c>
      <c r="L143" s="152"/>
      <c r="M143" s="152"/>
    </row>
    <row r="144" spans="1:14" s="2" customFormat="1" x14ac:dyDescent="0.35">
      <c r="A144" s="76">
        <v>1</v>
      </c>
      <c r="B144" s="76"/>
      <c r="C144" s="63" t="s">
        <v>185</v>
      </c>
      <c r="D144" s="63">
        <f>(203.49+6.94*1.5)*10.764</f>
        <v>2302.4195999999997</v>
      </c>
      <c r="E144" s="63">
        <v>0</v>
      </c>
      <c r="F144" s="63">
        <f t="shared" ref="F144" si="3">D144*(($F$134)+1)+(IF(E144&lt;101,E144,IF(E144&lt;201,E144/2,IF(E144&lt;=301,E144/3,E144/4))))</f>
        <v>3683.8713599999996</v>
      </c>
      <c r="G144" s="76" t="str">
        <f>A143</f>
        <v xml:space="preserve">6th Floor </v>
      </c>
      <c r="H144" s="76"/>
      <c r="I144" s="27"/>
      <c r="N144" s="27"/>
    </row>
    <row r="145" spans="1:14" s="2" customFormat="1" x14ac:dyDescent="0.35">
      <c r="A145" s="76" t="s">
        <v>220</v>
      </c>
      <c r="B145" s="76"/>
      <c r="C145" s="76" t="s">
        <v>193</v>
      </c>
      <c r="D145" s="76"/>
      <c r="E145" s="76"/>
      <c r="F145" s="76"/>
      <c r="G145" s="76"/>
      <c r="H145" s="76"/>
      <c r="I145" s="27"/>
      <c r="N145" s="27"/>
    </row>
    <row r="146" spans="1:14" s="2" customFormat="1" x14ac:dyDescent="0.35">
      <c r="A146" s="123" t="s">
        <v>222</v>
      </c>
      <c r="B146" s="123"/>
      <c r="C146" s="123"/>
      <c r="D146" s="123"/>
      <c r="E146" s="123"/>
      <c r="F146" s="123"/>
      <c r="G146" s="123"/>
      <c r="H146" s="123"/>
      <c r="I146" s="61">
        <v>1</v>
      </c>
      <c r="L146" s="152"/>
      <c r="M146" s="152"/>
    </row>
    <row r="147" spans="1:14" s="2" customFormat="1" ht="15.65" customHeight="1" x14ac:dyDescent="0.35">
      <c r="A147" s="76">
        <v>1</v>
      </c>
      <c r="B147" s="76"/>
      <c r="C147" s="14" t="s">
        <v>185</v>
      </c>
      <c r="D147" s="14">
        <f>(203.49+6.94*1.5)*10.764</f>
        <v>2302.4195999999997</v>
      </c>
      <c r="E147" s="14">
        <v>0</v>
      </c>
      <c r="F147" s="14">
        <f t="shared" ref="F147" si="4">D147*(($F$134)+1)+(IF(E147&lt;101,E147,IF(E147&lt;201,E147/2,IF(E147&lt;=301,E147/3,E147/4))))</f>
        <v>3683.8713599999996</v>
      </c>
      <c r="G147" s="64" t="str">
        <f>A146</f>
        <v>7th Floor (Refuge Area)</v>
      </c>
      <c r="H147" s="65"/>
      <c r="I147" s="27"/>
      <c r="N147" s="27"/>
    </row>
    <row r="148" spans="1:14" s="2" customFormat="1" ht="15.65" customHeight="1" x14ac:dyDescent="0.35">
      <c r="A148" s="76" t="s">
        <v>220</v>
      </c>
      <c r="B148" s="76"/>
      <c r="C148" s="77" t="s">
        <v>247</v>
      </c>
      <c r="D148" s="78"/>
      <c r="E148" s="78"/>
      <c r="F148" s="79"/>
      <c r="G148" s="68" t="str">
        <f>A146</f>
        <v>7th Floor (Refuge Area)</v>
      </c>
      <c r="H148" s="69"/>
      <c r="I148" s="27"/>
      <c r="N148" s="27"/>
    </row>
    <row r="149" spans="1:14" s="2" customFormat="1" x14ac:dyDescent="0.35">
      <c r="A149" s="123" t="s">
        <v>219</v>
      </c>
      <c r="B149" s="123"/>
      <c r="C149" s="123"/>
      <c r="D149" s="123"/>
      <c r="E149" s="123"/>
      <c r="F149" s="123"/>
      <c r="G149" s="123"/>
      <c r="H149" s="123"/>
      <c r="I149" s="61">
        <v>1</v>
      </c>
      <c r="L149" s="152"/>
      <c r="M149" s="152"/>
    </row>
    <row r="150" spans="1:14" s="2" customFormat="1" ht="15.65" customHeight="1" x14ac:dyDescent="0.35">
      <c r="A150" s="76">
        <v>1</v>
      </c>
      <c r="B150" s="76"/>
      <c r="C150" s="14" t="s">
        <v>185</v>
      </c>
      <c r="D150" s="14">
        <f>(203.49+6.94*1.5)*10.764</f>
        <v>2302.4195999999997</v>
      </c>
      <c r="E150" s="14">
        <v>0</v>
      </c>
      <c r="F150" s="14">
        <f t="shared" ref="F150" si="5">D150*(($F$134)+1)+(IF(E150&lt;101,E150,IF(E150&lt;201,E150/2,IF(E150&lt;=301,E150/3,E150/4))))</f>
        <v>3683.8713599999996</v>
      </c>
      <c r="G150" s="64" t="str">
        <f>A149</f>
        <v>9th Floor (Society Office)</v>
      </c>
      <c r="H150" s="65"/>
      <c r="I150" s="27"/>
      <c r="N150" s="27"/>
    </row>
    <row r="151" spans="1:14" s="2" customFormat="1" ht="15.65" customHeight="1" x14ac:dyDescent="0.35">
      <c r="A151" s="76" t="s">
        <v>220</v>
      </c>
      <c r="B151" s="76"/>
      <c r="C151" s="77" t="s">
        <v>221</v>
      </c>
      <c r="D151" s="78"/>
      <c r="E151" s="78"/>
      <c r="F151" s="79"/>
      <c r="G151" s="68" t="str">
        <f>A149</f>
        <v>9th Floor (Society Office)</v>
      </c>
      <c r="H151" s="69"/>
      <c r="I151" s="27"/>
      <c r="N151" s="27"/>
    </row>
    <row r="152" spans="1:14" s="2" customFormat="1" x14ac:dyDescent="0.35">
      <c r="A152" s="123" t="s">
        <v>188</v>
      </c>
      <c r="B152" s="123"/>
      <c r="C152" s="123"/>
      <c r="D152" s="123"/>
      <c r="E152" s="123"/>
      <c r="F152" s="123"/>
      <c r="G152" s="123"/>
      <c r="H152" s="123"/>
      <c r="I152" s="27"/>
      <c r="L152" s="152"/>
      <c r="M152" s="152"/>
    </row>
    <row r="153" spans="1:14" s="2" customFormat="1" x14ac:dyDescent="0.35">
      <c r="A153" s="123" t="s">
        <v>224</v>
      </c>
      <c r="B153" s="123"/>
      <c r="C153" s="123"/>
      <c r="D153" s="123"/>
      <c r="E153" s="123"/>
      <c r="F153" s="123"/>
      <c r="G153" s="123"/>
      <c r="H153" s="123"/>
      <c r="I153" s="61">
        <v>1</v>
      </c>
      <c r="L153" s="152"/>
      <c r="M153" s="152"/>
    </row>
    <row r="154" spans="1:14" s="2" customFormat="1" ht="15.65" customHeight="1" x14ac:dyDescent="0.35">
      <c r="A154" s="76">
        <v>1</v>
      </c>
      <c r="B154" s="76"/>
      <c r="C154" s="14" t="s">
        <v>185</v>
      </c>
      <c r="D154" s="14">
        <f>(203.49+6.94*1.5)*10.764</f>
        <v>2302.4195999999997</v>
      </c>
      <c r="E154" s="14">
        <v>0</v>
      </c>
      <c r="F154" s="14">
        <f t="shared" ref="F154:F155" si="6">D154*(($F$134)+1)+(IF(E154&lt;101,E154,IF(E154&lt;201,E154/2,IF(E154&lt;=301,E154/3,E154/4))))</f>
        <v>3683.8713599999996</v>
      </c>
      <c r="G154" s="64" t="str">
        <f>A153</f>
        <v xml:space="preserve">10th Floor </v>
      </c>
      <c r="H154" s="65"/>
      <c r="I154" s="27"/>
      <c r="N154" s="27"/>
    </row>
    <row r="155" spans="1:14" s="2" customFormat="1" ht="15.65" customHeight="1" x14ac:dyDescent="0.35">
      <c r="A155" s="76">
        <f>A154+1</f>
        <v>2</v>
      </c>
      <c r="B155" s="76"/>
      <c r="C155" s="14" t="s">
        <v>189</v>
      </c>
      <c r="D155" s="14">
        <f>(150.07+7.21*1.5)*10.764</f>
        <v>1731.7661399999997</v>
      </c>
      <c r="E155" s="14">
        <v>0</v>
      </c>
      <c r="F155" s="14">
        <f t="shared" si="6"/>
        <v>2770.8258239999996</v>
      </c>
      <c r="G155" s="68" t="str">
        <f>G154</f>
        <v xml:space="preserve">10th Floor </v>
      </c>
      <c r="H155" s="69"/>
      <c r="I155" s="27"/>
      <c r="N155" s="27"/>
    </row>
    <row r="156" spans="1:14" s="2" customFormat="1" x14ac:dyDescent="0.35">
      <c r="A156" s="123" t="s">
        <v>190</v>
      </c>
      <c r="B156" s="123"/>
      <c r="C156" s="123"/>
      <c r="D156" s="123"/>
      <c r="E156" s="123"/>
      <c r="F156" s="123"/>
      <c r="G156" s="123"/>
      <c r="H156" s="123"/>
      <c r="I156" s="27">
        <v>2</v>
      </c>
      <c r="L156" s="152"/>
      <c r="M156" s="152"/>
    </row>
    <row r="157" spans="1:14" s="2" customFormat="1" ht="15.65" customHeight="1" x14ac:dyDescent="0.35">
      <c r="A157" s="76">
        <v>1</v>
      </c>
      <c r="B157" s="76"/>
      <c r="C157" s="14" t="s">
        <v>185</v>
      </c>
      <c r="D157" s="14">
        <f>(203.49+6.94*1.5)*10.764</f>
        <v>2302.4195999999997</v>
      </c>
      <c r="E157" s="14">
        <v>0</v>
      </c>
      <c r="F157" s="14">
        <f t="shared" ref="F157:F158" si="7">D157*(($F$134)+1)+(IF(E157&lt;101,E157,IF(E157&lt;201,E157/2,IF(E157&lt;=301,E157/3,E157/4))))</f>
        <v>3683.8713599999996</v>
      </c>
      <c r="G157" s="64" t="str">
        <f>A156</f>
        <v xml:space="preserve">11th &amp;  18th Floor </v>
      </c>
      <c r="H157" s="65"/>
      <c r="I157" s="27"/>
      <c r="N157" s="27"/>
    </row>
    <row r="158" spans="1:14" s="2" customFormat="1" ht="15.65" customHeight="1" x14ac:dyDescent="0.35">
      <c r="A158" s="76">
        <f>A157+1</f>
        <v>2</v>
      </c>
      <c r="B158" s="76"/>
      <c r="C158" s="14" t="s">
        <v>189</v>
      </c>
      <c r="D158" s="14">
        <f>(150.07+7.21*1.5)*10.764</f>
        <v>1731.7661399999997</v>
      </c>
      <c r="E158" s="14">
        <v>0</v>
      </c>
      <c r="F158" s="14">
        <f t="shared" si="7"/>
        <v>2770.8258239999996</v>
      </c>
      <c r="G158" s="68" t="str">
        <f>G157</f>
        <v xml:space="preserve">11th &amp;  18th Floor </v>
      </c>
      <c r="H158" s="69"/>
      <c r="I158" s="27"/>
      <c r="N158" s="27"/>
    </row>
    <row r="159" spans="1:14" s="2" customFormat="1" x14ac:dyDescent="0.35">
      <c r="A159" s="123" t="s">
        <v>223</v>
      </c>
      <c r="B159" s="123"/>
      <c r="C159" s="123"/>
      <c r="D159" s="123"/>
      <c r="E159" s="123"/>
      <c r="F159" s="123"/>
      <c r="G159" s="123"/>
      <c r="H159" s="123"/>
      <c r="I159" s="27">
        <v>2</v>
      </c>
      <c r="L159" s="152"/>
      <c r="M159" s="152"/>
    </row>
    <row r="160" spans="1:14" s="2" customFormat="1" ht="15.65" customHeight="1" x14ac:dyDescent="0.35">
      <c r="A160" s="76">
        <v>1</v>
      </c>
      <c r="B160" s="76"/>
      <c r="C160" s="14" t="s">
        <v>185</v>
      </c>
      <c r="D160" s="14">
        <f>(203.49+6.94*1.5)*10.764</f>
        <v>2302.4195999999997</v>
      </c>
      <c r="E160" s="14">
        <v>0</v>
      </c>
      <c r="F160" s="14">
        <f t="shared" ref="F160:F161" si="8">D160*(($F$134)+1)+(IF(E160&lt;101,E160,IF(E160&lt;201,E160/2,IF(E160&lt;=301,E160/3,E160/4))))</f>
        <v>3683.8713599999996</v>
      </c>
      <c r="G160" s="64" t="str">
        <f>A159</f>
        <v xml:space="preserve">12th &amp; 19th Floor </v>
      </c>
      <c r="H160" s="65"/>
      <c r="I160" s="27"/>
      <c r="L160" s="2">
        <v>110900000</v>
      </c>
      <c r="M160" s="2">
        <f>L160/F160</f>
        <v>30104.199946873283</v>
      </c>
      <c r="N160" s="27"/>
    </row>
    <row r="161" spans="1:14" s="2" customFormat="1" ht="15.65" customHeight="1" x14ac:dyDescent="0.35">
      <c r="A161" s="76">
        <f>A160+1</f>
        <v>2</v>
      </c>
      <c r="B161" s="76"/>
      <c r="C161" s="14" t="s">
        <v>189</v>
      </c>
      <c r="D161" s="14">
        <f>(150.07+7.21*1.5)*10.764</f>
        <v>1731.7661399999997</v>
      </c>
      <c r="E161" s="14">
        <v>0</v>
      </c>
      <c r="F161" s="14">
        <f t="shared" si="8"/>
        <v>2770.8258239999996</v>
      </c>
      <c r="G161" s="68" t="str">
        <f>G160</f>
        <v xml:space="preserve">12th &amp; 19th Floor </v>
      </c>
      <c r="H161" s="69"/>
      <c r="I161" s="27"/>
      <c r="L161" s="2">
        <v>101100000</v>
      </c>
      <c r="M161" s="2">
        <f>L161/F161</f>
        <v>36487.316930679801</v>
      </c>
      <c r="N161" s="27"/>
    </row>
    <row r="162" spans="1:14" s="2" customFormat="1" x14ac:dyDescent="0.35">
      <c r="A162" s="123" t="s">
        <v>226</v>
      </c>
      <c r="B162" s="123"/>
      <c r="C162" s="123"/>
      <c r="D162" s="123"/>
      <c r="E162" s="123"/>
      <c r="F162" s="123"/>
      <c r="G162" s="123"/>
      <c r="H162" s="123"/>
      <c r="I162" s="27">
        <v>1</v>
      </c>
      <c r="L162" s="152"/>
      <c r="M162" s="152"/>
    </row>
    <row r="163" spans="1:14" s="2" customFormat="1" ht="15.65" customHeight="1" x14ac:dyDescent="0.35">
      <c r="A163" s="76">
        <v>1</v>
      </c>
      <c r="B163" s="76"/>
      <c r="C163" s="14" t="s">
        <v>185</v>
      </c>
      <c r="D163" s="14">
        <f>(203.49+6.94*1.5)*10.764</f>
        <v>2302.4195999999997</v>
      </c>
      <c r="E163" s="14">
        <v>0</v>
      </c>
      <c r="F163" s="14">
        <f t="shared" ref="F163:F164" si="9">D163*(($F$134)+1)+(IF(E163&lt;101,E163,IF(E163&lt;201,E163/2,IF(E163&lt;=301,E163/3,E163/4))))</f>
        <v>3683.8713599999996</v>
      </c>
      <c r="G163" s="64" t="str">
        <f>A162</f>
        <v>15th Floor</v>
      </c>
      <c r="H163" s="65"/>
      <c r="I163" s="27"/>
      <c r="N163" s="27"/>
    </row>
    <row r="164" spans="1:14" s="2" customFormat="1" ht="15.65" customHeight="1" x14ac:dyDescent="0.35">
      <c r="A164" s="76">
        <f>A163+1</f>
        <v>2</v>
      </c>
      <c r="B164" s="76"/>
      <c r="C164" s="14" t="s">
        <v>189</v>
      </c>
      <c r="D164" s="14">
        <f>(150.07+7.21*1.5)*10.764</f>
        <v>1731.7661399999997</v>
      </c>
      <c r="E164" s="14">
        <v>0</v>
      </c>
      <c r="F164" s="14">
        <f t="shared" si="9"/>
        <v>2770.8258239999996</v>
      </c>
      <c r="G164" s="68" t="str">
        <f>G163</f>
        <v>15th Floor</v>
      </c>
      <c r="H164" s="69"/>
      <c r="I164" s="27"/>
      <c r="N164" s="27"/>
    </row>
    <row r="165" spans="1:14" s="2" customFormat="1" x14ac:dyDescent="0.35">
      <c r="A165" s="123" t="s">
        <v>225</v>
      </c>
      <c r="B165" s="123"/>
      <c r="C165" s="123"/>
      <c r="D165" s="123"/>
      <c r="E165" s="123"/>
      <c r="F165" s="123"/>
      <c r="G165" s="123"/>
      <c r="H165" s="123"/>
      <c r="I165" s="27">
        <v>4</v>
      </c>
      <c r="L165" s="152"/>
      <c r="M165" s="152"/>
    </row>
    <row r="166" spans="1:14" s="2" customFormat="1" ht="15.65" customHeight="1" x14ac:dyDescent="0.35">
      <c r="A166" s="76">
        <v>1</v>
      </c>
      <c r="B166" s="76"/>
      <c r="C166" s="14" t="s">
        <v>185</v>
      </c>
      <c r="D166" s="14">
        <f>(203.49+6.94*1.5)*10.764</f>
        <v>2302.4195999999997</v>
      </c>
      <c r="E166" s="14">
        <v>0</v>
      </c>
      <c r="F166" s="14">
        <f t="shared" ref="F166:F167" si="10">D166*(($F$134)+1)+(IF(E166&lt;101,E166,IF(E166&lt;201,E166/2,IF(E166&lt;=301,E166/3,E166/4))))</f>
        <v>3683.8713599999996</v>
      </c>
      <c r="G166" s="64" t="str">
        <f>A165</f>
        <v xml:space="preserve">13th, 16th, 17th &amp; 20th Floor </v>
      </c>
      <c r="H166" s="65"/>
      <c r="I166" s="27"/>
      <c r="N166" s="27"/>
    </row>
    <row r="167" spans="1:14" s="2" customFormat="1" ht="15.65" customHeight="1" x14ac:dyDescent="0.35">
      <c r="A167" s="76">
        <f>A166+1</f>
        <v>2</v>
      </c>
      <c r="B167" s="76"/>
      <c r="C167" s="14" t="s">
        <v>189</v>
      </c>
      <c r="D167" s="14">
        <f>(150.07+7.21*1.5)*10.764</f>
        <v>1731.7661399999997</v>
      </c>
      <c r="E167" s="14">
        <v>0</v>
      </c>
      <c r="F167" s="14">
        <f t="shared" si="10"/>
        <v>2770.8258239999996</v>
      </c>
      <c r="G167" s="68" t="str">
        <f>G166</f>
        <v xml:space="preserve">13th, 16th, 17th &amp; 20th Floor </v>
      </c>
      <c r="H167" s="69"/>
      <c r="I167" s="27"/>
      <c r="N167" s="27"/>
    </row>
    <row r="168" spans="1:14" s="2" customFormat="1" x14ac:dyDescent="0.35">
      <c r="A168" s="123" t="s">
        <v>191</v>
      </c>
      <c r="B168" s="123"/>
      <c r="C168" s="123"/>
      <c r="D168" s="123"/>
      <c r="E168" s="123"/>
      <c r="F168" s="123"/>
      <c r="G168" s="123"/>
      <c r="H168" s="123"/>
      <c r="I168" s="27">
        <v>1</v>
      </c>
      <c r="L168" s="152"/>
      <c r="M168" s="152"/>
    </row>
    <row r="169" spans="1:14" s="2" customFormat="1" ht="15.65" customHeight="1" x14ac:dyDescent="0.35">
      <c r="A169" s="76">
        <v>1</v>
      </c>
      <c r="B169" s="76"/>
      <c r="C169" s="14" t="s">
        <v>185</v>
      </c>
      <c r="D169" s="14">
        <f>(203.49+6.94*1.5)*10.764</f>
        <v>2302.4195999999997</v>
      </c>
      <c r="E169" s="14">
        <v>0</v>
      </c>
      <c r="F169" s="14">
        <f t="shared" ref="F169:F170" si="11">D169*(($F$134)+1)+(IF(E169&lt;101,E169,IF(E169&lt;201,E169/2,IF(E169&lt;=301,E169/3,E169/4))))</f>
        <v>3683.8713599999996</v>
      </c>
      <c r="G169" s="64" t="str">
        <f>A168</f>
        <v>14th Floor (Part Refuge Area)</v>
      </c>
      <c r="H169" s="65"/>
      <c r="I169" s="27"/>
      <c r="N169" s="27"/>
    </row>
    <row r="170" spans="1:14" s="2" customFormat="1" ht="15.65" customHeight="1" x14ac:dyDescent="0.35">
      <c r="A170" s="76">
        <f>A169+1</f>
        <v>2</v>
      </c>
      <c r="B170" s="76"/>
      <c r="C170" s="14" t="s">
        <v>227</v>
      </c>
      <c r="D170" s="14">
        <f>50.9*10.764</f>
        <v>547.88759999999991</v>
      </c>
      <c r="E170" s="14">
        <v>0</v>
      </c>
      <c r="F170" s="14">
        <f t="shared" si="11"/>
        <v>876.62015999999994</v>
      </c>
      <c r="G170" s="66"/>
      <c r="H170" s="67"/>
      <c r="I170" s="27"/>
      <c r="N170" s="27"/>
    </row>
    <row r="171" spans="1:14" s="2" customFormat="1" x14ac:dyDescent="0.35">
      <c r="A171" s="76" t="s">
        <v>220</v>
      </c>
      <c r="B171" s="76"/>
      <c r="C171" s="77" t="s">
        <v>247</v>
      </c>
      <c r="D171" s="78"/>
      <c r="E171" s="78"/>
      <c r="F171" s="79"/>
      <c r="G171" s="68"/>
      <c r="H171" s="69"/>
      <c r="I171" s="27"/>
      <c r="N171" s="27"/>
    </row>
    <row r="172" spans="1:14" s="2" customFormat="1" x14ac:dyDescent="0.35">
      <c r="A172" s="123" t="s">
        <v>234</v>
      </c>
      <c r="B172" s="123"/>
      <c r="C172" s="123"/>
      <c r="D172" s="123"/>
      <c r="E172" s="123"/>
      <c r="F172" s="123"/>
      <c r="G172" s="123"/>
      <c r="H172" s="123"/>
      <c r="I172" s="27">
        <v>3</v>
      </c>
      <c r="L172" s="152"/>
      <c r="M172" s="152"/>
    </row>
    <row r="173" spans="1:14" s="2" customFormat="1" ht="15.65" customHeight="1" x14ac:dyDescent="0.35">
      <c r="A173" s="76">
        <v>1</v>
      </c>
      <c r="B173" s="76"/>
      <c r="C173" s="14" t="s">
        <v>185</v>
      </c>
      <c r="D173" s="14">
        <f>(203.88+6.94*1.5)*10.764</f>
        <v>2306.6175599999997</v>
      </c>
      <c r="E173" s="14">
        <v>0</v>
      </c>
      <c r="F173" s="14">
        <f t="shared" ref="F173:F174" si="12">D173*(($F$134)+1)+(IF(E173&lt;101,E173,IF(E173&lt;201,E173/2,IF(E173&lt;=301,E173/3,E173/4))))</f>
        <v>3690.5880959999995</v>
      </c>
      <c r="G173" s="64" t="str">
        <f>A172</f>
        <v>21st, 28th &amp; 35th Floor (Part Refuge Area)</v>
      </c>
      <c r="H173" s="65"/>
      <c r="I173" s="27"/>
      <c r="N173" s="27"/>
    </row>
    <row r="174" spans="1:14" s="2" customFormat="1" ht="15.65" customHeight="1" x14ac:dyDescent="0.35">
      <c r="A174" s="76">
        <f>A173+1</f>
        <v>2</v>
      </c>
      <c r="B174" s="76"/>
      <c r="C174" s="14" t="s">
        <v>227</v>
      </c>
      <c r="D174" s="14">
        <f>51.67*10.764</f>
        <v>556.17588000000001</v>
      </c>
      <c r="E174" s="14">
        <v>0</v>
      </c>
      <c r="F174" s="14">
        <f t="shared" si="12"/>
        <v>889.88140800000008</v>
      </c>
      <c r="G174" s="66"/>
      <c r="H174" s="67"/>
      <c r="I174" s="27"/>
      <c r="N174" s="27"/>
    </row>
    <row r="175" spans="1:14" s="2" customFormat="1" x14ac:dyDescent="0.35">
      <c r="A175" s="76" t="s">
        <v>220</v>
      </c>
      <c r="B175" s="76"/>
      <c r="C175" s="77" t="s">
        <v>247</v>
      </c>
      <c r="D175" s="78"/>
      <c r="E175" s="78"/>
      <c r="F175" s="79"/>
      <c r="G175" s="68"/>
      <c r="H175" s="69"/>
      <c r="I175" s="27"/>
      <c r="N175" s="27"/>
    </row>
    <row r="176" spans="1:14" s="2" customFormat="1" x14ac:dyDescent="0.35">
      <c r="A176" s="123" t="s">
        <v>228</v>
      </c>
      <c r="B176" s="123"/>
      <c r="C176" s="123"/>
      <c r="D176" s="123"/>
      <c r="E176" s="123"/>
      <c r="F176" s="123"/>
      <c r="G176" s="123"/>
      <c r="H176" s="123"/>
      <c r="I176" s="27">
        <v>3</v>
      </c>
      <c r="L176" s="152"/>
      <c r="M176" s="152"/>
    </row>
    <row r="177" spans="1:14" s="2" customFormat="1" ht="15.65" customHeight="1" x14ac:dyDescent="0.35">
      <c r="A177" s="76">
        <v>1</v>
      </c>
      <c r="B177" s="76"/>
      <c r="C177" s="63" t="s">
        <v>185</v>
      </c>
      <c r="D177" s="63">
        <f>(203.88+6.94*1.5)*10.764</f>
        <v>2306.6175599999997</v>
      </c>
      <c r="E177" s="63">
        <v>0</v>
      </c>
      <c r="F177" s="63">
        <f>D177*(($F$134)+1)+(IF(E177&lt;101,E177,IF(E177&lt;201,E177/2,IF(E177&lt;=301,E177/3,E177/4))))</f>
        <v>3690.5880959999995</v>
      </c>
      <c r="G177" s="76" t="str">
        <f>A176</f>
        <v>22nd, 29th &amp; 43rd Floor</v>
      </c>
      <c r="H177" s="76"/>
      <c r="I177" s="27"/>
      <c r="N177" s="27"/>
    </row>
    <row r="178" spans="1:14" s="2" customFormat="1" ht="15.65" customHeight="1" x14ac:dyDescent="0.35">
      <c r="A178" s="76">
        <f>A177+1</f>
        <v>2</v>
      </c>
      <c r="B178" s="76"/>
      <c r="C178" s="63" t="s">
        <v>189</v>
      </c>
      <c r="D178" s="63">
        <f>(150.9+7.21*1.5)*10.764</f>
        <v>1740.7002599999998</v>
      </c>
      <c r="E178" s="63">
        <v>0</v>
      </c>
      <c r="F178" s="63">
        <f>D178*(($F$134)+1)+(IF(E178&lt;101,E178,IF(E178&lt;201,E178/2,IF(E178&lt;=301,E178/3,E178/4))))</f>
        <v>2785.1204159999998</v>
      </c>
      <c r="G178" s="76"/>
      <c r="H178" s="76"/>
      <c r="I178" s="27"/>
      <c r="N178" s="27"/>
    </row>
    <row r="179" spans="1:14" s="2" customFormat="1" x14ac:dyDescent="0.35">
      <c r="A179" s="123" t="s">
        <v>229</v>
      </c>
      <c r="B179" s="123"/>
      <c r="C179" s="123"/>
      <c r="D179" s="123"/>
      <c r="E179" s="123"/>
      <c r="F179" s="123"/>
      <c r="G179" s="123"/>
      <c r="H179" s="123"/>
      <c r="I179" s="27">
        <v>12</v>
      </c>
      <c r="L179" s="152"/>
      <c r="M179" s="152"/>
    </row>
    <row r="180" spans="1:14" s="2" customFormat="1" ht="15.65" customHeight="1" x14ac:dyDescent="0.35">
      <c r="A180" s="76">
        <v>1</v>
      </c>
      <c r="B180" s="76"/>
      <c r="C180" s="63" t="s">
        <v>185</v>
      </c>
      <c r="D180" s="63">
        <f>(203.88+6.94*1.5)*10.764</f>
        <v>2306.6175599999997</v>
      </c>
      <c r="E180" s="63">
        <v>0</v>
      </c>
      <c r="F180" s="63">
        <f t="shared" ref="F180:F181" si="13">D180*(($F$134)+1)+(IF(E180&lt;101,E180,IF(E180&lt;201,E180/2,IF(E180&lt;=301,E180/3,E180/4))))</f>
        <v>3690.5880959999995</v>
      </c>
      <c r="G180" s="76" t="str">
        <f>A179</f>
        <v xml:space="preserve">23rd, 24th, 27th, 30th, 31st, 34th, 36th, 37th, 38th, 41st, 44th &amp; 45th Floor </v>
      </c>
      <c r="H180" s="76"/>
      <c r="I180" s="27"/>
      <c r="N180" s="27"/>
    </row>
    <row r="181" spans="1:14" s="2" customFormat="1" ht="15.65" customHeight="1" x14ac:dyDescent="0.35">
      <c r="A181" s="76">
        <f>A180+1</f>
        <v>2</v>
      </c>
      <c r="B181" s="76"/>
      <c r="C181" s="63" t="s">
        <v>189</v>
      </c>
      <c r="D181" s="63">
        <f>(150.9+7.21*1.5)*10.764</f>
        <v>1740.7002599999998</v>
      </c>
      <c r="E181" s="63">
        <v>0</v>
      </c>
      <c r="F181" s="63">
        <f t="shared" si="13"/>
        <v>2785.1204159999998</v>
      </c>
      <c r="G181" s="76"/>
      <c r="H181" s="76"/>
      <c r="I181" s="27"/>
      <c r="N181" s="27"/>
    </row>
    <row r="182" spans="1:14" s="2" customFormat="1" x14ac:dyDescent="0.35">
      <c r="A182" s="123" t="s">
        <v>231</v>
      </c>
      <c r="B182" s="123"/>
      <c r="C182" s="123"/>
      <c r="D182" s="123"/>
      <c r="E182" s="123"/>
      <c r="F182" s="123"/>
      <c r="G182" s="123"/>
      <c r="H182" s="123"/>
      <c r="I182" s="27"/>
      <c r="L182" s="152"/>
      <c r="M182" s="152"/>
    </row>
    <row r="183" spans="1:14" s="2" customFormat="1" x14ac:dyDescent="0.35">
      <c r="A183" s="123" t="s">
        <v>230</v>
      </c>
      <c r="B183" s="123"/>
      <c r="C183" s="123"/>
      <c r="D183" s="123"/>
      <c r="E183" s="123"/>
      <c r="F183" s="123"/>
      <c r="G183" s="123"/>
      <c r="H183" s="123"/>
      <c r="I183" s="27">
        <v>3</v>
      </c>
      <c r="L183" s="152"/>
      <c r="M183" s="152"/>
    </row>
    <row r="184" spans="1:14" s="2" customFormat="1" ht="15.65" customHeight="1" x14ac:dyDescent="0.35">
      <c r="A184" s="76">
        <v>1</v>
      </c>
      <c r="B184" s="76"/>
      <c r="C184" s="63" t="s">
        <v>185</v>
      </c>
      <c r="D184" s="63">
        <f>(203.88+6.94*1.5)*10.764</f>
        <v>2306.6175599999997</v>
      </c>
      <c r="E184" s="63">
        <v>0</v>
      </c>
      <c r="F184" s="63">
        <f t="shared" ref="F184:F185" si="14">D184*(($F$134)+1)+(IF(E184&lt;101,E184,IF(E184&lt;201,E184/2,IF(E184&lt;=301,E184/3,E184/4))))</f>
        <v>3690.5880959999995</v>
      </c>
      <c r="G184" s="76" t="str">
        <f>A183</f>
        <v>26th, 33rd &amp; 40th Floor</v>
      </c>
      <c r="H184" s="76"/>
      <c r="I184" s="27"/>
      <c r="N184" s="27"/>
    </row>
    <row r="185" spans="1:14" s="2" customFormat="1" ht="15.65" customHeight="1" x14ac:dyDescent="0.35">
      <c r="A185" s="76">
        <f>A184+1</f>
        <v>2</v>
      </c>
      <c r="B185" s="76"/>
      <c r="C185" s="63" t="s">
        <v>189</v>
      </c>
      <c r="D185" s="63">
        <f>(150.9+7.21*1.5)*10.764</f>
        <v>1740.7002599999998</v>
      </c>
      <c r="E185" s="63">
        <v>0</v>
      </c>
      <c r="F185" s="63">
        <f t="shared" si="14"/>
        <v>2785.1204159999998</v>
      </c>
      <c r="G185" s="76"/>
      <c r="H185" s="76"/>
      <c r="I185" s="27"/>
      <c r="N185" s="27"/>
    </row>
    <row r="186" spans="1:14" s="2" customFormat="1" x14ac:dyDescent="0.35">
      <c r="A186" s="123" t="s">
        <v>232</v>
      </c>
      <c r="B186" s="123"/>
      <c r="C186" s="123"/>
      <c r="D186" s="123"/>
      <c r="E186" s="123"/>
      <c r="F186" s="123"/>
      <c r="G186" s="123"/>
      <c r="H186" s="123"/>
      <c r="I186" s="27">
        <v>3</v>
      </c>
      <c r="L186" s="152"/>
      <c r="M186" s="152"/>
    </row>
    <row r="187" spans="1:14" s="2" customFormat="1" ht="15.65" customHeight="1" x14ac:dyDescent="0.35">
      <c r="A187" s="76">
        <v>1</v>
      </c>
      <c r="B187" s="76"/>
      <c r="C187" s="14" t="s">
        <v>185</v>
      </c>
      <c r="D187" s="14">
        <f>(203.88+6.94*1.5)*10.764</f>
        <v>2306.6175599999997</v>
      </c>
      <c r="E187" s="14">
        <v>0</v>
      </c>
      <c r="F187" s="14">
        <f t="shared" ref="F187:F188" si="15">D187*(($F$134)+1)+(IF(E187&lt;101,E187,IF(E187&lt;201,E187/2,IF(E187&lt;=301,E187/3,E187/4))))</f>
        <v>3690.5880959999995</v>
      </c>
      <c r="G187" s="64" t="str">
        <f>A186</f>
        <v xml:space="preserve">25th, 32nd &amp; 39th Floor </v>
      </c>
      <c r="H187" s="65"/>
      <c r="I187" s="27"/>
      <c r="N187" s="27"/>
    </row>
    <row r="188" spans="1:14" s="2" customFormat="1" ht="15.65" customHeight="1" x14ac:dyDescent="0.35">
      <c r="A188" s="76">
        <f>A187+1</f>
        <v>2</v>
      </c>
      <c r="B188" s="76"/>
      <c r="C188" s="14" t="s">
        <v>189</v>
      </c>
      <c r="D188" s="14">
        <f>(150.9+7.21*1.5)*10.764</f>
        <v>1740.7002599999998</v>
      </c>
      <c r="E188" s="14">
        <v>0</v>
      </c>
      <c r="F188" s="14">
        <f t="shared" si="15"/>
        <v>2785.1204159999998</v>
      </c>
      <c r="G188" s="68"/>
      <c r="H188" s="69"/>
      <c r="I188" s="27"/>
      <c r="N188" s="27"/>
    </row>
    <row r="189" spans="1:14" s="2" customFormat="1" x14ac:dyDescent="0.35">
      <c r="A189" s="123" t="s">
        <v>233</v>
      </c>
      <c r="B189" s="123"/>
      <c r="C189" s="123"/>
      <c r="D189" s="123"/>
      <c r="E189" s="123"/>
      <c r="F189" s="123"/>
      <c r="G189" s="123"/>
      <c r="H189" s="123"/>
      <c r="I189" s="27">
        <v>1</v>
      </c>
      <c r="L189" s="152"/>
      <c r="M189" s="152"/>
    </row>
    <row r="190" spans="1:14" s="2" customFormat="1" ht="15.65" customHeight="1" x14ac:dyDescent="0.35">
      <c r="A190" s="76">
        <v>1</v>
      </c>
      <c r="B190" s="76"/>
      <c r="C190" s="14" t="s">
        <v>185</v>
      </c>
      <c r="D190" s="14">
        <f>(203.88+6.94*1.5)*10.764</f>
        <v>2306.6175599999997</v>
      </c>
      <c r="E190" s="14">
        <v>0</v>
      </c>
      <c r="F190" s="14">
        <f t="shared" ref="F190:F191" si="16">D190*(($F$134)+1)+(IF(E190&lt;101,E190,IF(E190&lt;201,E190/2,IF(E190&lt;=301,E190/3,E190/4))))</f>
        <v>3690.5880959999995</v>
      </c>
      <c r="G190" s="64" t="str">
        <f>A189</f>
        <v>42nd Floor (Part Refuge Area)</v>
      </c>
      <c r="H190" s="65"/>
      <c r="I190" s="27"/>
      <c r="N190" s="27"/>
    </row>
    <row r="191" spans="1:14" s="2" customFormat="1" ht="31.25" customHeight="1" x14ac:dyDescent="0.35">
      <c r="A191" s="76">
        <f>A190+1</f>
        <v>2</v>
      </c>
      <c r="B191" s="76"/>
      <c r="C191" s="14" t="s">
        <v>263</v>
      </c>
      <c r="D191" s="14">
        <f>(89.6+7.21*1.5)*10.764</f>
        <v>1080.8670599999998</v>
      </c>
      <c r="E191" s="14">
        <v>0</v>
      </c>
      <c r="F191" s="14">
        <f t="shared" si="16"/>
        <v>1729.3872959999999</v>
      </c>
      <c r="G191" s="66"/>
      <c r="H191" s="67"/>
      <c r="I191" s="27"/>
      <c r="N191" s="27"/>
    </row>
    <row r="192" spans="1:14" s="2" customFormat="1" x14ac:dyDescent="0.35">
      <c r="A192" s="76" t="s">
        <v>220</v>
      </c>
      <c r="B192" s="76"/>
      <c r="C192" s="77" t="s">
        <v>247</v>
      </c>
      <c r="D192" s="78"/>
      <c r="E192" s="78"/>
      <c r="F192" s="79"/>
      <c r="G192" s="68"/>
      <c r="H192" s="69"/>
      <c r="I192" s="27"/>
      <c r="N192" s="27"/>
    </row>
    <row r="193" spans="1:14" s="2" customFormat="1" x14ac:dyDescent="0.35">
      <c r="A193" s="153" t="s">
        <v>236</v>
      </c>
      <c r="B193" s="154"/>
      <c r="C193" s="154"/>
      <c r="D193" s="154"/>
      <c r="E193" s="154"/>
      <c r="F193" s="154"/>
      <c r="G193" s="154"/>
      <c r="H193" s="155"/>
      <c r="J193" s="27"/>
    </row>
    <row r="194" spans="1:14" s="2" customFormat="1" x14ac:dyDescent="0.35">
      <c r="A194" s="153" t="s">
        <v>237</v>
      </c>
      <c r="B194" s="154"/>
      <c r="C194" s="154"/>
      <c r="D194" s="154"/>
      <c r="E194" s="154"/>
      <c r="F194" s="154"/>
      <c r="G194" s="154"/>
      <c r="H194" s="155"/>
      <c r="J194" s="27"/>
    </row>
    <row r="195" spans="1:14" s="2" customFormat="1" x14ac:dyDescent="0.35">
      <c r="A195" s="153" t="s">
        <v>217</v>
      </c>
      <c r="B195" s="154"/>
      <c r="C195" s="154"/>
      <c r="D195" s="154"/>
      <c r="E195" s="154"/>
      <c r="F195" s="154"/>
      <c r="G195" s="154"/>
      <c r="H195" s="155"/>
      <c r="J195" s="27"/>
    </row>
    <row r="196" spans="1:14" s="2" customFormat="1" x14ac:dyDescent="0.35">
      <c r="A196" s="153" t="s">
        <v>183</v>
      </c>
      <c r="B196" s="154"/>
      <c r="C196" s="154"/>
      <c r="D196" s="154"/>
      <c r="E196" s="154"/>
      <c r="F196" s="154"/>
      <c r="G196" s="154"/>
      <c r="H196" s="155"/>
      <c r="I196" s="2">
        <v>1</v>
      </c>
      <c r="J196" s="27"/>
    </row>
    <row r="197" spans="1:14" s="2" customFormat="1" x14ac:dyDescent="0.35">
      <c r="A197" s="123" t="s">
        <v>184</v>
      </c>
      <c r="B197" s="123"/>
      <c r="C197" s="123"/>
      <c r="D197" s="123"/>
      <c r="E197" s="123"/>
      <c r="F197" s="123"/>
      <c r="G197" s="123"/>
      <c r="H197" s="123"/>
      <c r="I197" s="27">
        <v>5</v>
      </c>
      <c r="L197" s="152"/>
      <c r="M197" s="152"/>
    </row>
    <row r="198" spans="1:14" s="2" customFormat="1" ht="15.65" customHeight="1" x14ac:dyDescent="0.35">
      <c r="A198" s="76">
        <v>1</v>
      </c>
      <c r="B198" s="76"/>
      <c r="C198" s="64" t="s">
        <v>193</v>
      </c>
      <c r="D198" s="161"/>
      <c r="E198" s="161"/>
      <c r="F198" s="65"/>
      <c r="G198" s="64" t="str">
        <f>A197</f>
        <v>2nd to 5th &amp; 8th Floor</v>
      </c>
      <c r="H198" s="65"/>
      <c r="I198" s="27"/>
      <c r="N198" s="27"/>
    </row>
    <row r="199" spans="1:14" s="2" customFormat="1" ht="15.65" customHeight="1" x14ac:dyDescent="0.35">
      <c r="A199" s="76">
        <f>A198+1</f>
        <v>2</v>
      </c>
      <c r="B199" s="76"/>
      <c r="C199" s="68"/>
      <c r="D199" s="162"/>
      <c r="E199" s="162"/>
      <c r="F199" s="69"/>
      <c r="G199" s="66"/>
      <c r="H199" s="67"/>
      <c r="I199" s="27"/>
      <c r="N199" s="27"/>
    </row>
    <row r="200" spans="1:14" s="2" customFormat="1" ht="15.65" customHeight="1" x14ac:dyDescent="0.35">
      <c r="A200" s="76">
        <f>A199+1</f>
        <v>3</v>
      </c>
      <c r="B200" s="76"/>
      <c r="C200" s="14" t="s">
        <v>189</v>
      </c>
      <c r="D200" s="14">
        <f>(111.12+3.75*1.23)*10.764</f>
        <v>1245.7446299999999</v>
      </c>
      <c r="E200" s="14">
        <v>0</v>
      </c>
      <c r="F200" s="14">
        <f>D200*(($F$134)+1)+(IF(E200&lt;101,E200,IF(E200&lt;201,E200/2,IF(E200&lt;=301,E200/3,E200/4))))</f>
        <v>1993.1914079999999</v>
      </c>
      <c r="G200" s="66"/>
      <c r="H200" s="67"/>
      <c r="I200" s="27"/>
      <c r="N200" s="27"/>
    </row>
    <row r="201" spans="1:14" s="2" customFormat="1" ht="15.65" customHeight="1" x14ac:dyDescent="0.35">
      <c r="A201" s="76">
        <f>A200+1</f>
        <v>4</v>
      </c>
      <c r="B201" s="76"/>
      <c r="C201" s="14" t="s">
        <v>189</v>
      </c>
      <c r="D201" s="14">
        <f>(111.12+3.75*1.23)*10.764</f>
        <v>1245.7446299999999</v>
      </c>
      <c r="E201" s="14">
        <v>0</v>
      </c>
      <c r="F201" s="14">
        <f t="shared" ref="F201" si="17">D201*(($F$134)+1)+(IF(E201&lt;101,E201,IF(E201&lt;201,E201/2,IF(E201&lt;=301,E201/3,E201/4))))</f>
        <v>1993.1914079999999</v>
      </c>
      <c r="G201" s="68"/>
      <c r="H201" s="69"/>
      <c r="I201" s="27"/>
      <c r="N201" s="27"/>
    </row>
    <row r="202" spans="1:14" s="2" customFormat="1" x14ac:dyDescent="0.35">
      <c r="A202" s="123" t="s">
        <v>186</v>
      </c>
      <c r="B202" s="123"/>
      <c r="C202" s="123"/>
      <c r="D202" s="123"/>
      <c r="E202" s="123"/>
      <c r="F202" s="123"/>
      <c r="G202" s="123"/>
      <c r="H202" s="123"/>
      <c r="I202" s="27">
        <v>1</v>
      </c>
      <c r="L202" s="152"/>
      <c r="M202" s="152"/>
    </row>
    <row r="203" spans="1:14" s="2" customFormat="1" x14ac:dyDescent="0.35">
      <c r="A203" s="76">
        <v>1</v>
      </c>
      <c r="B203" s="76"/>
      <c r="C203" s="64" t="s">
        <v>193</v>
      </c>
      <c r="D203" s="161"/>
      <c r="E203" s="161"/>
      <c r="F203" s="65"/>
      <c r="G203" s="64" t="str">
        <f>A202</f>
        <v xml:space="preserve">6th Floor </v>
      </c>
      <c r="H203" s="65"/>
      <c r="I203" s="27"/>
      <c r="N203" s="27"/>
    </row>
    <row r="204" spans="1:14" s="2" customFormat="1" x14ac:dyDescent="0.35">
      <c r="A204" s="76">
        <f>A203+1</f>
        <v>2</v>
      </c>
      <c r="B204" s="76"/>
      <c r="C204" s="68"/>
      <c r="D204" s="162"/>
      <c r="E204" s="162"/>
      <c r="F204" s="69"/>
      <c r="G204" s="66"/>
      <c r="H204" s="67"/>
      <c r="I204" s="27"/>
      <c r="N204" s="27"/>
    </row>
    <row r="205" spans="1:14" s="2" customFormat="1" x14ac:dyDescent="0.35">
      <c r="A205" s="76">
        <f>A204+1</f>
        <v>3</v>
      </c>
      <c r="B205" s="76"/>
      <c r="C205" s="14" t="s">
        <v>189</v>
      </c>
      <c r="D205" s="14">
        <f>(111.12+3.75*1.23)*10.764</f>
        <v>1245.7446299999999</v>
      </c>
      <c r="E205" s="14">
        <v>0</v>
      </c>
      <c r="F205" s="14">
        <f>D205*(($F$134)+1)+(IF(E205&lt;101,E205,IF(E205&lt;201,E205/2,IF(E205&lt;=301,E205/3,E205/4))))</f>
        <v>1993.1914079999999</v>
      </c>
      <c r="G205" s="66"/>
      <c r="H205" s="67"/>
      <c r="I205" s="27"/>
      <c r="N205" s="27"/>
    </row>
    <row r="206" spans="1:14" s="2" customFormat="1" x14ac:dyDescent="0.35">
      <c r="A206" s="76">
        <f>A205+1</f>
        <v>4</v>
      </c>
      <c r="B206" s="76"/>
      <c r="C206" s="14" t="s">
        <v>189</v>
      </c>
      <c r="D206" s="14">
        <f>(111.12+3.75*1.23)*10.764</f>
        <v>1245.7446299999999</v>
      </c>
      <c r="E206" s="14">
        <v>0</v>
      </c>
      <c r="F206" s="14">
        <f t="shared" ref="F206" si="18">D206*(($F$134)+1)+(IF(E206&lt;101,E206,IF(E206&lt;201,E206/2,IF(E206&lt;=301,E206/3,E206/4))))</f>
        <v>1993.1914079999999</v>
      </c>
      <c r="G206" s="68"/>
      <c r="H206" s="69"/>
      <c r="I206" s="27"/>
      <c r="N206" s="27"/>
    </row>
    <row r="207" spans="1:14" s="2" customFormat="1" x14ac:dyDescent="0.35">
      <c r="A207" s="123" t="s">
        <v>238</v>
      </c>
      <c r="B207" s="123"/>
      <c r="C207" s="123"/>
      <c r="D207" s="123"/>
      <c r="E207" s="123"/>
      <c r="F207" s="123"/>
      <c r="G207" s="123"/>
      <c r="H207" s="123"/>
      <c r="I207" s="27">
        <v>1</v>
      </c>
      <c r="L207" s="152"/>
      <c r="M207" s="152"/>
    </row>
    <row r="208" spans="1:14" s="2" customFormat="1" ht="15.65" customHeight="1" x14ac:dyDescent="0.35">
      <c r="A208" s="76">
        <v>1</v>
      </c>
      <c r="B208" s="76"/>
      <c r="C208" s="64" t="s">
        <v>193</v>
      </c>
      <c r="D208" s="161"/>
      <c r="E208" s="161"/>
      <c r="F208" s="65"/>
      <c r="G208" s="64" t="str">
        <f>A207</f>
        <v>7th Floor (Part Refuge Area &amp; AV Room)</v>
      </c>
      <c r="H208" s="65"/>
      <c r="I208" s="27"/>
      <c r="N208" s="27"/>
    </row>
    <row r="209" spans="1:14" s="2" customFormat="1" ht="15.65" customHeight="1" x14ac:dyDescent="0.35">
      <c r="A209" s="76">
        <f>A208+1</f>
        <v>2</v>
      </c>
      <c r="B209" s="76"/>
      <c r="C209" s="68"/>
      <c r="D209" s="162"/>
      <c r="E209" s="162"/>
      <c r="F209" s="69"/>
      <c r="G209" s="66"/>
      <c r="H209" s="67"/>
      <c r="I209" s="27"/>
      <c r="N209" s="27"/>
    </row>
    <row r="210" spans="1:14" s="2" customFormat="1" ht="15.65" customHeight="1" x14ac:dyDescent="0.35">
      <c r="A210" s="76">
        <f>A209+1</f>
        <v>3</v>
      </c>
      <c r="B210" s="76"/>
      <c r="C210" s="14" t="s">
        <v>189</v>
      </c>
      <c r="D210" s="14">
        <f>(134.71+7.65*1.23)*10.764</f>
        <v>1551.3022980000001</v>
      </c>
      <c r="E210" s="14">
        <v>0</v>
      </c>
      <c r="F210" s="14">
        <f>D210*(($F$134)+1)+(IF(E210&lt;101,E210,IF(E210&lt;201,E210/2,IF(E210&lt;=301,E210/3,E210/4))))</f>
        <v>2482.0836768000004</v>
      </c>
      <c r="G210" s="68"/>
      <c r="H210" s="69"/>
      <c r="I210" s="27"/>
      <c r="N210" s="27"/>
    </row>
    <row r="211" spans="1:14" s="2" customFormat="1" x14ac:dyDescent="0.35">
      <c r="A211" s="123" t="s">
        <v>187</v>
      </c>
      <c r="B211" s="123"/>
      <c r="C211" s="123"/>
      <c r="D211" s="123"/>
      <c r="E211" s="123"/>
      <c r="F211" s="123"/>
      <c r="G211" s="123"/>
      <c r="H211" s="123"/>
      <c r="I211" s="61">
        <v>1</v>
      </c>
      <c r="L211" s="152"/>
      <c r="M211" s="152"/>
    </row>
    <row r="212" spans="1:14" s="2" customFormat="1" ht="15.65" customHeight="1" x14ac:dyDescent="0.35">
      <c r="A212" s="76">
        <v>1</v>
      </c>
      <c r="B212" s="76"/>
      <c r="C212" s="64" t="s">
        <v>193</v>
      </c>
      <c r="D212" s="161"/>
      <c r="E212" s="161"/>
      <c r="F212" s="65"/>
      <c r="G212" s="64" t="str">
        <f>A211</f>
        <v>9th Floor (Part Amenities Area)</v>
      </c>
      <c r="H212" s="65"/>
      <c r="I212" s="27"/>
      <c r="N212" s="27"/>
    </row>
    <row r="213" spans="1:14" s="2" customFormat="1" ht="15.65" customHeight="1" x14ac:dyDescent="0.35">
      <c r="A213" s="76">
        <f>A212+1</f>
        <v>2</v>
      </c>
      <c r="B213" s="76"/>
      <c r="C213" s="68"/>
      <c r="D213" s="162"/>
      <c r="E213" s="162"/>
      <c r="F213" s="69"/>
      <c r="G213" s="66"/>
      <c r="H213" s="67"/>
      <c r="I213" s="27"/>
      <c r="N213" s="27"/>
    </row>
    <row r="214" spans="1:14" s="2" customFormat="1" ht="15.65" customHeight="1" x14ac:dyDescent="0.35">
      <c r="A214" s="76">
        <f>A213+1</f>
        <v>3</v>
      </c>
      <c r="B214" s="76"/>
      <c r="C214" s="14" t="s">
        <v>189</v>
      </c>
      <c r="D214" s="14">
        <f>(111.12+3.75*1.23)*10.764</f>
        <v>1245.7446299999999</v>
      </c>
      <c r="E214" s="14">
        <v>0</v>
      </c>
      <c r="F214" s="14">
        <f>D214*(($F$134)+1)+(IF(E214&lt;101,E214,IF(E214&lt;201,E214/2,IF(E214&lt;=301,E214/3,E214/4))))</f>
        <v>1993.1914079999999</v>
      </c>
      <c r="G214" s="66"/>
      <c r="H214" s="67"/>
      <c r="I214" s="27"/>
      <c r="N214" s="27"/>
    </row>
    <row r="215" spans="1:14" s="2" customFormat="1" ht="15.65" customHeight="1" x14ac:dyDescent="0.35">
      <c r="A215" s="76">
        <f>A214+1</f>
        <v>4</v>
      </c>
      <c r="B215" s="76"/>
      <c r="C215" s="14" t="s">
        <v>189</v>
      </c>
      <c r="D215" s="14">
        <f>(111.12+3.75*1.23)*10.764</f>
        <v>1245.7446299999999</v>
      </c>
      <c r="E215" s="14">
        <v>0</v>
      </c>
      <c r="F215" s="14">
        <f t="shared" ref="F215" si="19">D215*(($F$134)+1)+(IF(E215&lt;101,E215,IF(E215&lt;201,E215/2,IF(E215&lt;=301,E215/3,E215/4))))</f>
        <v>1993.1914079999999</v>
      </c>
      <c r="G215" s="68"/>
      <c r="H215" s="69"/>
      <c r="I215" s="27"/>
      <c r="N215" s="27"/>
    </row>
    <row r="216" spans="1:14" s="2" customFormat="1" x14ac:dyDescent="0.35">
      <c r="A216" s="123" t="s">
        <v>188</v>
      </c>
      <c r="B216" s="123"/>
      <c r="C216" s="123"/>
      <c r="D216" s="123"/>
      <c r="E216" s="123"/>
      <c r="F216" s="123"/>
      <c r="G216" s="123"/>
      <c r="H216" s="123"/>
      <c r="I216" s="27"/>
      <c r="L216" s="152"/>
      <c r="M216" s="152"/>
    </row>
    <row r="217" spans="1:14" s="2" customFormat="1" x14ac:dyDescent="0.35">
      <c r="A217" s="123" t="s">
        <v>224</v>
      </c>
      <c r="B217" s="123"/>
      <c r="C217" s="123"/>
      <c r="D217" s="123"/>
      <c r="E217" s="123"/>
      <c r="F217" s="123"/>
      <c r="G217" s="123"/>
      <c r="H217" s="123"/>
      <c r="I217" s="61">
        <v>1</v>
      </c>
      <c r="L217" s="152"/>
      <c r="M217" s="152"/>
    </row>
    <row r="218" spans="1:14" s="2" customFormat="1" ht="15.65" customHeight="1" x14ac:dyDescent="0.35">
      <c r="A218" s="76">
        <v>1</v>
      </c>
      <c r="B218" s="76"/>
      <c r="C218" s="14" t="s">
        <v>194</v>
      </c>
      <c r="D218" s="14">
        <f>(78.08+3.45*1.15)*10.764</f>
        <v>883.15928999999994</v>
      </c>
      <c r="E218" s="14">
        <v>0</v>
      </c>
      <c r="F218" s="14">
        <f t="shared" ref="F218:F219" si="20">D218*(($F$134)+1)+(IF(E218&lt;101,E218,IF(E218&lt;201,E218/2,IF(E218&lt;=301,E218/3,E218/4))))</f>
        <v>1413.054864</v>
      </c>
      <c r="G218" s="64" t="str">
        <f>A217</f>
        <v xml:space="preserve">10th Floor </v>
      </c>
      <c r="H218" s="65"/>
      <c r="I218" s="27"/>
      <c r="N218" s="27"/>
    </row>
    <row r="219" spans="1:14" s="2" customFormat="1" ht="15.65" customHeight="1" x14ac:dyDescent="0.35">
      <c r="A219" s="76">
        <f>A218+1</f>
        <v>2</v>
      </c>
      <c r="B219" s="76"/>
      <c r="C219" s="14" t="s">
        <v>194</v>
      </c>
      <c r="D219" s="14">
        <f>(78.08+3.45*1.15)*10.764</f>
        <v>883.15928999999994</v>
      </c>
      <c r="E219" s="14">
        <v>0</v>
      </c>
      <c r="F219" s="14">
        <f t="shared" si="20"/>
        <v>1413.054864</v>
      </c>
      <c r="G219" s="66"/>
      <c r="H219" s="67"/>
      <c r="I219" s="27"/>
      <c r="N219" s="27"/>
    </row>
    <row r="220" spans="1:14" s="2" customFormat="1" ht="15.65" customHeight="1" x14ac:dyDescent="0.35">
      <c r="A220" s="76">
        <f>A219+1</f>
        <v>3</v>
      </c>
      <c r="B220" s="76"/>
      <c r="C220" s="14" t="s">
        <v>189</v>
      </c>
      <c r="D220" s="14">
        <f>(111.12+3.75*1.23)*10.764</f>
        <v>1245.7446299999999</v>
      </c>
      <c r="E220" s="14">
        <v>0</v>
      </c>
      <c r="F220" s="14">
        <f>D220*(($F$134)+1)+(IF(E220&lt;101,E220,IF(E220&lt;201,E220/2,IF(E220&lt;=301,E220/3,E220/4))))</f>
        <v>1993.1914079999999</v>
      </c>
      <c r="G220" s="66"/>
      <c r="H220" s="67"/>
      <c r="I220" s="27"/>
      <c r="N220" s="27"/>
    </row>
    <row r="221" spans="1:14" s="2" customFormat="1" ht="15.65" customHeight="1" x14ac:dyDescent="0.35">
      <c r="A221" s="76">
        <f>A220+1</f>
        <v>4</v>
      </c>
      <c r="B221" s="76"/>
      <c r="C221" s="14" t="s">
        <v>189</v>
      </c>
      <c r="D221" s="14">
        <f>(111.12+3.75*1.23)*10.764</f>
        <v>1245.7446299999999</v>
      </c>
      <c r="E221" s="14">
        <v>0</v>
      </c>
      <c r="F221" s="14">
        <f t="shared" ref="F221" si="21">D221*(($F$134)+1)+(IF(E221&lt;101,E221,IF(E221&lt;201,E221/2,IF(E221&lt;=301,E221/3,E221/4))))</f>
        <v>1993.1914079999999</v>
      </c>
      <c r="G221" s="68"/>
      <c r="H221" s="69"/>
      <c r="I221" s="27"/>
      <c r="N221" s="27"/>
    </row>
    <row r="222" spans="1:14" s="2" customFormat="1" x14ac:dyDescent="0.35">
      <c r="A222" s="123" t="s">
        <v>239</v>
      </c>
      <c r="B222" s="123"/>
      <c r="C222" s="123"/>
      <c r="D222" s="123"/>
      <c r="E222" s="123"/>
      <c r="F222" s="123"/>
      <c r="G222" s="123"/>
      <c r="H222" s="123"/>
      <c r="I222" s="61">
        <v>1</v>
      </c>
      <c r="L222" s="152"/>
      <c r="M222" s="152"/>
    </row>
    <row r="223" spans="1:14" s="2" customFormat="1" ht="15.65" customHeight="1" x14ac:dyDescent="0.35">
      <c r="A223" s="76">
        <v>1</v>
      </c>
      <c r="B223" s="76"/>
      <c r="C223" s="63" t="s">
        <v>194</v>
      </c>
      <c r="D223" s="63">
        <f>(78.08+3.45*1.15)*10.764</f>
        <v>883.15928999999994</v>
      </c>
      <c r="E223" s="63">
        <v>0</v>
      </c>
      <c r="F223" s="63">
        <f t="shared" ref="F223:F224" si="22">D223*(($F$134)+1)+(IF(E223&lt;101,E223,IF(E223&lt;201,E223/2,IF(E223&lt;=301,E223/3,E223/4))))</f>
        <v>1413.054864</v>
      </c>
      <c r="G223" s="76" t="str">
        <f>A222</f>
        <v xml:space="preserve">11th Floor </v>
      </c>
      <c r="H223" s="76"/>
      <c r="I223" s="27"/>
      <c r="N223" s="27"/>
    </row>
    <row r="224" spans="1:14" s="2" customFormat="1" ht="15.65" customHeight="1" x14ac:dyDescent="0.35">
      <c r="A224" s="76">
        <f>A223+1</f>
        <v>2</v>
      </c>
      <c r="B224" s="76"/>
      <c r="C224" s="63" t="s">
        <v>194</v>
      </c>
      <c r="D224" s="63">
        <f>(78.08+3.45*1.15)*10.764</f>
        <v>883.15928999999994</v>
      </c>
      <c r="E224" s="63">
        <v>0</v>
      </c>
      <c r="F224" s="63">
        <f t="shared" si="22"/>
        <v>1413.054864</v>
      </c>
      <c r="G224" s="76"/>
      <c r="H224" s="76"/>
      <c r="I224" s="27"/>
      <c r="N224" s="27"/>
    </row>
    <row r="225" spans="1:14" s="2" customFormat="1" ht="15.65" customHeight="1" x14ac:dyDescent="0.35">
      <c r="A225" s="76">
        <f>A224+1</f>
        <v>3</v>
      </c>
      <c r="B225" s="76"/>
      <c r="C225" s="63" t="s">
        <v>189</v>
      </c>
      <c r="D225" s="63">
        <f>(111.12+3.75*1.23)*10.764</f>
        <v>1245.7446299999999</v>
      </c>
      <c r="E225" s="63">
        <v>0</v>
      </c>
      <c r="F225" s="63">
        <f>D225*(($F$134)+1)+(IF(E225&lt;101,E225,IF(E225&lt;201,E225/2,IF(E225&lt;=301,E225/3,E225/4))))</f>
        <v>1993.1914079999999</v>
      </c>
      <c r="G225" s="76"/>
      <c r="H225" s="76"/>
      <c r="I225" s="27"/>
      <c r="N225" s="27"/>
    </row>
    <row r="226" spans="1:14" s="2" customFormat="1" ht="15.65" customHeight="1" x14ac:dyDescent="0.35">
      <c r="A226" s="76">
        <f>A225+1</f>
        <v>4</v>
      </c>
      <c r="B226" s="76"/>
      <c r="C226" s="63" t="s">
        <v>189</v>
      </c>
      <c r="D226" s="63">
        <f>(111.12+3.75*1.23)*10.764</f>
        <v>1245.7446299999999</v>
      </c>
      <c r="E226" s="63">
        <v>0</v>
      </c>
      <c r="F226" s="63">
        <f t="shared" ref="F226" si="23">D226*(($F$134)+1)+(IF(E226&lt;101,E226,IF(E226&lt;201,E226/2,IF(E226&lt;=301,E226/3,E226/4))))</f>
        <v>1993.1914079999999</v>
      </c>
      <c r="G226" s="76"/>
      <c r="H226" s="76"/>
      <c r="I226" s="27"/>
      <c r="N226" s="27"/>
    </row>
    <row r="227" spans="1:14" s="2" customFormat="1" x14ac:dyDescent="0.35">
      <c r="A227" s="123" t="s">
        <v>223</v>
      </c>
      <c r="B227" s="123"/>
      <c r="C227" s="123"/>
      <c r="D227" s="123"/>
      <c r="E227" s="123"/>
      <c r="F227" s="123"/>
      <c r="G227" s="123"/>
      <c r="H227" s="123"/>
      <c r="I227" s="27">
        <v>2</v>
      </c>
      <c r="L227" s="152"/>
      <c r="M227" s="152"/>
    </row>
    <row r="228" spans="1:14" s="2" customFormat="1" ht="15.65" customHeight="1" x14ac:dyDescent="0.35">
      <c r="A228" s="76">
        <v>1</v>
      </c>
      <c r="B228" s="76"/>
      <c r="C228" s="63" t="s">
        <v>194</v>
      </c>
      <c r="D228" s="63">
        <f>(78.08+3.45*1.15)*10.764</f>
        <v>883.15928999999994</v>
      </c>
      <c r="E228" s="63">
        <v>0</v>
      </c>
      <c r="F228" s="63">
        <f t="shared" ref="F228:F229" si="24">D228*(($F$134)+1)+(IF(E228&lt;101,E228,IF(E228&lt;201,E228/2,IF(E228&lt;=301,E228/3,E228/4))))</f>
        <v>1413.054864</v>
      </c>
      <c r="G228" s="76" t="str">
        <f>A227</f>
        <v xml:space="preserve">12th &amp; 19th Floor </v>
      </c>
      <c r="H228" s="76"/>
      <c r="I228" s="27"/>
      <c r="K228" s="2">
        <v>44700000</v>
      </c>
      <c r="L228" s="2">
        <f>K228/F228</f>
        <v>31633.591263021193</v>
      </c>
      <c r="N228" s="27"/>
    </row>
    <row r="229" spans="1:14" s="2" customFormat="1" ht="15.65" customHeight="1" x14ac:dyDescent="0.35">
      <c r="A229" s="76">
        <f>A228+1</f>
        <v>2</v>
      </c>
      <c r="B229" s="76"/>
      <c r="C229" s="63" t="s">
        <v>194</v>
      </c>
      <c r="D229" s="63">
        <f>(78.08+3.45*1.15)*10.764</f>
        <v>883.15928999999994</v>
      </c>
      <c r="E229" s="63">
        <v>0</v>
      </c>
      <c r="F229" s="63">
        <f t="shared" si="24"/>
        <v>1413.054864</v>
      </c>
      <c r="G229" s="76"/>
      <c r="H229" s="76"/>
      <c r="I229" s="27"/>
      <c r="N229" s="27"/>
    </row>
    <row r="230" spans="1:14" s="2" customFormat="1" ht="15.65" customHeight="1" x14ac:dyDescent="0.35">
      <c r="A230" s="76">
        <f>A229+1</f>
        <v>3</v>
      </c>
      <c r="B230" s="76"/>
      <c r="C230" s="63" t="s">
        <v>189</v>
      </c>
      <c r="D230" s="63">
        <f>(111.12+3.75*1.23)*10.764</f>
        <v>1245.7446299999999</v>
      </c>
      <c r="E230" s="63">
        <v>0</v>
      </c>
      <c r="F230" s="63">
        <f>D230*(($F$134)+1)+(IF(E230&lt;101,E230,IF(E230&lt;201,E230/2,IF(E230&lt;=301,E230/3,E230/4))))</f>
        <v>1993.1914079999999</v>
      </c>
      <c r="G230" s="76"/>
      <c r="H230" s="76"/>
      <c r="I230" s="27"/>
      <c r="N230" s="27"/>
    </row>
    <row r="231" spans="1:14" s="2" customFormat="1" ht="15.65" customHeight="1" x14ac:dyDescent="0.35">
      <c r="A231" s="76">
        <f>A230+1</f>
        <v>4</v>
      </c>
      <c r="B231" s="76"/>
      <c r="C231" s="63" t="s">
        <v>189</v>
      </c>
      <c r="D231" s="63">
        <f>(111.12+3.75*1.23)*10.764</f>
        <v>1245.7446299999999</v>
      </c>
      <c r="E231" s="63">
        <v>0</v>
      </c>
      <c r="F231" s="63">
        <f t="shared" ref="F231" si="25">D231*(($F$134)+1)+(IF(E231&lt;101,E231,IF(E231&lt;201,E231/2,IF(E231&lt;=301,E231/3,E231/4))))</f>
        <v>1993.1914079999999</v>
      </c>
      <c r="G231" s="76"/>
      <c r="H231" s="76"/>
      <c r="I231" s="27"/>
      <c r="N231" s="27"/>
    </row>
    <row r="232" spans="1:14" s="2" customFormat="1" x14ac:dyDescent="0.35">
      <c r="A232" s="123" t="s">
        <v>243</v>
      </c>
      <c r="B232" s="123"/>
      <c r="C232" s="123"/>
      <c r="D232" s="123"/>
      <c r="E232" s="123"/>
      <c r="F232" s="123"/>
      <c r="G232" s="123"/>
      <c r="H232" s="123"/>
      <c r="I232" s="27">
        <v>4</v>
      </c>
      <c r="L232" s="152"/>
      <c r="M232" s="152"/>
    </row>
    <row r="233" spans="1:14" s="2" customFormat="1" ht="15.65" customHeight="1" x14ac:dyDescent="0.35">
      <c r="A233" s="76">
        <v>1</v>
      </c>
      <c r="B233" s="76"/>
      <c r="C233" s="14" t="s">
        <v>194</v>
      </c>
      <c r="D233" s="14">
        <f>(78.08+3.45*1.15)*10.764</f>
        <v>883.15928999999994</v>
      </c>
      <c r="E233" s="14">
        <v>0</v>
      </c>
      <c r="F233" s="14">
        <f t="shared" ref="F233:F234" si="26">D233*(($F$134)+1)+(IF(E233&lt;101,E233,IF(E233&lt;201,E233/2,IF(E233&lt;=301,E233/3,E233/4))))</f>
        <v>1413.054864</v>
      </c>
      <c r="G233" s="64" t="str">
        <f>A232</f>
        <v xml:space="preserve">13th, 15th, 16th &amp; 20th Floor </v>
      </c>
      <c r="H233" s="65"/>
      <c r="I233" s="27"/>
      <c r="N233" s="27"/>
    </row>
    <row r="234" spans="1:14" s="2" customFormat="1" ht="15.65" customHeight="1" x14ac:dyDescent="0.35">
      <c r="A234" s="76">
        <f>A233+1</f>
        <v>2</v>
      </c>
      <c r="B234" s="76"/>
      <c r="C234" s="14" t="s">
        <v>194</v>
      </c>
      <c r="D234" s="14">
        <f>(78.08+3.45*1.15)*10.764</f>
        <v>883.15928999999994</v>
      </c>
      <c r="E234" s="14">
        <v>0</v>
      </c>
      <c r="F234" s="14">
        <f t="shared" si="26"/>
        <v>1413.054864</v>
      </c>
      <c r="G234" s="66"/>
      <c r="H234" s="67"/>
      <c r="I234" s="27"/>
      <c r="N234" s="27"/>
    </row>
    <row r="235" spans="1:14" s="2" customFormat="1" ht="15.65" customHeight="1" x14ac:dyDescent="0.35">
      <c r="A235" s="76">
        <f>A234+1</f>
        <v>3</v>
      </c>
      <c r="B235" s="76"/>
      <c r="C235" s="14" t="s">
        <v>189</v>
      </c>
      <c r="D235" s="14">
        <f>(111.12+3.75*1.23)*10.764</f>
        <v>1245.7446299999999</v>
      </c>
      <c r="E235" s="14">
        <v>0</v>
      </c>
      <c r="F235" s="14">
        <f>D235*(($F$134)+1)+(IF(E235&lt;101,E235,IF(E235&lt;201,E235/2,IF(E235&lt;=301,E235/3,E235/4))))</f>
        <v>1993.1914079999999</v>
      </c>
      <c r="G235" s="66"/>
      <c r="H235" s="67"/>
      <c r="I235" s="27"/>
      <c r="N235" s="27"/>
    </row>
    <row r="236" spans="1:14" s="2" customFormat="1" ht="15.65" customHeight="1" x14ac:dyDescent="0.35">
      <c r="A236" s="76">
        <f>A235+1</f>
        <v>4</v>
      </c>
      <c r="B236" s="76"/>
      <c r="C236" s="14" t="s">
        <v>189</v>
      </c>
      <c r="D236" s="14">
        <f>(111.12+3.75*1.23)*10.764</f>
        <v>1245.7446299999999</v>
      </c>
      <c r="E236" s="14">
        <v>0</v>
      </c>
      <c r="F236" s="14">
        <f t="shared" ref="F236" si="27">D236*(($F$134)+1)+(IF(E236&lt;101,E236,IF(E236&lt;201,E236/2,IF(E236&lt;=301,E236/3,E236/4))))</f>
        <v>1993.1914079999999</v>
      </c>
      <c r="G236" s="68"/>
      <c r="H236" s="69"/>
      <c r="I236" s="27"/>
      <c r="N236" s="27"/>
    </row>
    <row r="237" spans="1:14" s="2" customFormat="1" x14ac:dyDescent="0.35">
      <c r="A237" s="123" t="s">
        <v>240</v>
      </c>
      <c r="B237" s="123"/>
      <c r="C237" s="123"/>
      <c r="D237" s="123"/>
      <c r="E237" s="123"/>
      <c r="F237" s="123"/>
      <c r="G237" s="123"/>
      <c r="H237" s="123"/>
      <c r="I237" s="27">
        <v>1</v>
      </c>
      <c r="L237" s="152"/>
      <c r="M237" s="152"/>
    </row>
    <row r="238" spans="1:14" s="2" customFormat="1" ht="15.65" customHeight="1" x14ac:dyDescent="0.35">
      <c r="A238" s="76">
        <v>1</v>
      </c>
      <c r="B238" s="76"/>
      <c r="C238" s="14" t="s">
        <v>194</v>
      </c>
      <c r="D238" s="14">
        <f>(78.08+3.45*1.15)*10.764</f>
        <v>883.15928999999994</v>
      </c>
      <c r="E238" s="14">
        <v>0</v>
      </c>
      <c r="F238" s="14">
        <f t="shared" ref="F238:F239" si="28">D238*(($F$134)+1)+(IF(E238&lt;101,E238,IF(E238&lt;201,E238/2,IF(E238&lt;=301,E238/3,E238/4))))</f>
        <v>1413.054864</v>
      </c>
      <c r="G238" s="64" t="str">
        <f>A237</f>
        <v>17th Floor</v>
      </c>
      <c r="H238" s="65"/>
      <c r="I238" s="27"/>
      <c r="N238" s="27"/>
    </row>
    <row r="239" spans="1:14" s="2" customFormat="1" ht="15.65" customHeight="1" x14ac:dyDescent="0.35">
      <c r="A239" s="76">
        <f>A238+1</f>
        <v>2</v>
      </c>
      <c r="B239" s="76"/>
      <c r="C239" s="14" t="s">
        <v>194</v>
      </c>
      <c r="D239" s="14">
        <f>(78.08+3.45*1.15)*10.764</f>
        <v>883.15928999999994</v>
      </c>
      <c r="E239" s="14">
        <v>0</v>
      </c>
      <c r="F239" s="14">
        <f t="shared" si="28"/>
        <v>1413.054864</v>
      </c>
      <c r="G239" s="66"/>
      <c r="H239" s="67"/>
      <c r="I239" s="27"/>
      <c r="N239" s="27"/>
    </row>
    <row r="240" spans="1:14" s="2" customFormat="1" ht="15.65" customHeight="1" x14ac:dyDescent="0.35">
      <c r="A240" s="76" t="s">
        <v>241</v>
      </c>
      <c r="B240" s="76"/>
      <c r="C240" s="14" t="s">
        <v>246</v>
      </c>
      <c r="D240" s="14">
        <f>(6.85*7.65+2.45*3.87+3.67*(3.35+4.25+7.75)+(3.35*3.65)*2+2.45*3.05+(2.45*1.5)*6+1.05*(2.45+1.85*2+1.05*2+1.67+0.6+0.75+2.6)+1.5*(3.35+2.15)+2.45*1.2+2.45*3.37+7.65*1.23)*10.764</f>
        <v>2320.8852419999998</v>
      </c>
      <c r="E240" s="14">
        <v>0</v>
      </c>
      <c r="F240" s="14">
        <f>D240*(($F$134)+1)+(IF(E240&lt;101,E240,IF(E240&lt;201,E240/2,IF(E240&lt;=301,E240/3,E240/4))))</f>
        <v>3713.4163871999999</v>
      </c>
      <c r="G240" s="68"/>
      <c r="H240" s="69"/>
      <c r="I240" s="59" t="s">
        <v>242</v>
      </c>
      <c r="N240" s="27"/>
    </row>
    <row r="241" spans="1:14" s="2" customFormat="1" x14ac:dyDescent="0.35">
      <c r="A241" s="123" t="s">
        <v>244</v>
      </c>
      <c r="B241" s="123"/>
      <c r="C241" s="123"/>
      <c r="D241" s="123"/>
      <c r="E241" s="123"/>
      <c r="F241" s="123"/>
      <c r="G241" s="123"/>
      <c r="H241" s="123"/>
      <c r="I241" s="59">
        <v>1</v>
      </c>
      <c r="L241" s="152"/>
      <c r="M241" s="152"/>
    </row>
    <row r="242" spans="1:14" s="2" customFormat="1" ht="15.65" customHeight="1" x14ac:dyDescent="0.35">
      <c r="A242" s="76" t="s">
        <v>245</v>
      </c>
      <c r="B242" s="76"/>
      <c r="C242" s="14" t="s">
        <v>185</v>
      </c>
      <c r="D242" s="14">
        <f>(6*7.05+2.3*4.275+(3.35*3.65)*2+3.5*(4.4+3.65)+1.5*(2.45*2+2.4*2)+1.05*((1.85+0.9)*2+2.3)+1.65*2+3.6*0.75+2.3*3.75+2.45*1.725+7.05*1.15)*10.764</f>
        <v>1662.6208949999993</v>
      </c>
      <c r="E242" s="14">
        <v>0</v>
      </c>
      <c r="F242" s="14">
        <f t="shared" ref="F242" si="29">D242*(($F$134)+1)+(IF(E242&lt;101,E242,IF(E242&lt;201,E242/2,IF(E242&lt;=301,E242/3,E242/4))))</f>
        <v>2660.1934319999991</v>
      </c>
      <c r="G242" s="64" t="str">
        <f>A241</f>
        <v>18th Floor</v>
      </c>
      <c r="H242" s="65"/>
      <c r="I242" s="59" t="s">
        <v>242</v>
      </c>
      <c r="N242" s="27"/>
    </row>
    <row r="243" spans="1:14" s="2" customFormat="1" ht="15.65" customHeight="1" x14ac:dyDescent="0.35">
      <c r="A243" s="76">
        <v>3</v>
      </c>
      <c r="B243" s="76"/>
      <c r="C243" s="14" t="s">
        <v>189</v>
      </c>
      <c r="D243" s="14">
        <f>(111.12+3.75*1.23)*10.764</f>
        <v>1245.7446299999999</v>
      </c>
      <c r="E243" s="14">
        <v>0</v>
      </c>
      <c r="F243" s="14">
        <f>D243*(($F$134)+1)+(IF(E243&lt;101,E243,IF(E243&lt;201,E243/2,IF(E243&lt;=301,E243/3,E243/4))))</f>
        <v>1993.1914079999999</v>
      </c>
      <c r="G243" s="66"/>
      <c r="H243" s="67"/>
      <c r="I243" s="27"/>
      <c r="N243" s="27"/>
    </row>
    <row r="244" spans="1:14" s="2" customFormat="1" ht="15.65" customHeight="1" x14ac:dyDescent="0.35">
      <c r="A244" s="76">
        <f>A243+1</f>
        <v>4</v>
      </c>
      <c r="B244" s="76"/>
      <c r="C244" s="14" t="s">
        <v>189</v>
      </c>
      <c r="D244" s="14">
        <f>(111.12+3.75*1.23)*10.764</f>
        <v>1245.7446299999999</v>
      </c>
      <c r="E244" s="14">
        <v>0</v>
      </c>
      <c r="F244" s="14">
        <f t="shared" ref="F244" si="30">D244*(($F$134)+1)+(IF(E244&lt;101,E244,IF(E244&lt;201,E244/2,IF(E244&lt;=301,E244/3,E244/4))))</f>
        <v>1993.1914079999999</v>
      </c>
      <c r="G244" s="68"/>
      <c r="H244" s="69"/>
      <c r="I244" s="27"/>
      <c r="N244" s="27"/>
    </row>
    <row r="245" spans="1:14" s="2" customFormat="1" x14ac:dyDescent="0.35">
      <c r="A245" s="123" t="s">
        <v>195</v>
      </c>
      <c r="B245" s="123"/>
      <c r="C245" s="123"/>
      <c r="D245" s="123"/>
      <c r="E245" s="123"/>
      <c r="F245" s="123"/>
      <c r="G245" s="123"/>
      <c r="H245" s="123"/>
      <c r="I245" s="27">
        <v>1</v>
      </c>
      <c r="L245" s="152"/>
      <c r="M245" s="152"/>
    </row>
    <row r="246" spans="1:14" s="2" customFormat="1" ht="15.65" customHeight="1" x14ac:dyDescent="0.35">
      <c r="A246" s="76" t="s">
        <v>245</v>
      </c>
      <c r="B246" s="76"/>
      <c r="C246" s="14" t="s">
        <v>185</v>
      </c>
      <c r="D246" s="14">
        <f>(157.32+7.05*1.15)*10.764</f>
        <v>1780.6616099999997</v>
      </c>
      <c r="E246" s="14">
        <v>0</v>
      </c>
      <c r="F246" s="14">
        <f t="shared" ref="F246:F247" si="31">D246*(($F$134)+1)+(IF(E246&lt;101,E246,IF(E246&lt;201,E246/2,IF(E246&lt;=301,E246/3,E246/4))))</f>
        <v>2849.0585759999994</v>
      </c>
      <c r="G246" s="64" t="str">
        <f>A245</f>
        <v xml:space="preserve"> 14th Floor (Part Refuge Area)</v>
      </c>
      <c r="H246" s="65"/>
      <c r="I246" s="59" t="s">
        <v>242</v>
      </c>
      <c r="N246" s="27"/>
    </row>
    <row r="247" spans="1:14" s="2" customFormat="1" ht="15.65" customHeight="1" x14ac:dyDescent="0.35">
      <c r="A247" s="76">
        <v>3</v>
      </c>
      <c r="B247" s="76"/>
      <c r="C247" s="14" t="s">
        <v>189</v>
      </c>
      <c r="D247" s="14">
        <f>(117.43+4.65*1.23)*10.764</f>
        <v>1325.581218</v>
      </c>
      <c r="E247" s="14">
        <v>0</v>
      </c>
      <c r="F247" s="14">
        <f t="shared" si="31"/>
        <v>2120.9299488000001</v>
      </c>
      <c r="G247" s="66"/>
      <c r="H247" s="67"/>
      <c r="I247" s="27"/>
      <c r="N247" s="27"/>
    </row>
    <row r="248" spans="1:14" s="2" customFormat="1" ht="15.65" customHeight="1" x14ac:dyDescent="0.35">
      <c r="A248" s="76">
        <f>A247+1</f>
        <v>4</v>
      </c>
      <c r="B248" s="76"/>
      <c r="C248" s="77" t="s">
        <v>247</v>
      </c>
      <c r="D248" s="78"/>
      <c r="E248" s="78"/>
      <c r="F248" s="79"/>
      <c r="G248" s="68"/>
      <c r="H248" s="69"/>
      <c r="I248" s="27"/>
      <c r="N248" s="27"/>
    </row>
    <row r="249" spans="1:14" s="2" customFormat="1" x14ac:dyDescent="0.35">
      <c r="A249" s="123" t="s">
        <v>248</v>
      </c>
      <c r="B249" s="123"/>
      <c r="C249" s="123"/>
      <c r="D249" s="123"/>
      <c r="E249" s="123"/>
      <c r="F249" s="123"/>
      <c r="G249" s="123"/>
      <c r="H249" s="123"/>
      <c r="I249" s="27">
        <v>1</v>
      </c>
      <c r="L249" s="152"/>
      <c r="M249" s="152"/>
    </row>
    <row r="250" spans="1:14" s="2" customFormat="1" ht="15.65" customHeight="1" x14ac:dyDescent="0.35">
      <c r="A250" s="76" t="s">
        <v>245</v>
      </c>
      <c r="B250" s="76"/>
      <c r="C250" s="14" t="s">
        <v>185</v>
      </c>
      <c r="D250" s="14">
        <f>(157.32+7.05*1.15)*10.764</f>
        <v>1780.6616099999997</v>
      </c>
      <c r="E250" s="14">
        <v>0</v>
      </c>
      <c r="F250" s="14">
        <f t="shared" ref="F250:F251" si="32">D250*(($F$134)+1)+(IF(E250&lt;101,E250,IF(E250&lt;201,E250/2,IF(E250&lt;=301,E250/3,E250/4))))</f>
        <v>2849.0585759999994</v>
      </c>
      <c r="G250" s="64" t="str">
        <f>A249</f>
        <v xml:space="preserve"> 21st Floor (Part Refuge Area)</v>
      </c>
      <c r="H250" s="65"/>
      <c r="I250" s="59" t="s">
        <v>242</v>
      </c>
      <c r="N250" s="27"/>
    </row>
    <row r="251" spans="1:14" s="2" customFormat="1" ht="15.65" customHeight="1" x14ac:dyDescent="0.35">
      <c r="A251" s="76">
        <v>3</v>
      </c>
      <c r="B251" s="76"/>
      <c r="C251" s="14" t="s">
        <v>189</v>
      </c>
      <c r="D251" s="14">
        <f>(117.43+4.65*1.23)*10.764</f>
        <v>1325.581218</v>
      </c>
      <c r="E251" s="14">
        <v>0</v>
      </c>
      <c r="F251" s="14">
        <f t="shared" si="32"/>
        <v>2120.9299488000001</v>
      </c>
      <c r="G251" s="66"/>
      <c r="H251" s="67"/>
      <c r="I251" s="27"/>
      <c r="N251" s="27"/>
    </row>
    <row r="252" spans="1:14" s="2" customFormat="1" ht="15.65" customHeight="1" x14ac:dyDescent="0.35">
      <c r="A252" s="76">
        <f>A251+1</f>
        <v>4</v>
      </c>
      <c r="B252" s="76"/>
      <c r="C252" s="77" t="s">
        <v>247</v>
      </c>
      <c r="D252" s="78"/>
      <c r="E252" s="78"/>
      <c r="F252" s="79"/>
      <c r="G252" s="68"/>
      <c r="H252" s="69"/>
      <c r="I252" s="27"/>
      <c r="N252" s="27"/>
    </row>
    <row r="253" spans="1:14" s="2" customFormat="1" x14ac:dyDescent="0.35">
      <c r="A253" s="123" t="s">
        <v>249</v>
      </c>
      <c r="B253" s="123"/>
      <c r="C253" s="123"/>
      <c r="D253" s="123"/>
      <c r="E253" s="123"/>
      <c r="F253" s="123"/>
      <c r="G253" s="123"/>
      <c r="H253" s="123"/>
      <c r="I253" s="27">
        <v>1</v>
      </c>
      <c r="L253" s="152"/>
      <c r="M253" s="152"/>
    </row>
    <row r="254" spans="1:14" s="2" customFormat="1" ht="15.65" customHeight="1" x14ac:dyDescent="0.35">
      <c r="A254" s="76">
        <v>1</v>
      </c>
      <c r="B254" s="76"/>
      <c r="C254" s="14" t="s">
        <v>194</v>
      </c>
      <c r="D254" s="14">
        <f>(78.08+3.45*1.15)*10.764</f>
        <v>883.15928999999994</v>
      </c>
      <c r="E254" s="14">
        <v>0</v>
      </c>
      <c r="F254" s="14">
        <f t="shared" ref="F254:F255" si="33">D254*(($F$134)+1)+(IF(E254&lt;101,E254,IF(E254&lt;201,E254/2,IF(E254&lt;=301,E254/3,E254/4))))</f>
        <v>1413.054864</v>
      </c>
      <c r="G254" s="64" t="str">
        <f>A253</f>
        <v xml:space="preserve">22nd Floor </v>
      </c>
      <c r="H254" s="65"/>
      <c r="I254" s="27"/>
      <c r="N254" s="27"/>
    </row>
    <row r="255" spans="1:14" s="2" customFormat="1" ht="15.65" customHeight="1" x14ac:dyDescent="0.35">
      <c r="A255" s="76">
        <f>A254+1</f>
        <v>2</v>
      </c>
      <c r="B255" s="76"/>
      <c r="C255" s="14" t="s">
        <v>194</v>
      </c>
      <c r="D255" s="14">
        <f>(78.08+3.45*1.15)*10.764</f>
        <v>883.15928999999994</v>
      </c>
      <c r="E255" s="14">
        <v>0</v>
      </c>
      <c r="F255" s="14">
        <f t="shared" si="33"/>
        <v>1413.054864</v>
      </c>
      <c r="G255" s="66"/>
      <c r="H255" s="67"/>
      <c r="I255" s="27"/>
      <c r="N255" s="27"/>
    </row>
    <row r="256" spans="1:14" s="2" customFormat="1" ht="15.65" customHeight="1" x14ac:dyDescent="0.35">
      <c r="A256" s="76">
        <f>A255+1</f>
        <v>3</v>
      </c>
      <c r="B256" s="76"/>
      <c r="C256" s="14" t="s">
        <v>189</v>
      </c>
      <c r="D256" s="14">
        <f>(112.13+3.75*1.23)*10.764</f>
        <v>1256.6162699999998</v>
      </c>
      <c r="E256" s="14">
        <v>0</v>
      </c>
      <c r="F256" s="14">
        <f>D256*(($F$134)+1)+(IF(E256&lt;101,E256,IF(E256&lt;201,E256/2,IF(E256&lt;=301,E256/3,E256/4))))</f>
        <v>2010.5860319999997</v>
      </c>
      <c r="G256" s="66"/>
      <c r="H256" s="67"/>
      <c r="I256" s="27"/>
      <c r="N256" s="27"/>
    </row>
    <row r="257" spans="1:14" s="2" customFormat="1" ht="15.65" customHeight="1" x14ac:dyDescent="0.35">
      <c r="A257" s="76">
        <f>A256+1</f>
        <v>4</v>
      </c>
      <c r="B257" s="76"/>
      <c r="C257" s="14" t="s">
        <v>189</v>
      </c>
      <c r="D257" s="14">
        <f>(112.13+3.75*1.23)*10.764</f>
        <v>1256.6162699999998</v>
      </c>
      <c r="E257" s="14">
        <v>0</v>
      </c>
      <c r="F257" s="14">
        <f t="shared" ref="F257" si="34">D257*(($F$134)+1)+(IF(E257&lt;101,E257,IF(E257&lt;201,E257/2,IF(E257&lt;=301,E257/3,E257/4))))</f>
        <v>2010.5860319999997</v>
      </c>
      <c r="G257" s="68"/>
      <c r="H257" s="69"/>
      <c r="I257" s="27"/>
      <c r="N257" s="27"/>
    </row>
    <row r="258" spans="1:14" s="2" customFormat="1" x14ac:dyDescent="0.35">
      <c r="A258" s="123" t="s">
        <v>250</v>
      </c>
      <c r="B258" s="123"/>
      <c r="C258" s="123"/>
      <c r="D258" s="123"/>
      <c r="E258" s="123"/>
      <c r="F258" s="123"/>
      <c r="G258" s="123"/>
      <c r="H258" s="123"/>
      <c r="I258" s="27">
        <v>10</v>
      </c>
      <c r="L258" s="152"/>
      <c r="M258" s="152"/>
    </row>
    <row r="259" spans="1:14" s="2" customFormat="1" ht="15.65" customHeight="1" x14ac:dyDescent="0.35">
      <c r="A259" s="76">
        <v>1</v>
      </c>
      <c r="B259" s="76"/>
      <c r="C259" s="14" t="s">
        <v>194</v>
      </c>
      <c r="D259" s="14">
        <f>(78.08+3.45*1.15)*10.764</f>
        <v>883.15928999999994</v>
      </c>
      <c r="E259" s="14">
        <v>0</v>
      </c>
      <c r="F259" s="14">
        <f t="shared" ref="F259:F260" si="35">D259*(($F$134)+1)+(IF(E259&lt;101,E259,IF(E259&lt;201,E259/2,IF(E259&lt;=301,E259/3,E259/4))))</f>
        <v>1413.054864</v>
      </c>
      <c r="G259" s="64" t="str">
        <f>A258</f>
        <v xml:space="preserve">23rd, 24th, 27th, 30th, 31st, 34th, 37th, 38th, 41st &amp; 44th Floor </v>
      </c>
      <c r="H259" s="65"/>
      <c r="I259" s="27"/>
      <c r="N259" s="27"/>
    </row>
    <row r="260" spans="1:14" s="2" customFormat="1" ht="15.65" customHeight="1" x14ac:dyDescent="0.35">
      <c r="A260" s="76">
        <f>A259+1</f>
        <v>2</v>
      </c>
      <c r="B260" s="76"/>
      <c r="C260" s="14" t="s">
        <v>194</v>
      </c>
      <c r="D260" s="14">
        <f>(78.08+3.45*1.15)*10.764</f>
        <v>883.15928999999994</v>
      </c>
      <c r="E260" s="14">
        <v>0</v>
      </c>
      <c r="F260" s="14">
        <f t="shared" si="35"/>
        <v>1413.054864</v>
      </c>
      <c r="G260" s="66"/>
      <c r="H260" s="67"/>
      <c r="I260" s="27"/>
      <c r="N260" s="27"/>
    </row>
    <row r="261" spans="1:14" s="2" customFormat="1" ht="15.65" customHeight="1" x14ac:dyDescent="0.35">
      <c r="A261" s="76">
        <f>A260+1</f>
        <v>3</v>
      </c>
      <c r="B261" s="76"/>
      <c r="C261" s="14" t="s">
        <v>189</v>
      </c>
      <c r="D261" s="14">
        <f>(112.13+3.75*1.23)*10.764</f>
        <v>1256.6162699999998</v>
      </c>
      <c r="E261" s="14">
        <v>0</v>
      </c>
      <c r="F261" s="14">
        <f>D261*(($F$134)+1)+(IF(E261&lt;101,E261,IF(E261&lt;201,E261/2,IF(E261&lt;=301,E261/3,E261/4))))</f>
        <v>2010.5860319999997</v>
      </c>
      <c r="G261" s="66"/>
      <c r="H261" s="67"/>
      <c r="I261" s="27"/>
      <c r="N261" s="27"/>
    </row>
    <row r="262" spans="1:14" s="2" customFormat="1" ht="15.65" customHeight="1" x14ac:dyDescent="0.35">
      <c r="A262" s="76">
        <f>A261+1</f>
        <v>4</v>
      </c>
      <c r="B262" s="76"/>
      <c r="C262" s="14" t="s">
        <v>189</v>
      </c>
      <c r="D262" s="14">
        <f>(112.13+3.75*1.23)*10.764</f>
        <v>1256.6162699999998</v>
      </c>
      <c r="E262" s="14">
        <v>0</v>
      </c>
      <c r="F262" s="14">
        <f t="shared" ref="F262" si="36">D262*(($F$134)+1)+(IF(E262&lt;101,E262,IF(E262&lt;201,E262/2,IF(E262&lt;=301,E262/3,E262/4))))</f>
        <v>2010.5860319999997</v>
      </c>
      <c r="G262" s="68"/>
      <c r="H262" s="69"/>
      <c r="I262" s="27"/>
      <c r="N262" s="27"/>
    </row>
    <row r="263" spans="1:14" s="2" customFormat="1" x14ac:dyDescent="0.35">
      <c r="A263" s="123" t="s">
        <v>251</v>
      </c>
      <c r="B263" s="123"/>
      <c r="C263" s="123"/>
      <c r="D263" s="123"/>
      <c r="E263" s="123"/>
      <c r="F263" s="123"/>
      <c r="G263" s="123"/>
      <c r="H263" s="123"/>
      <c r="I263" s="27">
        <v>3</v>
      </c>
      <c r="L263" s="152"/>
      <c r="M263" s="152"/>
    </row>
    <row r="264" spans="1:14" s="2" customFormat="1" ht="15.65" customHeight="1" x14ac:dyDescent="0.35">
      <c r="A264" s="76">
        <v>1</v>
      </c>
      <c r="B264" s="76"/>
      <c r="C264" s="63" t="s">
        <v>194</v>
      </c>
      <c r="D264" s="63">
        <f>(78.08+3.45*1.15)*10.764</f>
        <v>883.15928999999994</v>
      </c>
      <c r="E264" s="63">
        <v>0</v>
      </c>
      <c r="F264" s="63">
        <f t="shared" ref="F264:F265" si="37">D264*(($F$134)+1)+(IF(E264&lt;101,E264,IF(E264&lt;201,E264/2,IF(E264&lt;=301,E264/3,E264/4))))</f>
        <v>1413.054864</v>
      </c>
      <c r="G264" s="76" t="str">
        <f>A263</f>
        <v xml:space="preserve">25th,  32nd &amp; 39th Floor </v>
      </c>
      <c r="H264" s="76"/>
      <c r="I264" s="27"/>
      <c r="N264" s="27"/>
    </row>
    <row r="265" spans="1:14" s="2" customFormat="1" ht="15.65" customHeight="1" x14ac:dyDescent="0.35">
      <c r="A265" s="76">
        <f>A264+1</f>
        <v>2</v>
      </c>
      <c r="B265" s="76"/>
      <c r="C265" s="63" t="s">
        <v>194</v>
      </c>
      <c r="D265" s="63">
        <f>(78.08+3.45*1.15)*10.764</f>
        <v>883.15928999999994</v>
      </c>
      <c r="E265" s="63">
        <v>0</v>
      </c>
      <c r="F265" s="63">
        <f t="shared" si="37"/>
        <v>1413.054864</v>
      </c>
      <c r="G265" s="76"/>
      <c r="H265" s="76"/>
      <c r="I265" s="27"/>
      <c r="N265" s="27"/>
    </row>
    <row r="266" spans="1:14" s="2" customFormat="1" ht="15.65" customHeight="1" x14ac:dyDescent="0.35">
      <c r="A266" s="76">
        <f>A265+1</f>
        <v>3</v>
      </c>
      <c r="B266" s="76"/>
      <c r="C266" s="63" t="s">
        <v>189</v>
      </c>
      <c r="D266" s="63">
        <f>(112.13+3.75*1.23)*10.764</f>
        <v>1256.6162699999998</v>
      </c>
      <c r="E266" s="63">
        <v>0</v>
      </c>
      <c r="F266" s="63">
        <f>D266*(($F$134)+1)+(IF(E266&lt;101,E266,IF(E266&lt;201,E266/2,IF(E266&lt;=301,E266/3,E266/4))))</f>
        <v>2010.5860319999997</v>
      </c>
      <c r="G266" s="76"/>
      <c r="H266" s="76"/>
      <c r="I266" s="27"/>
      <c r="N266" s="27"/>
    </row>
    <row r="267" spans="1:14" s="2" customFormat="1" ht="15.65" customHeight="1" x14ac:dyDescent="0.35">
      <c r="A267" s="76">
        <f>A266+1</f>
        <v>4</v>
      </c>
      <c r="B267" s="76"/>
      <c r="C267" s="63" t="s">
        <v>189</v>
      </c>
      <c r="D267" s="63">
        <f>(112.13+3.75*1.23)*10.764</f>
        <v>1256.6162699999998</v>
      </c>
      <c r="E267" s="63">
        <v>0</v>
      </c>
      <c r="F267" s="63">
        <f t="shared" ref="F267" si="38">D267*(($F$134)+1)+(IF(E267&lt;101,E267,IF(E267&lt;201,E267/2,IF(E267&lt;=301,E267/3,E267/4))))</f>
        <v>2010.5860319999997</v>
      </c>
      <c r="G267" s="76"/>
      <c r="H267" s="76"/>
      <c r="I267" s="27"/>
      <c r="N267" s="27"/>
    </row>
    <row r="268" spans="1:14" s="2" customFormat="1" x14ac:dyDescent="0.35">
      <c r="A268" s="123" t="s">
        <v>255</v>
      </c>
      <c r="B268" s="123"/>
      <c r="C268" s="123"/>
      <c r="D268" s="123"/>
      <c r="E268" s="123"/>
      <c r="F268" s="123"/>
      <c r="G268" s="123"/>
      <c r="H268" s="123"/>
      <c r="I268" s="27">
        <v>2</v>
      </c>
      <c r="L268" s="152"/>
      <c r="M268" s="152"/>
    </row>
    <row r="269" spans="1:14" s="2" customFormat="1" ht="15.65" customHeight="1" x14ac:dyDescent="0.35">
      <c r="A269" s="76">
        <v>1</v>
      </c>
      <c r="B269" s="76"/>
      <c r="C269" s="63" t="s">
        <v>194</v>
      </c>
      <c r="D269" s="63">
        <f>(78.08+3.45*1.15)*10.764</f>
        <v>883.15928999999994</v>
      </c>
      <c r="E269" s="63">
        <v>0</v>
      </c>
      <c r="F269" s="63">
        <f t="shared" ref="F269:F270" si="39">D269*(($F$134)+1)+(IF(E269&lt;101,E269,IF(E269&lt;201,E269/2,IF(E269&lt;=301,E269/3,E269/4))))</f>
        <v>1413.054864</v>
      </c>
      <c r="G269" s="76" t="str">
        <f>A268</f>
        <v xml:space="preserve">28th &amp; 35th Floor </v>
      </c>
      <c r="H269" s="76"/>
      <c r="I269" s="27"/>
      <c r="N269" s="27"/>
    </row>
    <row r="270" spans="1:14" s="2" customFormat="1" ht="15.65" customHeight="1" x14ac:dyDescent="0.35">
      <c r="A270" s="76">
        <f>A269+1</f>
        <v>2</v>
      </c>
      <c r="B270" s="76"/>
      <c r="C270" s="63" t="s">
        <v>194</v>
      </c>
      <c r="D270" s="63">
        <f>(78.08+3.45*1.15)*10.764</f>
        <v>883.15928999999994</v>
      </c>
      <c r="E270" s="63">
        <v>0</v>
      </c>
      <c r="F270" s="63">
        <f t="shared" si="39"/>
        <v>1413.054864</v>
      </c>
      <c r="G270" s="76"/>
      <c r="H270" s="76"/>
      <c r="I270" s="27"/>
      <c r="N270" s="27"/>
    </row>
    <row r="271" spans="1:14" s="2" customFormat="1" ht="15.65" customHeight="1" x14ac:dyDescent="0.35">
      <c r="A271" s="76">
        <f>A270+1</f>
        <v>3</v>
      </c>
      <c r="B271" s="76"/>
      <c r="C271" s="63" t="s">
        <v>189</v>
      </c>
      <c r="D271" s="63">
        <f>(118.43+4.65*1.23)*10.764</f>
        <v>1336.3452179999999</v>
      </c>
      <c r="E271" s="63">
        <v>0</v>
      </c>
      <c r="F271" s="63">
        <f>D271*(($F$134)+1)+(IF(E271&lt;101,E271,IF(E271&lt;201,E271/2,IF(E271&lt;=301,E271/3,E271/4))))</f>
        <v>2138.1523487999998</v>
      </c>
      <c r="G271" s="76"/>
      <c r="H271" s="76"/>
      <c r="I271" s="27"/>
      <c r="N271" s="27"/>
    </row>
    <row r="272" spans="1:14" s="2" customFormat="1" ht="15.65" customHeight="1" x14ac:dyDescent="0.35">
      <c r="A272" s="76">
        <f>A271+1</f>
        <v>4</v>
      </c>
      <c r="B272" s="76"/>
      <c r="C272" s="76" t="s">
        <v>247</v>
      </c>
      <c r="D272" s="76"/>
      <c r="E272" s="76"/>
      <c r="F272" s="76"/>
      <c r="G272" s="76"/>
      <c r="H272" s="76"/>
      <c r="I272" s="27"/>
      <c r="N272" s="27"/>
    </row>
    <row r="273" spans="1:14" s="2" customFormat="1" x14ac:dyDescent="0.35">
      <c r="A273" s="123" t="s">
        <v>252</v>
      </c>
      <c r="B273" s="123"/>
      <c r="C273" s="123"/>
      <c r="D273" s="123"/>
      <c r="E273" s="123"/>
      <c r="F273" s="123"/>
      <c r="G273" s="123"/>
      <c r="H273" s="123"/>
      <c r="I273" s="59">
        <v>2</v>
      </c>
      <c r="L273" s="152"/>
      <c r="M273" s="152"/>
    </row>
    <row r="274" spans="1:14" s="2" customFormat="1" ht="15.65" customHeight="1" x14ac:dyDescent="0.35">
      <c r="A274" s="76" t="s">
        <v>245</v>
      </c>
      <c r="B274" s="76"/>
      <c r="C274" s="14" t="s">
        <v>185</v>
      </c>
      <c r="D274" s="14">
        <f>(6*7.05+2.3*4.275+(3.35*3.65)*2+3.5*(4.4+3.65)+1.5*(2.45*2+2.4*2)+1.05*((1.85+0.9)*2+2.3)+1.65*2+3.6*0.75+2.3*3.75+2.45*1.725+7.05*1.15)*10.764</f>
        <v>1662.6208949999993</v>
      </c>
      <c r="E274" s="14">
        <v>0</v>
      </c>
      <c r="F274" s="14">
        <f t="shared" ref="F274" si="40">D274*(($F$134)+1)+(IF(E274&lt;101,E274,IF(E274&lt;201,E274/2,IF(E274&lt;=301,E274/3,E274/4))))</f>
        <v>2660.1934319999991</v>
      </c>
      <c r="G274" s="64" t="str">
        <f>A273</f>
        <v>26th &amp; 29th Floor</v>
      </c>
      <c r="H274" s="65"/>
      <c r="I274" s="59" t="s">
        <v>242</v>
      </c>
      <c r="N274" s="27"/>
    </row>
    <row r="275" spans="1:14" s="2" customFormat="1" ht="15.65" customHeight="1" x14ac:dyDescent="0.35">
      <c r="A275" s="76">
        <v>3</v>
      </c>
      <c r="B275" s="76"/>
      <c r="C275" s="14" t="s">
        <v>189</v>
      </c>
      <c r="D275" s="14">
        <f>(112.13+3.75*1.23)*10.764</f>
        <v>1256.6162699999998</v>
      </c>
      <c r="E275" s="14">
        <v>0</v>
      </c>
      <c r="F275" s="14">
        <f>D275*(($F$134)+1)+(IF(E275&lt;101,E275,IF(E275&lt;201,E275/2,IF(E275&lt;=301,E275/3,E275/4))))</f>
        <v>2010.5860319999997</v>
      </c>
      <c r="G275" s="66"/>
      <c r="H275" s="67"/>
      <c r="I275" s="27"/>
      <c r="N275" s="27"/>
    </row>
    <row r="276" spans="1:14" s="2" customFormat="1" ht="15.65" customHeight="1" x14ac:dyDescent="0.35">
      <c r="A276" s="76">
        <f>A275+1</f>
        <v>4</v>
      </c>
      <c r="B276" s="76"/>
      <c r="C276" s="14" t="s">
        <v>189</v>
      </c>
      <c r="D276" s="14">
        <f>(112.13+3.75*1.23)*10.764</f>
        <v>1256.6162699999998</v>
      </c>
      <c r="E276" s="14">
        <v>0</v>
      </c>
      <c r="F276" s="14">
        <f t="shared" ref="F276" si="41">D276*(($F$134)+1)+(IF(E276&lt;101,E276,IF(E276&lt;201,E276/2,IF(E276&lt;=301,E276/3,E276/4))))</f>
        <v>2010.5860319999997</v>
      </c>
      <c r="G276" s="68"/>
      <c r="H276" s="69"/>
      <c r="I276" s="27"/>
      <c r="N276" s="27"/>
    </row>
    <row r="277" spans="1:14" s="2" customFormat="1" x14ac:dyDescent="0.35">
      <c r="A277" s="123" t="s">
        <v>253</v>
      </c>
      <c r="B277" s="123"/>
      <c r="C277" s="123"/>
      <c r="D277" s="123"/>
      <c r="E277" s="123"/>
      <c r="F277" s="123"/>
      <c r="G277" s="123"/>
      <c r="H277" s="123"/>
      <c r="I277" s="27">
        <v>1</v>
      </c>
      <c r="L277" s="152"/>
      <c r="M277" s="152"/>
    </row>
    <row r="278" spans="1:14" s="2" customFormat="1" ht="15.65" customHeight="1" x14ac:dyDescent="0.35">
      <c r="A278" s="76">
        <v>1</v>
      </c>
      <c r="B278" s="76"/>
      <c r="C278" s="14" t="s">
        <v>194</v>
      </c>
      <c r="D278" s="14">
        <f>(78.08+3.45*1.15)*10.764</f>
        <v>883.15928999999994</v>
      </c>
      <c r="E278" s="14">
        <v>0</v>
      </c>
      <c r="F278" s="14">
        <f t="shared" ref="F278:F279" si="42">D278*(($F$134)+1)+(IF(E278&lt;101,E278,IF(E278&lt;201,E278/2,IF(E278&lt;=301,E278/3,E278/4))))</f>
        <v>1413.054864</v>
      </c>
      <c r="G278" s="64" t="str">
        <f>A277</f>
        <v>33rd Floor</v>
      </c>
      <c r="H278" s="65"/>
      <c r="I278" s="27"/>
      <c r="N278" s="27"/>
    </row>
    <row r="279" spans="1:14" s="2" customFormat="1" ht="15.65" customHeight="1" x14ac:dyDescent="0.35">
      <c r="A279" s="76">
        <f>A278+1</f>
        <v>2</v>
      </c>
      <c r="B279" s="76"/>
      <c r="C279" s="14" t="s">
        <v>194</v>
      </c>
      <c r="D279" s="14">
        <f>(78.08+3.45*1.15)*10.764</f>
        <v>883.15928999999994</v>
      </c>
      <c r="E279" s="14">
        <v>0</v>
      </c>
      <c r="F279" s="14">
        <f t="shared" si="42"/>
        <v>1413.054864</v>
      </c>
      <c r="G279" s="66"/>
      <c r="H279" s="67"/>
      <c r="I279" s="27"/>
      <c r="N279" s="27"/>
    </row>
    <row r="280" spans="1:14" s="2" customFormat="1" ht="15.65" customHeight="1" x14ac:dyDescent="0.35">
      <c r="A280" s="76" t="s">
        <v>241</v>
      </c>
      <c r="B280" s="76"/>
      <c r="C280" s="14" t="s">
        <v>246</v>
      </c>
      <c r="D280" s="14">
        <f>(6.85*7.65+2.45*3.87+3.67*(3.35+4.25+7.75)+(3.35*3.65)*2+(2.45*1.5)*6+1.05*(2.45+1.85*2+1.05*2+1.67+0.6+0.75+2.6)+1.5*(3.35+2.15)+2.45*1.2+2.45*3.37+2.3*3.75+7.65*1.23)*10.764</f>
        <v>2333.2907519999999</v>
      </c>
      <c r="E280" s="14">
        <v>0</v>
      </c>
      <c r="F280" s="14">
        <f>D280*(($F$134)+1)+(IF(E280&lt;101,E280,IF(E280&lt;201,E280/2,IF(E280&lt;=301,E280/3,E280/4))))</f>
        <v>3733.2652032000001</v>
      </c>
      <c r="G280" s="68"/>
      <c r="H280" s="69"/>
      <c r="I280" s="59" t="s">
        <v>242</v>
      </c>
      <c r="N280" s="27"/>
    </row>
    <row r="281" spans="1:14" s="2" customFormat="1" x14ac:dyDescent="0.35">
      <c r="A281" s="123" t="s">
        <v>231</v>
      </c>
      <c r="B281" s="123"/>
      <c r="C281" s="123"/>
      <c r="D281" s="123"/>
      <c r="E281" s="123"/>
      <c r="F281" s="123"/>
      <c r="G281" s="123"/>
      <c r="H281" s="123"/>
      <c r="I281" s="27"/>
      <c r="L281" s="152"/>
      <c r="M281" s="152"/>
    </row>
    <row r="282" spans="1:14" s="2" customFormat="1" x14ac:dyDescent="0.35">
      <c r="A282" s="123" t="s">
        <v>256</v>
      </c>
      <c r="B282" s="123"/>
      <c r="C282" s="123"/>
      <c r="D282" s="123"/>
      <c r="E282" s="123"/>
      <c r="F282" s="123"/>
      <c r="G282" s="123"/>
      <c r="H282" s="123"/>
      <c r="I282" s="59">
        <v>1</v>
      </c>
      <c r="L282" s="152"/>
      <c r="M282" s="152"/>
    </row>
    <row r="283" spans="1:14" s="2" customFormat="1" ht="15.65" customHeight="1" x14ac:dyDescent="0.35">
      <c r="A283" s="76" t="s">
        <v>245</v>
      </c>
      <c r="B283" s="76"/>
      <c r="C283" s="14" t="s">
        <v>185</v>
      </c>
      <c r="D283" s="14">
        <f>(6*7.05+2.3*4.275+(3.35*3.65)*2+3.5*(4.4+3.65)+1.5*(2.45*2+2.4*2)+1.05*((1.85+0.9)*2+2.3)+1.65*2+3.6*0.75+2.3*3.75+2.45*1.725+7.05*1.15)*10.764</f>
        <v>1662.6208949999993</v>
      </c>
      <c r="E283" s="14">
        <v>0</v>
      </c>
      <c r="F283" s="14">
        <f t="shared" ref="F283" si="43">D283*(($F$134)+1)+(IF(E283&lt;101,E283,IF(E283&lt;201,E283/2,IF(E283&lt;=301,E283/3,E283/4))))</f>
        <v>2660.1934319999991</v>
      </c>
      <c r="G283" s="64" t="str">
        <f>A282</f>
        <v>36th Floor</v>
      </c>
      <c r="H283" s="65"/>
      <c r="I283" s="59" t="s">
        <v>242</v>
      </c>
      <c r="N283" s="27"/>
    </row>
    <row r="284" spans="1:14" s="2" customFormat="1" ht="15.65" customHeight="1" x14ac:dyDescent="0.35">
      <c r="A284" s="76">
        <v>3</v>
      </c>
      <c r="B284" s="76"/>
      <c r="C284" s="14" t="s">
        <v>189</v>
      </c>
      <c r="D284" s="14">
        <f>(112.13+3.75*1.23)*10.764</f>
        <v>1256.6162699999998</v>
      </c>
      <c r="E284" s="14">
        <v>0</v>
      </c>
      <c r="F284" s="14">
        <f>D284*(($F$134)+1)+(IF(E284&lt;101,E284,IF(E284&lt;201,E284/2,IF(E284&lt;=301,E284/3,E284/4))))</f>
        <v>2010.5860319999997</v>
      </c>
      <c r="G284" s="66" t="str">
        <f>G283</f>
        <v>36th Floor</v>
      </c>
      <c r="H284" s="67"/>
      <c r="I284" s="27"/>
      <c r="N284" s="27"/>
    </row>
    <row r="285" spans="1:14" s="2" customFormat="1" ht="15.65" customHeight="1" x14ac:dyDescent="0.35">
      <c r="A285" s="76">
        <f>A284+1</f>
        <v>4</v>
      </c>
      <c r="B285" s="76"/>
      <c r="C285" s="14" t="s">
        <v>189</v>
      </c>
      <c r="D285" s="14">
        <f>(112.13+3.75*1.23)*10.764</f>
        <v>1256.6162699999998</v>
      </c>
      <c r="E285" s="14">
        <v>0</v>
      </c>
      <c r="F285" s="14">
        <f t="shared" ref="F285" si="44">D285*(($F$134)+1)+(IF(E285&lt;101,E285,IF(E285&lt;201,E285/2,IF(E285&lt;=301,E285/3,E285/4))))</f>
        <v>2010.5860319999997</v>
      </c>
      <c r="G285" s="68" t="str">
        <f>G284</f>
        <v>36th Floor</v>
      </c>
      <c r="H285" s="69"/>
      <c r="I285" s="27"/>
      <c r="N285" s="27"/>
    </row>
    <row r="286" spans="1:14" s="2" customFormat="1" x14ac:dyDescent="0.35">
      <c r="A286" s="123" t="s">
        <v>254</v>
      </c>
      <c r="B286" s="123"/>
      <c r="C286" s="123"/>
      <c r="D286" s="123"/>
      <c r="E286" s="123"/>
      <c r="F286" s="123"/>
      <c r="G286" s="123"/>
      <c r="H286" s="123"/>
      <c r="I286" s="59">
        <v>1</v>
      </c>
      <c r="L286" s="152"/>
      <c r="M286" s="152"/>
    </row>
    <row r="287" spans="1:14" s="2" customFormat="1" ht="15.65" customHeight="1" x14ac:dyDescent="0.35">
      <c r="A287" s="76" t="s">
        <v>245</v>
      </c>
      <c r="B287" s="76"/>
      <c r="C287" s="14" t="s">
        <v>185</v>
      </c>
      <c r="D287" s="14">
        <f>(6*7.05+2.3*4.275+(3.35*3.65)*2+3.5*(4.4+3.65)+1.5*(2.45*2+2.4*2)+1.05*((1.85+0.9)*2+2.3)+1.65*2+3.6*0.75+2.3*3.75+2.45*1.725+7.05*1.15)*10.764</f>
        <v>1662.6208949999993</v>
      </c>
      <c r="E287" s="14">
        <v>0</v>
      </c>
      <c r="F287" s="14">
        <f t="shared" ref="F287" si="45">D287*(($F$134)+1)+(IF(E287&lt;101,E287,IF(E287&lt;201,E287/2,IF(E287&lt;=301,E287/3,E287/4))))</f>
        <v>2660.1934319999991</v>
      </c>
      <c r="G287" s="64" t="str">
        <f>A286</f>
        <v>40th Floor</v>
      </c>
      <c r="H287" s="65"/>
      <c r="I287" s="59" t="s">
        <v>242</v>
      </c>
      <c r="N287" s="27"/>
    </row>
    <row r="288" spans="1:14" s="2" customFormat="1" ht="15.65" customHeight="1" x14ac:dyDescent="0.35">
      <c r="A288" s="76">
        <v>3</v>
      </c>
      <c r="B288" s="76"/>
      <c r="C288" s="14" t="s">
        <v>189</v>
      </c>
      <c r="D288" s="14">
        <f>(112.13+3.75*1.23)*10.764</f>
        <v>1256.6162699999998</v>
      </c>
      <c r="E288" s="14">
        <v>0</v>
      </c>
      <c r="F288" s="14">
        <f>D288*(($F$134)+1)+(IF(E288&lt;101,E288,IF(E288&lt;201,E288/2,IF(E288&lt;=301,E288/3,E288/4))))</f>
        <v>2010.5860319999997</v>
      </c>
      <c r="G288" s="66" t="str">
        <f>G287</f>
        <v>40th Floor</v>
      </c>
      <c r="H288" s="67"/>
      <c r="I288" s="27"/>
      <c r="N288" s="27"/>
    </row>
    <row r="289" spans="1:14" s="2" customFormat="1" ht="15.65" customHeight="1" x14ac:dyDescent="0.35">
      <c r="A289" s="76">
        <f>A288+1</f>
        <v>4</v>
      </c>
      <c r="B289" s="76"/>
      <c r="C289" s="14" t="s">
        <v>189</v>
      </c>
      <c r="D289" s="14">
        <f>(112.13+3.75*1.23)*10.764</f>
        <v>1256.6162699999998</v>
      </c>
      <c r="E289" s="14">
        <v>0</v>
      </c>
      <c r="F289" s="14">
        <f t="shared" ref="F289" si="46">D289*(($F$134)+1)+(IF(E289&lt;101,E289,IF(E289&lt;201,E289/2,IF(E289&lt;=301,E289/3,E289/4))))</f>
        <v>2010.5860319999997</v>
      </c>
      <c r="G289" s="68" t="str">
        <f>G288</f>
        <v>40th Floor</v>
      </c>
      <c r="H289" s="69"/>
      <c r="I289" s="27"/>
      <c r="N289" s="27"/>
    </row>
    <row r="290" spans="1:14" s="2" customFormat="1" x14ac:dyDescent="0.35">
      <c r="A290" s="169" t="s">
        <v>233</v>
      </c>
      <c r="B290" s="169"/>
      <c r="C290" s="169"/>
      <c r="D290" s="169"/>
      <c r="E290" s="169"/>
      <c r="F290" s="169"/>
      <c r="G290" s="169"/>
      <c r="H290" s="169"/>
      <c r="I290" s="27">
        <v>1</v>
      </c>
      <c r="L290" s="152"/>
      <c r="M290" s="152"/>
    </row>
    <row r="291" spans="1:14" s="2" customFormat="1" ht="15.65" customHeight="1" x14ac:dyDescent="0.35">
      <c r="A291" s="76">
        <v>1</v>
      </c>
      <c r="B291" s="76"/>
      <c r="C291" s="14" t="s">
        <v>194</v>
      </c>
      <c r="D291" s="14">
        <f>(78.08+3.45*1.15)*10.764</f>
        <v>883.15928999999994</v>
      </c>
      <c r="E291" s="14">
        <v>0</v>
      </c>
      <c r="F291" s="14">
        <f t="shared" ref="F291:F292" si="47">D291*(($F$134)+1)+(IF(E291&lt;101,E291,IF(E291&lt;201,E291/2,IF(E291&lt;=301,E291/3,E291/4))))</f>
        <v>1413.054864</v>
      </c>
      <c r="G291" s="64" t="str">
        <f>A290</f>
        <v>42nd Floor (Part Refuge Area)</v>
      </c>
      <c r="H291" s="65"/>
      <c r="I291" s="27"/>
      <c r="N291" s="27"/>
    </row>
    <row r="292" spans="1:14" s="2" customFormat="1" ht="15.65" customHeight="1" x14ac:dyDescent="0.35">
      <c r="A292" s="76">
        <f>A291+1</f>
        <v>2</v>
      </c>
      <c r="B292" s="76"/>
      <c r="C292" s="14" t="s">
        <v>194</v>
      </c>
      <c r="D292" s="14">
        <f>(78.08+3.45*1.15)*10.764</f>
        <v>883.15928999999994</v>
      </c>
      <c r="E292" s="14">
        <v>0</v>
      </c>
      <c r="F292" s="14">
        <f t="shared" si="47"/>
        <v>1413.054864</v>
      </c>
      <c r="G292" s="66"/>
      <c r="H292" s="67"/>
      <c r="I292" s="27"/>
      <c r="N292" s="27"/>
    </row>
    <row r="293" spans="1:14" s="2" customFormat="1" ht="15.65" customHeight="1" x14ac:dyDescent="0.35">
      <c r="A293" s="76">
        <f>A292+1</f>
        <v>3</v>
      </c>
      <c r="B293" s="76"/>
      <c r="C293" s="14" t="s">
        <v>189</v>
      </c>
      <c r="D293" s="60">
        <f>(161.4+7.65*1.23)*10.764</f>
        <v>1838.5934580000001</v>
      </c>
      <c r="E293" s="14">
        <v>0</v>
      </c>
      <c r="F293" s="14">
        <f>D293*(($F$134)+1)+(IF(E293&lt;101,E293,IF(E293&lt;201,E293/2,IF(E293&lt;=301,E293/3,E293/4))))</f>
        <v>2941.7495328000005</v>
      </c>
      <c r="G293" s="66"/>
      <c r="H293" s="67"/>
      <c r="I293" s="27"/>
      <c r="N293" s="27"/>
    </row>
    <row r="294" spans="1:14" s="2" customFormat="1" ht="15.65" customHeight="1" x14ac:dyDescent="0.35">
      <c r="A294" s="76">
        <f>A293+1</f>
        <v>4</v>
      </c>
      <c r="B294" s="76"/>
      <c r="C294" s="166" t="s">
        <v>247</v>
      </c>
      <c r="D294" s="167"/>
      <c r="E294" s="167"/>
      <c r="F294" s="168"/>
      <c r="G294" s="68"/>
      <c r="H294" s="69"/>
      <c r="I294" s="27"/>
      <c r="N294" s="27"/>
    </row>
    <row r="295" spans="1:14" s="2" customFormat="1" x14ac:dyDescent="0.35">
      <c r="A295" s="123" t="s">
        <v>257</v>
      </c>
      <c r="B295" s="123"/>
      <c r="C295" s="123"/>
      <c r="D295" s="123"/>
      <c r="E295" s="123"/>
      <c r="F295" s="123"/>
      <c r="G295" s="123"/>
      <c r="H295" s="123"/>
      <c r="I295" s="59">
        <v>1</v>
      </c>
      <c r="L295" s="152"/>
      <c r="M295" s="152"/>
    </row>
    <row r="296" spans="1:14" s="2" customFormat="1" ht="15.65" customHeight="1" x14ac:dyDescent="0.35">
      <c r="A296" s="76" t="s">
        <v>245</v>
      </c>
      <c r="B296" s="76"/>
      <c r="C296" s="14" t="s">
        <v>185</v>
      </c>
      <c r="D296" s="14">
        <f>(6*7.05+2.3*4.275+(3.35*3.65)*2+3.5*(4.4+3.65)+1.5*(2.45*2+2.4*2)+1.05*((1.85+0.9)*2+2.3)+1.65*2+3.6*0.75+2.3*3.75+2.45*1.725+7.05*1.15)*10.764</f>
        <v>1662.6208949999993</v>
      </c>
      <c r="E296" s="14">
        <v>0</v>
      </c>
      <c r="F296" s="14">
        <f t="shared" ref="F296" si="48">D296*(($F$134)+1)+(IF(E296&lt;101,E296,IF(E296&lt;201,E296/2,IF(E296&lt;=301,E296/3,E296/4))))</f>
        <v>2660.1934319999991</v>
      </c>
      <c r="G296" s="64" t="str">
        <f>A295</f>
        <v>43rd Floor</v>
      </c>
      <c r="H296" s="65"/>
      <c r="I296" s="59" t="s">
        <v>242</v>
      </c>
      <c r="N296" s="27"/>
    </row>
    <row r="297" spans="1:14" s="2" customFormat="1" ht="15.65" customHeight="1" x14ac:dyDescent="0.35">
      <c r="A297" s="76">
        <v>3</v>
      </c>
      <c r="B297" s="76"/>
      <c r="C297" s="14" t="s">
        <v>189</v>
      </c>
      <c r="D297" s="14">
        <f>(112.13+3.75*1.23)*10.764</f>
        <v>1256.6162699999998</v>
      </c>
      <c r="E297" s="14">
        <v>0</v>
      </c>
      <c r="F297" s="14">
        <f>D297*(($F$134)+1)+(IF(E297&lt;101,E297,IF(E297&lt;201,E297/2,IF(E297&lt;=301,E297/3,E297/4))))</f>
        <v>2010.5860319999997</v>
      </c>
      <c r="G297" s="66"/>
      <c r="H297" s="67"/>
      <c r="I297" s="27"/>
      <c r="N297" s="27"/>
    </row>
    <row r="298" spans="1:14" s="2" customFormat="1" ht="15.65" customHeight="1" x14ac:dyDescent="0.35">
      <c r="A298" s="76">
        <f>A297+1</f>
        <v>4</v>
      </c>
      <c r="B298" s="76"/>
      <c r="C298" s="14" t="s">
        <v>189</v>
      </c>
      <c r="D298" s="14">
        <f>(112.13+3.75*1.23)*10.764</f>
        <v>1256.6162699999998</v>
      </c>
      <c r="E298" s="14">
        <v>0</v>
      </c>
      <c r="F298" s="14">
        <f t="shared" ref="F298" si="49">D298*(($F$134)+1)+(IF(E298&lt;101,E298,IF(E298&lt;201,E298/2,IF(E298&lt;=301,E298/3,E298/4))))</f>
        <v>2010.5860319999997</v>
      </c>
      <c r="G298" s="68"/>
      <c r="H298" s="69"/>
      <c r="I298" s="27"/>
      <c r="N298" s="27"/>
    </row>
    <row r="299" spans="1:14" s="2" customFormat="1" x14ac:dyDescent="0.35">
      <c r="A299" s="123" t="s">
        <v>259</v>
      </c>
      <c r="B299" s="123"/>
      <c r="C299" s="123"/>
      <c r="D299" s="123"/>
      <c r="E299" s="123"/>
      <c r="F299" s="123"/>
      <c r="G299" s="123"/>
      <c r="H299" s="123"/>
      <c r="I299" s="27">
        <v>1</v>
      </c>
      <c r="L299" s="152"/>
      <c r="M299" s="152"/>
    </row>
    <row r="300" spans="1:14" s="2" customFormat="1" ht="15.65" customHeight="1" x14ac:dyDescent="0.35">
      <c r="A300" s="76">
        <v>1</v>
      </c>
      <c r="B300" s="76"/>
      <c r="C300" s="14" t="s">
        <v>194</v>
      </c>
      <c r="D300" s="14">
        <f>(78.08+3.45*1.15)*10.764</f>
        <v>883.15928999999994</v>
      </c>
      <c r="E300" s="14">
        <v>0</v>
      </c>
      <c r="F300" s="14">
        <f>D300*(($F$134)+1)+(IF(E300&lt;101,E300,IF(E300&lt;201,E300/2,IF(E300&lt;=301,E300/3,E300/4))))</f>
        <v>1413.054864</v>
      </c>
      <c r="G300" s="64" t="str">
        <f>A299</f>
        <v>45th Floor (Part Terrace Area)</v>
      </c>
      <c r="H300" s="65"/>
      <c r="I300" s="27"/>
      <c r="N300" s="27"/>
    </row>
    <row r="301" spans="1:14" s="2" customFormat="1" ht="15.65" customHeight="1" x14ac:dyDescent="0.35">
      <c r="A301" s="76">
        <f>A300+1</f>
        <v>2</v>
      </c>
      <c r="B301" s="76"/>
      <c r="C301" s="77" t="s">
        <v>258</v>
      </c>
      <c r="D301" s="78"/>
      <c r="E301" s="78"/>
      <c r="F301" s="79"/>
      <c r="G301" s="66"/>
      <c r="H301" s="67"/>
      <c r="I301" s="27"/>
      <c r="N301" s="27"/>
    </row>
    <row r="302" spans="1:14" s="2" customFormat="1" ht="15.65" customHeight="1" x14ac:dyDescent="0.35">
      <c r="A302" s="76">
        <f>A301+1</f>
        <v>3</v>
      </c>
      <c r="B302" s="76"/>
      <c r="C302" s="14" t="s">
        <v>189</v>
      </c>
      <c r="D302" s="14">
        <f>(112.13+3.75*1.23)*10.764</f>
        <v>1256.6162699999998</v>
      </c>
      <c r="E302" s="14">
        <v>0</v>
      </c>
      <c r="F302" s="14">
        <f>D302*(($F$134)+1)+(IF(E302&lt;101,E302,IF(E302&lt;201,E302/2,IF(E302&lt;=301,E302/3,E302/4))))</f>
        <v>2010.5860319999997</v>
      </c>
      <c r="G302" s="66"/>
      <c r="H302" s="67"/>
      <c r="I302" s="27"/>
      <c r="N302" s="27"/>
    </row>
    <row r="303" spans="1:14" s="2" customFormat="1" ht="15.65" customHeight="1" x14ac:dyDescent="0.35">
      <c r="A303" s="76">
        <f>A302+1</f>
        <v>4</v>
      </c>
      <c r="B303" s="76"/>
      <c r="C303" s="14" t="s">
        <v>189</v>
      </c>
      <c r="D303" s="14">
        <f>(112.13+3.75*1.23)*10.764</f>
        <v>1256.6162699999998</v>
      </c>
      <c r="E303" s="14">
        <v>0</v>
      </c>
      <c r="F303" s="14">
        <f t="shared" ref="F303" si="50">D303*(($F$134)+1)+(IF(E303&lt;101,E303,IF(E303&lt;201,E303/2,IF(E303&lt;=301,E303/3,E303/4))))</f>
        <v>2010.5860319999997</v>
      </c>
      <c r="G303" s="68"/>
      <c r="H303" s="69"/>
      <c r="I303" s="27"/>
      <c r="N303" s="27"/>
    </row>
    <row r="304" spans="1:14" s="1" customFormat="1" x14ac:dyDescent="0.35">
      <c r="A304" s="124" t="s">
        <v>71</v>
      </c>
      <c r="B304" s="124"/>
      <c r="C304" s="124"/>
      <c r="D304" s="124"/>
      <c r="E304" s="124"/>
      <c r="F304" s="124"/>
      <c r="G304" s="124"/>
      <c r="H304" s="124"/>
    </row>
    <row r="305" spans="1:8" s="1" customFormat="1" x14ac:dyDescent="0.35">
      <c r="A305" s="31">
        <v>1</v>
      </c>
      <c r="B305" s="70" t="s">
        <v>115</v>
      </c>
      <c r="C305" s="71"/>
      <c r="D305" s="71"/>
      <c r="E305" s="71"/>
      <c r="F305" s="71"/>
      <c r="G305" s="71"/>
      <c r="H305" s="72"/>
    </row>
    <row r="306" spans="1:8" s="1" customFormat="1" x14ac:dyDescent="0.35">
      <c r="A306" s="31">
        <f>A305+1</f>
        <v>2</v>
      </c>
      <c r="B306" s="70" t="str">
        <f>(IF(F133="Saleable area Loading :","We have considered Saleable area of Flats as per our Calculation.","We considered Saleable area of Flat as per Builder area Sheet."))</f>
        <v>We have considered Saleable area of Flats as per our Calculation.</v>
      </c>
      <c r="C306" s="71"/>
      <c r="D306" s="71"/>
      <c r="E306" s="71"/>
      <c r="F306" s="71"/>
      <c r="G306" s="71"/>
      <c r="H306" s="72"/>
    </row>
    <row r="307" spans="1:8" s="1" customFormat="1" x14ac:dyDescent="0.35">
      <c r="A307" s="31">
        <f t="shared" ref="A307:A314" si="51">A306+1</f>
        <v>3</v>
      </c>
      <c r="B307" s="70" t="str">
        <f>(IF(F122="Saleable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07" s="71"/>
      <c r="D307" s="71"/>
      <c r="E307" s="71"/>
      <c r="F307" s="71"/>
      <c r="G307" s="71"/>
      <c r="H307" s="72"/>
    </row>
    <row r="308" spans="1:8" s="1" customFormat="1" x14ac:dyDescent="0.35">
      <c r="A308" s="31">
        <f t="shared" si="51"/>
        <v>4</v>
      </c>
      <c r="B308" s="104" t="s">
        <v>137</v>
      </c>
      <c r="C308" s="105"/>
      <c r="D308" s="105"/>
      <c r="E308" s="105"/>
      <c r="F308" s="105"/>
      <c r="G308" s="105"/>
      <c r="H308" s="106"/>
    </row>
    <row r="309" spans="1:8" s="1" customFormat="1" x14ac:dyDescent="0.35">
      <c r="A309" s="31">
        <f t="shared" si="51"/>
        <v>5</v>
      </c>
      <c r="B309" s="104" t="s">
        <v>167</v>
      </c>
      <c r="C309" s="105"/>
      <c r="D309" s="105"/>
      <c r="E309" s="105"/>
      <c r="F309" s="105"/>
      <c r="G309" s="105"/>
      <c r="H309" s="106"/>
    </row>
    <row r="310" spans="1:8" s="1" customFormat="1" x14ac:dyDescent="0.35">
      <c r="A310" s="31">
        <f t="shared" si="51"/>
        <v>6</v>
      </c>
      <c r="B310" s="104" t="s">
        <v>272</v>
      </c>
      <c r="C310" s="105"/>
      <c r="D310" s="105"/>
      <c r="E310" s="105"/>
      <c r="F310" s="105"/>
      <c r="G310" s="105"/>
      <c r="H310" s="106"/>
    </row>
    <row r="311" spans="1:8" s="1" customFormat="1" x14ac:dyDescent="0.35">
      <c r="A311" s="31">
        <f t="shared" si="51"/>
        <v>7</v>
      </c>
      <c r="B311" s="104" t="s">
        <v>138</v>
      </c>
      <c r="C311" s="105"/>
      <c r="D311" s="105"/>
      <c r="E311" s="105"/>
      <c r="F311" s="105"/>
      <c r="G311" s="105"/>
      <c r="H311" s="106"/>
    </row>
    <row r="312" spans="1:8" s="1" customFormat="1" x14ac:dyDescent="0.35">
      <c r="A312" s="31">
        <f t="shared" si="51"/>
        <v>8</v>
      </c>
      <c r="B312" s="104" t="s">
        <v>139</v>
      </c>
      <c r="C312" s="105"/>
      <c r="D312" s="105"/>
      <c r="E312" s="105"/>
      <c r="F312" s="105"/>
      <c r="G312" s="105"/>
      <c r="H312" s="106"/>
    </row>
    <row r="313" spans="1:8" s="1" customFormat="1" hidden="1" x14ac:dyDescent="0.35">
      <c r="A313" s="31">
        <f t="shared" si="51"/>
        <v>9</v>
      </c>
      <c r="B313" s="107" t="s">
        <v>140</v>
      </c>
      <c r="C313" s="108"/>
      <c r="D313" s="108"/>
      <c r="E313" s="108"/>
      <c r="F313" s="108"/>
      <c r="G313" s="108"/>
      <c r="H313" s="109"/>
    </row>
    <row r="314" spans="1:8" s="1" customFormat="1" hidden="1" x14ac:dyDescent="0.35">
      <c r="A314" s="31">
        <f t="shared" si="51"/>
        <v>10</v>
      </c>
      <c r="B314" s="104" t="s">
        <v>210</v>
      </c>
      <c r="C314" s="105"/>
      <c r="D314" s="105"/>
      <c r="E314" s="105"/>
      <c r="F314" s="105"/>
      <c r="G314" s="105"/>
      <c r="H314" s="106"/>
    </row>
    <row r="315" spans="1:8" s="1" customFormat="1" x14ac:dyDescent="0.35">
      <c r="A315" s="31">
        <f>A312+1</f>
        <v>9</v>
      </c>
      <c r="B315" s="104" t="s">
        <v>277</v>
      </c>
      <c r="C315" s="105"/>
      <c r="D315" s="105"/>
      <c r="E315" s="105"/>
      <c r="F315" s="105"/>
      <c r="G315" s="105"/>
      <c r="H315" s="106"/>
    </row>
    <row r="316" spans="1:8" s="1" customFormat="1" x14ac:dyDescent="0.35">
      <c r="A316" s="31">
        <f>A315+1</f>
        <v>10</v>
      </c>
      <c r="B316" s="70" t="s">
        <v>276</v>
      </c>
      <c r="C316" s="71"/>
      <c r="D316" s="71"/>
      <c r="E316" s="71"/>
      <c r="F316" s="71"/>
      <c r="G316" s="71"/>
      <c r="H316" s="72"/>
    </row>
    <row r="317" spans="1:8" s="1" customFormat="1" x14ac:dyDescent="0.35">
      <c r="A317" s="31">
        <f t="shared" ref="A317:A319" si="52">A316+1</f>
        <v>11</v>
      </c>
      <c r="B317" s="70" t="s">
        <v>278</v>
      </c>
      <c r="C317" s="71"/>
      <c r="D317" s="71"/>
      <c r="E317" s="71"/>
      <c r="F317" s="71"/>
      <c r="G317" s="71"/>
      <c r="H317" s="72"/>
    </row>
    <row r="318" spans="1:8" s="1" customFormat="1" ht="31.25" customHeight="1" x14ac:dyDescent="0.35">
      <c r="A318" s="31">
        <f t="shared" si="52"/>
        <v>12</v>
      </c>
      <c r="B318" s="70" t="s">
        <v>279</v>
      </c>
      <c r="C318" s="71"/>
      <c r="D318" s="71"/>
      <c r="E318" s="71"/>
      <c r="F318" s="71"/>
      <c r="G318" s="71"/>
      <c r="H318" s="72"/>
    </row>
    <row r="319" spans="1:8" s="1" customFormat="1" ht="36.65" customHeight="1" x14ac:dyDescent="0.35">
      <c r="A319" s="31">
        <f t="shared" si="52"/>
        <v>13</v>
      </c>
      <c r="B319" s="70" t="s">
        <v>283</v>
      </c>
      <c r="C319" s="71"/>
      <c r="D319" s="71"/>
      <c r="E319" s="71"/>
      <c r="F319" s="71"/>
      <c r="G319" s="71"/>
      <c r="H319" s="72"/>
    </row>
    <row r="320" spans="1:8" x14ac:dyDescent="0.35">
      <c r="A320" s="116" t="s">
        <v>64</v>
      </c>
      <c r="B320" s="116"/>
      <c r="C320" s="116"/>
      <c r="D320" s="116"/>
      <c r="E320" s="116"/>
      <c r="F320" s="116"/>
      <c r="G320" s="116"/>
      <c r="H320" s="116"/>
    </row>
    <row r="321" spans="1:8" x14ac:dyDescent="0.35">
      <c r="A321" s="87" t="s">
        <v>65</v>
      </c>
      <c r="B321" s="87"/>
      <c r="C321" s="87"/>
      <c r="D321" s="87"/>
      <c r="E321" s="87"/>
      <c r="F321" s="87"/>
      <c r="G321" s="87"/>
      <c r="H321" s="87"/>
    </row>
    <row r="322" spans="1:8" ht="15.75" customHeight="1" x14ac:dyDescent="0.35">
      <c r="A322" s="88" t="s">
        <v>66</v>
      </c>
      <c r="B322" s="88"/>
      <c r="C322" s="88"/>
      <c r="D322" s="88"/>
      <c r="E322" s="88"/>
      <c r="F322" s="88"/>
      <c r="G322" s="88"/>
      <c r="H322" s="88"/>
    </row>
    <row r="323" spans="1:8" x14ac:dyDescent="0.35">
      <c r="A323" s="87" t="s">
        <v>67</v>
      </c>
      <c r="B323" s="87"/>
      <c r="C323" s="87"/>
      <c r="D323" s="87"/>
      <c r="E323" s="87"/>
      <c r="F323" s="87"/>
      <c r="G323" s="87"/>
      <c r="H323" s="87"/>
    </row>
    <row r="324" spans="1:8" x14ac:dyDescent="0.35">
      <c r="A324" s="87" t="s">
        <v>68</v>
      </c>
      <c r="B324" s="87"/>
      <c r="C324" s="87"/>
      <c r="D324" s="87"/>
      <c r="E324" s="87"/>
      <c r="F324" s="87"/>
      <c r="G324" s="87"/>
      <c r="H324" s="87"/>
    </row>
    <row r="325" spans="1:8" x14ac:dyDescent="0.35">
      <c r="A325" s="87" t="s">
        <v>141</v>
      </c>
      <c r="B325" s="87"/>
      <c r="C325" s="87"/>
      <c r="D325" s="87"/>
      <c r="E325" s="87"/>
      <c r="F325" s="87"/>
      <c r="G325" s="87"/>
      <c r="H325" s="87"/>
    </row>
    <row r="326" spans="1:8" ht="35.25" customHeight="1" x14ac:dyDescent="0.35">
      <c r="A326" s="100" t="s">
        <v>142</v>
      </c>
      <c r="B326" s="100"/>
      <c r="C326" s="100"/>
      <c r="D326" s="100"/>
      <c r="E326" s="100"/>
      <c r="F326" s="100"/>
      <c r="G326" s="100"/>
      <c r="H326" s="100"/>
    </row>
    <row r="327" spans="1:8" x14ac:dyDescent="0.35">
      <c r="A327" s="122" t="s">
        <v>82</v>
      </c>
      <c r="B327" s="122"/>
      <c r="C327" s="122" t="s">
        <v>288</v>
      </c>
      <c r="D327" s="122"/>
      <c r="E327" s="122" t="s">
        <v>116</v>
      </c>
      <c r="F327" s="122"/>
      <c r="G327" s="122" t="s">
        <v>287</v>
      </c>
      <c r="H327" s="122"/>
    </row>
    <row r="328" spans="1:8" x14ac:dyDescent="0.35">
      <c r="A328" s="121" t="s">
        <v>84</v>
      </c>
      <c r="B328" s="121"/>
      <c r="C328" s="121"/>
      <c r="D328" s="121"/>
      <c r="E328" s="121"/>
      <c r="F328" s="121"/>
      <c r="G328" s="121"/>
      <c r="H328" s="121"/>
    </row>
    <row r="329" spans="1:8" x14ac:dyDescent="0.35">
      <c r="A329" s="121"/>
      <c r="B329" s="121"/>
      <c r="C329" s="121"/>
      <c r="D329" s="121"/>
      <c r="E329" s="121"/>
      <c r="F329" s="121"/>
      <c r="G329" s="121"/>
      <c r="H329" s="121"/>
    </row>
    <row r="330" spans="1:8" x14ac:dyDescent="0.35">
      <c r="A330" s="121"/>
      <c r="B330" s="121"/>
      <c r="C330" s="121"/>
      <c r="D330" s="121"/>
      <c r="E330" s="121"/>
      <c r="F330" s="121"/>
      <c r="G330" s="121"/>
      <c r="H330" s="121"/>
    </row>
    <row r="331" spans="1:8" x14ac:dyDescent="0.35">
      <c r="A331" s="121"/>
      <c r="B331" s="121"/>
      <c r="C331" s="121"/>
      <c r="D331" s="121"/>
      <c r="E331" s="121"/>
      <c r="F331" s="121"/>
      <c r="G331" s="121"/>
      <c r="H331" s="121"/>
    </row>
    <row r="332" spans="1:8" x14ac:dyDescent="0.35">
      <c r="A332" s="9" t="s">
        <v>69</v>
      </c>
      <c r="B332" s="10"/>
      <c r="C332" s="10"/>
      <c r="D332" s="9" t="str">
        <f>E8</f>
        <v>Prestige Jasdan Classic</v>
      </c>
      <c r="F332" s="10"/>
      <c r="G332" s="10"/>
      <c r="H332" s="10"/>
    </row>
    <row r="333" spans="1:8" x14ac:dyDescent="0.35">
      <c r="A333" s="10"/>
      <c r="B333" s="10"/>
      <c r="C333" s="10"/>
      <c r="D333" s="10"/>
      <c r="E333" s="10"/>
      <c r="F333" s="10"/>
      <c r="G333" s="10"/>
      <c r="H333" s="10"/>
    </row>
    <row r="334" spans="1:8" x14ac:dyDescent="0.35">
      <c r="A334" s="10"/>
      <c r="B334" s="10"/>
      <c r="C334" s="10"/>
      <c r="D334" s="10"/>
      <c r="E334" s="10"/>
      <c r="F334" s="10"/>
      <c r="G334" s="10"/>
      <c r="H334" s="10"/>
    </row>
    <row r="335" spans="1:8" ht="15" customHeight="1" x14ac:dyDescent="0.35"/>
    <row r="375" spans="1:1" x14ac:dyDescent="0.35">
      <c r="A375" s="12" t="s">
        <v>265</v>
      </c>
    </row>
    <row r="411" spans="1:1" x14ac:dyDescent="0.35">
      <c r="A411" s="12" t="s">
        <v>70</v>
      </c>
    </row>
  </sheetData>
  <mergeCells count="577">
    <mergeCell ref="B319:H319"/>
    <mergeCell ref="A300:B300"/>
    <mergeCell ref="A301:B301"/>
    <mergeCell ref="A302:B302"/>
    <mergeCell ref="A303:B303"/>
    <mergeCell ref="C301:F301"/>
    <mergeCell ref="A295:H295"/>
    <mergeCell ref="A290:H290"/>
    <mergeCell ref="A255:B255"/>
    <mergeCell ref="A256:B256"/>
    <mergeCell ref="A257:B257"/>
    <mergeCell ref="A299:H299"/>
    <mergeCell ref="A261:B261"/>
    <mergeCell ref="A262:B262"/>
    <mergeCell ref="A266:B266"/>
    <mergeCell ref="A267:B267"/>
    <mergeCell ref="A283:B283"/>
    <mergeCell ref="A284:B284"/>
    <mergeCell ref="A285:B285"/>
    <mergeCell ref="A277:H277"/>
    <mergeCell ref="A278:B278"/>
    <mergeCell ref="A279:B279"/>
    <mergeCell ref="A280:B280"/>
    <mergeCell ref="A286:H286"/>
    <mergeCell ref="L299:M299"/>
    <mergeCell ref="G296:H298"/>
    <mergeCell ref="B316:H316"/>
    <mergeCell ref="C116:D116"/>
    <mergeCell ref="E116:F116"/>
    <mergeCell ref="G116:H116"/>
    <mergeCell ref="A115:A116"/>
    <mergeCell ref="B315:H315"/>
    <mergeCell ref="L290:M290"/>
    <mergeCell ref="A291:B291"/>
    <mergeCell ref="A292:B292"/>
    <mergeCell ref="A293:B293"/>
    <mergeCell ref="A294:B294"/>
    <mergeCell ref="C294:F294"/>
    <mergeCell ref="G291:H294"/>
    <mergeCell ref="L295:M295"/>
    <mergeCell ref="A296:B296"/>
    <mergeCell ref="L237:M237"/>
    <mergeCell ref="A238:B238"/>
    <mergeCell ref="A239:B239"/>
    <mergeCell ref="A235:B235"/>
    <mergeCell ref="A236:B236"/>
    <mergeCell ref="A237:H237"/>
    <mergeCell ref="B314:H314"/>
    <mergeCell ref="A48:B49"/>
    <mergeCell ref="C48:E48"/>
    <mergeCell ref="G48:H48"/>
    <mergeCell ref="C49:E49"/>
    <mergeCell ref="G49:H49"/>
    <mergeCell ref="A138:H138"/>
    <mergeCell ref="A151:B151"/>
    <mergeCell ref="C151:F151"/>
    <mergeCell ref="A234:B234"/>
    <mergeCell ref="A231:B231"/>
    <mergeCell ref="A232:H232"/>
    <mergeCell ref="A190:B190"/>
    <mergeCell ref="A191:B191"/>
    <mergeCell ref="A219:B219"/>
    <mergeCell ref="A220:B220"/>
    <mergeCell ref="A221:B221"/>
    <mergeCell ref="A222:H222"/>
    <mergeCell ref="A210:B210"/>
    <mergeCell ref="A212:B212"/>
    <mergeCell ref="C212:F213"/>
    <mergeCell ref="A213:B213"/>
    <mergeCell ref="A205:B205"/>
    <mergeCell ref="A206:B206"/>
    <mergeCell ref="A207:H207"/>
    <mergeCell ref="A263:H263"/>
    <mergeCell ref="A282:H282"/>
    <mergeCell ref="A273:H273"/>
    <mergeCell ref="A274:B274"/>
    <mergeCell ref="A275:B275"/>
    <mergeCell ref="A276:B276"/>
    <mergeCell ref="A281:H281"/>
    <mergeCell ref="A264:B264"/>
    <mergeCell ref="A265:B265"/>
    <mergeCell ref="A271:B271"/>
    <mergeCell ref="G264:H267"/>
    <mergeCell ref="A268:H268"/>
    <mergeCell ref="A297:B297"/>
    <mergeCell ref="A298:B298"/>
    <mergeCell ref="L277:M277"/>
    <mergeCell ref="L286:M286"/>
    <mergeCell ref="A287:B287"/>
    <mergeCell ref="A288:B288"/>
    <mergeCell ref="A289:B289"/>
    <mergeCell ref="C272:F272"/>
    <mergeCell ref="G274:H276"/>
    <mergeCell ref="G278:H280"/>
    <mergeCell ref="G283:H285"/>
    <mergeCell ref="G287:H289"/>
    <mergeCell ref="L282:M282"/>
    <mergeCell ref="L273:M273"/>
    <mergeCell ref="L281:M281"/>
    <mergeCell ref="A272:B272"/>
    <mergeCell ref="G269:H272"/>
    <mergeCell ref="L268:M268"/>
    <mergeCell ref="A269:B269"/>
    <mergeCell ref="A270:B270"/>
    <mergeCell ref="A258:H258"/>
    <mergeCell ref="L258:M258"/>
    <mergeCell ref="A259:B259"/>
    <mergeCell ref="A260:B260"/>
    <mergeCell ref="L263:M263"/>
    <mergeCell ref="L245:M245"/>
    <mergeCell ref="A246:B246"/>
    <mergeCell ref="A247:B247"/>
    <mergeCell ref="A248:B248"/>
    <mergeCell ref="A249:H249"/>
    <mergeCell ref="C252:F252"/>
    <mergeCell ref="A253:H253"/>
    <mergeCell ref="L253:M253"/>
    <mergeCell ref="A254:B254"/>
    <mergeCell ref="L249:M249"/>
    <mergeCell ref="A250:B250"/>
    <mergeCell ref="G250:H252"/>
    <mergeCell ref="G254:H257"/>
    <mergeCell ref="G259:H262"/>
    <mergeCell ref="A251:B251"/>
    <mergeCell ref="A252:B252"/>
    <mergeCell ref="A240:B240"/>
    <mergeCell ref="A241:H241"/>
    <mergeCell ref="L241:M241"/>
    <mergeCell ref="G238:H240"/>
    <mergeCell ref="G242:H244"/>
    <mergeCell ref="G246:H248"/>
    <mergeCell ref="A242:B242"/>
    <mergeCell ref="A243:B243"/>
    <mergeCell ref="A244:B244"/>
    <mergeCell ref="C248:F248"/>
    <mergeCell ref="A245:H245"/>
    <mergeCell ref="L232:M232"/>
    <mergeCell ref="A233:B233"/>
    <mergeCell ref="A224:B224"/>
    <mergeCell ref="A225:B225"/>
    <mergeCell ref="A226:B226"/>
    <mergeCell ref="A227:H227"/>
    <mergeCell ref="L227:M227"/>
    <mergeCell ref="A228:B228"/>
    <mergeCell ref="A229:B229"/>
    <mergeCell ref="A230:B230"/>
    <mergeCell ref="G228:H231"/>
    <mergeCell ref="G233:H236"/>
    <mergeCell ref="G212:H215"/>
    <mergeCell ref="A211:H211"/>
    <mergeCell ref="L202:M202"/>
    <mergeCell ref="A203:B203"/>
    <mergeCell ref="C203:F204"/>
    <mergeCell ref="A204:B204"/>
    <mergeCell ref="L222:M222"/>
    <mergeCell ref="A223:B223"/>
    <mergeCell ref="A214:B214"/>
    <mergeCell ref="A215:B215"/>
    <mergeCell ref="A216:H216"/>
    <mergeCell ref="L216:M216"/>
    <mergeCell ref="A217:H217"/>
    <mergeCell ref="L217:M217"/>
    <mergeCell ref="A218:B218"/>
    <mergeCell ref="G218:H221"/>
    <mergeCell ref="G223:H226"/>
    <mergeCell ref="A198:B198"/>
    <mergeCell ref="A199:B199"/>
    <mergeCell ref="A200:B200"/>
    <mergeCell ref="A201:B201"/>
    <mergeCell ref="L211:M211"/>
    <mergeCell ref="C198:F199"/>
    <mergeCell ref="L197:M197"/>
    <mergeCell ref="A185:B185"/>
    <mergeCell ref="A186:H186"/>
    <mergeCell ref="L186:M186"/>
    <mergeCell ref="A187:B187"/>
    <mergeCell ref="A188:B188"/>
    <mergeCell ref="G184:H185"/>
    <mergeCell ref="G187:H188"/>
    <mergeCell ref="A192:B192"/>
    <mergeCell ref="C192:F192"/>
    <mergeCell ref="L207:M207"/>
    <mergeCell ref="A208:B208"/>
    <mergeCell ref="C208:F209"/>
    <mergeCell ref="A209:B209"/>
    <mergeCell ref="G208:H210"/>
    <mergeCell ref="L168:M168"/>
    <mergeCell ref="A169:B169"/>
    <mergeCell ref="A170:B170"/>
    <mergeCell ref="A172:H172"/>
    <mergeCell ref="L172:M172"/>
    <mergeCell ref="A173:B173"/>
    <mergeCell ref="A176:H176"/>
    <mergeCell ref="L176:M176"/>
    <mergeCell ref="A195:H195"/>
    <mergeCell ref="A177:B177"/>
    <mergeCell ref="A178:B178"/>
    <mergeCell ref="A193:H193"/>
    <mergeCell ref="A194:H194"/>
    <mergeCell ref="A182:H182"/>
    <mergeCell ref="L182:M182"/>
    <mergeCell ref="A189:H189"/>
    <mergeCell ref="L189:M189"/>
    <mergeCell ref="L179:M179"/>
    <mergeCell ref="A180:B180"/>
    <mergeCell ref="A181:B181"/>
    <mergeCell ref="A183:H183"/>
    <mergeCell ref="L183:M183"/>
    <mergeCell ref="A184:B184"/>
    <mergeCell ref="G177:H178"/>
    <mergeCell ref="L165:M165"/>
    <mergeCell ref="A166:B166"/>
    <mergeCell ref="A162:H162"/>
    <mergeCell ref="L162:M162"/>
    <mergeCell ref="A163:B163"/>
    <mergeCell ref="A164:B164"/>
    <mergeCell ref="G160:H161"/>
    <mergeCell ref="G163:H164"/>
    <mergeCell ref="G166:H167"/>
    <mergeCell ref="L153:M153"/>
    <mergeCell ref="A154:B154"/>
    <mergeCell ref="A155:B155"/>
    <mergeCell ref="A152:H152"/>
    <mergeCell ref="L152:M152"/>
    <mergeCell ref="A156:H156"/>
    <mergeCell ref="L156:M156"/>
    <mergeCell ref="L159:M159"/>
    <mergeCell ref="A160:B160"/>
    <mergeCell ref="L143:M143"/>
    <mergeCell ref="A144:B144"/>
    <mergeCell ref="A146:H146"/>
    <mergeCell ref="L146:M146"/>
    <mergeCell ref="A147:B147"/>
    <mergeCell ref="A149:H149"/>
    <mergeCell ref="L149:M149"/>
    <mergeCell ref="A148:B148"/>
    <mergeCell ref="C148:F148"/>
    <mergeCell ref="A145:B145"/>
    <mergeCell ref="C145:F145"/>
    <mergeCell ref="A45:B45"/>
    <mergeCell ref="C45:H45"/>
    <mergeCell ref="B309:H309"/>
    <mergeCell ref="G84:H93"/>
    <mergeCell ref="A85:B85"/>
    <mergeCell ref="A86:B86"/>
    <mergeCell ref="A87:B87"/>
    <mergeCell ref="F96:H96"/>
    <mergeCell ref="A96:E96"/>
    <mergeCell ref="D122:D123"/>
    <mergeCell ref="A98:E98"/>
    <mergeCell ref="A131:B131"/>
    <mergeCell ref="A125:B125"/>
    <mergeCell ref="A126:B126"/>
    <mergeCell ref="A127:B127"/>
    <mergeCell ref="A128:B128"/>
    <mergeCell ref="A129:B129"/>
    <mergeCell ref="A99:E99"/>
    <mergeCell ref="F99:H99"/>
    <mergeCell ref="F98:H98"/>
    <mergeCell ref="F104:H104"/>
    <mergeCell ref="A111:B111"/>
    <mergeCell ref="A105:E105"/>
    <mergeCell ref="A161:B161"/>
    <mergeCell ref="A82:B82"/>
    <mergeCell ref="C82:H82"/>
    <mergeCell ref="A83:B83"/>
    <mergeCell ref="E83:F83"/>
    <mergeCell ref="G83:H83"/>
    <mergeCell ref="A100:E100"/>
    <mergeCell ref="F100:H100"/>
    <mergeCell ref="A101:E101"/>
    <mergeCell ref="A103:E103"/>
    <mergeCell ref="F97:H97"/>
    <mergeCell ref="A102:E102"/>
    <mergeCell ref="A97:E97"/>
    <mergeCell ref="B311:H311"/>
    <mergeCell ref="B307:H307"/>
    <mergeCell ref="B305:H305"/>
    <mergeCell ref="B306:H306"/>
    <mergeCell ref="B308:H308"/>
    <mergeCell ref="B310:H310"/>
    <mergeCell ref="A139:H139"/>
    <mergeCell ref="A135:H135"/>
    <mergeCell ref="A136:H136"/>
    <mergeCell ref="A143:H143"/>
    <mergeCell ref="A150:B150"/>
    <mergeCell ref="A153:H153"/>
    <mergeCell ref="A157:B157"/>
    <mergeCell ref="A158:B158"/>
    <mergeCell ref="A159:H159"/>
    <mergeCell ref="A167:B167"/>
    <mergeCell ref="A168:H168"/>
    <mergeCell ref="A174:B174"/>
    <mergeCell ref="A179:H179"/>
    <mergeCell ref="A165:H165"/>
    <mergeCell ref="G180:H181"/>
    <mergeCell ref="A196:H196"/>
    <mergeCell ref="A197:H197"/>
    <mergeCell ref="A202:H202"/>
    <mergeCell ref="L140:M140"/>
    <mergeCell ref="A132:H132"/>
    <mergeCell ref="A133:A134"/>
    <mergeCell ref="L131:M131"/>
    <mergeCell ref="L130:M130"/>
    <mergeCell ref="G127:H127"/>
    <mergeCell ref="G125:H125"/>
    <mergeCell ref="G131:H131"/>
    <mergeCell ref="G130:H130"/>
    <mergeCell ref="G126:H126"/>
    <mergeCell ref="G129:H129"/>
    <mergeCell ref="G128:H128"/>
    <mergeCell ref="L129:M129"/>
    <mergeCell ref="L128:M128"/>
    <mergeCell ref="L127:M127"/>
    <mergeCell ref="L126:M126"/>
    <mergeCell ref="L125:M125"/>
    <mergeCell ref="A130:B130"/>
    <mergeCell ref="A137:H137"/>
    <mergeCell ref="A77:B77"/>
    <mergeCell ref="C115:D115"/>
    <mergeCell ref="E115:F115"/>
    <mergeCell ref="G115:H115"/>
    <mergeCell ref="F101:H101"/>
    <mergeCell ref="A95:E95"/>
    <mergeCell ref="A124:H124"/>
    <mergeCell ref="E122:E123"/>
    <mergeCell ref="G122:H123"/>
    <mergeCell ref="A84:B84"/>
    <mergeCell ref="E84:F93"/>
    <mergeCell ref="A91:B91"/>
    <mergeCell ref="A92:B92"/>
    <mergeCell ref="A93:B93"/>
    <mergeCell ref="A120:H120"/>
    <mergeCell ref="A109:B109"/>
    <mergeCell ref="F102:H102"/>
    <mergeCell ref="C109:D109"/>
    <mergeCell ref="F105:H105"/>
    <mergeCell ref="F103:H103"/>
    <mergeCell ref="A121:H121"/>
    <mergeCell ref="G109:H109"/>
    <mergeCell ref="A104:E104"/>
    <mergeCell ref="C110:D110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C35:H35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9:C59"/>
    <mergeCell ref="A60:C60"/>
    <mergeCell ref="D59:H59"/>
    <mergeCell ref="E70:F79"/>
    <mergeCell ref="G70:H79"/>
    <mergeCell ref="A78:B78"/>
    <mergeCell ref="A79:B79"/>
    <mergeCell ref="D60:H60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6:H56"/>
    <mergeCell ref="A56:C56"/>
    <mergeCell ref="G47:H47"/>
    <mergeCell ref="A50:B51"/>
    <mergeCell ref="A76:B76"/>
    <mergeCell ref="A69:B69"/>
    <mergeCell ref="A72:B72"/>
    <mergeCell ref="A64:C64"/>
    <mergeCell ref="D64:H64"/>
    <mergeCell ref="A70:B70"/>
    <mergeCell ref="G69:H69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D63:H63"/>
    <mergeCell ref="A328:H331"/>
    <mergeCell ref="A327:B327"/>
    <mergeCell ref="E327:F327"/>
    <mergeCell ref="C327:D327"/>
    <mergeCell ref="G327:H327"/>
    <mergeCell ref="A108:H108"/>
    <mergeCell ref="A106:E106"/>
    <mergeCell ref="F106:H106"/>
    <mergeCell ref="A107:E107"/>
    <mergeCell ref="F107:H107"/>
    <mergeCell ref="A140:H140"/>
    <mergeCell ref="A110:B110"/>
    <mergeCell ref="A323:H323"/>
    <mergeCell ref="A113:H113"/>
    <mergeCell ref="A326:H326"/>
    <mergeCell ref="A324:H324"/>
    <mergeCell ref="A304:H304"/>
    <mergeCell ref="C122:C123"/>
    <mergeCell ref="B133:B134"/>
    <mergeCell ref="A320:H320"/>
    <mergeCell ref="A321:H321"/>
    <mergeCell ref="E114:F114"/>
    <mergeCell ref="E109:F109"/>
    <mergeCell ref="E110:F110"/>
    <mergeCell ref="B122:B123"/>
    <mergeCell ref="A122:A123"/>
    <mergeCell ref="C133:C134"/>
    <mergeCell ref="B312:H312"/>
    <mergeCell ref="B313:H313"/>
    <mergeCell ref="C51:E51"/>
    <mergeCell ref="G51:H51"/>
    <mergeCell ref="G46:H46"/>
    <mergeCell ref="G50:H50"/>
    <mergeCell ref="D54:H54"/>
    <mergeCell ref="C50:E50"/>
    <mergeCell ref="A57:C58"/>
    <mergeCell ref="D57:H57"/>
    <mergeCell ref="D58:H58"/>
    <mergeCell ref="C47:E47"/>
    <mergeCell ref="A52:B52"/>
    <mergeCell ref="C52:E52"/>
    <mergeCell ref="A47:B47"/>
    <mergeCell ref="A53:H53"/>
    <mergeCell ref="A54:C54"/>
    <mergeCell ref="A55:C55"/>
    <mergeCell ref="D55:H55"/>
    <mergeCell ref="G52:H52"/>
    <mergeCell ref="A119:B119"/>
    <mergeCell ref="E39:H39"/>
    <mergeCell ref="A39:D39"/>
    <mergeCell ref="A325:H325"/>
    <mergeCell ref="A322:H322"/>
    <mergeCell ref="A141:B141"/>
    <mergeCell ref="A114:B114"/>
    <mergeCell ref="D133:D134"/>
    <mergeCell ref="E133:E134"/>
    <mergeCell ref="G133:H134"/>
    <mergeCell ref="A88:B88"/>
    <mergeCell ref="A89:B89"/>
    <mergeCell ref="A90:B90"/>
    <mergeCell ref="A80:B80"/>
    <mergeCell ref="C80:H80"/>
    <mergeCell ref="A75:B75"/>
    <mergeCell ref="F95:H95"/>
    <mergeCell ref="A94:H94"/>
    <mergeCell ref="G110:H110"/>
    <mergeCell ref="A46:B46"/>
    <mergeCell ref="C46:E46"/>
    <mergeCell ref="E119:F119"/>
    <mergeCell ref="G119:H119"/>
    <mergeCell ref="C111:D111"/>
    <mergeCell ref="E111:F111"/>
    <mergeCell ref="C119:D119"/>
    <mergeCell ref="G111:H111"/>
    <mergeCell ref="A112:B112"/>
    <mergeCell ref="C112:D112"/>
    <mergeCell ref="E112:F112"/>
    <mergeCell ref="G112:H112"/>
    <mergeCell ref="A117:B117"/>
    <mergeCell ref="C117:D117"/>
    <mergeCell ref="E117:F117"/>
    <mergeCell ref="G117:H117"/>
    <mergeCell ref="C114:D114"/>
    <mergeCell ref="G114:H114"/>
    <mergeCell ref="G300:H303"/>
    <mergeCell ref="B318:H318"/>
    <mergeCell ref="B317:H317"/>
    <mergeCell ref="A118:B118"/>
    <mergeCell ref="C118:D118"/>
    <mergeCell ref="E118:F118"/>
    <mergeCell ref="G118:H118"/>
    <mergeCell ref="A175:B175"/>
    <mergeCell ref="C175:F175"/>
    <mergeCell ref="A171:B171"/>
    <mergeCell ref="C171:F171"/>
    <mergeCell ref="G169:H171"/>
    <mergeCell ref="G173:H175"/>
    <mergeCell ref="G190:H192"/>
    <mergeCell ref="G198:H201"/>
    <mergeCell ref="G203:H206"/>
    <mergeCell ref="A142:B142"/>
    <mergeCell ref="C142:F142"/>
    <mergeCell ref="G141:H142"/>
    <mergeCell ref="G144:H145"/>
    <mergeCell ref="G147:H148"/>
    <mergeCell ref="G150:H151"/>
    <mergeCell ref="G154:H155"/>
    <mergeCell ref="G157:H158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331" max="16383" man="1"/>
    <brk id="374" max="16383" man="1"/>
    <brk id="41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2" zoomScale="85" zoomScaleNormal="85" workbookViewId="0">
      <selection activeCell="J38" sqref="J38"/>
    </sheetView>
  </sheetViews>
  <sheetFormatPr defaultColWidth="8.6328125" defaultRowHeight="14.5" x14ac:dyDescent="0.35"/>
  <cols>
    <col min="1" max="1" width="8.6328125" style="15"/>
    <col min="2" max="2" width="22.08984375" style="15" customWidth="1"/>
    <col min="3" max="3" width="37" style="15" customWidth="1"/>
    <col min="4" max="5" width="11.453125" style="15" customWidth="1"/>
    <col min="6" max="6" width="14" style="15" customWidth="1"/>
    <col min="7" max="7" width="20" style="15" customWidth="1"/>
    <col min="8" max="8" width="16.453125" style="15" customWidth="1"/>
    <col min="9" max="16384" width="8.6328125" style="15"/>
  </cols>
  <sheetData>
    <row r="1" spans="1:9" ht="15" customHeight="1" x14ac:dyDescent="0.35"/>
    <row r="2" spans="1:9" ht="15" customHeight="1" x14ac:dyDescent="0.35">
      <c r="A2" s="16"/>
      <c r="B2" s="16"/>
      <c r="C2" s="16"/>
      <c r="D2" s="16"/>
      <c r="E2" s="16"/>
      <c r="F2" s="16"/>
      <c r="G2" s="16"/>
      <c r="H2" s="16"/>
    </row>
    <row r="3" spans="1:9" ht="15.75" customHeight="1" x14ac:dyDescent="0.35">
      <c r="A3" s="16"/>
      <c r="B3" s="170" t="s">
        <v>117</v>
      </c>
      <c r="C3" s="170"/>
      <c r="D3" s="170"/>
      <c r="E3" s="170"/>
      <c r="F3" s="170"/>
      <c r="G3" s="170"/>
      <c r="H3" s="170"/>
    </row>
    <row r="4" spans="1:9" x14ac:dyDescent="0.35">
      <c r="A4" s="16"/>
      <c r="B4" s="17" t="s">
        <v>118</v>
      </c>
      <c r="C4" s="17" t="s">
        <v>119</v>
      </c>
      <c r="D4" s="17" t="s">
        <v>72</v>
      </c>
      <c r="E4" s="17" t="s">
        <v>120</v>
      </c>
      <c r="F4" s="17" t="s">
        <v>126</v>
      </c>
      <c r="G4" s="17" t="s">
        <v>127</v>
      </c>
      <c r="H4" s="17" t="s">
        <v>121</v>
      </c>
    </row>
    <row r="5" spans="1:9" ht="15" customHeight="1" x14ac:dyDescent="0.35">
      <c r="A5" s="16"/>
      <c r="B5" s="19" t="s">
        <v>122</v>
      </c>
      <c r="C5" s="20"/>
      <c r="D5" s="54" t="s">
        <v>200</v>
      </c>
      <c r="E5" s="19">
        <v>840</v>
      </c>
      <c r="F5" s="21">
        <f>E5*1.6</f>
        <v>1344</v>
      </c>
      <c r="G5" s="21">
        <f>H5/F5</f>
        <v>25297.619047619046</v>
      </c>
      <c r="H5" s="22">
        <v>34000000</v>
      </c>
    </row>
    <row r="6" spans="1:9" x14ac:dyDescent="0.35">
      <c r="A6" s="16"/>
      <c r="B6" s="19" t="s">
        <v>122</v>
      </c>
      <c r="C6" s="23"/>
      <c r="D6" s="54" t="s">
        <v>201</v>
      </c>
      <c r="E6" s="19">
        <v>1264</v>
      </c>
      <c r="F6" s="21">
        <f t="shared" ref="F6:F11" si="0">E6*1.6</f>
        <v>2022.4</v>
      </c>
      <c r="G6" s="21">
        <f t="shared" ref="G6:G11" si="1">H6/F6</f>
        <v>24574.762658227846</v>
      </c>
      <c r="H6" s="22">
        <v>49700000</v>
      </c>
    </row>
    <row r="7" spans="1:9" ht="15" customHeight="1" x14ac:dyDescent="0.35">
      <c r="A7" s="16"/>
      <c r="B7" s="19" t="s">
        <v>122</v>
      </c>
      <c r="C7" s="20"/>
      <c r="D7" s="54" t="s">
        <v>202</v>
      </c>
      <c r="E7" s="19">
        <v>2190</v>
      </c>
      <c r="F7" s="21">
        <f t="shared" si="0"/>
        <v>3504</v>
      </c>
      <c r="G7" s="21">
        <f t="shared" si="1"/>
        <v>26883.561643835616</v>
      </c>
      <c r="H7" s="22">
        <v>94200000</v>
      </c>
    </row>
    <row r="8" spans="1:9" x14ac:dyDescent="0.35">
      <c r="A8" s="16"/>
      <c r="B8" s="19" t="s">
        <v>122</v>
      </c>
      <c r="C8" s="23"/>
      <c r="D8" s="19"/>
      <c r="E8" s="19"/>
      <c r="F8" s="21">
        <f t="shared" si="0"/>
        <v>0</v>
      </c>
      <c r="G8" s="21" t="e">
        <f t="shared" si="1"/>
        <v>#DIV/0!</v>
      </c>
      <c r="H8" s="22"/>
    </row>
    <row r="9" spans="1:9" ht="15" customHeight="1" x14ac:dyDescent="0.35">
      <c r="A9" s="16"/>
      <c r="B9" s="19" t="s">
        <v>122</v>
      </c>
      <c r="C9" s="23"/>
      <c r="D9" s="19"/>
      <c r="E9" s="19"/>
      <c r="F9" s="21">
        <f t="shared" si="0"/>
        <v>0</v>
      </c>
      <c r="G9" s="21" t="e">
        <f t="shared" si="1"/>
        <v>#DIV/0!</v>
      </c>
      <c r="H9" s="22"/>
    </row>
    <row r="10" spans="1:9" ht="15" customHeight="1" x14ac:dyDescent="0.35">
      <c r="A10" s="16"/>
      <c r="B10" s="19" t="s">
        <v>123</v>
      </c>
      <c r="C10" s="20"/>
      <c r="D10" s="19"/>
      <c r="E10" s="19"/>
      <c r="F10" s="21">
        <f t="shared" si="0"/>
        <v>0</v>
      </c>
      <c r="G10" s="21" t="e">
        <f t="shared" si="1"/>
        <v>#DIV/0!</v>
      </c>
      <c r="H10" s="22"/>
    </row>
    <row r="11" spans="1:9" ht="15" customHeight="1" x14ac:dyDescent="0.35">
      <c r="A11" s="16"/>
      <c r="B11" s="19" t="s">
        <v>123</v>
      </c>
      <c r="C11" s="20"/>
      <c r="D11" s="19"/>
      <c r="E11" s="19"/>
      <c r="F11" s="21">
        <f t="shared" si="0"/>
        <v>0</v>
      </c>
      <c r="G11" s="21" t="e">
        <f t="shared" si="1"/>
        <v>#DIV/0!</v>
      </c>
      <c r="H11" s="22"/>
    </row>
    <row r="12" spans="1:9" ht="15" customHeight="1" x14ac:dyDescent="0.35">
      <c r="A12" s="16"/>
      <c r="B12" s="24" t="s">
        <v>124</v>
      </c>
      <c r="C12" s="19"/>
      <c r="D12" s="19"/>
      <c r="E12" s="19"/>
      <c r="F12" s="19"/>
      <c r="G12" s="25">
        <f>AVERAGE(G5:G7)</f>
        <v>25585.314449894169</v>
      </c>
      <c r="H12" s="19"/>
    </row>
    <row r="13" spans="1:9" ht="15" customHeight="1" x14ac:dyDescent="0.35">
      <c r="B13" s="24" t="s">
        <v>125</v>
      </c>
      <c r="C13" s="19"/>
      <c r="D13" s="19"/>
      <c r="E13" s="19"/>
      <c r="F13" s="26"/>
      <c r="G13" s="24"/>
      <c r="H13" s="24"/>
      <c r="I13" s="18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2025-09-05T05:32:58Z</cp:lastPrinted>
  <dcterms:created xsi:type="dcterms:W3CDTF">2019-07-16T09:29:46Z</dcterms:created>
  <dcterms:modified xsi:type="dcterms:W3CDTF">2025-09-05T05:33:39Z</dcterms:modified>
</cp:coreProperties>
</file>