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Old\"/>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Report!$A$1:$H$738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3" i="1" l="1"/>
  <c r="I154" i="1"/>
  <c r="I155" i="1"/>
  <c r="I156" i="1"/>
  <c r="I157" i="1"/>
  <c r="I158" i="1"/>
  <c r="I159" i="1"/>
  <c r="I152" i="1"/>
  <c r="D412" i="1" l="1"/>
  <c r="D411" i="1"/>
  <c r="D410" i="1"/>
  <c r="D409" i="1"/>
  <c r="D408" i="1"/>
  <c r="D407" i="1"/>
  <c r="D406" i="1"/>
  <c r="D405" i="1"/>
  <c r="D404" i="1"/>
  <c r="D403" i="1"/>
  <c r="D402" i="1"/>
  <c r="D401" i="1"/>
  <c r="D400" i="1"/>
  <c r="D399" i="1"/>
  <c r="D398" i="1"/>
  <c r="D397" i="1"/>
  <c r="D396" i="1"/>
  <c r="D395" i="1"/>
  <c r="D394" i="1"/>
  <c r="D393" i="1"/>
  <c r="C118" i="1" s="1"/>
  <c r="D377" i="1"/>
  <c r="D376" i="1"/>
  <c r="D346" i="1"/>
  <c r="D345" i="1"/>
  <c r="D341" i="1"/>
  <c r="D336" i="1"/>
  <c r="D335" i="1"/>
  <c r="D330" i="1"/>
  <c r="D258" i="1"/>
  <c r="D257" i="1"/>
  <c r="D256" i="1"/>
  <c r="D255" i="1"/>
  <c r="D254" i="1"/>
  <c r="D253" i="1"/>
  <c r="D252" i="1"/>
  <c r="D250" i="1"/>
  <c r="D249" i="1"/>
  <c r="D248" i="1"/>
  <c r="D247" i="1"/>
  <c r="D246" i="1"/>
  <c r="D245" i="1"/>
  <c r="D241" i="1"/>
  <c r="D240" i="1"/>
  <c r="D238" i="1"/>
  <c r="D237" i="1"/>
  <c r="D233" i="1"/>
  <c r="D232" i="1"/>
  <c r="D230" i="1"/>
  <c r="D229" i="1"/>
  <c r="D224" i="1"/>
  <c r="D222" i="1"/>
  <c r="D221" i="1"/>
  <c r="D217" i="1"/>
  <c r="D215" i="1"/>
  <c r="D214" i="1"/>
  <c r="D211" i="1"/>
  <c r="D210" i="1"/>
  <c r="D208" i="1"/>
  <c r="D207" i="1"/>
  <c r="D204" i="1"/>
  <c r="D203" i="1"/>
  <c r="D201" i="1"/>
  <c r="D200" i="1"/>
  <c r="D143" i="1"/>
  <c r="D142" i="1"/>
  <c r="D141" i="1"/>
  <c r="D140" i="1"/>
  <c r="D139" i="1"/>
  <c r="D138" i="1"/>
  <c r="D137" i="1"/>
  <c r="D135" i="1"/>
  <c r="D134" i="1"/>
  <c r="I134" i="1"/>
  <c r="E538" i="1" l="1"/>
  <c r="D538" i="1"/>
  <c r="E537" i="1"/>
  <c r="D537" i="1"/>
  <c r="F537" i="1" s="1"/>
  <c r="H537" i="1" s="1"/>
  <c r="E536" i="1"/>
  <c r="D536" i="1"/>
  <c r="E535" i="1"/>
  <c r="D535" i="1"/>
  <c r="E534" i="1"/>
  <c r="D534" i="1"/>
  <c r="E533" i="1"/>
  <c r="D533" i="1"/>
  <c r="F533" i="1" s="1"/>
  <c r="H533" i="1" s="1"/>
  <c r="E532" i="1"/>
  <c r="D532" i="1"/>
  <c r="E531" i="1"/>
  <c r="D531" i="1"/>
  <c r="E530" i="1"/>
  <c r="D530" i="1"/>
  <c r="E529" i="1"/>
  <c r="D529" i="1"/>
  <c r="F529" i="1" s="1"/>
  <c r="H529" i="1" s="1"/>
  <c r="E528" i="1"/>
  <c r="D528" i="1"/>
  <c r="E527" i="1"/>
  <c r="D527" i="1"/>
  <c r="E526" i="1"/>
  <c r="D526" i="1"/>
  <c r="E525" i="1"/>
  <c r="D525" i="1"/>
  <c r="F525" i="1" s="1"/>
  <c r="H525" i="1" s="1"/>
  <c r="E524" i="1"/>
  <c r="D524" i="1"/>
  <c r="E523" i="1"/>
  <c r="D523" i="1"/>
  <c r="E522" i="1"/>
  <c r="D522" i="1"/>
  <c r="E521" i="1"/>
  <c r="D521" i="1"/>
  <c r="F521" i="1" s="1"/>
  <c r="H521" i="1" s="1"/>
  <c r="E520" i="1"/>
  <c r="D520" i="1"/>
  <c r="E519" i="1"/>
  <c r="D519" i="1"/>
  <c r="D509" i="1"/>
  <c r="D507" i="1"/>
  <c r="D506" i="1"/>
  <c r="F516" i="1"/>
  <c r="H516" i="1" s="1"/>
  <c r="E516" i="1"/>
  <c r="D516" i="1"/>
  <c r="E515" i="1"/>
  <c r="D515" i="1"/>
  <c r="E514" i="1"/>
  <c r="D514" i="1"/>
  <c r="E513" i="1"/>
  <c r="D513" i="1"/>
  <c r="F513" i="1" s="1"/>
  <c r="H513" i="1" s="1"/>
  <c r="E512" i="1"/>
  <c r="D512" i="1"/>
  <c r="F512" i="1" s="1"/>
  <c r="H512" i="1" s="1"/>
  <c r="E511" i="1"/>
  <c r="D511" i="1"/>
  <c r="E509" i="1"/>
  <c r="E508" i="1"/>
  <c r="D508" i="1"/>
  <c r="E507" i="1"/>
  <c r="E506" i="1"/>
  <c r="F506" i="1" s="1"/>
  <c r="H506" i="1" s="1"/>
  <c r="F505" i="1"/>
  <c r="H505" i="1" s="1"/>
  <c r="E505" i="1"/>
  <c r="D505" i="1"/>
  <c r="E504" i="1"/>
  <c r="D504" i="1"/>
  <c r="F504" i="1" s="1"/>
  <c r="H504" i="1" s="1"/>
  <c r="E503" i="1"/>
  <c r="D503" i="1"/>
  <c r="F503" i="1" s="1"/>
  <c r="H503" i="1" s="1"/>
  <c r="E502" i="1"/>
  <c r="D502" i="1"/>
  <c r="E501" i="1"/>
  <c r="D501" i="1"/>
  <c r="F501" i="1" s="1"/>
  <c r="H501" i="1" s="1"/>
  <c r="E500" i="1"/>
  <c r="D500" i="1"/>
  <c r="F500" i="1" s="1"/>
  <c r="H500" i="1" s="1"/>
  <c r="E499" i="1"/>
  <c r="D499" i="1"/>
  <c r="E498" i="1"/>
  <c r="D498" i="1"/>
  <c r="F498" i="1" s="1"/>
  <c r="H498" i="1" s="1"/>
  <c r="D490" i="1"/>
  <c r="F490" i="1" s="1"/>
  <c r="H490" i="1" s="1"/>
  <c r="D488" i="1"/>
  <c r="D486" i="1"/>
  <c r="D485" i="1"/>
  <c r="F485" i="1" s="1"/>
  <c r="H485" i="1" s="1"/>
  <c r="F496" i="1"/>
  <c r="H496" i="1" s="1"/>
  <c r="E496" i="1"/>
  <c r="D496" i="1"/>
  <c r="E495" i="1"/>
  <c r="F495" i="1" s="1"/>
  <c r="H495" i="1" s="1"/>
  <c r="D495" i="1"/>
  <c r="E494" i="1"/>
  <c r="D494" i="1"/>
  <c r="F494" i="1" s="1"/>
  <c r="H494" i="1" s="1"/>
  <c r="E493" i="1"/>
  <c r="D493" i="1"/>
  <c r="E492" i="1"/>
  <c r="D492" i="1"/>
  <c r="F492" i="1" s="1"/>
  <c r="H492" i="1" s="1"/>
  <c r="E491" i="1"/>
  <c r="D491" i="1"/>
  <c r="F491" i="1" s="1"/>
  <c r="H491" i="1" s="1"/>
  <c r="E490" i="1"/>
  <c r="E489" i="1"/>
  <c r="D489" i="1"/>
  <c r="F489" i="1" s="1"/>
  <c r="H489" i="1" s="1"/>
  <c r="E488" i="1"/>
  <c r="F488" i="1" s="1"/>
  <c r="H488" i="1" s="1"/>
  <c r="E487" i="1"/>
  <c r="D487" i="1"/>
  <c r="F487" i="1" s="1"/>
  <c r="H487" i="1" s="1"/>
  <c r="F486" i="1"/>
  <c r="H486" i="1" s="1"/>
  <c r="E486" i="1"/>
  <c r="E485" i="1"/>
  <c r="E484" i="1"/>
  <c r="D484" i="1"/>
  <c r="F484" i="1" s="1"/>
  <c r="H484" i="1" s="1"/>
  <c r="E483" i="1"/>
  <c r="D483" i="1"/>
  <c r="F483" i="1" s="1"/>
  <c r="H483" i="1" s="1"/>
  <c r="F482" i="1"/>
  <c r="H482" i="1" s="1"/>
  <c r="E482" i="1"/>
  <c r="D482" i="1"/>
  <c r="E481" i="1"/>
  <c r="D481" i="1"/>
  <c r="F481" i="1" s="1"/>
  <c r="H481" i="1" s="1"/>
  <c r="E480" i="1"/>
  <c r="D480" i="1"/>
  <c r="F480" i="1" s="1"/>
  <c r="H480" i="1" s="1"/>
  <c r="E479" i="1"/>
  <c r="D479" i="1"/>
  <c r="E478" i="1"/>
  <c r="D478" i="1"/>
  <c r="F478" i="1" s="1"/>
  <c r="H478" i="1" s="1"/>
  <c r="F477" i="1"/>
  <c r="H477" i="1" s="1"/>
  <c r="E477" i="1"/>
  <c r="D477" i="1"/>
  <c r="D469" i="1"/>
  <c r="D467" i="1"/>
  <c r="F467" i="1" s="1"/>
  <c r="H467" i="1" s="1"/>
  <c r="D465" i="1"/>
  <c r="D464" i="1"/>
  <c r="E475" i="1"/>
  <c r="F475" i="1" s="1"/>
  <c r="H475" i="1" s="1"/>
  <c r="D475" i="1"/>
  <c r="E474" i="1"/>
  <c r="D474" i="1"/>
  <c r="F474" i="1" s="1"/>
  <c r="H474" i="1" s="1"/>
  <c r="E473" i="1"/>
  <c r="D473" i="1"/>
  <c r="E472" i="1"/>
  <c r="D472" i="1"/>
  <c r="F472" i="1" s="1"/>
  <c r="H472" i="1" s="1"/>
  <c r="E471" i="1"/>
  <c r="D471" i="1"/>
  <c r="F471" i="1" s="1"/>
  <c r="H471" i="1" s="1"/>
  <c r="E470" i="1"/>
  <c r="D470" i="1"/>
  <c r="E469" i="1"/>
  <c r="E468" i="1"/>
  <c r="D468" i="1"/>
  <c r="F468" i="1" s="1"/>
  <c r="H468" i="1" s="1"/>
  <c r="E467" i="1"/>
  <c r="E466" i="1"/>
  <c r="D466" i="1"/>
  <c r="F466" i="1" s="1"/>
  <c r="H466" i="1" s="1"/>
  <c r="E465" i="1"/>
  <c r="F465" i="1" s="1"/>
  <c r="H465" i="1" s="1"/>
  <c r="E464" i="1"/>
  <c r="E463" i="1"/>
  <c r="D463" i="1"/>
  <c r="F463" i="1" s="1"/>
  <c r="H463" i="1" s="1"/>
  <c r="E462" i="1"/>
  <c r="D462" i="1"/>
  <c r="F462" i="1" s="1"/>
  <c r="H462" i="1" s="1"/>
  <c r="E461" i="1"/>
  <c r="D461" i="1"/>
  <c r="E460" i="1"/>
  <c r="D460" i="1"/>
  <c r="F460" i="1" s="1"/>
  <c r="H460" i="1" s="1"/>
  <c r="F459" i="1"/>
  <c r="H459" i="1" s="1"/>
  <c r="E459" i="1"/>
  <c r="D459" i="1"/>
  <c r="F458" i="1"/>
  <c r="H458" i="1" s="1"/>
  <c r="E458" i="1"/>
  <c r="D458" i="1"/>
  <c r="E457" i="1"/>
  <c r="D457" i="1"/>
  <c r="F457" i="1" s="1"/>
  <c r="H457" i="1" s="1"/>
  <c r="E456" i="1"/>
  <c r="D456" i="1"/>
  <c r="D448" i="1"/>
  <c r="F448" i="1" s="1"/>
  <c r="H448" i="1" s="1"/>
  <c r="D446" i="1"/>
  <c r="D444" i="1"/>
  <c r="D443" i="1"/>
  <c r="D440" i="1"/>
  <c r="D439" i="1"/>
  <c r="F439" i="1"/>
  <c r="H439" i="1" s="1"/>
  <c r="E454" i="1"/>
  <c r="D454" i="1"/>
  <c r="F454" i="1" s="1"/>
  <c r="H454" i="1" s="1"/>
  <c r="F453" i="1"/>
  <c r="H453" i="1" s="1"/>
  <c r="E453" i="1"/>
  <c r="D453" i="1"/>
  <c r="E452" i="1"/>
  <c r="D452" i="1"/>
  <c r="F452" i="1" s="1"/>
  <c r="H452" i="1" s="1"/>
  <c r="E451" i="1"/>
  <c r="D451" i="1"/>
  <c r="F451" i="1" s="1"/>
  <c r="H451" i="1" s="1"/>
  <c r="F450" i="1"/>
  <c r="H450" i="1" s="1"/>
  <c r="E450" i="1"/>
  <c r="D450" i="1"/>
  <c r="E449" i="1"/>
  <c r="D449" i="1"/>
  <c r="F449" i="1" s="1"/>
  <c r="H449" i="1" s="1"/>
  <c r="E448" i="1"/>
  <c r="E447" i="1"/>
  <c r="D447" i="1"/>
  <c r="F447" i="1" s="1"/>
  <c r="H447" i="1" s="1"/>
  <c r="E446" i="1"/>
  <c r="E445" i="1"/>
  <c r="D445" i="1"/>
  <c r="F445" i="1" s="1"/>
  <c r="H445" i="1" s="1"/>
  <c r="E444" i="1"/>
  <c r="E443" i="1"/>
  <c r="E442" i="1"/>
  <c r="D442" i="1"/>
  <c r="E441" i="1"/>
  <c r="D441" i="1"/>
  <c r="F441" i="1" s="1"/>
  <c r="H441" i="1" s="1"/>
  <c r="E440" i="1"/>
  <c r="F440" i="1" s="1"/>
  <c r="H440" i="1" s="1"/>
  <c r="E439" i="1"/>
  <c r="E438" i="1"/>
  <c r="D438" i="1"/>
  <c r="F438" i="1" s="1"/>
  <c r="H438" i="1" s="1"/>
  <c r="E437" i="1"/>
  <c r="D437" i="1"/>
  <c r="F437" i="1" s="1"/>
  <c r="H437" i="1" s="1"/>
  <c r="E436" i="1"/>
  <c r="D436" i="1"/>
  <c r="F436" i="1" s="1"/>
  <c r="H436" i="1" s="1"/>
  <c r="E435" i="1"/>
  <c r="D435" i="1"/>
  <c r="F435" i="1" s="1"/>
  <c r="H435" i="1" s="1"/>
  <c r="D432" i="1"/>
  <c r="D427" i="1"/>
  <c r="D419" i="1"/>
  <c r="D418" i="1"/>
  <c r="E432" i="1"/>
  <c r="F432" i="1" s="1"/>
  <c r="H432" i="1" s="1"/>
  <c r="E431" i="1"/>
  <c r="D431" i="1"/>
  <c r="E430" i="1"/>
  <c r="D430" i="1"/>
  <c r="E429" i="1"/>
  <c r="D429" i="1"/>
  <c r="E428" i="1"/>
  <c r="D428" i="1"/>
  <c r="E427" i="1"/>
  <c r="F427" i="1" s="1"/>
  <c r="H427" i="1" s="1"/>
  <c r="E425" i="1"/>
  <c r="D425" i="1"/>
  <c r="E424" i="1"/>
  <c r="D424" i="1"/>
  <c r="E423" i="1"/>
  <c r="D423" i="1"/>
  <c r="E422" i="1"/>
  <c r="D422" i="1"/>
  <c r="E421" i="1"/>
  <c r="D421" i="1"/>
  <c r="E420" i="1"/>
  <c r="D420" i="1"/>
  <c r="E419" i="1"/>
  <c r="F419" i="1" s="1"/>
  <c r="H419" i="1" s="1"/>
  <c r="E418" i="1"/>
  <c r="F418" i="1" s="1"/>
  <c r="H418" i="1" s="1"/>
  <c r="E417" i="1"/>
  <c r="D417" i="1"/>
  <c r="E416" i="1"/>
  <c r="D416" i="1"/>
  <c r="E415" i="1"/>
  <c r="D415" i="1"/>
  <c r="E414" i="1"/>
  <c r="D414" i="1"/>
  <c r="F414" i="1" s="1"/>
  <c r="H414" i="1" s="1"/>
  <c r="E412" i="1"/>
  <c r="E411" i="1"/>
  <c r="F411" i="1"/>
  <c r="H411" i="1" s="1"/>
  <c r="E410" i="1"/>
  <c r="E409" i="1"/>
  <c r="F409" i="1" s="1"/>
  <c r="H409" i="1" s="1"/>
  <c r="E408" i="1"/>
  <c r="E407" i="1"/>
  <c r="F407" i="1"/>
  <c r="H407" i="1" s="1"/>
  <c r="E406" i="1"/>
  <c r="E405" i="1"/>
  <c r="F405" i="1"/>
  <c r="H405" i="1" s="1"/>
  <c r="E404" i="1"/>
  <c r="E403" i="1"/>
  <c r="F403" i="1"/>
  <c r="H403" i="1" s="1"/>
  <c r="E402" i="1"/>
  <c r="E401" i="1"/>
  <c r="F401" i="1" s="1"/>
  <c r="H401" i="1" s="1"/>
  <c r="E400" i="1"/>
  <c r="E399" i="1"/>
  <c r="F399" i="1" s="1"/>
  <c r="H399" i="1" s="1"/>
  <c r="E398" i="1"/>
  <c r="E397" i="1"/>
  <c r="F397" i="1"/>
  <c r="H397" i="1" s="1"/>
  <c r="E396" i="1"/>
  <c r="E395" i="1"/>
  <c r="F395" i="1"/>
  <c r="H395" i="1" s="1"/>
  <c r="E394" i="1"/>
  <c r="E393" i="1"/>
  <c r="F393" i="1" s="1"/>
  <c r="E391" i="1"/>
  <c r="D391" i="1"/>
  <c r="F391" i="1" s="1"/>
  <c r="H391" i="1" s="1"/>
  <c r="E390" i="1"/>
  <c r="D390" i="1"/>
  <c r="F390" i="1" s="1"/>
  <c r="H390" i="1" s="1"/>
  <c r="E389" i="1"/>
  <c r="D389" i="1"/>
  <c r="E388" i="1"/>
  <c r="D388" i="1"/>
  <c r="F388" i="1" s="1"/>
  <c r="H388" i="1" s="1"/>
  <c r="F387" i="1"/>
  <c r="H387" i="1" s="1"/>
  <c r="E387" i="1"/>
  <c r="D387" i="1"/>
  <c r="E386" i="1"/>
  <c r="D386" i="1"/>
  <c r="E385" i="1"/>
  <c r="D385" i="1"/>
  <c r="F385" i="1" s="1"/>
  <c r="H385" i="1" s="1"/>
  <c r="E384" i="1"/>
  <c r="F384" i="1" s="1"/>
  <c r="H384" i="1" s="1"/>
  <c r="D384" i="1"/>
  <c r="E383" i="1"/>
  <c r="D383" i="1"/>
  <c r="F383" i="1" s="1"/>
  <c r="H383" i="1" s="1"/>
  <c r="E382" i="1"/>
  <c r="D382" i="1"/>
  <c r="F382" i="1" s="1"/>
  <c r="H382" i="1" s="1"/>
  <c r="E381" i="1"/>
  <c r="D381" i="1"/>
  <c r="F381" i="1" s="1"/>
  <c r="H381" i="1" s="1"/>
  <c r="E380" i="1"/>
  <c r="D380" i="1"/>
  <c r="F380" i="1" s="1"/>
  <c r="H380" i="1" s="1"/>
  <c r="F379" i="1"/>
  <c r="H379" i="1" s="1"/>
  <c r="E379" i="1"/>
  <c r="D379" i="1"/>
  <c r="E378" i="1"/>
  <c r="D378" i="1"/>
  <c r="F378" i="1" s="1"/>
  <c r="H378" i="1" s="1"/>
  <c r="E377" i="1"/>
  <c r="F377" i="1"/>
  <c r="H377" i="1" s="1"/>
  <c r="F376" i="1"/>
  <c r="H376" i="1" s="1"/>
  <c r="E376" i="1"/>
  <c r="E375" i="1"/>
  <c r="D375" i="1"/>
  <c r="F375" i="1" s="1"/>
  <c r="H375" i="1" s="1"/>
  <c r="E374" i="1"/>
  <c r="D374" i="1"/>
  <c r="E373" i="1"/>
  <c r="D373" i="1"/>
  <c r="F373" i="1" s="1"/>
  <c r="H373" i="1" s="1"/>
  <c r="F372" i="1"/>
  <c r="H372" i="1" s="1"/>
  <c r="E372" i="1"/>
  <c r="D372" i="1"/>
  <c r="D367" i="1"/>
  <c r="D366" i="1"/>
  <c r="D370" i="1"/>
  <c r="D363" i="1"/>
  <c r="D362" i="1"/>
  <c r="D357" i="1"/>
  <c r="D356" i="1"/>
  <c r="D351" i="1"/>
  <c r="E370" i="1"/>
  <c r="F370" i="1" s="1"/>
  <c r="H370" i="1" s="1"/>
  <c r="E369" i="1"/>
  <c r="D369" i="1"/>
  <c r="E368" i="1"/>
  <c r="D368" i="1"/>
  <c r="E367" i="1"/>
  <c r="E366" i="1"/>
  <c r="E365" i="1"/>
  <c r="D365" i="1"/>
  <c r="E364" i="1"/>
  <c r="D364" i="1"/>
  <c r="E363" i="1"/>
  <c r="E362" i="1"/>
  <c r="E361" i="1"/>
  <c r="D361" i="1"/>
  <c r="E360" i="1"/>
  <c r="D360" i="1"/>
  <c r="F360" i="1" s="1"/>
  <c r="H360" i="1" s="1"/>
  <c r="E359" i="1"/>
  <c r="D359" i="1"/>
  <c r="E358" i="1"/>
  <c r="D358" i="1"/>
  <c r="F358" i="1" s="1"/>
  <c r="H358" i="1" s="1"/>
  <c r="E357" i="1"/>
  <c r="E356" i="1"/>
  <c r="F356" i="1"/>
  <c r="H356" i="1" s="1"/>
  <c r="E355" i="1"/>
  <c r="D355" i="1"/>
  <c r="E354" i="1"/>
  <c r="D354" i="1"/>
  <c r="F354" i="1" s="1"/>
  <c r="H354" i="1" s="1"/>
  <c r="E353" i="1"/>
  <c r="D353" i="1"/>
  <c r="E352" i="1"/>
  <c r="D352" i="1"/>
  <c r="F352" i="1" s="1"/>
  <c r="H352" i="1" s="1"/>
  <c r="E351" i="1"/>
  <c r="E348" i="1"/>
  <c r="D348" i="1"/>
  <c r="E347" i="1"/>
  <c r="D347" i="1"/>
  <c r="F347" i="1" s="1"/>
  <c r="H347" i="1" s="1"/>
  <c r="E346" i="1"/>
  <c r="E345" i="1"/>
  <c r="F345" i="1"/>
  <c r="H345" i="1" s="1"/>
  <c r="E344" i="1"/>
  <c r="D344" i="1"/>
  <c r="E343" i="1"/>
  <c r="D343" i="1"/>
  <c r="F343" i="1" s="1"/>
  <c r="H343" i="1" s="1"/>
  <c r="E341" i="1"/>
  <c r="E340" i="1"/>
  <c r="D340" i="1"/>
  <c r="E339" i="1"/>
  <c r="D339" i="1"/>
  <c r="E338" i="1"/>
  <c r="D338" i="1"/>
  <c r="E337" i="1"/>
  <c r="D337" i="1"/>
  <c r="E336" i="1"/>
  <c r="F336" i="1" s="1"/>
  <c r="H336" i="1" s="1"/>
  <c r="E335" i="1"/>
  <c r="E334" i="1"/>
  <c r="D334" i="1"/>
  <c r="F334" i="1" s="1"/>
  <c r="H334" i="1" s="1"/>
  <c r="E333" i="1"/>
  <c r="D333" i="1"/>
  <c r="E332" i="1"/>
  <c r="D332" i="1"/>
  <c r="E331" i="1"/>
  <c r="D331" i="1"/>
  <c r="E330" i="1"/>
  <c r="F330" i="1"/>
  <c r="H330" i="1" s="1"/>
  <c r="D327" i="1"/>
  <c r="D322" i="1"/>
  <c r="E327" i="1"/>
  <c r="E326" i="1"/>
  <c r="D326" i="1"/>
  <c r="E325" i="1"/>
  <c r="D325" i="1"/>
  <c r="E324" i="1"/>
  <c r="D324" i="1"/>
  <c r="E323" i="1"/>
  <c r="D323" i="1"/>
  <c r="E322" i="1"/>
  <c r="E320" i="1"/>
  <c r="D320" i="1"/>
  <c r="E319" i="1"/>
  <c r="D319" i="1"/>
  <c r="E318" i="1"/>
  <c r="D318" i="1"/>
  <c r="E317" i="1"/>
  <c r="D317" i="1"/>
  <c r="E316" i="1"/>
  <c r="D316" i="1"/>
  <c r="E315" i="1"/>
  <c r="D315" i="1"/>
  <c r="E314" i="1"/>
  <c r="D314" i="1"/>
  <c r="E313" i="1"/>
  <c r="D313" i="1"/>
  <c r="E312" i="1"/>
  <c r="D312" i="1"/>
  <c r="E311" i="1"/>
  <c r="D311" i="1"/>
  <c r="E310" i="1"/>
  <c r="D310" i="1"/>
  <c r="E309" i="1"/>
  <c r="D309"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D286" i="1"/>
  <c r="D285" i="1"/>
  <c r="D284" i="1"/>
  <c r="D283" i="1"/>
  <c r="D282" i="1"/>
  <c r="D281" i="1"/>
  <c r="D280" i="1"/>
  <c r="D279" i="1"/>
  <c r="H393" i="1" l="1"/>
  <c r="F332" i="1"/>
  <c r="H332" i="1" s="1"/>
  <c r="F386" i="1"/>
  <c r="H386" i="1" s="1"/>
  <c r="F389" i="1"/>
  <c r="H389" i="1" s="1"/>
  <c r="F442" i="1"/>
  <c r="H442" i="1" s="1"/>
  <c r="F479" i="1"/>
  <c r="H479" i="1" s="1"/>
  <c r="F515" i="1"/>
  <c r="H515" i="1" s="1"/>
  <c r="F519" i="1"/>
  <c r="H519" i="1" s="1"/>
  <c r="F523" i="1"/>
  <c r="H523" i="1" s="1"/>
  <c r="F527" i="1"/>
  <c r="H527" i="1" s="1"/>
  <c r="F531" i="1"/>
  <c r="H531" i="1" s="1"/>
  <c r="F535" i="1"/>
  <c r="H535" i="1" s="1"/>
  <c r="F338" i="1"/>
  <c r="H338" i="1" s="1"/>
  <c r="F374" i="1"/>
  <c r="H374" i="1" s="1"/>
  <c r="F444" i="1"/>
  <c r="H444" i="1" s="1"/>
  <c r="F456" i="1"/>
  <c r="H456" i="1" s="1"/>
  <c r="F508" i="1"/>
  <c r="H508" i="1" s="1"/>
  <c r="F511" i="1"/>
  <c r="H511" i="1" s="1"/>
  <c r="F514" i="1"/>
  <c r="H514" i="1" s="1"/>
  <c r="F340" i="1"/>
  <c r="H340" i="1" s="1"/>
  <c r="F446" i="1"/>
  <c r="H446" i="1" s="1"/>
  <c r="F443" i="1"/>
  <c r="H443" i="1" s="1"/>
  <c r="F461" i="1"/>
  <c r="H461" i="1" s="1"/>
  <c r="F470" i="1"/>
  <c r="H470" i="1" s="1"/>
  <c r="F473" i="1"/>
  <c r="H473" i="1" s="1"/>
  <c r="F493" i="1"/>
  <c r="H493" i="1" s="1"/>
  <c r="F499" i="1"/>
  <c r="H499" i="1" s="1"/>
  <c r="F502" i="1"/>
  <c r="H502" i="1" s="1"/>
  <c r="F509" i="1"/>
  <c r="H509" i="1" s="1"/>
  <c r="F326" i="1"/>
  <c r="H326" i="1" s="1"/>
  <c r="F464" i="1"/>
  <c r="H464" i="1" s="1"/>
  <c r="F469" i="1"/>
  <c r="H469" i="1" s="1"/>
  <c r="F367" i="1"/>
  <c r="H367" i="1" s="1"/>
  <c r="F507" i="1"/>
  <c r="H507" i="1" s="1"/>
  <c r="F520" i="1"/>
  <c r="H520" i="1" s="1"/>
  <c r="F522" i="1"/>
  <c r="H522" i="1" s="1"/>
  <c r="F524" i="1"/>
  <c r="H524" i="1" s="1"/>
  <c r="F526" i="1"/>
  <c r="H526" i="1" s="1"/>
  <c r="F528" i="1"/>
  <c r="H528" i="1" s="1"/>
  <c r="F530" i="1"/>
  <c r="H530" i="1" s="1"/>
  <c r="F532" i="1"/>
  <c r="H532" i="1" s="1"/>
  <c r="F534" i="1"/>
  <c r="H534" i="1" s="1"/>
  <c r="F536" i="1"/>
  <c r="H536" i="1" s="1"/>
  <c r="F538" i="1"/>
  <c r="H538" i="1" s="1"/>
  <c r="F394" i="1"/>
  <c r="E118" i="1" s="1"/>
  <c r="F396" i="1"/>
  <c r="H396" i="1" s="1"/>
  <c r="F398" i="1"/>
  <c r="H398" i="1" s="1"/>
  <c r="F400" i="1"/>
  <c r="H400" i="1" s="1"/>
  <c r="F402" i="1"/>
  <c r="H402" i="1" s="1"/>
  <c r="F404" i="1"/>
  <c r="H404" i="1" s="1"/>
  <c r="F406" i="1"/>
  <c r="H406" i="1" s="1"/>
  <c r="F408" i="1"/>
  <c r="H408" i="1" s="1"/>
  <c r="F410" i="1"/>
  <c r="H410" i="1" s="1"/>
  <c r="F412" i="1"/>
  <c r="H412" i="1" s="1"/>
  <c r="F415" i="1"/>
  <c r="H415" i="1" s="1"/>
  <c r="F417" i="1"/>
  <c r="H417" i="1" s="1"/>
  <c r="F421" i="1"/>
  <c r="H421" i="1" s="1"/>
  <c r="F423" i="1"/>
  <c r="H423" i="1" s="1"/>
  <c r="F425" i="1"/>
  <c r="H425" i="1" s="1"/>
  <c r="F428" i="1"/>
  <c r="H428" i="1" s="1"/>
  <c r="F430" i="1"/>
  <c r="H430" i="1" s="1"/>
  <c r="F416" i="1"/>
  <c r="H416" i="1" s="1"/>
  <c r="F420" i="1"/>
  <c r="H420" i="1" s="1"/>
  <c r="F422" i="1"/>
  <c r="H422" i="1" s="1"/>
  <c r="F424" i="1"/>
  <c r="H424" i="1" s="1"/>
  <c r="F429" i="1"/>
  <c r="H429" i="1" s="1"/>
  <c r="F431" i="1"/>
  <c r="H431" i="1" s="1"/>
  <c r="F351" i="1"/>
  <c r="H351" i="1" s="1"/>
  <c r="F363" i="1"/>
  <c r="H363" i="1" s="1"/>
  <c r="F357" i="1"/>
  <c r="H357" i="1" s="1"/>
  <c r="F369" i="1"/>
  <c r="H369" i="1" s="1"/>
  <c r="F320" i="1"/>
  <c r="H320" i="1" s="1"/>
  <c r="F365" i="1"/>
  <c r="H365" i="1" s="1"/>
  <c r="F353" i="1"/>
  <c r="H353" i="1" s="1"/>
  <c r="F355" i="1"/>
  <c r="H355" i="1" s="1"/>
  <c r="F359" i="1"/>
  <c r="H359" i="1" s="1"/>
  <c r="F361" i="1"/>
  <c r="H361" i="1" s="1"/>
  <c r="F368" i="1"/>
  <c r="H368" i="1" s="1"/>
  <c r="F366" i="1"/>
  <c r="H366" i="1" s="1"/>
  <c r="F315" i="1"/>
  <c r="H315" i="1" s="1"/>
  <c r="F364" i="1"/>
  <c r="H364" i="1" s="1"/>
  <c r="F362" i="1"/>
  <c r="H362" i="1" s="1"/>
  <c r="F327" i="1"/>
  <c r="H327" i="1" s="1"/>
  <c r="F288" i="1"/>
  <c r="H288" i="1" s="1"/>
  <c r="F290" i="1"/>
  <c r="H290" i="1" s="1"/>
  <c r="F292" i="1"/>
  <c r="H292" i="1" s="1"/>
  <c r="F294" i="1"/>
  <c r="H294" i="1" s="1"/>
  <c r="F296" i="1"/>
  <c r="H296" i="1" s="1"/>
  <c r="F298" i="1"/>
  <c r="H298" i="1" s="1"/>
  <c r="F300" i="1"/>
  <c r="H300" i="1" s="1"/>
  <c r="F302" i="1"/>
  <c r="H302" i="1" s="1"/>
  <c r="F304" i="1"/>
  <c r="H304" i="1" s="1"/>
  <c r="F306" i="1"/>
  <c r="H306" i="1" s="1"/>
  <c r="F311" i="1"/>
  <c r="H311" i="1" s="1"/>
  <c r="F331" i="1"/>
  <c r="H331" i="1" s="1"/>
  <c r="F333" i="1"/>
  <c r="H333" i="1" s="1"/>
  <c r="F335" i="1"/>
  <c r="H335" i="1" s="1"/>
  <c r="F337" i="1"/>
  <c r="H337" i="1" s="1"/>
  <c r="F339" i="1"/>
  <c r="H339" i="1" s="1"/>
  <c r="F341" i="1"/>
  <c r="H341" i="1" s="1"/>
  <c r="F344" i="1"/>
  <c r="H344" i="1" s="1"/>
  <c r="F346" i="1"/>
  <c r="H346" i="1" s="1"/>
  <c r="F348" i="1"/>
  <c r="H348" i="1" s="1"/>
  <c r="F312" i="1"/>
  <c r="H312" i="1" s="1"/>
  <c r="F316" i="1"/>
  <c r="H316" i="1" s="1"/>
  <c r="F323" i="1"/>
  <c r="H323" i="1" s="1"/>
  <c r="F319" i="1"/>
  <c r="H319" i="1" s="1"/>
  <c r="F309" i="1"/>
  <c r="H309" i="1" s="1"/>
  <c r="F314" i="1"/>
  <c r="H314" i="1" s="1"/>
  <c r="F317" i="1"/>
  <c r="H317" i="1" s="1"/>
  <c r="F325" i="1"/>
  <c r="H325" i="1" s="1"/>
  <c r="F310" i="1"/>
  <c r="H310" i="1" s="1"/>
  <c r="F313" i="1"/>
  <c r="H313" i="1" s="1"/>
  <c r="F318" i="1"/>
  <c r="H318" i="1" s="1"/>
  <c r="F324" i="1"/>
  <c r="H324" i="1" s="1"/>
  <c r="F289" i="1"/>
  <c r="H289" i="1" s="1"/>
  <c r="F291" i="1"/>
  <c r="H291" i="1" s="1"/>
  <c r="F293" i="1"/>
  <c r="H293" i="1" s="1"/>
  <c r="F295" i="1"/>
  <c r="H295" i="1" s="1"/>
  <c r="F297" i="1"/>
  <c r="H297" i="1" s="1"/>
  <c r="F299" i="1"/>
  <c r="H299" i="1" s="1"/>
  <c r="F301" i="1"/>
  <c r="H301" i="1" s="1"/>
  <c r="F303" i="1"/>
  <c r="H303" i="1" s="1"/>
  <c r="F305" i="1"/>
  <c r="H305" i="1" s="1"/>
  <c r="F307" i="1"/>
  <c r="H307" i="1" s="1"/>
  <c r="F322" i="1"/>
  <c r="H322" i="1" s="1"/>
  <c r="D278" i="1"/>
  <c r="D277" i="1"/>
  <c r="D276" i="1"/>
  <c r="D275" i="1"/>
  <c r="D274" i="1"/>
  <c r="D273" i="1"/>
  <c r="D272" i="1"/>
  <c r="D271" i="1"/>
  <c r="D270" i="1"/>
  <c r="D269" i="1"/>
  <c r="D268" i="1"/>
  <c r="D267" i="1"/>
  <c r="E286" i="1"/>
  <c r="F286" i="1" s="1"/>
  <c r="H286" i="1" s="1"/>
  <c r="E285" i="1"/>
  <c r="F285" i="1" s="1"/>
  <c r="H285" i="1" s="1"/>
  <c r="E284" i="1"/>
  <c r="F284" i="1" s="1"/>
  <c r="H284" i="1" s="1"/>
  <c r="E283" i="1"/>
  <c r="F283" i="1" s="1"/>
  <c r="H283" i="1" s="1"/>
  <c r="E277" i="1"/>
  <c r="E278" i="1"/>
  <c r="E267" i="1"/>
  <c r="E43" i="1"/>
  <c r="C117" i="1" l="1"/>
  <c r="H394" i="1"/>
  <c r="G118" i="1" s="1"/>
  <c r="F267" i="1"/>
  <c r="E250" i="1"/>
  <c r="E249" i="1"/>
  <c r="E248" i="1"/>
  <c r="E247" i="1"/>
  <c r="E246" i="1"/>
  <c r="E245" i="1"/>
  <c r="A245" i="1"/>
  <c r="A246" i="1" s="1"/>
  <c r="A247" i="1" s="1"/>
  <c r="A248" i="1" s="1"/>
  <c r="A249" i="1" s="1"/>
  <c r="A250" i="1" s="1"/>
  <c r="E244" i="1"/>
  <c r="D244" i="1"/>
  <c r="E258" i="1"/>
  <c r="E257" i="1"/>
  <c r="E256" i="1"/>
  <c r="E255" i="1"/>
  <c r="E254" i="1"/>
  <c r="E253" i="1"/>
  <c r="A253" i="1"/>
  <c r="A254" i="1" s="1"/>
  <c r="A255" i="1" s="1"/>
  <c r="A256" i="1" s="1"/>
  <c r="A257" i="1" s="1"/>
  <c r="A258" i="1" s="1"/>
  <c r="E252" i="1"/>
  <c r="E242" i="1"/>
  <c r="D242" i="1"/>
  <c r="E241" i="1"/>
  <c r="E240" i="1"/>
  <c r="E239" i="1"/>
  <c r="D239" i="1"/>
  <c r="E238" i="1"/>
  <c r="E237" i="1"/>
  <c r="A238" i="1"/>
  <c r="A239" i="1" s="1"/>
  <c r="A240" i="1" s="1"/>
  <c r="A241" i="1" s="1"/>
  <c r="A242" i="1" s="1"/>
  <c r="J236" i="1"/>
  <c r="E234" i="1"/>
  <c r="D234" i="1"/>
  <c r="E233" i="1"/>
  <c r="E232" i="1"/>
  <c r="E231" i="1"/>
  <c r="D231" i="1"/>
  <c r="E230" i="1"/>
  <c r="E229" i="1"/>
  <c r="A229" i="1"/>
  <c r="A230" i="1" s="1"/>
  <c r="A231" i="1" s="1"/>
  <c r="A232" i="1" s="1"/>
  <c r="A233" i="1" s="1"/>
  <c r="A234" i="1" s="1"/>
  <c r="E228" i="1"/>
  <c r="D228" i="1"/>
  <c r="D225" i="1"/>
  <c r="D226" i="1"/>
  <c r="E226" i="1"/>
  <c r="E225" i="1"/>
  <c r="E224" i="1"/>
  <c r="E223" i="1"/>
  <c r="D223" i="1"/>
  <c r="E222" i="1"/>
  <c r="E221" i="1"/>
  <c r="A221" i="1"/>
  <c r="A222" i="1" s="1"/>
  <c r="A223" i="1" s="1"/>
  <c r="A224" i="1" s="1"/>
  <c r="A225" i="1" s="1"/>
  <c r="A226" i="1" s="1"/>
  <c r="E220" i="1"/>
  <c r="D220" i="1"/>
  <c r="D218" i="1"/>
  <c r="E218" i="1"/>
  <c r="E217" i="1"/>
  <c r="E216" i="1"/>
  <c r="D216" i="1"/>
  <c r="E215" i="1"/>
  <c r="E214" i="1"/>
  <c r="A215" i="1"/>
  <c r="A216" i="1" s="1"/>
  <c r="A217" i="1" s="1"/>
  <c r="A218" i="1" s="1"/>
  <c r="J213" i="1"/>
  <c r="E211" i="1"/>
  <c r="E210" i="1"/>
  <c r="E209" i="1"/>
  <c r="D209" i="1"/>
  <c r="E208" i="1"/>
  <c r="E207" i="1"/>
  <c r="A207" i="1"/>
  <c r="A208" i="1" s="1"/>
  <c r="A209" i="1" s="1"/>
  <c r="A210" i="1" s="1"/>
  <c r="A211" i="1" s="1"/>
  <c r="E206" i="1"/>
  <c r="D206" i="1"/>
  <c r="D199" i="1"/>
  <c r="E204" i="1"/>
  <c r="E203" i="1"/>
  <c r="E202" i="1"/>
  <c r="D202" i="1"/>
  <c r="E201" i="1"/>
  <c r="E200" i="1"/>
  <c r="A200" i="1"/>
  <c r="A201" i="1" s="1"/>
  <c r="A202" i="1" s="1"/>
  <c r="A203" i="1" s="1"/>
  <c r="A204" i="1" s="1"/>
  <c r="E199" i="1"/>
  <c r="J197" i="1"/>
  <c r="E196" i="1"/>
  <c r="D196" i="1"/>
  <c r="E195" i="1"/>
  <c r="D195" i="1"/>
  <c r="E194" i="1"/>
  <c r="D194" i="1"/>
  <c r="E193" i="1"/>
  <c r="D193" i="1"/>
  <c r="E192" i="1"/>
  <c r="D192" i="1"/>
  <c r="A192" i="1"/>
  <c r="A193" i="1" s="1"/>
  <c r="A194" i="1" s="1"/>
  <c r="A195" i="1" s="1"/>
  <c r="A196" i="1" s="1"/>
  <c r="A197" i="1" s="1"/>
  <c r="E191" i="1"/>
  <c r="D191" i="1"/>
  <c r="E189" i="1"/>
  <c r="D189" i="1"/>
  <c r="E188" i="1"/>
  <c r="D188" i="1"/>
  <c r="E187" i="1"/>
  <c r="D187" i="1"/>
  <c r="E186" i="1"/>
  <c r="D186" i="1"/>
  <c r="E185" i="1"/>
  <c r="D185" i="1"/>
  <c r="E184" i="1"/>
  <c r="D184" i="1"/>
  <c r="A184" i="1"/>
  <c r="A185" i="1" s="1"/>
  <c r="A186" i="1" s="1"/>
  <c r="A187" i="1" s="1"/>
  <c r="A188" i="1" s="1"/>
  <c r="A189" i="1" s="1"/>
  <c r="E183" i="1"/>
  <c r="D183" i="1"/>
  <c r="E181" i="1"/>
  <c r="D181" i="1"/>
  <c r="E180" i="1"/>
  <c r="D180" i="1"/>
  <c r="E179" i="1"/>
  <c r="D179" i="1"/>
  <c r="E178" i="1"/>
  <c r="D178" i="1"/>
  <c r="E177" i="1"/>
  <c r="D177" i="1"/>
  <c r="E176" i="1"/>
  <c r="D176" i="1"/>
  <c r="A176" i="1"/>
  <c r="A177" i="1" s="1"/>
  <c r="A178" i="1" s="1"/>
  <c r="A179" i="1" s="1"/>
  <c r="A180" i="1" s="1"/>
  <c r="A181" i="1" s="1"/>
  <c r="E175" i="1"/>
  <c r="D175" i="1"/>
  <c r="J173" i="1"/>
  <c r="E172" i="1"/>
  <c r="D172" i="1"/>
  <c r="E171" i="1"/>
  <c r="D171" i="1"/>
  <c r="E170" i="1"/>
  <c r="D170" i="1"/>
  <c r="E169" i="1"/>
  <c r="D169" i="1"/>
  <c r="E168" i="1"/>
  <c r="D168" i="1"/>
  <c r="A168" i="1"/>
  <c r="A169" i="1" s="1"/>
  <c r="A170" i="1" s="1"/>
  <c r="A171" i="1" s="1"/>
  <c r="A172" i="1" s="1"/>
  <c r="A173" i="1" s="1"/>
  <c r="E167" i="1"/>
  <c r="D167" i="1"/>
  <c r="E165" i="1"/>
  <c r="D165" i="1"/>
  <c r="E164" i="1"/>
  <c r="D164" i="1"/>
  <c r="E163" i="1"/>
  <c r="D163" i="1"/>
  <c r="E162" i="1"/>
  <c r="D162" i="1"/>
  <c r="E161" i="1"/>
  <c r="D161" i="1"/>
  <c r="E160" i="1"/>
  <c r="D160" i="1"/>
  <c r="A160" i="1"/>
  <c r="A161" i="1" s="1"/>
  <c r="A162" i="1" s="1"/>
  <c r="A163" i="1" s="1"/>
  <c r="A164" i="1" s="1"/>
  <c r="A165" i="1" s="1"/>
  <c r="E159" i="1"/>
  <c r="D159" i="1"/>
  <c r="D157" i="1"/>
  <c r="D156" i="1"/>
  <c r="D155" i="1"/>
  <c r="D154" i="1"/>
  <c r="D153" i="1"/>
  <c r="D152" i="1"/>
  <c r="D151" i="1"/>
  <c r="E157" i="1"/>
  <c r="E135" i="1"/>
  <c r="E134" i="1"/>
  <c r="D133" i="1"/>
  <c r="D132" i="1"/>
  <c r="D131" i="1"/>
  <c r="D130" i="1"/>
  <c r="D129" i="1"/>
  <c r="D128" i="1"/>
  <c r="D127" i="1"/>
  <c r="F194" i="1" l="1"/>
  <c r="H194" i="1" s="1"/>
  <c r="J194" i="1" s="1"/>
  <c r="C115" i="1"/>
  <c r="C116" i="1"/>
  <c r="C119" i="1" s="1"/>
  <c r="H267" i="1"/>
  <c r="F245" i="1"/>
  <c r="H245" i="1" s="1"/>
  <c r="J245" i="1" s="1"/>
  <c r="F247" i="1"/>
  <c r="H247" i="1" s="1"/>
  <c r="J247" i="1" s="1"/>
  <c r="F249" i="1"/>
  <c r="H249" i="1" s="1"/>
  <c r="J249" i="1" s="1"/>
  <c r="F255" i="1"/>
  <c r="H255" i="1" s="1"/>
  <c r="J255" i="1" s="1"/>
  <c r="F257" i="1"/>
  <c r="H257" i="1" s="1"/>
  <c r="J257" i="1" s="1"/>
  <c r="F254" i="1"/>
  <c r="H254" i="1" s="1"/>
  <c r="J254" i="1" s="1"/>
  <c r="F256" i="1"/>
  <c r="H256" i="1" s="1"/>
  <c r="J256" i="1" s="1"/>
  <c r="F258" i="1"/>
  <c r="H258" i="1" s="1"/>
  <c r="J258" i="1" s="1"/>
  <c r="F246" i="1"/>
  <c r="H246" i="1" s="1"/>
  <c r="J246" i="1" s="1"/>
  <c r="F178" i="1"/>
  <c r="H178" i="1" s="1"/>
  <c r="J178" i="1" s="1"/>
  <c r="F180" i="1"/>
  <c r="H180" i="1" s="1"/>
  <c r="J180" i="1" s="1"/>
  <c r="F222" i="1"/>
  <c r="H222" i="1" s="1"/>
  <c r="J222" i="1" s="1"/>
  <c r="F224" i="1"/>
  <c r="H224" i="1" s="1"/>
  <c r="J224" i="1" s="1"/>
  <c r="F237" i="1"/>
  <c r="H237" i="1" s="1"/>
  <c r="J237" i="1" s="1"/>
  <c r="F239" i="1"/>
  <c r="H239" i="1" s="1"/>
  <c r="J239" i="1" s="1"/>
  <c r="F241" i="1"/>
  <c r="H241" i="1" s="1"/>
  <c r="J241" i="1" s="1"/>
  <c r="F229" i="1"/>
  <c r="H229" i="1" s="1"/>
  <c r="J229" i="1" s="1"/>
  <c r="F248" i="1"/>
  <c r="H248" i="1" s="1"/>
  <c r="J248" i="1" s="1"/>
  <c r="F157" i="1"/>
  <c r="H157" i="1" s="1"/>
  <c r="J157" i="1" s="1"/>
  <c r="F226" i="1"/>
  <c r="H226" i="1" s="1"/>
  <c r="J226" i="1" s="1"/>
  <c r="F167" i="1"/>
  <c r="H167" i="1" s="1"/>
  <c r="J167" i="1" s="1"/>
  <c r="F186" i="1"/>
  <c r="H186" i="1" s="1"/>
  <c r="J186" i="1" s="1"/>
  <c r="F188" i="1"/>
  <c r="H188" i="1" s="1"/>
  <c r="J188" i="1" s="1"/>
  <c r="F206" i="1"/>
  <c r="H206" i="1" s="1"/>
  <c r="J206" i="1" s="1"/>
  <c r="F231" i="1"/>
  <c r="H231" i="1" s="1"/>
  <c r="J231" i="1" s="1"/>
  <c r="F233" i="1"/>
  <c r="H233" i="1" s="1"/>
  <c r="J233" i="1" s="1"/>
  <c r="F195" i="1"/>
  <c r="H195" i="1" s="1"/>
  <c r="J195" i="1" s="1"/>
  <c r="F202" i="1"/>
  <c r="H202" i="1" s="1"/>
  <c r="J202" i="1" s="1"/>
  <c r="F204" i="1"/>
  <c r="H204" i="1" s="1"/>
  <c r="J204" i="1" s="1"/>
  <c r="F208" i="1"/>
  <c r="H208" i="1" s="1"/>
  <c r="J208" i="1" s="1"/>
  <c r="F210" i="1"/>
  <c r="H210" i="1" s="1"/>
  <c r="J210" i="1" s="1"/>
  <c r="F215" i="1"/>
  <c r="H215" i="1" s="1"/>
  <c r="J215" i="1" s="1"/>
  <c r="F217" i="1"/>
  <c r="H217" i="1" s="1"/>
  <c r="J217" i="1" s="1"/>
  <c r="F220" i="1"/>
  <c r="H220" i="1" s="1"/>
  <c r="J220" i="1" s="1"/>
  <c r="F253" i="1"/>
  <c r="H253" i="1" s="1"/>
  <c r="J253" i="1" s="1"/>
  <c r="F244" i="1"/>
  <c r="H244" i="1" s="1"/>
  <c r="J244" i="1" s="1"/>
  <c r="F250" i="1"/>
  <c r="H250" i="1" s="1"/>
  <c r="J250" i="1" s="1"/>
  <c r="F192" i="1"/>
  <c r="H192" i="1" s="1"/>
  <c r="J192" i="1" s="1"/>
  <c r="F252" i="1"/>
  <c r="H252" i="1" s="1"/>
  <c r="J252" i="1" s="1"/>
  <c r="F225" i="1"/>
  <c r="H225" i="1" s="1"/>
  <c r="J225" i="1" s="1"/>
  <c r="F238" i="1"/>
  <c r="H238" i="1" s="1"/>
  <c r="J238" i="1" s="1"/>
  <c r="F240" i="1"/>
  <c r="H240" i="1" s="1"/>
  <c r="J240" i="1" s="1"/>
  <c r="F242" i="1"/>
  <c r="H242" i="1" s="1"/>
  <c r="J242" i="1" s="1"/>
  <c r="F230" i="1"/>
  <c r="H230" i="1" s="1"/>
  <c r="J230" i="1" s="1"/>
  <c r="F232" i="1"/>
  <c r="H232" i="1" s="1"/>
  <c r="J232" i="1" s="1"/>
  <c r="F234" i="1"/>
  <c r="H234" i="1" s="1"/>
  <c r="J234" i="1" s="1"/>
  <c r="F228" i="1"/>
  <c r="H228" i="1" s="1"/>
  <c r="J228" i="1" s="1"/>
  <c r="F221" i="1"/>
  <c r="H221" i="1" s="1"/>
  <c r="J221" i="1" s="1"/>
  <c r="F223" i="1"/>
  <c r="H223" i="1" s="1"/>
  <c r="J223" i="1" s="1"/>
  <c r="F218" i="1"/>
  <c r="H218" i="1" s="1"/>
  <c r="J218" i="1" s="1"/>
  <c r="F214" i="1"/>
  <c r="H214" i="1" s="1"/>
  <c r="J214" i="1" s="1"/>
  <c r="F216" i="1"/>
  <c r="H216" i="1" s="1"/>
  <c r="J216" i="1" s="1"/>
  <c r="F207" i="1"/>
  <c r="H207" i="1" s="1"/>
  <c r="J207" i="1" s="1"/>
  <c r="F209" i="1"/>
  <c r="H209" i="1" s="1"/>
  <c r="J209" i="1" s="1"/>
  <c r="F211" i="1"/>
  <c r="H211" i="1" s="1"/>
  <c r="J211" i="1" s="1"/>
  <c r="F199" i="1"/>
  <c r="H199" i="1" s="1"/>
  <c r="J199" i="1" s="1"/>
  <c r="F169" i="1"/>
  <c r="H169" i="1" s="1"/>
  <c r="J169" i="1" s="1"/>
  <c r="F171" i="1"/>
  <c r="H171" i="1" s="1"/>
  <c r="J171" i="1" s="1"/>
  <c r="F175" i="1"/>
  <c r="H175" i="1" s="1"/>
  <c r="J175" i="1" s="1"/>
  <c r="F176" i="1"/>
  <c r="H176" i="1" s="1"/>
  <c r="J176" i="1" s="1"/>
  <c r="F183" i="1"/>
  <c r="H183" i="1" s="1"/>
  <c r="J183" i="1" s="1"/>
  <c r="F184" i="1"/>
  <c r="H184" i="1" s="1"/>
  <c r="J184" i="1" s="1"/>
  <c r="F191" i="1"/>
  <c r="H191" i="1" s="1"/>
  <c r="J191" i="1" s="1"/>
  <c r="F200" i="1"/>
  <c r="H200" i="1" s="1"/>
  <c r="J200" i="1" s="1"/>
  <c r="F134" i="1"/>
  <c r="H134" i="1" s="1"/>
  <c r="F168" i="1"/>
  <c r="H168" i="1" s="1"/>
  <c r="J168" i="1" s="1"/>
  <c r="F170" i="1"/>
  <c r="H170" i="1" s="1"/>
  <c r="J170" i="1" s="1"/>
  <c r="F172" i="1"/>
  <c r="H172" i="1" s="1"/>
  <c r="J172" i="1" s="1"/>
  <c r="F196" i="1"/>
  <c r="H196" i="1" s="1"/>
  <c r="J196" i="1" s="1"/>
  <c r="F177" i="1"/>
  <c r="H177" i="1" s="1"/>
  <c r="J177" i="1" s="1"/>
  <c r="F179" i="1"/>
  <c r="H179" i="1" s="1"/>
  <c r="J179" i="1" s="1"/>
  <c r="F181" i="1"/>
  <c r="H181" i="1" s="1"/>
  <c r="J181" i="1" s="1"/>
  <c r="F185" i="1"/>
  <c r="H185" i="1" s="1"/>
  <c r="J185" i="1" s="1"/>
  <c r="F187" i="1"/>
  <c r="H187" i="1" s="1"/>
  <c r="J187" i="1" s="1"/>
  <c r="F189" i="1"/>
  <c r="H189" i="1" s="1"/>
  <c r="J189" i="1" s="1"/>
  <c r="F193" i="1"/>
  <c r="H193" i="1" s="1"/>
  <c r="J193" i="1" s="1"/>
  <c r="F201" i="1"/>
  <c r="H201" i="1" s="1"/>
  <c r="J201" i="1" s="1"/>
  <c r="F203" i="1"/>
  <c r="H203" i="1" s="1"/>
  <c r="J203" i="1" s="1"/>
  <c r="F159" i="1"/>
  <c r="H159" i="1" s="1"/>
  <c r="J159" i="1" s="1"/>
  <c r="F161" i="1"/>
  <c r="H161" i="1" s="1"/>
  <c r="J161" i="1" s="1"/>
  <c r="F163" i="1"/>
  <c r="H163" i="1" s="1"/>
  <c r="J163" i="1" s="1"/>
  <c r="F165" i="1"/>
  <c r="H165" i="1" s="1"/>
  <c r="J165" i="1" s="1"/>
  <c r="F160" i="1"/>
  <c r="H160" i="1" s="1"/>
  <c r="J160" i="1" s="1"/>
  <c r="F135" i="1"/>
  <c r="H135" i="1" s="1"/>
  <c r="F162" i="1"/>
  <c r="H162" i="1" s="1"/>
  <c r="J162" i="1" s="1"/>
  <c r="F164" i="1"/>
  <c r="H164" i="1" s="1"/>
  <c r="J164" i="1" s="1"/>
  <c r="F112" i="1"/>
  <c r="I103" i="1"/>
  <c r="J127" i="1" l="1"/>
  <c r="E282" i="1"/>
  <c r="E281" i="1"/>
  <c r="E280" i="1"/>
  <c r="E279" i="1"/>
  <c r="E276" i="1"/>
  <c r="E275" i="1"/>
  <c r="E274" i="1"/>
  <c r="E273" i="1"/>
  <c r="E272" i="1"/>
  <c r="E271" i="1"/>
  <c r="E270" i="1"/>
  <c r="E269" i="1"/>
  <c r="E268" i="1"/>
  <c r="E156" i="1"/>
  <c r="E155" i="1"/>
  <c r="E154" i="1"/>
  <c r="E153" i="1"/>
  <c r="E152" i="1"/>
  <c r="E151" i="1"/>
  <c r="E143" i="1"/>
  <c r="E142" i="1"/>
  <c r="E141" i="1"/>
  <c r="E140" i="1"/>
  <c r="E139" i="1"/>
  <c r="E138" i="1"/>
  <c r="E137" i="1"/>
  <c r="E133" i="1"/>
  <c r="E132" i="1"/>
  <c r="E131" i="1"/>
  <c r="E130" i="1"/>
  <c r="E129" i="1"/>
  <c r="E128" i="1"/>
  <c r="E127" i="1"/>
  <c r="F272" i="1" l="1"/>
  <c r="H272" i="1" s="1"/>
  <c r="F270" i="1"/>
  <c r="H270" i="1" s="1"/>
  <c r="F269" i="1"/>
  <c r="H269" i="1" s="1"/>
  <c r="F273" i="1"/>
  <c r="H273" i="1" s="1"/>
  <c r="F274" i="1"/>
  <c r="H274" i="1" s="1"/>
  <c r="F275" i="1"/>
  <c r="H275" i="1" s="1"/>
  <c r="F276" i="1"/>
  <c r="H276" i="1" s="1"/>
  <c r="F277" i="1"/>
  <c r="H277" i="1" s="1"/>
  <c r="F278" i="1"/>
  <c r="H278" i="1" s="1"/>
  <c r="F279" i="1"/>
  <c r="H279" i="1" s="1"/>
  <c r="F280" i="1"/>
  <c r="H280" i="1" s="1"/>
  <c r="F281" i="1"/>
  <c r="H281" i="1" s="1"/>
  <c r="F282" i="1"/>
  <c r="H282" i="1" s="1"/>
  <c r="F271" i="1"/>
  <c r="H271" i="1" s="1"/>
  <c r="F268" i="1"/>
  <c r="E117" i="1" s="1"/>
  <c r="F151" i="1"/>
  <c r="E116" i="1" s="1"/>
  <c r="F156" i="1"/>
  <c r="H156" i="1" s="1"/>
  <c r="J156" i="1" s="1"/>
  <c r="F155" i="1"/>
  <c r="H155" i="1" s="1"/>
  <c r="J155" i="1" s="1"/>
  <c r="F154" i="1"/>
  <c r="H154" i="1" s="1"/>
  <c r="J154" i="1" s="1"/>
  <c r="F153" i="1"/>
  <c r="H153" i="1" s="1"/>
  <c r="J153" i="1" s="1"/>
  <c r="F152" i="1"/>
  <c r="H152" i="1" s="1"/>
  <c r="J152" i="1" s="1"/>
  <c r="A152" i="1"/>
  <c r="A153" i="1" s="1"/>
  <c r="A154" i="1" s="1"/>
  <c r="A155" i="1" s="1"/>
  <c r="A156" i="1" s="1"/>
  <c r="A157" i="1" s="1"/>
  <c r="F143" i="1"/>
  <c r="H143" i="1" s="1"/>
  <c r="F142" i="1"/>
  <c r="H142" i="1" s="1"/>
  <c r="F141" i="1"/>
  <c r="H141" i="1" s="1"/>
  <c r="F140" i="1"/>
  <c r="H140" i="1" s="1"/>
  <c r="F139" i="1"/>
  <c r="H139" i="1" s="1"/>
  <c r="F138" i="1"/>
  <c r="H138" i="1" s="1"/>
  <c r="A138" i="1"/>
  <c r="A139" i="1" s="1"/>
  <c r="A140" i="1" s="1"/>
  <c r="A141" i="1" s="1"/>
  <c r="A142" i="1" s="1"/>
  <c r="A143" i="1" s="1"/>
  <c r="A144" i="1" s="1"/>
  <c r="A145" i="1" s="1"/>
  <c r="F137" i="1"/>
  <c r="F131" i="1"/>
  <c r="H131" i="1" s="1"/>
  <c r="F132" i="1"/>
  <c r="H132" i="1" s="1"/>
  <c r="F133" i="1"/>
  <c r="H133" i="1" s="1"/>
  <c r="H151" i="1" l="1"/>
  <c r="G116" i="1" s="1"/>
  <c r="H137" i="1"/>
  <c r="H268" i="1"/>
  <c r="G117" i="1" s="1"/>
  <c r="J151" i="1" l="1"/>
  <c r="F128" i="1"/>
  <c r="H128" i="1" s="1"/>
  <c r="F129" i="1"/>
  <c r="H129" i="1" s="1"/>
  <c r="F130" i="1"/>
  <c r="H130" i="1" s="1"/>
  <c r="F127" i="1"/>
  <c r="E115" i="1" s="1"/>
  <c r="E119" i="1" l="1"/>
  <c r="H127" i="1"/>
  <c r="G115" i="1" s="1"/>
  <c r="G56" i="1"/>
  <c r="C56" i="1"/>
  <c r="G119" i="1" l="1"/>
  <c r="S33" i="1"/>
  <c r="F11" i="5" l="1"/>
  <c r="G11" i="5" s="1"/>
  <c r="F10" i="5"/>
  <c r="G10" i="5" s="1"/>
  <c r="F9" i="5"/>
  <c r="G9" i="5" s="1"/>
  <c r="G8" i="5"/>
  <c r="F8" i="5"/>
  <c r="F7" i="5"/>
  <c r="G7" i="5" s="1"/>
  <c r="G6" i="5"/>
  <c r="F6" i="5"/>
  <c r="F5" i="5"/>
  <c r="G5" i="5" s="1"/>
  <c r="G12" i="5" s="1"/>
  <c r="D563" i="1"/>
  <c r="B541" i="1"/>
  <c r="A128" i="1"/>
  <c r="A129" i="1" s="1"/>
  <c r="A130" i="1" s="1"/>
  <c r="A131" i="1" s="1"/>
  <c r="A132" i="1" s="1"/>
  <c r="A133" i="1" s="1"/>
  <c r="A134" i="1" s="1"/>
  <c r="A135" i="1" s="1"/>
  <c r="C86" i="1"/>
  <c r="C72" i="1"/>
  <c r="D66" i="1"/>
  <c r="D60" i="1"/>
  <c r="E44" i="1"/>
  <c r="E45" i="1" s="1"/>
  <c r="E31" i="1"/>
  <c r="E28" i="1"/>
  <c r="E26" i="1"/>
  <c r="C16" i="1"/>
  <c r="I15" i="1"/>
  <c r="Z13" i="1"/>
  <c r="E8" i="1"/>
  <c r="E3" i="1"/>
  <c r="H87" i="1"/>
  <c r="H73" i="1"/>
  <c r="J72" i="1" l="1"/>
  <c r="J74" i="1" s="1"/>
  <c r="J75" i="1"/>
  <c r="J76" i="1"/>
  <c r="J77" i="1"/>
  <c r="C76" i="1" s="1"/>
  <c r="J91" i="1"/>
  <c r="C90" i="1" s="1"/>
  <c r="D95" i="1"/>
  <c r="D97" i="1"/>
  <c r="J90" i="1"/>
  <c r="D96" i="1"/>
  <c r="J86" i="1"/>
  <c r="J88" i="1" s="1"/>
  <c r="D94" i="1"/>
  <c r="J89" i="1"/>
  <c r="D93" i="1"/>
  <c r="D99" i="1"/>
  <c r="D98" i="1"/>
  <c r="D92" i="1"/>
  <c r="D80" i="1"/>
  <c r="D82" i="1"/>
  <c r="D81" i="1"/>
  <c r="D85" i="1"/>
  <c r="D79" i="1"/>
  <c r="D84" i="1"/>
  <c r="D78" i="1"/>
  <c r="D83" i="1"/>
  <c r="B87" i="1"/>
  <c r="B73" i="1"/>
  <c r="J78" i="1" s="1"/>
  <c r="D90" i="1" l="1"/>
  <c r="D76" i="1"/>
  <c r="J97" i="1"/>
  <c r="J94" i="1"/>
  <c r="J96" i="1"/>
  <c r="J95" i="1"/>
  <c r="J92" i="1"/>
  <c r="J93" i="1" s="1"/>
  <c r="J82" i="1"/>
  <c r="J80" i="1"/>
  <c r="J81" i="1"/>
  <c r="J79" i="1"/>
  <c r="J84" i="1" s="1"/>
  <c r="J85" i="1" s="1"/>
  <c r="C77" i="1" s="1"/>
  <c r="J83" i="1"/>
  <c r="J73" i="1" l="1"/>
  <c r="J98" i="1"/>
  <c r="J99" i="1" s="1"/>
  <c r="E76" i="1"/>
  <c r="D77" i="1"/>
  <c r="I73" i="1" s="1"/>
  <c r="G76" i="1"/>
  <c r="D70" i="1" s="1"/>
  <c r="C91" i="1" l="1"/>
  <c r="F71" i="1"/>
  <c r="D71" i="1"/>
  <c r="I74" i="1"/>
  <c r="I72" i="1" s="1"/>
  <c r="C74" i="1" s="1"/>
  <c r="D91" i="1" l="1"/>
  <c r="I87" i="1" s="1"/>
  <c r="E90" i="1"/>
  <c r="G90" i="1"/>
  <c r="J87" i="1"/>
  <c r="I88" i="1" l="1"/>
  <c r="I86" i="1" s="1"/>
  <c r="C88"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Height from AMSL</t>
        </r>
      </text>
    </comment>
    <comment ref="D60"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<sst xmlns="http://schemas.openxmlformats.org/spreadsheetml/2006/main" count="985" uniqueCount="389">
  <si>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</si>
  <si>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</si>
  <si>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</si>
  <si>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</si>
  <si>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</si>
  <si>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</si>
  <si>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</si>
  <si>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</si>
  <si>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</si>
  <si>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</si>
  <si>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</si>
  <si>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</si>
  <si>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</si>
  <si>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</si>
  <si>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</si>
  <si>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</si>
  <si>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</si>
  <si>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</si>
  <si>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</si>
  <si>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</si>
  <si>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</si>
  <si>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</si>
  <si>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</si>
  <si>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</si>
  <si>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</si>
  <si>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</si>
  <si>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</si>
  <si>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</si>
  <si>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</si>
  <si>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</si>
  <si>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</si>
  <si>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</si>
  <si>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</si>
  <si>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</si>
  <si>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</si>
  <si>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</si>
  <si>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</si>
  <si>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</si>
  <si>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</si>
  <si>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</si>
  <si>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</si>
  <si>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</si>
  <si>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</si>
  <si>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</si>
  <si>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</si>
  <si>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</si>
  <si>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</si>
  <si>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</si>
  <si>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</si>
  <si>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</si>
  <si>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</si>
  <si>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</si>
  <si>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</si>
  <si>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</si>
  <si>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</si>
  <si>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</si>
  <si>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</si>
  <si>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</si>
  <si>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</si>
  <si>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</si>
  <si>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</si>
  <si>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</si>
  <si>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</si>
  <si>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</si>
  <si>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</si>
  <si>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</si>
  <si>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</si>
  <si>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</si>
  <si>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</si>
  <si>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</si>
  <si>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</si>
  <si>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</si>
  <si>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</si>
  <si>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</si>
  <si>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</si>
  <si>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</si>
  <si>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</si>
  <si>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</si>
  <si>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</si>
  <si>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</si>
  <si>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</si>
  <si>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</si>
  <si>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</si>
  <si>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</si>
  <si>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</si>
  <si>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</si>
  <si>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</si>
  <si>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</si>
  <si>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</si>
  <si>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</si>
  <si>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</si>
  <si>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</si>
  <si>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</si>
  <si>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</si>
  <si>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</si>
  <si>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</si>
  <si>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</si>
  <si>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</si>
  <si>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</si>
  <si>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</si>
  <si>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</si>
  <si>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</si>
  <si>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</si>
  <si>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</si>
  <si>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</si>
  <si>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</si>
  <si>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</si>
  <si>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</si>
  <si>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</si>
  <si>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</si>
  <si>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</si>
  <si>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</si>
  <si>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</si>
  <si>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</si>
  <si>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</si>
  <si>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</si>
  <si>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</si>
  <si>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</si>
  <si>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</si>
  <si>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</si>
  <si>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</si>
  <si>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</si>
  <si>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</si>
  <si>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</si>
  <si>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</si>
  <si>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</si>
  <si>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</si>
  <si>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</si>
  <si>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</si>
  <si>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</si>
  <si>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</si>
  <si>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</si>
  <si>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</si>
  <si>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</si>
  <si>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</si>
  <si>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</si>
  <si>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</si>
  <si>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</si>
  <si>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</si>
  <si>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</si>
  <si>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</si>
  <si>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</si>
  <si>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</si>
  <si>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</si>
  <si>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</si>
  <si>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</si>
  <si>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</si>
  <si>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</si>
  <si>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</si>
  <si>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</si>
  <si>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</si>
  <si>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</si>
  <si>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</si>
  <si>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</si>
  <si>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</si>
  <si>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</si>
  <si>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</si>
  <si>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</si>
  <si>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</si>
  <si>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</si>
  <si>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</si>
  <si>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</si>
  <si>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</si>
  <si>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</si>
  <si>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</si>
  <si>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</si>
  <si>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</si>
  <si>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</si>
  <si>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</si>
  <si>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</si>
  <si>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</si>
  <si>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</si>
  <si>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</si>
  <si>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</si>
  <si>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</si>
  <si>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</si>
  <si>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</si>
  <si>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</si>
  <si>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</si>
  <si>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</si>
  <si>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</si>
  <si>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</si>
  <si>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</si>
  <si>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</si>
  <si>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</si>
  <si>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</si>
  <si>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</si>
  <si>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</si>
  <si>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</si>
  <si>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</si>
  <si>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</si>
  <si>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</si>
  <si>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</si>
  <si>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</si>
  <si>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</si>
  <si>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</si>
  <si>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</si>
  <si>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</si>
  <si>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</si>
  <si>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</si>
  <si>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</si>
  <si>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</si>
  <si>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</si>
  <si>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</si>
  <si>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</si>
  <si>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</si>
  <si>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</si>
  <si>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</si>
  <si>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</si>
  <si>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</si>
  <si>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</si>
  <si>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</si>
  <si>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</si>
  <si>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</si>
  <si>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</si>
  <si>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</si>
  <si>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</si>
  <si>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</si>
  <si>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</si>
  <si>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</si>
  <si>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</si>
  <si>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</si>
  <si>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</si>
  <si>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</si>
  <si>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</si>
  <si>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</si>
  <si>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</si>
  <si>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</si>
  <si>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</si>
  <si>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</si>
  <si>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</si>
  <si>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</si>
  <si>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</si>
  <si>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</si>
  <si>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</si>
  <si>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</si>
  <si>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</si>
  <si>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</si>
  <si>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</si>
  <si>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</si>
  <si>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</si>
  <si>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</si>
  <si>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</si>
  <si>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</si>
  <si>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</si>
  <si>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</si>
  <si>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</si>
  <si>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</si>
  <si>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</si>
  <si>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</si>
  <si>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</si>
  <si>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</si>
  <si>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</si>
  <si>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</si>
  <si>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</si>
  <si>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</si>
  <si>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</si>
  <si>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</si>
  <si>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</si>
  <si>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</si>
  <si>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</si>
  <si>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</si>
  <si>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</si>
  <si>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</si>
  <si>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</si>
  <si>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</si>
  <si>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</si>
  <si>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</si>
  <si>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</si>
  <si>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</si>
  <si>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</si>
  <si>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</si>
  <si>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</si>
  <si>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</si>
  <si>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</si>
  <si>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</si>
  <si>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</si>
  <si>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</si>
  <si>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</si>
  <si>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</si>
  <si>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</si>
  <si>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</si>
  <si>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</si>
  <si>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</si>
  <si>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</si>
  <si>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</si>
  <si>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Noble Organics Pvt. Ltd.</t>
  </si>
  <si>
    <t>Delta Stellar</t>
  </si>
  <si>
    <t>P51700049320</t>
  </si>
  <si>
    <t>Plot No</t>
  </si>
  <si>
    <t xml:space="preserve">D-D-43/3, D-D-43/4 </t>
  </si>
  <si>
    <t>MIDC Industrial Area</t>
  </si>
  <si>
    <t>Thane-Belapur Road</t>
  </si>
  <si>
    <t>Juinagar East</t>
  </si>
  <si>
    <t>Raheja Souluxe Juinagar</t>
  </si>
  <si>
    <t>https://maps.app.goo.gl/GHorJJF1BwHcAdiY9</t>
  </si>
  <si>
    <t>19.0497402,73.0222006</t>
  </si>
  <si>
    <t>2.1 KM from Juinagar Railway Station</t>
  </si>
  <si>
    <t>Commercial Park</t>
  </si>
  <si>
    <t>Office</t>
  </si>
  <si>
    <t>IT Park</t>
  </si>
  <si>
    <t>Building A</t>
  </si>
  <si>
    <t>As per RERA - 31/12/2028</t>
  </si>
  <si>
    <t>Shop</t>
  </si>
  <si>
    <t>Open Plot</t>
  </si>
  <si>
    <t>Plot No.43/2</t>
  </si>
  <si>
    <t>Thane Belapur Road</t>
  </si>
  <si>
    <t>Noble Paints Road</t>
  </si>
  <si>
    <t>EE/Dn.II/MHP/SPA/ C-46257 /of 2022</t>
  </si>
  <si>
    <t>Building A (Commercial Park &amp; IT Park)</t>
  </si>
  <si>
    <t>``</t>
  </si>
  <si>
    <t xml:space="preserve">Details of  Commercials in Building   </t>
  </si>
  <si>
    <t>Commercial Area Details :  Building A</t>
  </si>
  <si>
    <t>MIDC/Fire/C-32731</t>
  </si>
  <si>
    <t xml:space="preserve">Highway Noc No
Valid Up to: </t>
  </si>
  <si>
    <r>
      <t xml:space="preserve">Proposed Amenities :                                                                                                                                                                                                                         </t>
    </r>
    <r>
      <rPr>
        <b/>
        <sz val="12"/>
        <rFont val="Times New Roman"/>
        <family val="1"/>
      </rPr>
      <t xml:space="preserve">                                               </t>
    </r>
  </si>
  <si>
    <t>Approved Plans, CC, Cost Sheet, Fire NOC.</t>
  </si>
  <si>
    <t>Building A (IT Park) - G + 1st to 12th Floor (Height-53.69Sq.mtr.)</t>
  </si>
  <si>
    <t>02 Buildings</t>
  </si>
  <si>
    <t>Factory</t>
  </si>
  <si>
    <t>Plot No.D-13/1 &amp; D-43/5</t>
  </si>
  <si>
    <t>50M Wide Road</t>
  </si>
  <si>
    <t>Ground Floor For Entrance Lobby, Commercial &amp; Garden</t>
  </si>
  <si>
    <t>Refuge Area</t>
  </si>
  <si>
    <t>-</t>
  </si>
  <si>
    <t>Provide CC or CC declaration letter from the builder.</t>
  </si>
  <si>
    <t>Builder Letter For Declaration about CC :</t>
  </si>
  <si>
    <t>Combined Building
Approval Letter No.
Valid Up for:</t>
  </si>
  <si>
    <t>The Declaration about CC letter provided by the bank is attached below.</t>
  </si>
  <si>
    <t>Total Permissible Builtup area of the project (Sq.Mt)</t>
  </si>
  <si>
    <t>Recommended rate of the Shop Per Sq. Ft. (For 1st Floor)</t>
  </si>
  <si>
    <t>Mr. Ashish Ajani 8080995670</t>
  </si>
  <si>
    <t>Mr. Akshay 9112873592</t>
  </si>
  <si>
    <t>EE/Dn.II/MHP/SPA/I/ 106369/of 2025</t>
  </si>
  <si>
    <t xml:space="preserve">IT Park = Gr + 1st to 31st Floor
Commercial Park = Gr + 1st to 31st Floor
Total BUA = 79998.93 Sq.M.
</t>
  </si>
  <si>
    <t>Total Height is 110.95 M</t>
  </si>
  <si>
    <t>Commercial Park- G + 1st to 31st Floor
IT Park- G + 1st to 31st Floor</t>
  </si>
  <si>
    <t>https://www.thedeltagroup.co.in/delta-stellar.php</t>
  </si>
  <si>
    <t>Approved Structure is greater than Propopsed Structure</t>
  </si>
  <si>
    <t>Commercial Park- G + 1st to 31st Floor</t>
  </si>
  <si>
    <t>IT Park- G + 1st to 31st  Floor</t>
  </si>
  <si>
    <t>2nd &amp; 3rd Floor For Podium Parking &amp; Driveway</t>
  </si>
  <si>
    <t>4th to 6th Floor For Podium Parking &amp; Driveway</t>
  </si>
  <si>
    <t>7th Floor For Podium Parking &amp; Driveway</t>
  </si>
  <si>
    <t>8th Floor For Kitchen</t>
  </si>
  <si>
    <t xml:space="preserve">9th Floor For Commercial </t>
  </si>
  <si>
    <t xml:space="preserve">10th to 12th Floor For Commercial </t>
  </si>
  <si>
    <t>13th Floor For Commercial (Part Refuge Area)</t>
  </si>
  <si>
    <t xml:space="preserve"> - </t>
  </si>
  <si>
    <t>14th &amp; 18th Floor For Commercial</t>
  </si>
  <si>
    <t>15th &amp; 16th Floor For Commercial</t>
  </si>
  <si>
    <t>17th Floor For Commercial (Part Refuge Area)</t>
  </si>
  <si>
    <t>19th Floor For Commercial</t>
  </si>
  <si>
    <t>20th Floor For Commercial</t>
  </si>
  <si>
    <t>21st Floor For Commercial (Part Refuge Area)</t>
  </si>
  <si>
    <t>22nd Floor For Commercial</t>
  </si>
  <si>
    <t>23rd to 25th Floor For Commercial</t>
  </si>
  <si>
    <t>26th &amp; 30th Floor For Commercial (Part Refuge Area)</t>
  </si>
  <si>
    <t>28th &amp; 29th Floor For Commercial</t>
  </si>
  <si>
    <t>27th &amp; 31st Floor For Commercial</t>
  </si>
  <si>
    <t>Ground Floor For Entrance Lobby, Parking, Driveway, Waiting Area, Admin Office, Transformer Room &amp; Panel Room</t>
  </si>
  <si>
    <t>1st Floor For Podium Parking, Driveway</t>
  </si>
  <si>
    <t>2nd &amp; 3rd Floor For Podium Parking, Driveway</t>
  </si>
  <si>
    <t>4th to 6th Floor For Podium Parking, Driveway</t>
  </si>
  <si>
    <t>7th Floor For Podium Parking, Driveway</t>
  </si>
  <si>
    <t>8th Floor For Café/Restaurant, Waiting Area &amp; Kitchen (Part Rfuge Area)</t>
  </si>
  <si>
    <t>9th &amp; 14th Floor For Commercial</t>
  </si>
  <si>
    <t>18th Floor For Commercial</t>
  </si>
  <si>
    <t>Incubation Centre</t>
  </si>
  <si>
    <t xml:space="preserve"> -</t>
  </si>
  <si>
    <t>23rd &amp; 24th Floor For Commercial</t>
  </si>
  <si>
    <t>1st Floor For Commercial &amp; Podium Parking</t>
  </si>
  <si>
    <t>Unable to Find No. of Units</t>
  </si>
  <si>
    <t>Shop Duplex With 1st Floor</t>
  </si>
  <si>
    <t>Shop Duplex With Ground Floor</t>
  </si>
  <si>
    <t>10th to 12th, 15th &amp; 16th Floor For Commercial</t>
  </si>
  <si>
    <t>25th, 28th &amp;  29th Floor For Commercial</t>
  </si>
  <si>
    <t>Tower No. 1 (Commercial Park)</t>
  </si>
  <si>
    <t>Tower No. 2 (IT Park)</t>
  </si>
  <si>
    <t>Shops -16, Offices - 587, Incubation Centre - 16</t>
  </si>
  <si>
    <t>We considered Gross carpet area = Net carpet.</t>
  </si>
  <si>
    <t>We have updated revised approved plans and combined building approval letter on 06/06/2025.</t>
  </si>
  <si>
    <t>Please check for Fire Noc.</t>
  </si>
  <si>
    <t>Recommended rate of the Office/Incubation Centre Per Sq. Ft.</t>
  </si>
  <si>
    <t xml:space="preserve">Elegant Double-Height Entrance Lobby
Lifestyle Amenities Including Garden, Cafeteria And Many More
Ample Parking Spaces Till 4th Floor
</t>
  </si>
  <si>
    <t>Recommended rate of the Shop Per Sq. Ft. (For Ground Floor)</t>
  </si>
  <si>
    <t>Shruti Tathare</t>
  </si>
  <si>
    <t>Aakash Chaure</t>
  </si>
  <si>
    <t>Construction work is in process at the time of Visit. Internal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</si>
</sst>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000000"/>
      <name val="Calibri"/>
      <family val="2"/>
    </font>
    <font>
      <sz val="18"/>
      <color rgb="FF333333"/>
      <name val="Conv_GothamRoundedBook_21018"/>
    </font>
    <font>
      <sz val="11"/>
      <color rgb="FF333333"/>
      <name val="Arial"/>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5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30" fillId="0" borderId="0" xfId="0" applyFont="1"/>
    <xf numFmtId="0" fontId="31" fillId="0" borderId="0" xfId="0" applyFont="1" applyAlignment="1">
      <alignment horizontal="left" vertical="center" readingOrder="1"/>
    </xf>
    <xf numFmtId="0" fontId="30" fillId="0" borderId="0" xfId="0" applyFont="1" applyAlignment="1">
      <alignment horizontal="left" readingOrder="1"/>
    </xf>
    <xf numFmtId="0" fontId="32" fillId="0" borderId="0" xfId="0" applyFont="1"/>
    <xf numFmtId="14" fontId="32" fillId="0" borderId="0" xfId="0" applyNumberFormat="1" applyFont="1" applyAlignment="1">
      <alignment horizontal="left" vertical="center" wrapText="1" indent="1"/>
    </xf>
    <xf numFmtId="1" fontId="7" fillId="0" borderId="1" xfId="1" applyNumberFormat="1" applyFont="1" applyBorder="1" applyAlignment="1">
      <alignment horizontal="center" vertical="center"/>
    </xf>
    <xf numFmtId="1" fontId="10" fillId="0" borderId="2"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wrapText="1"/>
      <protection locked="0"/>
    </xf>
    <xf numFmtId="9" fontId="10" fillId="0" borderId="15"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7" fillId="0" borderId="0" xfId="1" applyFont="1" applyAlignment="1">
      <alignment horizontal="center" vertical="center"/>
    </xf>
    <xf numFmtId="0" fontId="26" fillId="0" borderId="0" xfId="10"/>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2" fillId="0" borderId="1" xfId="1" applyNumberFormat="1" applyFont="1" applyBorder="1" applyAlignment="1">
      <alignment horizontal="center" vertical="center"/>
    </xf>
    <xf numFmtId="0" fontId="15" fillId="0" borderId="0" xfId="0"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10" fillId="0" borderId="7"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7" fillId="0" borderId="7" xfId="1" applyNumberFormat="1" applyFont="1" applyBorder="1" applyAlignment="1">
      <alignment horizontal="center" vertical="center"/>
    </xf>
    <xf numFmtId="1" fontId="7" fillId="0" borderId="20" xfId="1" applyNumberFormat="1" applyFont="1" applyBorder="1" applyAlignment="1">
      <alignment horizontal="center" vertical="center"/>
    </xf>
    <xf numFmtId="1" fontId="7" fillId="0" borderId="8" xfId="1" applyNumberFormat="1" applyFont="1" applyBorder="1" applyAlignment="1">
      <alignment horizontal="center" vertical="center"/>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10" fillId="0" borderId="32" xfId="0" applyNumberFormat="1" applyFont="1" applyBorder="1" applyAlignment="1" applyProtection="1">
      <alignment horizontal="center" vertical="top" wrapText="1"/>
      <protection locked="0"/>
    </xf>
    <xf numFmtId="0" fontId="7" fillId="0" borderId="7" xfId="1" applyFont="1" applyBorder="1" applyAlignment="1" applyProtection="1">
      <alignment vertical="top" wrapText="1"/>
      <protection locked="0"/>
    </xf>
    <xf numFmtId="0" fontId="7" fillId="0" borderId="20" xfId="1" applyFont="1" applyBorder="1" applyAlignment="1" applyProtection="1">
      <alignment vertical="top" wrapText="1"/>
      <protection locked="0"/>
    </xf>
    <xf numFmtId="0" fontId="7" fillId="0" borderId="8" xfId="1" applyFont="1" applyBorder="1" applyAlignment="1" applyProtection="1">
      <alignmen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9" fontId="7" fillId="0" borderId="16"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0" fillId="0" borderId="2" xfId="1" applyNumberFormat="1" applyFont="1" applyBorder="1" applyAlignment="1" applyProtection="1">
      <alignment horizontal="center" vertical="top" wrapText="1"/>
      <protection locked="0"/>
    </xf>
    <xf numFmtId="1" fontId="10"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7" fillId="0" borderId="0" xfId="1" applyFont="1" applyAlignment="1">
      <alignment horizontal="center" vertical="center"/>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12"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8" fillId="0" borderId="15"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10" fillId="0" borderId="1" xfId="0" applyFont="1" applyBorder="1" applyAlignment="1" applyProtection="1">
      <alignment horizontal="center" vertical="center"/>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6" fillId="0" borderId="2"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1" fontId="7"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1" fontId="10" fillId="0" borderId="7" xfId="1" applyNumberFormat="1" applyFont="1" applyFill="1" applyBorder="1" applyAlignment="1" applyProtection="1">
      <alignment horizontal="center" vertical="top" wrapText="1"/>
      <protection locked="0"/>
    </xf>
    <xf numFmtId="1" fontId="10" fillId="0" borderId="20" xfId="1" applyNumberFormat="1" applyFont="1" applyFill="1" applyBorder="1" applyAlignment="1" applyProtection="1">
      <alignment horizontal="center" vertical="top" wrapText="1"/>
      <protection locked="0"/>
    </xf>
    <xf numFmtId="1" fontId="10" fillId="0" borderId="8" xfId="1" applyNumberFormat="1" applyFont="1" applyFill="1" applyBorder="1" applyAlignment="1" applyProtection="1">
      <alignment horizontal="center" vertical="top" wrapText="1"/>
      <protection locked="0"/>
    </xf>
    <xf numFmtId="1" fontId="7" fillId="0" borderId="7"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horizontal="left" vertical="top" wrapText="1"/>
      <protection locked="0"/>
    </xf>
    <xf numFmtId="1" fontId="8" fillId="0" borderId="20"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horizontal="left" vertical="top" wrapText="1"/>
      <protection locked="0"/>
    </xf>
    <xf numFmtId="1" fontId="8" fillId="0" borderId="7"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10</xdr:col>
      <xdr:colOff>314325</xdr:colOff>
      <xdr:row>653</xdr:row>
      <xdr:rowOff>114300</xdr:rowOff>
    </xdr:from>
    <xdr:to>
      <xdr:col>16</xdr:col>
      <xdr:colOff>419100</xdr:colOff>
      <xdr:row>683</xdr:row>
      <xdr:rowOff>138750</xdr:rowOff>
    </xdr:to>
    <xdr:grpSp>
      <xdr:nvGrpSpPr>
        <xdr:cNvPr id="35" name="Group 34"/>
        <xdr:cNvGrpSpPr/>
      </xdr:nvGrpSpPr>
      <xdr:grpSpPr>
        <a:xfrm>
          <a:off x="8553450" y="137179050"/>
          <a:ext cx="4953000" cy="6025200"/>
          <a:chOff x="647700" y="135607425"/>
          <a:chExt cx="4953000" cy="6025200"/>
        </a:xfrm>
      </xdr:grpSpPr>
      <xdr:pic>
        <xdr:nvPicPr>
          <xdr:cNvPr id="3" name="Picture 2"/>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27105" y="139112625"/>
            <a:ext cx="4749231" cy="2520000"/>
          </a:xfrm>
          <a:prstGeom prst="rect">
            <a:avLst/>
          </a:prstGeom>
          <a:ln>
            <a:solidFill>
              <a:schemeClr val="tx1"/>
            </a:solidFill>
          </a:ln>
        </xdr:spPr>
      </xdr:pic>
      <xdr:pic>
        <xdr:nvPicPr>
          <xdr:cNvPr id="4" name="Picture 3"/>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47700" y="135607425"/>
            <a:ext cx="4953000" cy="3352801"/>
          </a:xfrm>
          <a:prstGeom prst="rect">
            <a:avLst/>
          </a:prstGeom>
          <a:ln>
            <a:solidFill>
              <a:schemeClr val="tx1"/>
            </a:solidFill>
          </a:ln>
        </xdr:spPr>
      </xdr:pic>
      <xdr:sp macro="" textlink="">
        <xdr:nvSpPr>
          <xdr:cNvPr id="9" name="Rectangle 8"/>
          <xdr:cNvSpPr/>
        </xdr:nvSpPr>
        <xdr:spPr>
          <a:xfrm>
            <a:off x="2981326" y="139998450"/>
            <a:ext cx="1600199" cy="65722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257175</xdr:colOff>
      <xdr:row>607</xdr:row>
      <xdr:rowOff>190500</xdr:rowOff>
    </xdr:from>
    <xdr:to>
      <xdr:col>7</xdr:col>
      <xdr:colOff>432482</xdr:colOff>
      <xdr:row>620</xdr:row>
      <xdr:rowOff>110174</xdr:rowOff>
    </xdr:to>
    <xdr:pic>
      <xdr:nvPicPr>
        <xdr:cNvPr id="10" name="Picture 9"/>
        <xdr:cNvPicPr>
          <a:picLocks noChangeAspect="1"/>
        </xdr:cNvPicPr>
      </xdr:nvPicPr>
      <xdr:blipFill>
        <a:blip xmlns:r="http://schemas.openxmlformats.org/officeDocument/2006/relationships" r:embed="rId3"/>
        <a:stretch>
          <a:fillRect/>
        </a:stretch>
      </xdr:blipFill>
      <xdr:spPr>
        <a:xfrm>
          <a:off x="257175" y="66427350"/>
          <a:ext cx="5756957" cy="2520000"/>
        </a:xfrm>
        <a:prstGeom prst="rect">
          <a:avLst/>
        </a:prstGeom>
      </xdr:spPr>
    </xdr:pic>
    <xdr:clientData/>
  </xdr:twoCellAnchor>
  <xdr:twoCellAnchor editAs="oneCell">
    <xdr:from>
      <xdr:col>0</xdr:col>
      <xdr:colOff>152400</xdr:colOff>
      <xdr:row>621</xdr:row>
      <xdr:rowOff>190500</xdr:rowOff>
    </xdr:from>
    <xdr:to>
      <xdr:col>7</xdr:col>
      <xdr:colOff>490126</xdr:colOff>
      <xdr:row>634</xdr:row>
      <xdr:rowOff>110175</xdr:rowOff>
    </xdr:to>
    <xdr:pic>
      <xdr:nvPicPr>
        <xdr:cNvPr id="13" name="Picture 12"/>
        <xdr:cNvPicPr>
          <a:picLocks noChangeAspect="1"/>
        </xdr:cNvPicPr>
      </xdr:nvPicPr>
      <xdr:blipFill>
        <a:blip xmlns:r="http://schemas.openxmlformats.org/officeDocument/2006/relationships" r:embed="rId4"/>
        <a:stretch>
          <a:fillRect/>
        </a:stretch>
      </xdr:blipFill>
      <xdr:spPr>
        <a:xfrm>
          <a:off x="152400" y="69227700"/>
          <a:ext cx="5919376" cy="2520000"/>
        </a:xfrm>
        <a:prstGeom prst="rect">
          <a:avLst/>
        </a:prstGeom>
      </xdr:spPr>
    </xdr:pic>
    <xdr:clientData/>
  </xdr:twoCellAnchor>
  <xdr:twoCellAnchor editAs="oneCell">
    <xdr:from>
      <xdr:col>10</xdr:col>
      <xdr:colOff>276225</xdr:colOff>
      <xdr:row>38</xdr:row>
      <xdr:rowOff>28575</xdr:rowOff>
    </xdr:from>
    <xdr:to>
      <xdr:col>18</xdr:col>
      <xdr:colOff>8800</xdr:colOff>
      <xdr:row>48</xdr:row>
      <xdr:rowOff>180706</xdr:rowOff>
    </xdr:to>
    <xdr:pic>
      <xdr:nvPicPr>
        <xdr:cNvPr id="14" name="Picture 13"/>
        <xdr:cNvPicPr>
          <a:picLocks noChangeAspect="1"/>
        </xdr:cNvPicPr>
      </xdr:nvPicPr>
      <xdr:blipFill>
        <a:blip xmlns:r="http://schemas.openxmlformats.org/officeDocument/2006/relationships" r:embed="rId5"/>
        <a:stretch>
          <a:fillRect/>
        </a:stretch>
      </xdr:blipFill>
      <xdr:spPr>
        <a:xfrm>
          <a:off x="8515350" y="8629650"/>
          <a:ext cx="5800000" cy="2152381"/>
        </a:xfrm>
        <a:prstGeom prst="rect">
          <a:avLst/>
        </a:prstGeom>
      </xdr:spPr>
    </xdr:pic>
    <xdr:clientData/>
  </xdr:twoCellAnchor>
  <xdr:twoCellAnchor editAs="oneCell">
    <xdr:from>
      <xdr:col>8</xdr:col>
      <xdr:colOff>476250</xdr:colOff>
      <xdr:row>15</xdr:row>
      <xdr:rowOff>123825</xdr:rowOff>
    </xdr:from>
    <xdr:to>
      <xdr:col>12</xdr:col>
      <xdr:colOff>771044</xdr:colOff>
      <xdr:row>20</xdr:row>
      <xdr:rowOff>171267</xdr:rowOff>
    </xdr:to>
    <xdr:pic>
      <xdr:nvPicPr>
        <xdr:cNvPr id="5" name="Picture 4"/>
        <xdr:cNvPicPr>
          <a:picLocks noChangeAspect="1"/>
        </xdr:cNvPicPr>
      </xdr:nvPicPr>
      <xdr:blipFill>
        <a:blip xmlns:r="http://schemas.openxmlformats.org/officeDocument/2006/relationships" r:embed="rId6"/>
        <a:stretch>
          <a:fillRect/>
        </a:stretch>
      </xdr:blipFill>
      <xdr:spPr>
        <a:xfrm>
          <a:off x="6791325" y="3714750"/>
          <a:ext cx="3847619" cy="1466667"/>
        </a:xfrm>
        <a:prstGeom prst="rect">
          <a:avLst/>
        </a:prstGeom>
      </xdr:spPr>
    </xdr:pic>
    <xdr:clientData/>
  </xdr:twoCellAnchor>
  <xdr:twoCellAnchor editAs="oneCell">
    <xdr:from>
      <xdr:col>9</xdr:col>
      <xdr:colOff>407894</xdr:colOff>
      <xdr:row>52</xdr:row>
      <xdr:rowOff>171450</xdr:rowOff>
    </xdr:from>
    <xdr:to>
      <xdr:col>15</xdr:col>
      <xdr:colOff>531100</xdr:colOff>
      <xdr:row>60</xdr:row>
      <xdr:rowOff>142672</xdr:rowOff>
    </xdr:to>
    <xdr:pic>
      <xdr:nvPicPr>
        <xdr:cNvPr id="6" name="Picture 5"/>
        <xdr:cNvPicPr>
          <a:picLocks noChangeAspect="1"/>
        </xdr:cNvPicPr>
      </xdr:nvPicPr>
      <xdr:blipFill>
        <a:blip xmlns:r="http://schemas.openxmlformats.org/officeDocument/2006/relationships" r:embed="rId7"/>
        <a:stretch>
          <a:fillRect/>
        </a:stretch>
      </xdr:blipFill>
      <xdr:spPr>
        <a:xfrm>
          <a:off x="7885019" y="11801475"/>
          <a:ext cx="4952381" cy="1619047"/>
        </a:xfrm>
        <a:prstGeom prst="rect">
          <a:avLst/>
        </a:prstGeom>
      </xdr:spPr>
    </xdr:pic>
    <xdr:clientData/>
  </xdr:twoCellAnchor>
  <xdr:twoCellAnchor editAs="oneCell">
    <xdr:from>
      <xdr:col>0</xdr:col>
      <xdr:colOff>448237</xdr:colOff>
      <xdr:row>696</xdr:row>
      <xdr:rowOff>33617</xdr:rowOff>
    </xdr:from>
    <xdr:to>
      <xdr:col>7</xdr:col>
      <xdr:colOff>425823</xdr:colOff>
      <xdr:row>735</xdr:row>
      <xdr:rowOff>87086</xdr:rowOff>
    </xdr:to>
    <xdr:pic>
      <xdr:nvPicPr>
        <xdr:cNvPr id="27" name="Picture 26"/>
        <xdr:cNvPicPr>
          <a:picLocks noChangeAspect="1"/>
        </xdr:cNvPicPr>
      </xdr:nvPicPr>
      <xdr:blipFill rotWithShape="1">
        <a:blip xmlns:r="http://schemas.openxmlformats.org/officeDocument/2006/relationships" r:embed="rId8"/>
        <a:srcRect l="35751" t="21077" r="36638" b="5386"/>
        <a:stretch/>
      </xdr:blipFill>
      <xdr:spPr>
        <a:xfrm>
          <a:off x="448237" y="89445352"/>
          <a:ext cx="5995145" cy="7920000"/>
        </a:xfrm>
        <a:prstGeom prst="rect">
          <a:avLst/>
        </a:prstGeom>
        <a:ln>
          <a:solidFill>
            <a:schemeClr val="tx1"/>
          </a:solidFill>
        </a:ln>
      </xdr:spPr>
    </xdr:pic>
    <xdr:clientData/>
  </xdr:twoCellAnchor>
  <xdr:twoCellAnchor>
    <xdr:from>
      <xdr:col>3</xdr:col>
      <xdr:colOff>790575</xdr:colOff>
      <xdr:row>624</xdr:row>
      <xdr:rowOff>66675</xdr:rowOff>
    </xdr:from>
    <xdr:to>
      <xdr:col>6</xdr:col>
      <xdr:colOff>161925</xdr:colOff>
      <xdr:row>631</xdr:row>
      <xdr:rowOff>133350</xdr:rowOff>
    </xdr:to>
    <xdr:sp macro="" textlink="">
      <xdr:nvSpPr>
        <xdr:cNvPr id="2" name="Rectangle 1"/>
        <xdr:cNvSpPr/>
      </xdr:nvSpPr>
      <xdr:spPr>
        <a:xfrm>
          <a:off x="3200400" y="71980425"/>
          <a:ext cx="1809750" cy="146685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504824</xdr:colOff>
      <xdr:row>624</xdr:row>
      <xdr:rowOff>57150</xdr:rowOff>
    </xdr:from>
    <xdr:to>
      <xdr:col>3</xdr:col>
      <xdr:colOff>714374</xdr:colOff>
      <xdr:row>631</xdr:row>
      <xdr:rowOff>123825</xdr:rowOff>
    </xdr:to>
    <xdr:sp macro="" textlink="">
      <xdr:nvSpPr>
        <xdr:cNvPr id="23" name="Rectangle 22"/>
        <xdr:cNvSpPr/>
      </xdr:nvSpPr>
      <xdr:spPr>
        <a:xfrm>
          <a:off x="504824" y="71970900"/>
          <a:ext cx="2619375" cy="1466850"/>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381000</xdr:colOff>
      <xdr:row>622</xdr:row>
      <xdr:rowOff>190500</xdr:rowOff>
    </xdr:from>
    <xdr:to>
      <xdr:col>3</xdr:col>
      <xdr:colOff>466725</xdr:colOff>
      <xdr:row>627</xdr:row>
      <xdr:rowOff>133350</xdr:rowOff>
    </xdr:to>
    <xdr:sp macro="" textlink="">
      <xdr:nvSpPr>
        <xdr:cNvPr id="7" name="Rectangle 6"/>
        <xdr:cNvSpPr/>
      </xdr:nvSpPr>
      <xdr:spPr>
        <a:xfrm>
          <a:off x="1143000" y="71704200"/>
          <a:ext cx="1733550" cy="942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ln>
                <a:noFill/>
              </a:ln>
              <a:solidFill>
                <a:srgbClr val="7030A0"/>
              </a:solidFill>
            </a:rPr>
            <a:t>IT Park</a:t>
          </a:r>
        </a:p>
      </xdr:txBody>
    </xdr:sp>
    <xdr:clientData/>
  </xdr:twoCellAnchor>
  <xdr:twoCellAnchor>
    <xdr:from>
      <xdr:col>4</xdr:col>
      <xdr:colOff>76200</xdr:colOff>
      <xdr:row>622</xdr:row>
      <xdr:rowOff>171450</xdr:rowOff>
    </xdr:from>
    <xdr:to>
      <xdr:col>6</xdr:col>
      <xdr:colOff>285750</xdr:colOff>
      <xdr:row>627</xdr:row>
      <xdr:rowOff>114300</xdr:rowOff>
    </xdr:to>
    <xdr:sp macro="" textlink="">
      <xdr:nvSpPr>
        <xdr:cNvPr id="24" name="Rectangle 23"/>
        <xdr:cNvSpPr/>
      </xdr:nvSpPr>
      <xdr:spPr>
        <a:xfrm>
          <a:off x="3400425" y="71685150"/>
          <a:ext cx="1733550" cy="942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ln>
                <a:noFill/>
              </a:ln>
              <a:solidFill>
                <a:srgbClr val="0070C0"/>
              </a:solidFill>
            </a:rPr>
            <a:t>Commercial Park</a:t>
          </a:r>
        </a:p>
      </xdr:txBody>
    </xdr:sp>
    <xdr:clientData/>
  </xdr:twoCellAnchor>
  <xdr:twoCellAnchor>
    <xdr:from>
      <xdr:col>0</xdr:col>
      <xdr:colOff>85725</xdr:colOff>
      <xdr:row>652</xdr:row>
      <xdr:rowOff>0</xdr:rowOff>
    </xdr:from>
    <xdr:to>
      <xdr:col>7</xdr:col>
      <xdr:colOff>546069</xdr:colOff>
      <xdr:row>683</xdr:row>
      <xdr:rowOff>103597</xdr:rowOff>
    </xdr:to>
    <xdr:grpSp>
      <xdr:nvGrpSpPr>
        <xdr:cNvPr id="36" name="Group 35"/>
        <xdr:cNvGrpSpPr/>
      </xdr:nvGrpSpPr>
      <xdr:grpSpPr>
        <a:xfrm>
          <a:off x="85725" y="136864725"/>
          <a:ext cx="6041994" cy="6304372"/>
          <a:chOff x="408003" y="1342919"/>
          <a:chExt cx="6041994" cy="6304372"/>
        </a:xfrm>
      </xdr:grpSpPr>
      <xdr:pic>
        <xdr:nvPicPr>
          <xdr:cNvPr id="37" name="Picture 36"/>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b="9281"/>
          <a:stretch/>
        </xdr:blipFill>
        <xdr:spPr>
          <a:xfrm>
            <a:off x="931698" y="1342919"/>
            <a:ext cx="4994604" cy="3067200"/>
          </a:xfrm>
          <a:prstGeom prst="rect">
            <a:avLst/>
          </a:prstGeom>
          <a:ln>
            <a:solidFill>
              <a:schemeClr val="tx1"/>
            </a:solidFill>
          </a:ln>
        </xdr:spPr>
      </xdr:pic>
      <xdr:grpSp>
        <xdr:nvGrpSpPr>
          <xdr:cNvPr id="38" name="Group 37"/>
          <xdr:cNvGrpSpPr/>
        </xdr:nvGrpSpPr>
        <xdr:grpSpPr>
          <a:xfrm>
            <a:off x="408003" y="4579349"/>
            <a:ext cx="6041994" cy="3067942"/>
            <a:chOff x="385523" y="4895879"/>
            <a:chExt cx="6041994" cy="3067942"/>
          </a:xfrm>
        </xdr:grpSpPr>
        <xdr:pic>
          <xdr:nvPicPr>
            <xdr:cNvPr id="39" name="Picture 38"/>
            <xdr:cNvPicPr>
              <a:picLocks noChangeAspect="1"/>
            </xdr:cNvPicPr>
          </xdr:nvPicPr>
          <xdr:blipFill rotWithShape="1">
            <a:blip xmlns:r="http://schemas.openxmlformats.org/officeDocument/2006/relationships" r:embed="rId9"/>
            <a:srcRect l="13757" t="17708" r="21845" b="24132"/>
            <a:stretch/>
          </xdr:blipFill>
          <xdr:spPr>
            <a:xfrm>
              <a:off x="385523" y="4895879"/>
              <a:ext cx="6041994" cy="3067942"/>
            </a:xfrm>
            <a:prstGeom prst="rect">
              <a:avLst/>
            </a:prstGeom>
            <a:ln>
              <a:solidFill>
                <a:schemeClr val="tx1"/>
              </a:solidFill>
            </a:ln>
          </xdr:spPr>
        </xdr:pic>
        <xdr:sp macro="" textlink="">
          <xdr:nvSpPr>
            <xdr:cNvPr id="40" name="Rectangle 4"/>
            <xdr:cNvSpPr/>
          </xdr:nvSpPr>
          <xdr:spPr>
            <a:xfrm>
              <a:off x="2552700" y="5867400"/>
              <a:ext cx="2908300" cy="1098550"/>
            </a:xfrm>
            <a:custGeom>
              <a:avLst/>
              <a:gdLst>
                <a:gd name="connsiteX0" fmla="*/ 0 w 2070100"/>
                <a:gd name="connsiteY0" fmla="*/ 0 h 958850"/>
                <a:gd name="connsiteX1" fmla="*/ 2070100 w 2070100"/>
                <a:gd name="connsiteY1" fmla="*/ 0 h 958850"/>
                <a:gd name="connsiteX2" fmla="*/ 2070100 w 2070100"/>
                <a:gd name="connsiteY2" fmla="*/ 958850 h 958850"/>
                <a:gd name="connsiteX3" fmla="*/ 0 w 2070100"/>
                <a:gd name="connsiteY3" fmla="*/ 958850 h 958850"/>
                <a:gd name="connsiteX4" fmla="*/ 0 w 2070100"/>
                <a:gd name="connsiteY4" fmla="*/ 0 h 958850"/>
                <a:gd name="connsiteX0" fmla="*/ 12700 w 2082800"/>
                <a:gd name="connsiteY0" fmla="*/ 0 h 1092200"/>
                <a:gd name="connsiteX1" fmla="*/ 2082800 w 2082800"/>
                <a:gd name="connsiteY1" fmla="*/ 0 h 1092200"/>
                <a:gd name="connsiteX2" fmla="*/ 2082800 w 2082800"/>
                <a:gd name="connsiteY2" fmla="*/ 958850 h 1092200"/>
                <a:gd name="connsiteX3" fmla="*/ 0 w 2082800"/>
                <a:gd name="connsiteY3" fmla="*/ 1092200 h 1092200"/>
                <a:gd name="connsiteX4" fmla="*/ 12700 w 2082800"/>
                <a:gd name="connsiteY4" fmla="*/ 0 h 1092200"/>
                <a:gd name="connsiteX0" fmla="*/ 12700 w 2082800"/>
                <a:gd name="connsiteY0" fmla="*/ 0 h 1092200"/>
                <a:gd name="connsiteX1" fmla="*/ 2082800 w 2082800"/>
                <a:gd name="connsiteY1" fmla="*/ 0 h 1092200"/>
                <a:gd name="connsiteX2" fmla="*/ 2082800 w 2082800"/>
                <a:gd name="connsiteY2" fmla="*/ 933450 h 1092200"/>
                <a:gd name="connsiteX3" fmla="*/ 0 w 2082800"/>
                <a:gd name="connsiteY3" fmla="*/ 1092200 h 1092200"/>
                <a:gd name="connsiteX4" fmla="*/ 12700 w 2082800"/>
                <a:gd name="connsiteY4" fmla="*/ 0 h 1092200"/>
                <a:gd name="connsiteX0" fmla="*/ 0 w 2908300"/>
                <a:gd name="connsiteY0" fmla="*/ 44450 h 1092200"/>
                <a:gd name="connsiteX1" fmla="*/ 2908300 w 2908300"/>
                <a:gd name="connsiteY1" fmla="*/ 0 h 1092200"/>
                <a:gd name="connsiteX2" fmla="*/ 2908300 w 2908300"/>
                <a:gd name="connsiteY2" fmla="*/ 933450 h 1092200"/>
                <a:gd name="connsiteX3" fmla="*/ 825500 w 2908300"/>
                <a:gd name="connsiteY3" fmla="*/ 1092200 h 1092200"/>
                <a:gd name="connsiteX4" fmla="*/ 0 w 2908300"/>
                <a:gd name="connsiteY4" fmla="*/ 44450 h 1092200"/>
                <a:gd name="connsiteX0" fmla="*/ 0 w 2908300"/>
                <a:gd name="connsiteY0" fmla="*/ 50800 h 1098550"/>
                <a:gd name="connsiteX1" fmla="*/ 2882900 w 2908300"/>
                <a:gd name="connsiteY1" fmla="*/ 0 h 1098550"/>
                <a:gd name="connsiteX2" fmla="*/ 2908300 w 2908300"/>
                <a:gd name="connsiteY2" fmla="*/ 939800 h 1098550"/>
                <a:gd name="connsiteX3" fmla="*/ 825500 w 2908300"/>
                <a:gd name="connsiteY3" fmla="*/ 1098550 h 1098550"/>
                <a:gd name="connsiteX4" fmla="*/ 0 w 2908300"/>
                <a:gd name="connsiteY4" fmla="*/ 50800 h 10985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08300" h="1098550">
                  <a:moveTo>
                    <a:pt x="0" y="50800"/>
                  </a:moveTo>
                  <a:lnTo>
                    <a:pt x="2882900" y="0"/>
                  </a:lnTo>
                  <a:lnTo>
                    <a:pt x="2908300" y="939800"/>
                  </a:lnTo>
                  <a:lnTo>
                    <a:pt x="825500" y="1098550"/>
                  </a:lnTo>
                  <a:lnTo>
                    <a:pt x="0" y="508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1" name="TextBox 5"/>
            <xdr:cNvSpPr txBox="1"/>
          </xdr:nvSpPr>
          <xdr:spPr>
            <a:xfrm>
              <a:off x="4203700" y="5149850"/>
              <a:ext cx="140910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Delta Stellar </a:t>
              </a:r>
              <a:endParaRPr lang="en-IN" b="1">
                <a:solidFill>
                  <a:srgbClr val="FFFF00"/>
                </a:solidFill>
              </a:endParaRPr>
            </a:p>
          </xdr:txBody>
        </xdr:sp>
      </xdr:grpSp>
    </xdr:grpSp>
    <xdr:clientData/>
  </xdr:twoCellAnchor>
  <xdr:twoCellAnchor editAs="oneCell">
    <xdr:from>
      <xdr:col>8</xdr:col>
      <xdr:colOff>495300</xdr:colOff>
      <xdr:row>14</xdr:row>
      <xdr:rowOff>57150</xdr:rowOff>
    </xdr:from>
    <xdr:to>
      <xdr:col>13</xdr:col>
      <xdr:colOff>685233</xdr:colOff>
      <xdr:row>21</xdr:row>
      <xdr:rowOff>104542</xdr:rowOff>
    </xdr:to>
    <xdr:pic>
      <xdr:nvPicPr>
        <xdr:cNvPr id="42" name="Picture 41"/>
        <xdr:cNvPicPr>
          <a:picLocks noChangeAspect="1"/>
        </xdr:cNvPicPr>
      </xdr:nvPicPr>
      <xdr:blipFill>
        <a:blip xmlns:r="http://schemas.openxmlformats.org/officeDocument/2006/relationships" r:embed="rId10"/>
        <a:stretch>
          <a:fillRect/>
        </a:stretch>
      </xdr:blipFill>
      <xdr:spPr>
        <a:xfrm>
          <a:off x="6810375" y="3228975"/>
          <a:ext cx="4533333" cy="1866667"/>
        </a:xfrm>
        <a:prstGeom prst="rect">
          <a:avLst/>
        </a:prstGeom>
      </xdr:spPr>
    </xdr:pic>
    <xdr:clientData/>
  </xdr:twoCellAnchor>
  <xdr:twoCellAnchor>
    <xdr:from>
      <xdr:col>0</xdr:col>
      <xdr:colOff>152400</xdr:colOff>
      <xdr:row>563</xdr:row>
      <xdr:rowOff>104775</xdr:rowOff>
    </xdr:from>
    <xdr:to>
      <xdr:col>7</xdr:col>
      <xdr:colOff>681037</xdr:colOff>
      <xdr:row>596</xdr:row>
      <xdr:rowOff>142874</xdr:rowOff>
    </xdr:to>
    <xdr:grpSp>
      <xdr:nvGrpSpPr>
        <xdr:cNvPr id="50" name="Group 49"/>
        <xdr:cNvGrpSpPr/>
      </xdr:nvGrpSpPr>
      <xdr:grpSpPr>
        <a:xfrm>
          <a:off x="152400" y="119176800"/>
          <a:ext cx="6110287" cy="6629399"/>
          <a:chOff x="152400" y="119176800"/>
          <a:chExt cx="6110287" cy="6629399"/>
        </a:xfrm>
      </xdr:grpSpPr>
      <xdr:grpSp>
        <xdr:nvGrpSpPr>
          <xdr:cNvPr id="45" name="Group 44"/>
          <xdr:cNvGrpSpPr/>
        </xdr:nvGrpSpPr>
        <xdr:grpSpPr>
          <a:xfrm>
            <a:off x="152400" y="119176800"/>
            <a:ext cx="6110287" cy="6629399"/>
            <a:chOff x="152400" y="119176800"/>
            <a:chExt cx="6110287" cy="6629399"/>
          </a:xfrm>
        </xdr:grpSpPr>
        <xdr:grpSp>
          <xdr:nvGrpSpPr>
            <xdr:cNvPr id="34" name="Group 33"/>
            <xdr:cNvGrpSpPr/>
          </xdr:nvGrpSpPr>
          <xdr:grpSpPr>
            <a:xfrm>
              <a:off x="152400" y="119176800"/>
              <a:ext cx="6110287" cy="6629399"/>
              <a:chOff x="152400" y="118938675"/>
              <a:chExt cx="6110287" cy="6629399"/>
            </a:xfrm>
          </xdr:grpSpPr>
          <xdr:pic>
            <xdr:nvPicPr>
              <xdr:cNvPr id="75" name="Picture 74" descr="https://vsjcllp.vsjadon.com/upload/insp-246169-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276725" y="122920125"/>
                <a:ext cx="1985962" cy="2647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46169-84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52400" y="122920125"/>
                <a:ext cx="1985962" cy="2647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46169-848.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209924" y="118938675"/>
                <a:ext cx="2900363" cy="3867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6169-85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209800" y="122920125"/>
                <a:ext cx="1985962" cy="2647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46169-85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09549" y="118938675"/>
                <a:ext cx="2900363" cy="3867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81" name="TextBox 44"/>
            <xdr:cNvSpPr txBox="1"/>
          </xdr:nvSpPr>
          <xdr:spPr>
            <a:xfrm>
              <a:off x="2000251" y="119176800"/>
              <a:ext cx="1314450" cy="52387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Commercial Park</a:t>
              </a:r>
              <a:endParaRPr lang="en-IN" sz="1400" b="1"/>
            </a:p>
          </xdr:txBody>
        </xdr:sp>
      </xdr:grpSp>
      <xdr:sp macro="" textlink="">
        <xdr:nvSpPr>
          <xdr:cNvPr id="83" name="TextBox 44"/>
          <xdr:cNvSpPr txBox="1"/>
        </xdr:nvSpPr>
        <xdr:spPr>
          <a:xfrm>
            <a:off x="3286125" y="120910350"/>
            <a:ext cx="714375" cy="37147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IT</a:t>
            </a:r>
            <a:r>
              <a:rPr lang="en-US" sz="1400" b="1" baseline="0"/>
              <a:t> </a:t>
            </a:r>
            <a:r>
              <a:rPr lang="en-US" sz="1400" b="1"/>
              <a:t>Park</a:t>
            </a:r>
            <a:endParaRPr lang="en-IN" sz="1400" b="1"/>
          </a:p>
        </xdr:txBody>
      </xdr:sp>
      <xdr:cxnSp macro="">
        <xdr:nvCxnSpPr>
          <xdr:cNvPr id="84" name="Straight Arrow Connector 83"/>
          <xdr:cNvCxnSpPr/>
        </xdr:nvCxnSpPr>
        <xdr:spPr>
          <a:xfrm>
            <a:off x="3705225" y="121196100"/>
            <a:ext cx="209550" cy="466725"/>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0</xdr:colOff>
      <xdr:row>14</xdr:row>
      <xdr:rowOff>67236</xdr:rowOff>
    </xdr:from>
    <xdr:to>
      <xdr:col>7</xdr:col>
      <xdr:colOff>863741</xdr:colOff>
      <xdr:row>34</xdr:row>
      <xdr:rowOff>121871</xdr:rowOff>
    </xdr:to>
    <xdr:pic>
      <xdr:nvPicPr>
        <xdr:cNvPr id="3" name="Picture 2"/>
        <xdr:cNvPicPr>
          <a:picLocks noChangeAspect="1"/>
        </xdr:cNvPicPr>
      </xdr:nvPicPr>
      <xdr:blipFill rotWithShape="1">
        <a:blip xmlns:r="http://schemas.openxmlformats.org/officeDocument/2006/relationships" r:embed="rId2"/>
        <a:srcRect l="1104" t="24057" r="28352" b="23113"/>
        <a:stretch/>
      </xdr:blipFill>
      <xdr:spPr>
        <a:xfrm>
          <a:off x="0" y="2745442"/>
          <a:ext cx="9178506" cy="386463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thedeltagroup.co.in/delta-stellar.php" TargetMode="External"/><Relationship Id="rId1" Type="http://schemas.openxmlformats.org/officeDocument/2006/relationships/hyperlink" Target="https://maps.app.goo.gl/GHorJJF1BwHcAdiY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95"/>
  <sheetViews>
    <sheetView tabSelected="1" view="pageBreakPreview" zoomScaleNormal="100" zoomScaleSheetLayoutView="100" zoomScalePageLayoutView="85" workbookViewId="0">
      <selection activeCell="J11" sqref="J11"/>
    </sheetView>
  </sheetViews>
  <sheetFormatPr defaultColWidth="9.140625" defaultRowHeight="15.7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c r="A1" s="198" t="s">
        <v>153</v>
      </c>
      <c r="B1" s="198"/>
      <c r="C1" s="198"/>
      <c r="D1" s="198"/>
      <c r="E1" s="198"/>
      <c r="F1" s="198"/>
      <c r="G1" s="198"/>
      <c r="H1" s="198"/>
    </row>
    <row r="2" spans="1:26" ht="16.5" customHeight="1">
      <c r="A2" s="199" t="s">
        <v>0</v>
      </c>
      <c r="B2" s="199"/>
      <c r="C2" s="199"/>
      <c r="D2" s="199"/>
      <c r="E2" s="199"/>
      <c r="F2" s="199"/>
      <c r="G2" s="199"/>
      <c r="H2" s="199"/>
    </row>
    <row r="3" spans="1:26">
      <c r="A3" s="171" t="s">
        <v>1</v>
      </c>
      <c r="B3" s="171"/>
      <c r="C3" s="171"/>
      <c r="D3" s="171"/>
      <c r="E3" s="171" t="str">
        <f ca="1">TEXT(TODAY(),"DD/MM/YYYY")</f>
        <v>06/09/2025</v>
      </c>
      <c r="F3" s="171"/>
      <c r="G3" s="171"/>
      <c r="H3" s="171"/>
      <c r="K3" s="56" t="s">
        <v>222</v>
      </c>
      <c r="L3" s="54" t="s">
        <v>220</v>
      </c>
      <c r="M3" s="54" t="s">
        <v>225</v>
      </c>
      <c r="N3" s="54" t="s">
        <v>223</v>
      </c>
      <c r="O3" s="54" t="s">
        <v>224</v>
      </c>
      <c r="P3" s="54" t="s">
        <v>226</v>
      </c>
    </row>
    <row r="4" spans="1:26" ht="15" customHeight="1">
      <c r="A4" s="171" t="s">
        <v>219</v>
      </c>
      <c r="B4" s="171"/>
      <c r="C4" s="171"/>
      <c r="D4" s="171"/>
      <c r="E4" s="117" t="s">
        <v>220</v>
      </c>
      <c r="F4" s="117"/>
      <c r="G4" s="117"/>
      <c r="H4" s="117"/>
      <c r="K4" s="53" t="s">
        <v>221</v>
      </c>
      <c r="L4" s="54" t="s">
        <v>159</v>
      </c>
      <c r="M4" s="54" t="s">
        <v>230</v>
      </c>
      <c r="N4" s="54" t="s">
        <v>232</v>
      </c>
      <c r="O4" s="54" t="s">
        <v>234</v>
      </c>
      <c r="P4" s="54"/>
    </row>
    <row r="5" spans="1:26" ht="15" customHeight="1">
      <c r="A5" s="171" t="s">
        <v>2</v>
      </c>
      <c r="B5" s="171"/>
      <c r="C5" s="171"/>
      <c r="D5" s="171"/>
      <c r="E5" s="117" t="s">
        <v>228</v>
      </c>
      <c r="F5" s="117"/>
      <c r="G5" s="117"/>
      <c r="H5" s="117"/>
      <c r="K5" s="53"/>
      <c r="L5" s="54" t="s">
        <v>227</v>
      </c>
      <c r="M5" s="54" t="s">
        <v>231</v>
      </c>
      <c r="N5" s="54" t="s">
        <v>233</v>
      </c>
      <c r="O5" s="54" t="s">
        <v>235</v>
      </c>
      <c r="P5" s="54"/>
    </row>
    <row r="6" spans="1:26">
      <c r="A6" s="171" t="s">
        <v>3</v>
      </c>
      <c r="B6" s="171"/>
      <c r="C6" s="171"/>
      <c r="D6" s="171"/>
      <c r="E6" s="201">
        <v>45905</v>
      </c>
      <c r="F6" s="171"/>
      <c r="G6" s="171"/>
      <c r="H6" s="171"/>
      <c r="K6" s="53"/>
      <c r="L6" s="54" t="s">
        <v>228</v>
      </c>
      <c r="M6" s="54"/>
      <c r="N6" s="54"/>
      <c r="O6" s="54" t="s">
        <v>236</v>
      </c>
      <c r="P6" s="54"/>
    </row>
    <row r="7" spans="1:26" ht="16.5" customHeight="1">
      <c r="A7" s="171" t="s">
        <v>4</v>
      </c>
      <c r="B7" s="171"/>
      <c r="C7" s="171"/>
      <c r="D7" s="171"/>
      <c r="E7" s="171" t="s">
        <v>286</v>
      </c>
      <c r="F7" s="171"/>
      <c r="G7" s="171"/>
      <c r="H7" s="171"/>
      <c r="K7" s="53"/>
      <c r="L7" s="54" t="s">
        <v>229</v>
      </c>
      <c r="M7" s="54"/>
      <c r="N7" s="54"/>
      <c r="O7" s="54" t="s">
        <v>236</v>
      </c>
      <c r="P7" s="54"/>
    </row>
    <row r="8" spans="1:26" ht="15" customHeight="1">
      <c r="A8" s="171" t="s">
        <v>5</v>
      </c>
      <c r="B8" s="171"/>
      <c r="C8" s="171"/>
      <c r="D8" s="171"/>
      <c r="E8" s="171" t="str">
        <f>E7</f>
        <v>Noble Organics Pvt. Ltd.</v>
      </c>
      <c r="F8" s="171"/>
      <c r="G8" s="171"/>
      <c r="H8" s="171"/>
      <c r="K8" s="53"/>
      <c r="L8" s="54"/>
      <c r="M8" s="54"/>
      <c r="N8" s="54"/>
      <c r="O8" s="54" t="s">
        <v>237</v>
      </c>
      <c r="P8" s="54"/>
    </row>
    <row r="9" spans="1:26">
      <c r="A9" s="171" t="s">
        <v>6</v>
      </c>
      <c r="B9" s="171"/>
      <c r="C9" s="171"/>
      <c r="D9" s="171"/>
      <c r="E9" s="200" t="s">
        <v>287</v>
      </c>
      <c r="F9" s="200"/>
      <c r="G9" s="200"/>
      <c r="H9" s="200"/>
      <c r="K9" s="53"/>
      <c r="L9" s="54"/>
      <c r="M9" s="54"/>
      <c r="N9" s="54"/>
      <c r="O9" s="54" t="s">
        <v>238</v>
      </c>
      <c r="P9" s="54"/>
    </row>
    <row r="10" spans="1:26">
      <c r="A10" s="171" t="s">
        <v>156</v>
      </c>
      <c r="B10" s="171"/>
      <c r="C10" s="171"/>
      <c r="D10" s="171"/>
      <c r="E10" s="171" t="s">
        <v>331</v>
      </c>
      <c r="F10" s="171"/>
      <c r="G10" s="171"/>
      <c r="H10" s="171"/>
      <c r="K10" s="53"/>
      <c r="L10" s="54"/>
      <c r="M10" s="54"/>
      <c r="N10" s="54"/>
      <c r="O10" s="54"/>
      <c r="P10" s="54"/>
    </row>
    <row r="11" spans="1:26">
      <c r="A11" s="171" t="s">
        <v>157</v>
      </c>
      <c r="B11" s="171"/>
      <c r="C11" s="171"/>
      <c r="D11" s="171"/>
      <c r="E11" s="117" t="s">
        <v>332</v>
      </c>
      <c r="F11" s="117"/>
      <c r="G11" s="117"/>
      <c r="H11" s="117"/>
    </row>
    <row r="12" spans="1:26" ht="15.75" customHeight="1">
      <c r="A12" s="171" t="s">
        <v>7</v>
      </c>
      <c r="B12" s="171"/>
      <c r="C12" s="171"/>
      <c r="D12" s="171"/>
      <c r="E12" s="195" t="s">
        <v>309</v>
      </c>
      <c r="F12" s="196"/>
      <c r="G12" s="196"/>
      <c r="H12" s="197"/>
      <c r="I12" s="71"/>
    </row>
    <row r="13" spans="1:26">
      <c r="A13" s="171" t="s">
        <v>160</v>
      </c>
      <c r="B13" s="171"/>
      <c r="C13" s="171"/>
      <c r="D13" s="171"/>
      <c r="E13" s="171" t="s">
        <v>28</v>
      </c>
      <c r="F13" s="171"/>
      <c r="G13" s="171"/>
      <c r="H13" s="171"/>
      <c r="S13" s="54" t="s">
        <v>165</v>
      </c>
      <c r="T13" s="54" t="s">
        <v>175</v>
      </c>
      <c r="U13" s="54" t="s">
        <v>161</v>
      </c>
      <c r="V13" s="54" t="s">
        <v>180</v>
      </c>
      <c r="W13" s="54" t="s">
        <v>198</v>
      </c>
      <c r="X13"/>
      <c r="Y13" t="s">
        <v>180</v>
      </c>
      <c r="Z13" t="e">
        <f ca="1">OFFSET($S$13,1,MATCH($G20,$S$13:$W$13,0)-1,15,1)</f>
        <v>#VALUE!</v>
      </c>
    </row>
    <row r="14" spans="1:26" ht="15" customHeight="1">
      <c r="A14" s="136" t="s">
        <v>265</v>
      </c>
      <c r="B14" s="136"/>
      <c r="C14" s="136"/>
      <c r="D14" s="136"/>
      <c r="E14" s="193" t="s">
        <v>316</v>
      </c>
      <c r="F14" s="193"/>
      <c r="G14" s="193"/>
      <c r="H14" s="193"/>
      <c r="I14" s="69"/>
      <c r="L14" s="70"/>
      <c r="S14" s="54" t="s">
        <v>166</v>
      </c>
      <c r="T14" s="54" t="s">
        <v>173</v>
      </c>
      <c r="U14" s="54" t="s">
        <v>195</v>
      </c>
      <c r="V14" s="54" t="s">
        <v>181</v>
      </c>
      <c r="W14" s="54" t="s">
        <v>199</v>
      </c>
      <c r="X14"/>
      <c r="Y14"/>
      <c r="Z14"/>
    </row>
    <row r="15" spans="1:26">
      <c r="A15" s="136" t="s">
        <v>8</v>
      </c>
      <c r="B15" s="136"/>
      <c r="C15" s="136"/>
      <c r="D15" s="136"/>
      <c r="E15" s="193" t="s">
        <v>288</v>
      </c>
      <c r="F15" s="117"/>
      <c r="G15" s="117"/>
      <c r="H15" s="117"/>
      <c r="I15" s="220" t="e">
        <f ca="1">OFFSET($D$5,1,MATCH($J13,$D$5:$H$5,0)-1,15,1)</f>
        <v>#N/A</v>
      </c>
      <c r="J15" s="221"/>
      <c r="K15" s="221"/>
      <c r="L15" s="221"/>
      <c r="M15" s="221"/>
      <c r="N15" s="221"/>
      <c r="O15" s="221"/>
      <c r="P15" s="221"/>
      <c r="S15" s="54" t="s">
        <v>167</v>
      </c>
      <c r="T15" s="54" t="s">
        <v>174</v>
      </c>
      <c r="U15" s="54" t="s">
        <v>196</v>
      </c>
      <c r="V15" s="54" t="s">
        <v>182</v>
      </c>
      <c r="W15" s="54" t="s">
        <v>212</v>
      </c>
      <c r="X15"/>
      <c r="Y15"/>
      <c r="Z15"/>
    </row>
    <row r="16" spans="1:26" ht="48.75" customHeight="1">
      <c r="A16" s="137" t="s">
        <v>9</v>
      </c>
      <c r="B16" s="137"/>
      <c r="C16" s="137" t="str">
        <f>CONCATENATE((IF(OR(E9="",E9="NA"),"",E9)),", ",(IF(OR(A17="",A17="NA"),"",A17)),".",(IF(OR(C17="",C17="NA"),"",C17)),", near ",(IF(OR(C22="",C22="NA"),"",C22)),", ",(IF(OR(C19="",C19="NA"),"",C19)),", ",(IF(OR(C18="",C18="NA"),"",C18)),", ",(IF(OR(G19="",G19="NA"),"",G19)),", ",(IF(OR(C20="",C20="NA"),"",C20)),", ",(IF(OR(C21="",C21="NA"),"",C21)),", ",(IF(OR(G20="",G20="NA"),"",G20))," - ",(IF(OR(G21="",G21="NA"),"",G21)),".")</f>
        <v>Delta Stellar, Plot No.D-D-43/3, D-D-43/4 , near Raheja Souluxe Juinagar, Thane-Belapur Road, MIDC Industrial Area, Thane , Juinagar East, Thane, Thane  - 400706.</v>
      </c>
      <c r="D16" s="137"/>
      <c r="E16" s="137"/>
      <c r="F16" s="137"/>
      <c r="G16" s="137"/>
      <c r="H16" s="137"/>
      <c r="S16" s="54" t="s">
        <v>168</v>
      </c>
      <c r="T16" s="54" t="s">
        <v>176</v>
      </c>
      <c r="U16" s="54" t="s">
        <v>197</v>
      </c>
      <c r="V16" s="54" t="s">
        <v>183</v>
      </c>
      <c r="W16" s="54" t="s">
        <v>200</v>
      </c>
      <c r="X16"/>
      <c r="Y16"/>
      <c r="Z16"/>
    </row>
    <row r="17" spans="1:26">
      <c r="A17" s="193" t="s">
        <v>289</v>
      </c>
      <c r="B17" s="193"/>
      <c r="C17" s="193" t="s">
        <v>290</v>
      </c>
      <c r="D17" s="193"/>
      <c r="E17" s="193"/>
      <c r="F17" s="193"/>
      <c r="G17" s="193"/>
      <c r="H17" s="193"/>
      <c r="I17"/>
      <c r="S17" s="54" t="s">
        <v>169</v>
      </c>
      <c r="T17" s="54" t="s">
        <v>177</v>
      </c>
      <c r="U17" s="54" t="s">
        <v>161</v>
      </c>
      <c r="V17" s="54" t="s">
        <v>184</v>
      </c>
      <c r="W17" s="54" t="s">
        <v>201</v>
      </c>
      <c r="X17"/>
      <c r="Y17"/>
      <c r="Z17"/>
    </row>
    <row r="18" spans="1:26" ht="15.75" customHeight="1">
      <c r="A18" s="145" t="s">
        <v>151</v>
      </c>
      <c r="B18" s="145"/>
      <c r="C18" s="145" t="s">
        <v>291</v>
      </c>
      <c r="D18" s="145"/>
      <c r="E18" s="145"/>
      <c r="F18" s="145"/>
      <c r="G18" s="145"/>
      <c r="H18" s="145"/>
      <c r="S18" s="54" t="s">
        <v>170</v>
      </c>
      <c r="T18" s="54" t="s">
        <v>175</v>
      </c>
      <c r="U18" s="54"/>
      <c r="V18" s="54" t="s">
        <v>185</v>
      </c>
      <c r="W18" s="54" t="s">
        <v>202</v>
      </c>
      <c r="X18"/>
      <c r="Y18"/>
      <c r="Z18"/>
    </row>
    <row r="19" spans="1:26" ht="15.75" customHeight="1">
      <c r="A19" s="137" t="s">
        <v>10</v>
      </c>
      <c r="B19" s="137"/>
      <c r="C19" s="117" t="s">
        <v>292</v>
      </c>
      <c r="D19" s="117"/>
      <c r="E19" s="193" t="s">
        <v>69</v>
      </c>
      <c r="F19" s="193"/>
      <c r="G19" s="194" t="s">
        <v>165</v>
      </c>
      <c r="H19" s="194"/>
      <c r="S19" s="54" t="s">
        <v>171</v>
      </c>
      <c r="T19" s="54" t="s">
        <v>178</v>
      </c>
      <c r="U19" s="54"/>
      <c r="V19" s="54" t="s">
        <v>186</v>
      </c>
      <c r="W19" s="54" t="s">
        <v>203</v>
      </c>
      <c r="X19"/>
      <c r="Y19"/>
      <c r="Z19"/>
    </row>
    <row r="20" spans="1:26">
      <c r="A20" s="136" t="s">
        <v>12</v>
      </c>
      <c r="B20" s="136"/>
      <c r="C20" s="193" t="s">
        <v>293</v>
      </c>
      <c r="D20" s="193"/>
      <c r="E20" s="193" t="s">
        <v>11</v>
      </c>
      <c r="F20" s="193"/>
      <c r="G20" s="194" t="s">
        <v>165</v>
      </c>
      <c r="H20" s="194"/>
      <c r="S20" s="54" t="s">
        <v>172</v>
      </c>
      <c r="T20" s="54" t="s">
        <v>179</v>
      </c>
      <c r="U20" s="54"/>
      <c r="V20" s="54" t="s">
        <v>187</v>
      </c>
      <c r="W20" s="54" t="s">
        <v>204</v>
      </c>
      <c r="X20"/>
      <c r="Y20"/>
      <c r="Z20"/>
    </row>
    <row r="21" spans="1:26">
      <c r="A21" s="136" t="s">
        <v>70</v>
      </c>
      <c r="B21" s="136"/>
      <c r="C21" s="193" t="s">
        <v>166</v>
      </c>
      <c r="D21" s="193"/>
      <c r="E21" s="193" t="s">
        <v>13</v>
      </c>
      <c r="F21" s="193"/>
      <c r="G21" s="117">
        <v>400706</v>
      </c>
      <c r="H21" s="117"/>
      <c r="I21" s="72"/>
      <c r="J21" s="72"/>
      <c r="S21" s="54"/>
      <c r="T21" s="54"/>
      <c r="U21" s="54"/>
      <c r="V21" s="54" t="s">
        <v>188</v>
      </c>
      <c r="W21" s="54" t="s">
        <v>205</v>
      </c>
      <c r="X21"/>
      <c r="Y21"/>
      <c r="Z21"/>
    </row>
    <row r="22" spans="1:26" ht="32.25" customHeight="1">
      <c r="A22" s="136" t="s">
        <v>115</v>
      </c>
      <c r="B22" s="136"/>
      <c r="C22" s="193" t="s">
        <v>294</v>
      </c>
      <c r="D22" s="193"/>
      <c r="E22" s="193" t="s">
        <v>14</v>
      </c>
      <c r="F22" s="193"/>
      <c r="G22" s="193" t="s">
        <v>297</v>
      </c>
      <c r="H22" s="193"/>
      <c r="S22" s="54"/>
      <c r="T22" s="54"/>
      <c r="U22" s="54"/>
      <c r="V22" s="54" t="s">
        <v>189</v>
      </c>
      <c r="W22" s="54" t="s">
        <v>206</v>
      </c>
      <c r="X22"/>
      <c r="Y22"/>
      <c r="Z22"/>
    </row>
    <row r="23" spans="1:26" ht="15" customHeight="1">
      <c r="A23" s="137" t="s">
        <v>71</v>
      </c>
      <c r="B23" s="137"/>
      <c r="C23" s="137"/>
      <c r="D23" s="137"/>
      <c r="E23" s="171" t="s">
        <v>15</v>
      </c>
      <c r="F23" s="171"/>
      <c r="G23" s="171"/>
      <c r="H23" s="171"/>
      <c r="S23" s="54"/>
      <c r="T23" s="54"/>
      <c r="U23" s="54"/>
      <c r="V23" s="54" t="s">
        <v>190</v>
      </c>
      <c r="W23" s="54" t="s">
        <v>207</v>
      </c>
      <c r="X23"/>
      <c r="Y23"/>
      <c r="Z23"/>
    </row>
    <row r="24" spans="1:26" ht="18.75" customHeight="1">
      <c r="A24" s="137"/>
      <c r="B24" s="137"/>
      <c r="C24" s="137"/>
      <c r="D24" s="137"/>
      <c r="E24" s="171"/>
      <c r="F24" s="171"/>
      <c r="G24" s="171"/>
      <c r="H24" s="171"/>
      <c r="S24" s="54"/>
      <c r="T24" s="54"/>
      <c r="U24" s="54"/>
      <c r="V24" s="54" t="s">
        <v>191</v>
      </c>
      <c r="W24" s="54" t="s">
        <v>208</v>
      </c>
      <c r="X24"/>
      <c r="Y24"/>
      <c r="Z24"/>
    </row>
    <row r="25" spans="1:26" ht="15" customHeight="1">
      <c r="A25" s="137" t="s">
        <v>16</v>
      </c>
      <c r="B25" s="137"/>
      <c r="C25" s="137"/>
      <c r="D25" s="137"/>
      <c r="E25" s="145" t="s">
        <v>17</v>
      </c>
      <c r="F25" s="145"/>
      <c r="G25" s="145"/>
      <c r="H25" s="145"/>
      <c r="S25" s="54"/>
      <c r="T25" s="54"/>
      <c r="U25" s="54"/>
      <c r="V25" s="54" t="s">
        <v>192</v>
      </c>
      <c r="W25" s="54" t="s">
        <v>209</v>
      </c>
      <c r="X25"/>
      <c r="Y25"/>
      <c r="Z25"/>
    </row>
    <row r="26" spans="1:26" ht="15" customHeight="1">
      <c r="A26" s="136" t="s">
        <v>18</v>
      </c>
      <c r="B26" s="136"/>
      <c r="C26" s="136"/>
      <c r="D26" s="136"/>
      <c r="E26" s="145" t="str">
        <f>IF(AND(G20="Mumbai"),"Upper Class","Middle Class")</f>
        <v>Middle Class</v>
      </c>
      <c r="F26" s="145"/>
      <c r="G26" s="145"/>
      <c r="H26" s="145"/>
      <c r="S26" s="54"/>
      <c r="T26" s="54"/>
      <c r="U26" s="54"/>
      <c r="V26" s="54" t="s">
        <v>193</v>
      </c>
      <c r="W26" s="54" t="s">
        <v>210</v>
      </c>
      <c r="X26"/>
      <c r="Y26"/>
      <c r="Z26"/>
    </row>
    <row r="27" spans="1:26">
      <c r="A27" s="136" t="s">
        <v>19</v>
      </c>
      <c r="B27" s="136"/>
      <c r="C27" s="136"/>
      <c r="D27" s="136"/>
      <c r="E27" s="145" t="s">
        <v>20</v>
      </c>
      <c r="F27" s="145"/>
      <c r="G27" s="145"/>
      <c r="H27" s="145"/>
      <c r="S27" s="54"/>
      <c r="T27" s="54"/>
      <c r="U27" s="54"/>
      <c r="V27" s="54" t="s">
        <v>194</v>
      </c>
      <c r="W27" s="54" t="s">
        <v>211</v>
      </c>
      <c r="X27"/>
      <c r="Y27"/>
      <c r="Z27"/>
    </row>
    <row r="28" spans="1:26" ht="15.75" customHeight="1">
      <c r="A28" s="136" t="s">
        <v>21</v>
      </c>
      <c r="B28" s="136"/>
      <c r="C28" s="136"/>
      <c r="D28" s="136"/>
      <c r="E28" s="145" t="str">
        <f>IF(AND(G20="Mumbai"),"Developed","Developing")</f>
        <v>Developing</v>
      </c>
      <c r="F28" s="145"/>
      <c r="G28" s="145"/>
      <c r="H28" s="145"/>
    </row>
    <row r="29" spans="1:26">
      <c r="A29" s="136" t="s">
        <v>22</v>
      </c>
      <c r="B29" s="136"/>
      <c r="C29" s="136"/>
      <c r="D29" s="136"/>
      <c r="E29" s="145" t="s">
        <v>23</v>
      </c>
      <c r="F29" s="145"/>
      <c r="G29" s="145"/>
      <c r="H29" s="145"/>
    </row>
    <row r="30" spans="1:26" ht="15.75" customHeight="1">
      <c r="A30" s="136" t="s">
        <v>76</v>
      </c>
      <c r="B30" s="136"/>
      <c r="C30" s="136"/>
      <c r="D30" s="136"/>
      <c r="E30" s="145" t="s">
        <v>77</v>
      </c>
      <c r="F30" s="145"/>
      <c r="G30" s="145"/>
      <c r="H30" s="145"/>
    </row>
    <row r="31" spans="1:26" ht="15" customHeight="1">
      <c r="A31" s="136" t="s">
        <v>30</v>
      </c>
      <c r="B31" s="136"/>
      <c r="C31" s="136"/>
      <c r="D31" s="136"/>
      <c r="E31" s="145" t="str">
        <f>IF(AND(ISNUMBER(SEARCH("Flat",D61)),ISNUMBER(SEARCH("Shop",D61)),ISNUMBER(SEARCH("Office",D61))),"Residential + Commercial",IF(AND(ISNUMBER(SEARCH("Flat",D61)),ISNUMBER(SEARCH("Shop",D61))),"Residential + Commercial",IF(AND(ISNUMBER(SEARCH("Flat",D61)),ISNUMBER(SEARCH("Office",D61))),"Residential + Commercial",IF(AND(ISNUMBER(SEARCH("Shop",D61)),ISNUMBER(SEARCH("Office",D61))),"Commercial",IF(ISNUMBER(SEARCH("Shop",D61)),"Commercial",IF(ISNUMBER(SEARCH("Office",D61)),"Commercial",IF(ISNUMBER(SEARCH("Flat",D61)),"Residential")))))))</f>
        <v>Commercial</v>
      </c>
      <c r="F31" s="145"/>
      <c r="G31" s="145"/>
      <c r="H31" s="145"/>
    </row>
    <row r="32" spans="1:26" ht="15.75" customHeight="1">
      <c r="A32" s="136" t="s">
        <v>87</v>
      </c>
      <c r="B32" s="136"/>
      <c r="C32" s="136"/>
      <c r="D32" s="136"/>
      <c r="E32" s="145" t="s">
        <v>31</v>
      </c>
      <c r="F32" s="145"/>
      <c r="G32" s="145"/>
      <c r="H32" s="145"/>
    </row>
    <row r="33" spans="1:19" s="21" customFormat="1">
      <c r="A33" s="192" t="s">
        <v>88</v>
      </c>
      <c r="B33" s="192"/>
      <c r="C33" s="189" t="s">
        <v>162</v>
      </c>
      <c r="D33" s="190"/>
      <c r="E33" s="191"/>
      <c r="F33" s="189" t="s">
        <v>29</v>
      </c>
      <c r="G33" s="190"/>
      <c r="H33" s="191"/>
      <c r="S33" s="21" t="e">
        <f ca="1">OFFSET($S$13,1,MATCH($G20,$S$13:$W$13,0)-1,15,1)</f>
        <v>#VALUE!</v>
      </c>
    </row>
    <row r="34" spans="1:19" s="21" customFormat="1">
      <c r="A34" s="180" t="s">
        <v>24</v>
      </c>
      <c r="B34" s="180" t="s">
        <v>28</v>
      </c>
      <c r="C34" s="181" t="s">
        <v>320</v>
      </c>
      <c r="D34" s="182"/>
      <c r="E34" s="183"/>
      <c r="F34" s="181" t="s">
        <v>319</v>
      </c>
      <c r="G34" s="182"/>
      <c r="H34" s="183"/>
    </row>
    <row r="35" spans="1:19">
      <c r="A35" s="180" t="s">
        <v>25</v>
      </c>
      <c r="B35" s="180" t="s">
        <v>28</v>
      </c>
      <c r="C35" s="181" t="s">
        <v>321</v>
      </c>
      <c r="D35" s="182"/>
      <c r="E35" s="183"/>
      <c r="F35" s="181" t="s">
        <v>306</v>
      </c>
      <c r="G35" s="182"/>
      <c r="H35" s="183"/>
    </row>
    <row r="36" spans="1:19" s="21" customFormat="1">
      <c r="A36" s="180" t="s">
        <v>27</v>
      </c>
      <c r="B36" s="180" t="s">
        <v>28</v>
      </c>
      <c r="C36" s="181" t="s">
        <v>10</v>
      </c>
      <c r="D36" s="182"/>
      <c r="E36" s="183"/>
      <c r="F36" s="181" t="s">
        <v>307</v>
      </c>
      <c r="G36" s="182"/>
      <c r="H36" s="183"/>
    </row>
    <row r="37" spans="1:19">
      <c r="A37" s="180" t="s">
        <v>26</v>
      </c>
      <c r="B37" s="180" t="s">
        <v>28</v>
      </c>
      <c r="C37" s="181" t="s">
        <v>305</v>
      </c>
      <c r="D37" s="182"/>
      <c r="E37" s="183"/>
      <c r="F37" s="181" t="s">
        <v>304</v>
      </c>
      <c r="G37" s="182"/>
      <c r="H37" s="183"/>
    </row>
    <row r="38" spans="1:19">
      <c r="A38" s="136" t="s">
        <v>266</v>
      </c>
      <c r="B38" s="136"/>
      <c r="C38" s="136"/>
      <c r="D38" s="136"/>
      <c r="E38" s="136"/>
      <c r="F38" s="136"/>
      <c r="G38" s="136"/>
      <c r="H38" s="136"/>
    </row>
    <row r="39" spans="1:19" ht="15.75" customHeight="1">
      <c r="A39" s="136" t="s">
        <v>154</v>
      </c>
      <c r="B39" s="136"/>
      <c r="C39" s="167" t="s">
        <v>296</v>
      </c>
      <c r="D39" s="167"/>
      <c r="E39" s="167"/>
      <c r="F39" s="167"/>
      <c r="G39" s="167"/>
      <c r="H39" s="167"/>
    </row>
    <row r="40" spans="1:19">
      <c r="A40" s="136" t="s">
        <v>150</v>
      </c>
      <c r="B40" s="136"/>
      <c r="C40" s="144" t="s">
        <v>295</v>
      </c>
      <c r="D40" s="145"/>
      <c r="E40" s="145"/>
      <c r="F40" s="145"/>
      <c r="G40" s="145"/>
      <c r="H40" s="145"/>
    </row>
    <row r="41" spans="1:19">
      <c r="A41" s="167" t="s">
        <v>32</v>
      </c>
      <c r="B41" s="167"/>
      <c r="C41" s="167"/>
      <c r="D41" s="167"/>
      <c r="E41" s="167"/>
      <c r="F41" s="167"/>
      <c r="G41" s="167"/>
      <c r="H41" s="167"/>
    </row>
    <row r="42" spans="1:19">
      <c r="A42" s="136" t="s">
        <v>33</v>
      </c>
      <c r="B42" s="136"/>
      <c r="C42" s="136"/>
      <c r="D42" s="136"/>
      <c r="E42" s="184">
        <v>11571</v>
      </c>
      <c r="F42" s="184"/>
      <c r="G42" s="184"/>
      <c r="H42" s="184"/>
    </row>
    <row r="43" spans="1:19">
      <c r="A43" s="136" t="s">
        <v>34</v>
      </c>
      <c r="B43" s="136"/>
      <c r="C43" s="136"/>
      <c r="D43" s="136"/>
      <c r="E43" s="186">
        <f>11571/E42</f>
        <v>1</v>
      </c>
      <c r="F43" s="186"/>
      <c r="G43" s="186"/>
      <c r="H43" s="186"/>
    </row>
    <row r="44" spans="1:19">
      <c r="A44" s="136" t="s">
        <v>35</v>
      </c>
      <c r="B44" s="136"/>
      <c r="C44" s="136"/>
      <c r="D44" s="136"/>
      <c r="E44" s="186">
        <f>E46/E42-E43</f>
        <v>5.9137438423645312</v>
      </c>
      <c r="F44" s="186"/>
      <c r="G44" s="186"/>
      <c r="H44" s="186"/>
    </row>
    <row r="45" spans="1:19">
      <c r="A45" s="136" t="s">
        <v>36</v>
      </c>
      <c r="B45" s="136"/>
      <c r="C45" s="136"/>
      <c r="D45" s="136"/>
      <c r="E45" s="186">
        <f>E43+E44</f>
        <v>6.9137438423645312</v>
      </c>
      <c r="F45" s="186"/>
      <c r="G45" s="186"/>
      <c r="H45" s="186"/>
    </row>
    <row r="46" spans="1:19">
      <c r="A46" s="136" t="s">
        <v>329</v>
      </c>
      <c r="B46" s="136"/>
      <c r="C46" s="136"/>
      <c r="D46" s="136"/>
      <c r="E46" s="187">
        <v>79998.929999999993</v>
      </c>
      <c r="F46" s="187"/>
      <c r="G46" s="187"/>
      <c r="H46" s="187"/>
    </row>
    <row r="47" spans="1:19">
      <c r="A47" s="171" t="s">
        <v>37</v>
      </c>
      <c r="B47" s="171"/>
      <c r="C47" s="171"/>
      <c r="D47" s="171"/>
      <c r="E47" s="117" t="s">
        <v>318</v>
      </c>
      <c r="F47" s="117"/>
      <c r="G47" s="117"/>
      <c r="H47" s="117"/>
    </row>
    <row r="48" spans="1:19">
      <c r="A48" s="167" t="s">
        <v>38</v>
      </c>
      <c r="B48" s="167"/>
      <c r="C48" s="167"/>
      <c r="D48" s="167"/>
      <c r="E48" s="167"/>
      <c r="F48" s="167"/>
      <c r="G48" s="167"/>
      <c r="H48" s="167"/>
    </row>
    <row r="49" spans="1:24" ht="33.75" customHeight="1">
      <c r="A49" s="109" t="s">
        <v>143</v>
      </c>
      <c r="B49" s="111"/>
      <c r="C49" s="154" t="s">
        <v>255</v>
      </c>
      <c r="D49" s="155"/>
      <c r="E49" s="155"/>
      <c r="F49" s="155"/>
      <c r="G49" s="155"/>
      <c r="H49" s="156"/>
      <c r="R49" t="s">
        <v>239</v>
      </c>
      <c r="S49" t="s">
        <v>161</v>
      </c>
      <c r="T49" t="s">
        <v>165</v>
      </c>
      <c r="U49" t="s">
        <v>180</v>
      </c>
      <c r="V49" t="s">
        <v>175</v>
      </c>
    </row>
    <row r="50" spans="1:24" ht="15.75" customHeight="1">
      <c r="A50" s="109" t="s">
        <v>39</v>
      </c>
      <c r="B50" s="111"/>
      <c r="C50" s="109" t="s">
        <v>333</v>
      </c>
      <c r="D50" s="110"/>
      <c r="E50" s="111"/>
      <c r="F50" s="17" t="s">
        <v>40</v>
      </c>
      <c r="G50" s="112">
        <v>45743</v>
      </c>
      <c r="H50" s="111"/>
      <c r="I50" s="109" t="s">
        <v>308</v>
      </c>
      <c r="J50" s="110"/>
      <c r="K50" s="111"/>
      <c r="L50" s="17" t="s">
        <v>40</v>
      </c>
      <c r="M50" s="112">
        <v>44762</v>
      </c>
      <c r="N50" s="111"/>
      <c r="R50"/>
      <c r="S50" t="s">
        <v>240</v>
      </c>
      <c r="T50" t="s">
        <v>245</v>
      </c>
      <c r="U50" t="s">
        <v>256</v>
      </c>
      <c r="V50" t="s">
        <v>261</v>
      </c>
    </row>
    <row r="51" spans="1:24" ht="15.75" customHeight="1">
      <c r="A51" s="109" t="s">
        <v>41</v>
      </c>
      <c r="B51" s="111"/>
      <c r="C51" s="113" t="s">
        <v>333</v>
      </c>
      <c r="D51" s="114"/>
      <c r="E51" s="115"/>
      <c r="F51" s="78" t="s">
        <v>40</v>
      </c>
      <c r="G51" s="116">
        <v>45743</v>
      </c>
      <c r="H51" s="115"/>
      <c r="I51" s="109" t="s">
        <v>308</v>
      </c>
      <c r="J51" s="110"/>
      <c r="K51" s="111"/>
      <c r="L51" s="17" t="s">
        <v>40</v>
      </c>
      <c r="M51" s="112">
        <v>44762</v>
      </c>
      <c r="N51" s="111"/>
      <c r="R51"/>
      <c r="S51" t="s">
        <v>241</v>
      </c>
      <c r="T51" t="s">
        <v>246</v>
      </c>
      <c r="U51" t="s">
        <v>254</v>
      </c>
      <c r="V51" t="s">
        <v>262</v>
      </c>
    </row>
    <row r="52" spans="1:24" s="22" customFormat="1" ht="15.75" customHeight="1">
      <c r="A52" s="128" t="s">
        <v>327</v>
      </c>
      <c r="B52" s="129"/>
      <c r="C52" s="113" t="s">
        <v>333</v>
      </c>
      <c r="D52" s="114"/>
      <c r="E52" s="115"/>
      <c r="F52" s="78" t="s">
        <v>40</v>
      </c>
      <c r="G52" s="116">
        <v>45743</v>
      </c>
      <c r="H52" s="115"/>
      <c r="I52" s="113" t="s">
        <v>308</v>
      </c>
      <c r="J52" s="114"/>
      <c r="K52" s="115"/>
      <c r="L52" s="78" t="s">
        <v>40</v>
      </c>
      <c r="M52" s="116">
        <v>44762</v>
      </c>
      <c r="N52" s="115"/>
      <c r="R52"/>
      <c r="S52" t="s">
        <v>242</v>
      </c>
      <c r="T52" t="s">
        <v>247</v>
      </c>
      <c r="U52" t="s">
        <v>244</v>
      </c>
      <c r="V52" t="s">
        <v>263</v>
      </c>
    </row>
    <row r="53" spans="1:24" s="22" customFormat="1" ht="51" customHeight="1">
      <c r="A53" s="130"/>
      <c r="B53" s="131"/>
      <c r="C53" s="113" t="s">
        <v>334</v>
      </c>
      <c r="D53" s="114"/>
      <c r="E53" s="114"/>
      <c r="F53" s="114"/>
      <c r="G53" s="114"/>
      <c r="H53" s="115"/>
      <c r="R53"/>
      <c r="S53" t="s">
        <v>243</v>
      </c>
      <c r="T53" t="s">
        <v>250</v>
      </c>
      <c r="U53" t="s">
        <v>257</v>
      </c>
    </row>
    <row r="54" spans="1:24" s="22" customFormat="1">
      <c r="A54" s="120" t="s">
        <v>267</v>
      </c>
      <c r="B54" s="121"/>
      <c r="C54" s="113" t="s">
        <v>313</v>
      </c>
      <c r="D54" s="114"/>
      <c r="E54" s="115"/>
      <c r="F54" s="78" t="s">
        <v>40</v>
      </c>
      <c r="G54" s="116">
        <v>44753</v>
      </c>
      <c r="H54" s="115"/>
      <c r="R54"/>
      <c r="S54" t="s">
        <v>242</v>
      </c>
      <c r="T54" t="s">
        <v>247</v>
      </c>
      <c r="U54" t="s">
        <v>244</v>
      </c>
      <c r="V54" t="s">
        <v>263</v>
      </c>
    </row>
    <row r="55" spans="1:24" s="22" customFormat="1">
      <c r="A55" s="122"/>
      <c r="B55" s="123"/>
      <c r="C55" s="149" t="s">
        <v>317</v>
      </c>
      <c r="D55" s="150"/>
      <c r="E55" s="150"/>
      <c r="F55" s="150"/>
      <c r="G55" s="150"/>
      <c r="H55" s="151"/>
      <c r="I55" s="21" t="s">
        <v>335</v>
      </c>
      <c r="R55"/>
      <c r="S55" t="s">
        <v>244</v>
      </c>
      <c r="T55" t="s">
        <v>248</v>
      </c>
      <c r="U55" t="s">
        <v>258</v>
      </c>
      <c r="V55" s="20"/>
      <c r="W55" s="20"/>
      <c r="X55" s="20"/>
    </row>
    <row r="56" spans="1:24" s="22" customFormat="1" ht="15.75" hidden="1" customHeight="1">
      <c r="A56" s="124" t="s">
        <v>314</v>
      </c>
      <c r="B56" s="125"/>
      <c r="C56" s="109" t="e">
        <f>#REF!</f>
        <v>#REF!</v>
      </c>
      <c r="D56" s="110"/>
      <c r="E56" s="111"/>
      <c r="F56" s="17" t="s">
        <v>40</v>
      </c>
      <c r="G56" s="109" t="e">
        <f>#REF!</f>
        <v>#REF!</v>
      </c>
      <c r="H56" s="111"/>
      <c r="R56"/>
      <c r="S56" s="20"/>
      <c r="T56" t="s">
        <v>252</v>
      </c>
      <c r="U56" s="20" t="s">
        <v>281</v>
      </c>
      <c r="V56" s="20"/>
      <c r="W56" s="20"/>
      <c r="X56" s="20"/>
    </row>
    <row r="57" spans="1:24" s="22" customFormat="1" ht="33.75" hidden="1" customHeight="1">
      <c r="A57" s="126"/>
      <c r="B57" s="127"/>
      <c r="C57" s="109"/>
      <c r="D57" s="110"/>
      <c r="E57" s="110"/>
      <c r="F57" s="110"/>
      <c r="G57" s="110"/>
      <c r="H57" s="111"/>
      <c r="R57"/>
      <c r="S57" s="20"/>
      <c r="T57" t="s">
        <v>253</v>
      </c>
      <c r="U57" s="20"/>
      <c r="V57" s="20"/>
      <c r="W57" s="20"/>
      <c r="X57" s="20"/>
    </row>
    <row r="58" spans="1:24">
      <c r="A58" s="224" t="s">
        <v>42</v>
      </c>
      <c r="B58" s="225"/>
      <c r="C58" s="224" t="s">
        <v>100</v>
      </c>
      <c r="D58" s="226"/>
      <c r="E58" s="225"/>
      <c r="F58" s="43" t="s">
        <v>40</v>
      </c>
      <c r="G58" s="118" t="s">
        <v>28</v>
      </c>
      <c r="H58" s="119"/>
      <c r="R58"/>
      <c r="T58" t="s">
        <v>255</v>
      </c>
    </row>
    <row r="59" spans="1:24">
      <c r="A59" s="188" t="s">
        <v>44</v>
      </c>
      <c r="B59" s="188"/>
      <c r="C59" s="188"/>
      <c r="D59" s="188"/>
      <c r="E59" s="188"/>
      <c r="F59" s="188"/>
      <c r="G59" s="188"/>
      <c r="H59" s="188"/>
      <c r="T59" t="s">
        <v>264</v>
      </c>
    </row>
    <row r="60" spans="1:24">
      <c r="A60" s="137" t="s">
        <v>86</v>
      </c>
      <c r="B60" s="137"/>
      <c r="C60" s="137"/>
      <c r="D60" s="136">
        <f>E46</f>
        <v>79998.929999999993</v>
      </c>
      <c r="E60" s="136"/>
      <c r="F60" s="136"/>
      <c r="G60" s="136"/>
      <c r="H60" s="136"/>
      <c r="R60"/>
    </row>
    <row r="61" spans="1:24">
      <c r="A61" s="145" t="s">
        <v>45</v>
      </c>
      <c r="B61" s="171"/>
      <c r="C61" s="171"/>
      <c r="D61" s="117" t="s">
        <v>379</v>
      </c>
      <c r="E61" s="117"/>
      <c r="F61" s="117"/>
      <c r="G61" s="117"/>
      <c r="H61" s="117"/>
      <c r="I61" s="23"/>
      <c r="R61"/>
    </row>
    <row r="62" spans="1:24" ht="32.25" customHeight="1">
      <c r="A62" s="132" t="s">
        <v>46</v>
      </c>
      <c r="B62" s="133"/>
      <c r="C62" s="174"/>
      <c r="D62" s="172" t="s">
        <v>336</v>
      </c>
      <c r="E62" s="173"/>
      <c r="F62" s="173"/>
      <c r="G62" s="173"/>
      <c r="H62" s="173"/>
      <c r="I62" s="21" t="s">
        <v>338</v>
      </c>
      <c r="R62"/>
    </row>
    <row r="63" spans="1:24" ht="15.75" customHeight="1">
      <c r="A63" s="132" t="s">
        <v>84</v>
      </c>
      <c r="B63" s="133"/>
      <c r="C63" s="133"/>
      <c r="D63" s="117" t="s">
        <v>339</v>
      </c>
      <c r="E63" s="117"/>
      <c r="F63" s="117"/>
      <c r="G63" s="117"/>
      <c r="H63" s="117"/>
      <c r="R63"/>
    </row>
    <row r="64" spans="1:24" ht="15.75" customHeight="1">
      <c r="A64" s="134"/>
      <c r="B64" s="135"/>
      <c r="C64" s="135"/>
      <c r="D64" s="117" t="s">
        <v>340</v>
      </c>
      <c r="E64" s="117"/>
      <c r="F64" s="117"/>
      <c r="G64" s="117"/>
      <c r="H64" s="117"/>
      <c r="R64"/>
    </row>
    <row r="65" spans="1:19" ht="15.75" customHeight="1">
      <c r="A65" s="136" t="s">
        <v>43</v>
      </c>
      <c r="B65" s="136"/>
      <c r="C65" s="136"/>
      <c r="D65" s="136" t="s">
        <v>302</v>
      </c>
      <c r="E65" s="136"/>
      <c r="F65" s="136"/>
      <c r="G65" s="136"/>
      <c r="H65" s="136"/>
      <c r="J65" s="24"/>
      <c r="K65" s="23"/>
      <c r="N65" s="23"/>
      <c r="S65"/>
    </row>
    <row r="66" spans="1:19" ht="15.75" customHeight="1">
      <c r="A66" s="136" t="s">
        <v>82</v>
      </c>
      <c r="B66" s="136"/>
      <c r="C66" s="136"/>
      <c r="D66" s="185" t="str">
        <f>(IF(G58="NA","60 Years After Completion",IF(G58&lt;&gt;"NA",""&amp;60-ROUNDDOWN((E3-G58)/360,0)&amp;" Years"," ")))</f>
        <v>60 Years After Completion</v>
      </c>
      <c r="E66" s="185"/>
      <c r="F66" s="185"/>
      <c r="G66" s="185"/>
      <c r="H66" s="185"/>
      <c r="N66" s="23"/>
      <c r="S66"/>
    </row>
    <row r="67" spans="1:19" ht="15.75" customHeight="1">
      <c r="A67" s="136" t="s">
        <v>83</v>
      </c>
      <c r="B67" s="136"/>
      <c r="C67" s="136"/>
      <c r="D67" s="137" t="s">
        <v>23</v>
      </c>
      <c r="E67" s="137"/>
      <c r="F67" s="137"/>
      <c r="G67" s="137"/>
      <c r="H67" s="137"/>
      <c r="I67" s="73"/>
      <c r="J67" s="25"/>
      <c r="K67" s="25"/>
      <c r="S67"/>
    </row>
    <row r="68" spans="1:19" ht="51.75" customHeight="1">
      <c r="A68" s="171" t="s">
        <v>315</v>
      </c>
      <c r="B68" s="171"/>
      <c r="C68" s="171"/>
      <c r="D68" s="236" t="s">
        <v>384</v>
      </c>
      <c r="E68" s="236"/>
      <c r="F68" s="236"/>
      <c r="G68" s="236"/>
      <c r="H68" s="236"/>
      <c r="I68" s="82" t="s">
        <v>337</v>
      </c>
      <c r="L68" s="20" t="s">
        <v>325</v>
      </c>
      <c r="S68"/>
    </row>
    <row r="69" spans="1:19">
      <c r="A69" s="137" t="s">
        <v>141</v>
      </c>
      <c r="B69" s="137"/>
      <c r="C69" s="137"/>
      <c r="D69" s="137" t="s">
        <v>28</v>
      </c>
      <c r="E69" s="137"/>
      <c r="F69" s="137"/>
      <c r="G69" s="137"/>
      <c r="H69" s="137"/>
      <c r="I69" s="26"/>
      <c r="J69" s="26"/>
      <c r="K69" s="26"/>
      <c r="L69" s="26"/>
      <c r="M69" s="26"/>
      <c r="N69" s="26"/>
    </row>
    <row r="70" spans="1:19" ht="15.75" customHeight="1">
      <c r="A70" s="228" t="s">
        <v>81</v>
      </c>
      <c r="B70" s="228"/>
      <c r="C70" s="228"/>
      <c r="D70" s="172" t="str">
        <f ca="1">(IF(G76&gt;95%,"Nothing",IF(G76&gt;0%,"Cement, Aggregate, Steel, etc",IF(G76=0%,"Work not yet Started"))))</f>
        <v>Cement, Aggregate, Steel, etc</v>
      </c>
      <c r="E70" s="172"/>
      <c r="F70" s="172"/>
      <c r="G70" s="172"/>
      <c r="H70" s="172"/>
      <c r="J70" s="25"/>
      <c r="S70"/>
    </row>
    <row r="71" spans="1:19" ht="33.75" customHeight="1" thickBot="1">
      <c r="A71" s="237" t="s">
        <v>113</v>
      </c>
      <c r="B71" s="237"/>
      <c r="C71" s="237"/>
      <c r="D71" s="172" t="str">
        <f ca="1">(IF(D70="Nothing","Yes",IF(D70="Cement, Aggregate, Steel, etc","Under Construction",IF(D70="Work not yet Started","Work not yet Started"))))</f>
        <v>Under Construction</v>
      </c>
      <c r="E71" s="172"/>
      <c r="F71" s="172" t="str">
        <f ca="1">(IF(D70="Nothing","Yes",IF(D70="Cement, Aggregate, Steel, etc","Under Construction",IF(D70="Work not yet Started","Work not yet Started"))))</f>
        <v>Under Construction</v>
      </c>
      <c r="G71" s="172"/>
      <c r="H71" s="172"/>
      <c r="S71"/>
    </row>
    <row r="72" spans="1:19" ht="15.75" customHeight="1">
      <c r="A72" s="229" t="s">
        <v>133</v>
      </c>
      <c r="B72" s="230"/>
      <c r="C72" s="231" t="str">
        <f>D63</f>
        <v>Commercial Park- G + 1st to 31st Floor</v>
      </c>
      <c r="D72" s="232"/>
      <c r="E72" s="232"/>
      <c r="F72" s="232"/>
      <c r="G72" s="232"/>
      <c r="H72" s="233"/>
      <c r="I72" s="47" t="str">
        <f ca="1">IF(D85=100%,"All work Completed. Possession granted to the Building.",IF(D84=100%,"All work Completed, Waiting for OC",I73&amp;""&amp;I74&amp;""&amp;J73&amp;""&amp;J72&amp;" "&amp;J74))</f>
        <v>Excavation, Plinth Completed, RCC upto 31 Slab, Brickwork upto 17 Floor, Internal Plaster upto 12 Floor, External Plaster upto 6 Floor Completed</v>
      </c>
      <c r="J72" s="48" t="str">
        <f ca="1">(IF(C78=(D73+F73+H73),"",IF(C78&gt;0,", RCC upto "&amp;C78&amp;" Slab","")))&amp;(IF(C79=H73,"",IF(C79&gt;0,", Brickwork upto "&amp;C79&amp;" Floor","")))&amp;(IF(C80=H73,"",IF(C80&gt;0,", Internal Plaster upto "&amp;C80&amp;" Floor","")))&amp;(IF(C81=H73,"",IF(C81&gt;0,", External Plaster upto "&amp;C81&amp;" Floor","")))&amp;(IF(C82=H73,"",IF(C82&gt;0,", Flooring upto "&amp;C82&amp;" Floor","")))&amp;(IF(C83=H73,"",IF(C83&gt;0,", Painting upto "&amp;C83&amp;" Floor","")))&amp;(IF(C84=H73,"",IF(C84&gt;0,", Finishing upto "&amp;C84&amp;" Floor","")))&amp;(IF(C85=H73,"",IF(C85&gt;0,", Possession upto "&amp;C85&amp;" Floor","")))</f>
        <v>, RCC upto 31 Slab, Brickwork upto 17 Floor, Internal Plaster upto 12 Floor, External Plaster upto 6 Floor</v>
      </c>
      <c r="S72"/>
    </row>
    <row r="73" spans="1:19">
      <c r="A73" s="15" t="s">
        <v>135</v>
      </c>
      <c r="B73" s="51">
        <f>IF(AND(ISNUMBER(SEARCH("1B",C72))),1,IF(AND(ISNUMBER(SEARCH("2B",C72))),2,IF(AND(ISNUMBER(SEARCH("3B",C72))),3,IF(AND(ISNUMBER(SEARCH("4B",C72))),4,IF(ISNUMBER(SEARCH("5B",C72)),5,0)))))</f>
        <v>0</v>
      </c>
      <c r="C73" s="45" t="s">
        <v>68</v>
      </c>
      <c r="D73" s="45">
        <v>1</v>
      </c>
      <c r="E73" s="45" t="s">
        <v>67</v>
      </c>
      <c r="F73" s="80">
        <v>0</v>
      </c>
      <c r="G73" s="46" t="s">
        <v>75</v>
      </c>
      <c r="H73" s="16">
        <f ca="1">--TRIM(RIGHT(SUBSTITUTE(LEFT(C72,_xlfn.AGGREGATE(16,6,FIND({0,1,2,3,4,5,6,7,8,9},C72,ROW(INDIRECT("1:"&amp;LEN(C72)))),1))," ",REPT(" ",LEN(C72))),LEN(C72)))</f>
        <v>31</v>
      </c>
      <c r="I73" s="49" t="str">
        <f ca="1">IF(D76=100%,"Excavation","")&amp;IF(D77=100%,", Plinth","")&amp;IF(D78=100%,", RCC Slab","")&amp;IF(D79=100%,", Brickwork","")&amp;IF(D80=100%,", Internal Plaster","")&amp;IF(D81=100%,", External Plaster","")&amp;IF(D82=100%,", Flooring","")&amp;IF(D83=100%,", Painting","")&amp;IF(D84=100%,", Building common Amenities","")</f>
        <v>Excavation, Plinth</v>
      </c>
      <c r="J73" s="50" t="str">
        <f ca="1">(IF(C76=0,"Work not yet Started.",IF(D76=25%,"Piling work in process",IF(D76=50%,"Excavation work in process",IF(D76=100%,"","0")))))&amp;(IF(C77=0%,"",IF(C77=J78,", Footing work is process",IF(C77=J79,", Footing work Completed",IF(C77=J80,", 1st Basement Completed",IF(C77=J81,", 1st &amp; 2nd Basement Completed",IF(C77=J82,", 1st to 3rd Basement Completed",IF(C77=J83,", 1st to 4th Basement Completed",IF(C77=J84,", Plinth work is process",IF(C77=J85,"","0"))))))))))</f>
        <v/>
      </c>
      <c r="S73"/>
    </row>
    <row r="74" spans="1:19" ht="34.5" customHeight="1">
      <c r="A74" s="235" t="s">
        <v>85</v>
      </c>
      <c r="B74" s="200"/>
      <c r="C74" s="175" t="str">
        <f ca="1">I72</f>
        <v>Excavation, Plinth Completed, RCC upto 31 Slab, Brickwork upto 17 Floor, Internal Plaster upto 12 Floor, External Plaster upto 6 Floor Completed</v>
      </c>
      <c r="D74" s="175"/>
      <c r="E74" s="175"/>
      <c r="F74" s="175"/>
      <c r="G74" s="175"/>
      <c r="H74" s="176"/>
      <c r="I74" s="49" t="str">
        <f ca="1">IF(I73&lt;&gt;""," Completed","")</f>
        <v xml:space="preserve"> Completed</v>
      </c>
      <c r="J74" s="50" t="str">
        <f ca="1">IF(J72&lt;&gt;"","Completed","")</f>
        <v>Completed</v>
      </c>
      <c r="S74"/>
    </row>
    <row r="75" spans="1:19" ht="15.75" customHeight="1">
      <c r="A75" s="152" t="s">
        <v>47</v>
      </c>
      <c r="B75" s="153"/>
      <c r="C75" s="42" t="s">
        <v>132</v>
      </c>
      <c r="D75" s="42" t="s">
        <v>78</v>
      </c>
      <c r="E75" s="153" t="s">
        <v>80</v>
      </c>
      <c r="F75" s="153"/>
      <c r="G75" s="153" t="s">
        <v>79</v>
      </c>
      <c r="H75" s="234"/>
      <c r="I75" s="13" t="s">
        <v>134</v>
      </c>
      <c r="J75" s="27">
        <f ca="1">H73*25%</f>
        <v>7.75</v>
      </c>
      <c r="S75"/>
    </row>
    <row r="76" spans="1:19">
      <c r="A76" s="152" t="s">
        <v>121</v>
      </c>
      <c r="B76" s="153"/>
      <c r="C76" s="91">
        <f ca="1">J77</f>
        <v>31</v>
      </c>
      <c r="D76" s="18">
        <f ca="1">((100/H73)*C76)/100</f>
        <v>1</v>
      </c>
      <c r="E76" s="157">
        <f ca="1">(((C77/H73*10)+(40/(D73+F73+H73)*C78)+(7.5/(H73)*C79)+(7.5/(H73)*C80)+(10/H73*C81)+(10/H73*C82)+(5/H73*C83)+(5/H73*C84)+(5/H73*C85))/100)</f>
        <v>0.57701612903225807</v>
      </c>
      <c r="F76" s="177"/>
      <c r="G76" s="157">
        <f ca="1">((((C76/H73)*20)+((C77/H73)*25)+(30/(H73+F73+D73)*C78)+(5/H73*C79)+(5/H73*C80)+(5/H73*C81)+(5/H73*C82)+(0/H73*C83)+(0/H73*C84)+(5/H73*C85))/100)</f>
        <v>0.79707661290322573</v>
      </c>
      <c r="H76" s="158"/>
      <c r="I76" s="13" t="s">
        <v>95</v>
      </c>
      <c r="J76" s="28">
        <f ca="1">H73*50%</f>
        <v>15.5</v>
      </c>
    </row>
    <row r="77" spans="1:19">
      <c r="A77" s="152" t="s">
        <v>48</v>
      </c>
      <c r="B77" s="153"/>
      <c r="C77" s="91">
        <f ca="1">J85</f>
        <v>31</v>
      </c>
      <c r="D77" s="18">
        <f ca="1">((100/H73)*C77)/100</f>
        <v>1</v>
      </c>
      <c r="E77" s="159"/>
      <c r="F77" s="178"/>
      <c r="G77" s="159"/>
      <c r="H77" s="160"/>
      <c r="I77" s="13" t="s">
        <v>96</v>
      </c>
      <c r="J77" s="28">
        <f ca="1">H73</f>
        <v>31</v>
      </c>
      <c r="S77"/>
    </row>
    <row r="78" spans="1:19" ht="15.75" customHeight="1">
      <c r="A78" s="152" t="s">
        <v>122</v>
      </c>
      <c r="B78" s="153"/>
      <c r="C78" s="91">
        <v>31</v>
      </c>
      <c r="D78" s="18">
        <f ca="1">((100/(D73+F73+H73))*C78)/100</f>
        <v>0.96875</v>
      </c>
      <c r="E78" s="159"/>
      <c r="F78" s="178"/>
      <c r="G78" s="159"/>
      <c r="H78" s="160"/>
      <c r="I78" s="13" t="s">
        <v>97</v>
      </c>
      <c r="J78" s="29">
        <f ca="1">(IF(B73&gt;1,(H73/(B73+2)),H73/4))</f>
        <v>7.75</v>
      </c>
      <c r="S78"/>
    </row>
    <row r="79" spans="1:19" ht="15.75" customHeight="1">
      <c r="A79" s="152" t="s">
        <v>129</v>
      </c>
      <c r="B79" s="153" t="s">
        <v>123</v>
      </c>
      <c r="C79" s="91">
        <v>17</v>
      </c>
      <c r="D79" s="18">
        <f ca="1">((100/H73)*C79)/100</f>
        <v>0.54838709677419351</v>
      </c>
      <c r="E79" s="159"/>
      <c r="F79" s="178"/>
      <c r="G79" s="159"/>
      <c r="H79" s="160"/>
      <c r="I79" s="13" t="s">
        <v>98</v>
      </c>
      <c r="J79" s="29">
        <f ca="1">(IF(B73&gt;1,(H73/(B73+2)+J78),H73/4+J78))</f>
        <v>15.5</v>
      </c>
    </row>
    <row r="80" spans="1:19" ht="15.75" customHeight="1">
      <c r="A80" s="152" t="s">
        <v>130</v>
      </c>
      <c r="B80" s="153" t="s">
        <v>123</v>
      </c>
      <c r="C80" s="91">
        <v>12</v>
      </c>
      <c r="D80" s="18">
        <f ca="1">((100/H73)*C80)/100</f>
        <v>0.38709677419354832</v>
      </c>
      <c r="E80" s="159"/>
      <c r="F80" s="178"/>
      <c r="G80" s="159"/>
      <c r="H80" s="160"/>
      <c r="I80" s="13" t="s">
        <v>139</v>
      </c>
      <c r="J80" s="29">
        <f>(IF(B73&gt;1,(H73/(B73+2)+J79),0))</f>
        <v>0</v>
      </c>
    </row>
    <row r="81" spans="1:10" ht="15" customHeight="1">
      <c r="A81" s="152" t="s">
        <v>128</v>
      </c>
      <c r="B81" s="153" t="s">
        <v>125</v>
      </c>
      <c r="C81" s="91">
        <v>6</v>
      </c>
      <c r="D81" s="18">
        <f ca="1">((100/(H73))*C81)/100</f>
        <v>0.19354838709677416</v>
      </c>
      <c r="E81" s="159"/>
      <c r="F81" s="178"/>
      <c r="G81" s="159"/>
      <c r="H81" s="160"/>
      <c r="I81" s="13" t="s">
        <v>136</v>
      </c>
      <c r="J81" s="29">
        <f>(IF(B73&gt;2,(H73/(B73+2)+J80),0))</f>
        <v>0</v>
      </c>
    </row>
    <row r="82" spans="1:10" ht="15.75" customHeight="1">
      <c r="A82" s="152" t="s">
        <v>124</v>
      </c>
      <c r="B82" s="153" t="s">
        <v>124</v>
      </c>
      <c r="C82" s="91">
        <v>0</v>
      </c>
      <c r="D82" s="18">
        <f ca="1">((100/H73)*C82)/100</f>
        <v>0</v>
      </c>
      <c r="E82" s="159"/>
      <c r="F82" s="178"/>
      <c r="G82" s="159"/>
      <c r="H82" s="160"/>
      <c r="I82" s="13" t="s">
        <v>137</v>
      </c>
      <c r="J82" s="30">
        <f>(IF(B73&gt;3,(H73/(B73+2)+J81),0))</f>
        <v>0</v>
      </c>
    </row>
    <row r="83" spans="1:10" ht="15.75" customHeight="1">
      <c r="A83" s="152" t="s">
        <v>131</v>
      </c>
      <c r="B83" s="153"/>
      <c r="C83" s="91">
        <v>0</v>
      </c>
      <c r="D83" s="18">
        <f ca="1">((100/H73)*C83)/100</f>
        <v>0</v>
      </c>
      <c r="E83" s="159"/>
      <c r="F83" s="178"/>
      <c r="G83" s="159"/>
      <c r="H83" s="160"/>
      <c r="I83" s="13" t="s">
        <v>138</v>
      </c>
      <c r="J83" s="29">
        <f>(IF(B73&gt;4,(H73/(B73+2)+J82),0))</f>
        <v>0</v>
      </c>
    </row>
    <row r="84" spans="1:10" ht="15.75" customHeight="1">
      <c r="A84" s="152" t="s">
        <v>126</v>
      </c>
      <c r="B84" s="153" t="s">
        <v>126</v>
      </c>
      <c r="C84" s="91">
        <v>0</v>
      </c>
      <c r="D84" s="18">
        <f ca="1">((100/(H73))*C84)/100</f>
        <v>0</v>
      </c>
      <c r="E84" s="159"/>
      <c r="F84" s="178"/>
      <c r="G84" s="159"/>
      <c r="H84" s="160"/>
      <c r="I84" s="13" t="s">
        <v>140</v>
      </c>
      <c r="J84" s="29">
        <f ca="1">(IF(B73=1,(H73/(B73+3)+J79),IF(B73=0,(H73/4+J79),IF(B73&gt;1,0))))</f>
        <v>23.25</v>
      </c>
    </row>
    <row r="85" spans="1:10" ht="16.5" thickBot="1">
      <c r="A85" s="138" t="s">
        <v>127</v>
      </c>
      <c r="B85" s="139"/>
      <c r="C85" s="93">
        <v>0</v>
      </c>
      <c r="D85" s="19">
        <f ca="1">((100/(H73))*C85)/100</f>
        <v>0</v>
      </c>
      <c r="E85" s="161"/>
      <c r="F85" s="179"/>
      <c r="G85" s="161"/>
      <c r="H85" s="162"/>
      <c r="I85" s="14" t="s">
        <v>99</v>
      </c>
      <c r="J85" s="31">
        <f ca="1">(IF(B73&gt;1.5,(H73/(B73+2)+J79+MAX(0,J80-J79)+MAX(0,J81-J80)+MAX(0,J82-J81)+MAX(0,J83-J82)+MAX(0,J84-J83)),IF(B73=1,(H73/(B73+3)+J84),IF(B73=0,H73/4+J84))))</f>
        <v>31</v>
      </c>
    </row>
    <row r="86" spans="1:10" ht="15.75" customHeight="1">
      <c r="A86" s="229" t="s">
        <v>133</v>
      </c>
      <c r="B86" s="230"/>
      <c r="C86" s="231" t="str">
        <f>D64</f>
        <v>IT Park- G + 1st to 31st  Floor</v>
      </c>
      <c r="D86" s="232"/>
      <c r="E86" s="232"/>
      <c r="F86" s="232"/>
      <c r="G86" s="232"/>
      <c r="H86" s="233"/>
      <c r="I86" s="47" t="str">
        <f ca="1">IF(D99=100%,"All work Completed. Possession granted to the Building.",IF(D98=100%,"All work Completed, Waiting for OC",I87&amp;""&amp;I88&amp;""&amp;J87&amp;""&amp;J86&amp;" "&amp;J88))</f>
        <v>Excavation, Plinth Completed, RCC upto 12 Slab Completed</v>
      </c>
      <c r="J86" s="48" t="str">
        <f ca="1">(IF(C92=(D87+F87+H87),"",IF(C92&gt;0,", RCC upto "&amp;C92&amp;" Slab","")))&amp;(IF(C93=H87,"",IF(C93&gt;0,", Brickwork upto "&amp;C93&amp;" Floor","")))&amp;(IF(C94=H87,"",IF(C94&gt;0,", Internal Plaster upto "&amp;C94&amp;" Floor","")))&amp;(IF(C95=H87,"",IF(C95&gt;0,", External Plaster upto "&amp;C95&amp;" Floor","")))&amp;(IF(C96=H87,"",IF(C96&gt;0,", Flooring upto "&amp;C96&amp;" Floor","")))&amp;(IF(C97=H87,"",IF(C97&gt;0,", Painting upto "&amp;C97&amp;" Floor","")))&amp;(IF(C98=H87,"",IF(C98&gt;0,", Finishing upto "&amp;C98&amp;" Floor","")))&amp;(IF(C99=H87,"",IF(C99&gt;0,", Possession upto "&amp;C99&amp;" Floor","")))</f>
        <v>, RCC upto 12 Slab</v>
      </c>
    </row>
    <row r="87" spans="1:10">
      <c r="A87" s="15" t="s">
        <v>135</v>
      </c>
      <c r="B87" s="52">
        <f>IF(AND(ISNUMBER(SEARCH("1B",C86))),1,IF(AND(ISNUMBER(SEARCH("2B",C86))),2,IF(AND(ISNUMBER(SEARCH("3B",C86))),3,IF(AND(ISNUMBER(SEARCH("4B",C86))),4,IF(ISNUMBER(SEARCH("5B",C86)),5,0)))))</f>
        <v>0</v>
      </c>
      <c r="C87" s="45" t="s">
        <v>68</v>
      </c>
      <c r="D87" s="45">
        <v>1</v>
      </c>
      <c r="E87" s="45" t="s">
        <v>67</v>
      </c>
      <c r="F87" s="80">
        <v>0</v>
      </c>
      <c r="G87" s="46" t="s">
        <v>75</v>
      </c>
      <c r="H87" s="16">
        <f ca="1">--TRIM(RIGHT(SUBSTITUTE(LEFT(C86,_xlfn.AGGREGATE(16,6,FIND({0,1,2,3,4,5,6,7,8,9},C86,ROW(INDIRECT("1:"&amp;LEN(C86)))),1))," ",REPT(" ",LEN(C86))),LEN(C86)))</f>
        <v>31</v>
      </c>
      <c r="I87" s="49" t="str">
        <f ca="1">IF(D90=100%,"Excavation","")&amp;IF(D91=100%,", Plinth","")&amp;IF(D92=100%,", RCC Slab","")&amp;IF(D93=100%,", Brickwork","")&amp;IF(D94=100%,", Internal Plaster","")&amp;IF(D95=100%,", External Plaster","")&amp;IF(D96=100%,", Flooring","")&amp;IF(D97=100%,", Painting","")&amp;IF(D98=100%,", Building common Amenities","")</f>
        <v>Excavation, Plinth</v>
      </c>
      <c r="J87" s="50" t="str">
        <f ca="1">(IF(C90=0,"Work not yet Started.",IF(D90=25%,"Piling work in process",IF(D90=50%,"Excavation work in process",IF(D90=100%,"","0")))))&amp;(IF(C91=0%,"",IF(C91=J92,", Footing work is process",IF(C91=J93,", Footing work Completed",IF(C91=J94,", 1st Basement Completed",IF(C91=J95,", 1st &amp; 2nd Basement Completed",IF(C91=J96,", 1st to 3rd Basement Completed",IF(C91=J97,", 1st to 4th Basement Completed",IF(C91=J98,", Plinth work is process",IF(C91=J99,"","0"))))))))))</f>
        <v/>
      </c>
    </row>
    <row r="88" spans="1:10">
      <c r="A88" s="235" t="s">
        <v>85</v>
      </c>
      <c r="B88" s="200"/>
      <c r="C88" s="175" t="str">
        <f ca="1">(IF($G$58="NA",I86,"All work Completed. OC Received."))</f>
        <v>Excavation, Plinth Completed, RCC upto 12 Slab Completed</v>
      </c>
      <c r="D88" s="175"/>
      <c r="E88" s="175"/>
      <c r="F88" s="175"/>
      <c r="G88" s="175"/>
      <c r="H88" s="176"/>
      <c r="I88" s="49" t="str">
        <f ca="1">IF(I87&lt;&gt;""," Completed","")</f>
        <v xml:space="preserve"> Completed</v>
      </c>
      <c r="J88" s="50" t="str">
        <f ca="1">IF(J86&lt;&gt;"","Completed","")</f>
        <v>Completed</v>
      </c>
    </row>
    <row r="89" spans="1:10" ht="15.75" customHeight="1">
      <c r="A89" s="152" t="s">
        <v>47</v>
      </c>
      <c r="B89" s="153"/>
      <c r="C89" s="42" t="s">
        <v>132</v>
      </c>
      <c r="D89" s="42" t="s">
        <v>78</v>
      </c>
      <c r="E89" s="153" t="s">
        <v>80</v>
      </c>
      <c r="F89" s="153"/>
      <c r="G89" s="153" t="s">
        <v>79</v>
      </c>
      <c r="H89" s="234"/>
      <c r="I89" s="13" t="s">
        <v>134</v>
      </c>
      <c r="J89" s="27">
        <f ca="1">H87*25%</f>
        <v>7.75</v>
      </c>
    </row>
    <row r="90" spans="1:10">
      <c r="A90" s="152" t="s">
        <v>121</v>
      </c>
      <c r="B90" s="153"/>
      <c r="C90" s="91">
        <f ca="1">J91</f>
        <v>31</v>
      </c>
      <c r="D90" s="18">
        <f ca="1">((100/H87)*C90)/100</f>
        <v>1</v>
      </c>
      <c r="E90" s="157">
        <f ca="1">(((C91/H87*10)+(40/(D87+F87+H87)*C92)+(7.5/(H87)*C93)+(7.5/(H87)*C94)+(10/H87*C95)+(10/H87*C96)+(5/H87*C97)+(5/H87*C98)+(5/H87*C99))/100)</f>
        <v>0.25</v>
      </c>
      <c r="F90" s="177"/>
      <c r="G90" s="157">
        <f ca="1">((((C90/H87)*20)+((C91/H87)*25)+(30/(H87+F87+D87)*C92)+(5/H87*C93)+(5/H87*C94)+(5/H87*C95)+(5/H87*C96)+(0/H87*C97)+(0/H87*C98)+(5/H87*C99))/100)</f>
        <v>0.5625</v>
      </c>
      <c r="H90" s="158"/>
      <c r="I90" s="13" t="s">
        <v>95</v>
      </c>
      <c r="J90" s="28">
        <f ca="1">H87*50%</f>
        <v>15.5</v>
      </c>
    </row>
    <row r="91" spans="1:10">
      <c r="A91" s="152" t="s">
        <v>48</v>
      </c>
      <c r="B91" s="153"/>
      <c r="C91" s="92">
        <f ca="1">J99</f>
        <v>31</v>
      </c>
      <c r="D91" s="18">
        <f ca="1">((100/H87)*C91)/100</f>
        <v>1</v>
      </c>
      <c r="E91" s="159"/>
      <c r="F91" s="178"/>
      <c r="G91" s="159"/>
      <c r="H91" s="160"/>
      <c r="I91" s="13" t="s">
        <v>96</v>
      </c>
      <c r="J91" s="28">
        <f ca="1">H87</f>
        <v>31</v>
      </c>
    </row>
    <row r="92" spans="1:10" ht="15.75" customHeight="1">
      <c r="A92" s="152" t="s">
        <v>122</v>
      </c>
      <c r="B92" s="153"/>
      <c r="C92" s="91">
        <v>12</v>
      </c>
      <c r="D92" s="18">
        <f ca="1">((100/(D87+F87+H87))*C92)/100</f>
        <v>0.375</v>
      </c>
      <c r="E92" s="159"/>
      <c r="F92" s="178"/>
      <c r="G92" s="159"/>
      <c r="H92" s="160"/>
      <c r="I92" s="13" t="s">
        <v>97</v>
      </c>
      <c r="J92" s="29">
        <f ca="1">(IF(B87&gt;1,(H87/(B87+2)),H87/4))</f>
        <v>7.75</v>
      </c>
    </row>
    <row r="93" spans="1:10" ht="15.75" customHeight="1">
      <c r="A93" s="152" t="s">
        <v>129</v>
      </c>
      <c r="B93" s="153" t="s">
        <v>123</v>
      </c>
      <c r="C93" s="91">
        <v>0</v>
      </c>
      <c r="D93" s="18">
        <f ca="1">((100/H87)*C93)/100</f>
        <v>0</v>
      </c>
      <c r="E93" s="159"/>
      <c r="F93" s="178"/>
      <c r="G93" s="159"/>
      <c r="H93" s="160"/>
      <c r="I93" s="13" t="s">
        <v>98</v>
      </c>
      <c r="J93" s="29">
        <f ca="1">(IF(B87&gt;1,(H87/(B87+2)+J92),H87/4+J92))</f>
        <v>15.5</v>
      </c>
    </row>
    <row r="94" spans="1:10" ht="15.75" customHeight="1">
      <c r="A94" s="152" t="s">
        <v>130</v>
      </c>
      <c r="B94" s="153" t="s">
        <v>123</v>
      </c>
      <c r="C94" s="91">
        <v>0</v>
      </c>
      <c r="D94" s="18">
        <f ca="1">((100/H87)*C94)/100</f>
        <v>0</v>
      </c>
      <c r="E94" s="159"/>
      <c r="F94" s="178"/>
      <c r="G94" s="159"/>
      <c r="H94" s="160"/>
      <c r="I94" s="13" t="s">
        <v>139</v>
      </c>
      <c r="J94" s="29">
        <f>(IF(B87&gt;1,(H87/(B87+2)+J93),0))</f>
        <v>0</v>
      </c>
    </row>
    <row r="95" spans="1:10" ht="15" customHeight="1">
      <c r="A95" s="152" t="s">
        <v>128</v>
      </c>
      <c r="B95" s="153" t="s">
        <v>125</v>
      </c>
      <c r="C95" s="91">
        <v>0</v>
      </c>
      <c r="D95" s="18">
        <f ca="1">((100/(H87))*C95)/100</f>
        <v>0</v>
      </c>
      <c r="E95" s="159"/>
      <c r="F95" s="178"/>
      <c r="G95" s="159"/>
      <c r="H95" s="160"/>
      <c r="I95" s="13" t="s">
        <v>136</v>
      </c>
      <c r="J95" s="29">
        <f>(IF(B87&gt;2,(H87/(B87+2)+J94),0))</f>
        <v>0</v>
      </c>
    </row>
    <row r="96" spans="1:10" ht="15.75" customHeight="1">
      <c r="A96" s="152" t="s">
        <v>124</v>
      </c>
      <c r="B96" s="153" t="s">
        <v>124</v>
      </c>
      <c r="C96" s="91">
        <v>0</v>
      </c>
      <c r="D96" s="18">
        <f ca="1">((100/H87)*C96)/100</f>
        <v>0</v>
      </c>
      <c r="E96" s="159"/>
      <c r="F96" s="178"/>
      <c r="G96" s="159"/>
      <c r="H96" s="160"/>
      <c r="I96" s="13" t="s">
        <v>137</v>
      </c>
      <c r="J96" s="30">
        <f>(IF(B87&gt;3,(H87/(B87+2)+J95),0))</f>
        <v>0</v>
      </c>
    </row>
    <row r="97" spans="1:22" ht="15.75" customHeight="1">
      <c r="A97" s="152" t="s">
        <v>131</v>
      </c>
      <c r="B97" s="153"/>
      <c r="C97" s="91">
        <v>0</v>
      </c>
      <c r="D97" s="18">
        <f ca="1">((100/H87)*C97)/100</f>
        <v>0</v>
      </c>
      <c r="E97" s="159"/>
      <c r="F97" s="178"/>
      <c r="G97" s="159"/>
      <c r="H97" s="160"/>
      <c r="I97" s="13" t="s">
        <v>138</v>
      </c>
      <c r="J97" s="29">
        <f>(IF(B87&gt;4,(H87/(B87+2)+J96),0))</f>
        <v>0</v>
      </c>
    </row>
    <row r="98" spans="1:22" ht="15.75" customHeight="1">
      <c r="A98" s="152" t="s">
        <v>126</v>
      </c>
      <c r="B98" s="153" t="s">
        <v>126</v>
      </c>
      <c r="C98" s="91">
        <v>0</v>
      </c>
      <c r="D98" s="18">
        <f ca="1">((100/(H87))*C98)/100</f>
        <v>0</v>
      </c>
      <c r="E98" s="159"/>
      <c r="F98" s="178"/>
      <c r="G98" s="159"/>
      <c r="H98" s="160"/>
      <c r="I98" s="13" t="s">
        <v>140</v>
      </c>
      <c r="J98" s="29">
        <f ca="1">(IF(B87=1,(H87/(B87+3)+J93),IF(B87=0,(H87/4+J93),IF(B87&gt;1,0))))</f>
        <v>23.25</v>
      </c>
    </row>
    <row r="99" spans="1:22" ht="16.5" thickBot="1">
      <c r="A99" s="138" t="s">
        <v>127</v>
      </c>
      <c r="B99" s="139"/>
      <c r="C99" s="93">
        <v>0</v>
      </c>
      <c r="D99" s="19">
        <f ca="1">((100/(H87))*C99)/100</f>
        <v>0</v>
      </c>
      <c r="E99" s="161"/>
      <c r="F99" s="179"/>
      <c r="G99" s="161"/>
      <c r="H99" s="162"/>
      <c r="I99" s="14" t="s">
        <v>99</v>
      </c>
      <c r="J99" s="31">
        <f ca="1">(IF(B87&gt;1.5,(H87/(B87+2)+J93+MAX(0,J94-J93)+MAX(0,J95-J94)+MAX(0,J96-J95)+MAX(0,J97-J96)+MAX(0,J98-J97)),IF(B87=1,(H87/(B87+3)+J98),IF(B87=0,H87/4+J98))))</f>
        <v>31</v>
      </c>
    </row>
    <row r="100" spans="1:22">
      <c r="A100" s="166" t="s">
        <v>148</v>
      </c>
      <c r="B100" s="166"/>
      <c r="C100" s="166"/>
      <c r="D100" s="166"/>
      <c r="E100" s="166"/>
      <c r="F100" s="212" t="s">
        <v>149</v>
      </c>
      <c r="G100" s="212"/>
      <c r="H100" s="212"/>
      <c r="R100" t="s">
        <v>239</v>
      </c>
      <c r="S100" t="s">
        <v>161</v>
      </c>
      <c r="T100" t="s">
        <v>165</v>
      </c>
      <c r="U100" t="s">
        <v>180</v>
      </c>
      <c r="V100" t="s">
        <v>175</v>
      </c>
    </row>
    <row r="101" spans="1:22">
      <c r="A101" s="136" t="s">
        <v>385</v>
      </c>
      <c r="B101" s="136"/>
      <c r="C101" s="136"/>
      <c r="D101" s="136"/>
      <c r="E101" s="136"/>
      <c r="F101" s="163">
        <v>16000</v>
      </c>
      <c r="G101" s="163"/>
      <c r="H101" s="163"/>
      <c r="R101"/>
      <c r="S101">
        <v>800000</v>
      </c>
      <c r="T101">
        <v>150000</v>
      </c>
      <c r="U101">
        <v>100000</v>
      </c>
      <c r="V101">
        <v>100000</v>
      </c>
    </row>
    <row r="102" spans="1:22">
      <c r="A102" s="136" t="s">
        <v>330</v>
      </c>
      <c r="B102" s="136"/>
      <c r="C102" s="136"/>
      <c r="D102" s="136"/>
      <c r="E102" s="136"/>
      <c r="F102" s="163">
        <v>11000</v>
      </c>
      <c r="G102" s="163"/>
      <c r="H102" s="163"/>
      <c r="R102"/>
      <c r="S102">
        <v>900000</v>
      </c>
      <c r="T102">
        <v>200000</v>
      </c>
      <c r="U102">
        <v>150000</v>
      </c>
      <c r="V102">
        <v>150000</v>
      </c>
    </row>
    <row r="103" spans="1:22">
      <c r="A103" s="136" t="s">
        <v>383</v>
      </c>
      <c r="B103" s="136"/>
      <c r="C103" s="136"/>
      <c r="D103" s="136"/>
      <c r="E103" s="136"/>
      <c r="F103" s="163">
        <v>10000</v>
      </c>
      <c r="G103" s="163"/>
      <c r="H103" s="163"/>
      <c r="I103" s="20">
        <f>42700000/(825*1.5)</f>
        <v>34505.050505050502</v>
      </c>
      <c r="R103"/>
      <c r="S103">
        <v>1000000</v>
      </c>
      <c r="T103">
        <v>250000</v>
      </c>
      <c r="U103">
        <v>200000</v>
      </c>
      <c r="V103">
        <v>200000</v>
      </c>
    </row>
    <row r="104" spans="1:22" s="32" customFormat="1" hidden="1">
      <c r="A104" s="136" t="s">
        <v>163</v>
      </c>
      <c r="B104" s="136"/>
      <c r="C104" s="136"/>
      <c r="D104" s="136"/>
      <c r="E104" s="136"/>
      <c r="F104" s="163"/>
      <c r="G104" s="163"/>
      <c r="H104" s="163"/>
      <c r="R104"/>
      <c r="S104">
        <v>1100000</v>
      </c>
      <c r="T104">
        <v>300000</v>
      </c>
      <c r="U104">
        <v>250000</v>
      </c>
      <c r="V104" s="22">
        <v>250000</v>
      </c>
    </row>
    <row r="105" spans="1:22" s="32" customFormat="1" hidden="1">
      <c r="A105" s="136" t="s">
        <v>89</v>
      </c>
      <c r="B105" s="136"/>
      <c r="C105" s="136"/>
      <c r="D105" s="136"/>
      <c r="E105" s="136"/>
      <c r="F105" s="163"/>
      <c r="G105" s="163"/>
      <c r="H105" s="163"/>
      <c r="R105"/>
      <c r="S105">
        <v>1200000</v>
      </c>
      <c r="T105">
        <v>350000</v>
      </c>
      <c r="U105">
        <v>300000</v>
      </c>
      <c r="V105">
        <v>300000</v>
      </c>
    </row>
    <row r="106" spans="1:22" s="32" customFormat="1" hidden="1">
      <c r="A106" s="136" t="s">
        <v>90</v>
      </c>
      <c r="B106" s="136"/>
      <c r="C106" s="136"/>
      <c r="D106" s="136"/>
      <c r="E106" s="136"/>
      <c r="F106" s="163"/>
      <c r="G106" s="163"/>
      <c r="H106" s="163"/>
      <c r="R106"/>
      <c r="S106">
        <v>1300000</v>
      </c>
      <c r="T106">
        <v>400000</v>
      </c>
      <c r="U106">
        <v>350000</v>
      </c>
      <c r="V106" s="22">
        <v>400000</v>
      </c>
    </row>
    <row r="107" spans="1:22" s="32" customFormat="1" hidden="1">
      <c r="A107" s="136" t="s">
        <v>91</v>
      </c>
      <c r="B107" s="136"/>
      <c r="C107" s="136"/>
      <c r="D107" s="136"/>
      <c r="E107" s="136"/>
      <c r="F107" s="163"/>
      <c r="G107" s="163"/>
      <c r="H107" s="163"/>
      <c r="R107"/>
      <c r="S107">
        <v>1400000</v>
      </c>
      <c r="T107">
        <v>500000</v>
      </c>
      <c r="U107">
        <v>400000</v>
      </c>
      <c r="V107"/>
    </row>
    <row r="108" spans="1:22" s="32" customFormat="1" hidden="1">
      <c r="A108" s="136" t="s">
        <v>92</v>
      </c>
      <c r="B108" s="136"/>
      <c r="C108" s="136"/>
      <c r="D108" s="136"/>
      <c r="E108" s="136"/>
      <c r="F108" s="163"/>
      <c r="G108" s="163"/>
      <c r="H108" s="163"/>
      <c r="R108"/>
      <c r="S108">
        <v>1500000</v>
      </c>
      <c r="T108">
        <v>600000</v>
      </c>
      <c r="U108">
        <v>500000</v>
      </c>
      <c r="V108" s="22"/>
    </row>
    <row r="109" spans="1:22" s="32" customFormat="1" hidden="1">
      <c r="A109" s="136" t="s">
        <v>93</v>
      </c>
      <c r="B109" s="136"/>
      <c r="C109" s="136"/>
      <c r="D109" s="136"/>
      <c r="E109" s="136"/>
      <c r="F109" s="163"/>
      <c r="G109" s="163"/>
      <c r="H109" s="163"/>
      <c r="R109"/>
      <c r="S109">
        <v>1600000</v>
      </c>
      <c r="T109">
        <v>700000</v>
      </c>
      <c r="U109">
        <v>600000</v>
      </c>
      <c r="V109"/>
    </row>
    <row r="110" spans="1:22" s="32" customFormat="1" hidden="1">
      <c r="A110" s="136" t="s">
        <v>94</v>
      </c>
      <c r="B110" s="136"/>
      <c r="C110" s="136"/>
      <c r="D110" s="136"/>
      <c r="E110" s="136"/>
      <c r="F110" s="163"/>
      <c r="G110" s="163"/>
      <c r="H110" s="163"/>
      <c r="R110"/>
      <c r="S110">
        <v>1700000</v>
      </c>
      <c r="T110">
        <v>800000</v>
      </c>
      <c r="U110"/>
      <c r="V110" s="22"/>
    </row>
    <row r="111" spans="1:22">
      <c r="A111" s="136" t="s">
        <v>49</v>
      </c>
      <c r="B111" s="136"/>
      <c r="C111" s="136"/>
      <c r="D111" s="136"/>
      <c r="E111" s="136"/>
      <c r="F111" s="163">
        <v>500000</v>
      </c>
      <c r="G111" s="163"/>
      <c r="H111" s="163"/>
      <c r="R111"/>
      <c r="S111">
        <v>1800000</v>
      </c>
      <c r="T111">
        <v>900000</v>
      </c>
      <c r="U111"/>
    </row>
    <row r="112" spans="1:22" s="33" customFormat="1">
      <c r="A112" s="167" t="s">
        <v>50</v>
      </c>
      <c r="B112" s="167"/>
      <c r="C112" s="167"/>
      <c r="D112" s="167"/>
      <c r="E112" s="167"/>
      <c r="F112" s="163">
        <f>F102*0.8</f>
        <v>8800</v>
      </c>
      <c r="G112" s="163"/>
      <c r="H112" s="163"/>
      <c r="R112" s="20"/>
      <c r="S112" s="20"/>
      <c r="T112">
        <v>1000000</v>
      </c>
      <c r="U112"/>
      <c r="V112" s="20"/>
    </row>
    <row r="113" spans="1:22" s="34" customFormat="1" ht="15.75" customHeight="1">
      <c r="A113" s="208" t="s">
        <v>312</v>
      </c>
      <c r="B113" s="208"/>
      <c r="C113" s="208"/>
      <c r="D113" s="208"/>
      <c r="E113" s="208"/>
      <c r="F113" s="208"/>
      <c r="G113" s="208"/>
      <c r="H113" s="208"/>
      <c r="R113"/>
      <c r="S113" s="20"/>
      <c r="T113"/>
      <c r="U113"/>
      <c r="V113" s="20"/>
    </row>
    <row r="114" spans="1:22" s="34" customFormat="1" ht="15.75" customHeight="1">
      <c r="A114" s="223" t="s">
        <v>51</v>
      </c>
      <c r="B114" s="223"/>
      <c r="C114" s="214" t="s">
        <v>73</v>
      </c>
      <c r="D114" s="214"/>
      <c r="E114" s="227" t="s">
        <v>52</v>
      </c>
      <c r="F114" s="227"/>
      <c r="G114" s="223" t="s">
        <v>53</v>
      </c>
      <c r="H114" s="223"/>
      <c r="R114"/>
      <c r="S114" s="20"/>
      <c r="T114"/>
      <c r="U114" s="20"/>
      <c r="V114" s="20"/>
    </row>
    <row r="115" spans="1:22" s="34" customFormat="1" ht="15.75" customHeight="1">
      <c r="A115" s="243" t="s">
        <v>298</v>
      </c>
      <c r="B115" s="77" t="s">
        <v>303</v>
      </c>
      <c r="C115" s="140">
        <f>COUNT(D127:D135)+COUNT(D137:D143)</f>
        <v>16</v>
      </c>
      <c r="D115" s="140"/>
      <c r="E115" s="140">
        <f>SUM(F127:F135)+SUM(F137:F143)</f>
        <v>16749.311436</v>
      </c>
      <c r="F115" s="140"/>
      <c r="G115" s="140">
        <f>SUM(H127:H135)+SUM(H137:H143)</f>
        <v>25123.967153999998</v>
      </c>
      <c r="H115" s="140"/>
      <c r="J115" s="89" t="s">
        <v>372</v>
      </c>
      <c r="R115"/>
      <c r="S115" s="20"/>
      <c r="T115"/>
      <c r="U115" s="20"/>
      <c r="V115" s="20"/>
    </row>
    <row r="116" spans="1:22" s="34" customFormat="1" ht="15.75" customHeight="1">
      <c r="A116" s="243"/>
      <c r="B116" s="77" t="s">
        <v>299</v>
      </c>
      <c r="C116" s="241">
        <f>COUNT(D151:D157)+COUNT(D159:D165)*3+COUNT(D167:D172)+COUNT(D175:D181)*2+COUNT(D183:D189)*2+COUNT(D191:D196)+COUNT(D199:D204)+COUNT(D206:D211)+COUNT(D214:D218)+COUNT(D220:D226)+COUNT(D228:D234)*3+COUNT(D237:D242)*2+COUNT(D244:D250)*2+COUNT(D252:D258)*2</f>
        <v>153</v>
      </c>
      <c r="D116" s="242"/>
      <c r="E116" s="241">
        <f>SUM(F151:F157)+SUM(F159:F165)*3+SUM(F167:F172)+SUM(F175:F181)*2+SUM(F183:F189)*2+SUM(F191:F196)+SUM(F199:F204)+SUM(F206:F211)+SUM(F214:F218)+SUM(F220:F226)+SUM(F228:F234)*3+SUM(F237:F242)*2+SUM(F244:F250)*2+SUM(F252:F258)*2</f>
        <v>88079.713019999996</v>
      </c>
      <c r="F116" s="242"/>
      <c r="G116" s="241">
        <f>SUM(H151:H157)+SUM(H159:H165)*3+SUM(H167:H172)+SUM(H175:H181)*2+SUM(H183:H189)*2+SUM(H191:H196)+SUM(H199:H204)+SUM(H206:H211)+SUM(H214:H218)+SUM(H220:H226)+SUM(H228:H234)*3+SUM(H237:H242)*2+SUM(H244:H250)*2+SUM(H252:H258)*2</f>
        <v>132119.56953000001</v>
      </c>
      <c r="H116" s="242"/>
      <c r="R116"/>
      <c r="S116" s="20"/>
      <c r="T116"/>
      <c r="U116" s="20"/>
      <c r="V116" s="20"/>
    </row>
    <row r="117" spans="1:22" s="34" customFormat="1">
      <c r="A117" s="252" t="s">
        <v>300</v>
      </c>
      <c r="B117" s="85" t="s">
        <v>299</v>
      </c>
      <c r="C117" s="140">
        <f>COUNT(D267:D286)*2+COUNT(D288:D307)*5+COUNT(D309:D320,D322:D327)+COUNT(D330:D341,D343:D348)+COUNT(D351:D370)+COUNT(D372:D391)+COUNT(D405:D408)+COUNT(D414:D425,D427:D432)+COUNT(D435:D454)+COUNT(D456:D475)*2+COUNT(D477:D496)*3+COUNT(D498:D509,D511:D516)*2+COUNT(D519:D538)*2</f>
        <v>434</v>
      </c>
      <c r="D117" s="140"/>
      <c r="E117" s="140">
        <f>SUM(F267:F286)*2+SUM(F288:F307)*5+SUM(F309:F320,F322:F327)+SUM(F330:F341,F343:F348)+SUM(F351:F370)+SUM(F372:F391)+SUM(F405:F408)+SUM(F414:F425,F427:F432)+SUM(F435:F454)+SUM(F456:F475)*2+SUM(F477:F496)*3+SUM(F498:F509,F511:F516)*2+SUM(F519:F538)*2</f>
        <v>473800.94704799989</v>
      </c>
      <c r="F117" s="140"/>
      <c r="G117" s="140">
        <f>SUM(H267:H286)*2+SUM(H288:H307)*5+SUM(H309:H320,H322:H327)+SUM(H330:H341,H343:H348)+SUM(H351:H370)+SUM(H372:H391)+SUM(H405:H408)+SUM(H414:H425,H427:H432)+SUM(H435:H454)+SUM(H456:H475)*2+SUM(H477:H496)*3+SUM(H498:H509,H511:H516)*2+SUM(H519:H538)*2</f>
        <v>710701.42057199986</v>
      </c>
      <c r="H117" s="140"/>
      <c r="R117"/>
      <c r="S117" s="20"/>
      <c r="T117"/>
      <c r="U117" s="20"/>
      <c r="V117" s="20"/>
    </row>
    <row r="118" spans="1:22" s="34" customFormat="1" ht="32.25" thickBot="1">
      <c r="A118" s="253"/>
      <c r="B118" s="85" t="s">
        <v>368</v>
      </c>
      <c r="C118" s="251">
        <f>COUNT(D393:D404,D409:D412)</f>
        <v>16</v>
      </c>
      <c r="D118" s="251"/>
      <c r="E118" s="251">
        <f>SUM(F393:F404,F409:F412)</f>
        <v>16797.867839999995</v>
      </c>
      <c r="F118" s="251"/>
      <c r="G118" s="251">
        <f>SUM(H393:H404,H409:H412)</f>
        <v>25196.801759999995</v>
      </c>
      <c r="H118" s="251"/>
      <c r="R118"/>
      <c r="S118" s="20"/>
      <c r="T118"/>
      <c r="U118" s="20"/>
      <c r="V118" s="20"/>
    </row>
    <row r="119" spans="1:22" s="34" customFormat="1" ht="16.5" thickBot="1">
      <c r="A119" s="215" t="s">
        <v>155</v>
      </c>
      <c r="B119" s="216"/>
      <c r="C119" s="148">
        <f>C115+C116+C117+C118</f>
        <v>619</v>
      </c>
      <c r="D119" s="148"/>
      <c r="E119" s="148">
        <f t="shared" ref="E119" si="0">E115+E116+E117+E118</f>
        <v>595427.83934399986</v>
      </c>
      <c r="F119" s="148"/>
      <c r="G119" s="148">
        <f t="shared" ref="G119" si="1">G115+G116+G117+G118</f>
        <v>893141.75901599973</v>
      </c>
      <c r="H119" s="148"/>
      <c r="T119"/>
    </row>
    <row r="120" spans="1:22" s="33" customFormat="1">
      <c r="A120" s="212" t="s">
        <v>54</v>
      </c>
      <c r="B120" s="212"/>
      <c r="C120" s="212"/>
      <c r="D120" s="212"/>
      <c r="E120" s="212"/>
      <c r="F120" s="212"/>
      <c r="G120" s="212"/>
      <c r="H120" s="212"/>
      <c r="T120" s="34"/>
    </row>
    <row r="121" spans="1:22">
      <c r="A121" s="222" t="s">
        <v>311</v>
      </c>
      <c r="B121" s="222"/>
      <c r="C121" s="222"/>
      <c r="D121" s="222"/>
      <c r="E121" s="222"/>
      <c r="F121" s="222"/>
      <c r="G121" s="222"/>
      <c r="H121" s="222"/>
      <c r="T121" s="34"/>
    </row>
    <row r="122" spans="1:22" ht="47.25" customHeight="1">
      <c r="A122" s="146" t="s">
        <v>114</v>
      </c>
      <c r="B122" s="146" t="s">
        <v>164</v>
      </c>
      <c r="C122" s="146" t="s">
        <v>55</v>
      </c>
      <c r="D122" s="164" t="s">
        <v>218</v>
      </c>
      <c r="E122" s="169" t="s">
        <v>147</v>
      </c>
      <c r="F122" s="146" t="s">
        <v>56</v>
      </c>
      <c r="G122" s="169" t="s">
        <v>57</v>
      </c>
      <c r="H122" s="75" t="s">
        <v>142</v>
      </c>
      <c r="T122" s="34"/>
    </row>
    <row r="123" spans="1:22" s="36" customFormat="1">
      <c r="A123" s="147"/>
      <c r="B123" s="147"/>
      <c r="C123" s="147"/>
      <c r="D123" s="165"/>
      <c r="E123" s="170"/>
      <c r="F123" s="147"/>
      <c r="G123" s="170"/>
      <c r="H123" s="79">
        <v>0.5</v>
      </c>
      <c r="T123" s="34"/>
    </row>
    <row r="124" spans="1:22" s="68" customFormat="1" hidden="1">
      <c r="A124" s="141" t="s">
        <v>301</v>
      </c>
      <c r="B124" s="142"/>
      <c r="C124" s="142"/>
      <c r="D124" s="142"/>
      <c r="E124" s="142"/>
      <c r="F124" s="142"/>
      <c r="G124" s="142"/>
      <c r="H124" s="143"/>
      <c r="T124" s="34"/>
    </row>
    <row r="125" spans="1:22" s="68" customFormat="1">
      <c r="A125" s="141" t="s">
        <v>377</v>
      </c>
      <c r="B125" s="142"/>
      <c r="C125" s="142"/>
      <c r="D125" s="142"/>
      <c r="E125" s="142"/>
      <c r="F125" s="142"/>
      <c r="G125" s="142"/>
      <c r="H125" s="143"/>
      <c r="T125" s="34"/>
    </row>
    <row r="126" spans="1:22" s="36" customFormat="1">
      <c r="A126" s="104" t="s">
        <v>322</v>
      </c>
      <c r="B126" s="105"/>
      <c r="C126" s="105"/>
      <c r="D126" s="105"/>
      <c r="E126" s="105"/>
      <c r="F126" s="105"/>
      <c r="G126" s="105"/>
      <c r="H126" s="106"/>
      <c r="J126" s="35"/>
      <c r="T126" s="34"/>
    </row>
    <row r="127" spans="1:22" s="36" customFormat="1" ht="15.75" customHeight="1">
      <c r="A127" s="107">
        <v>1</v>
      </c>
      <c r="B127" s="108"/>
      <c r="C127" s="41" t="s">
        <v>303</v>
      </c>
      <c r="D127" s="88">
        <f>130.729*(10.764)</f>
        <v>1407.166956</v>
      </c>
      <c r="E127" s="74">
        <f t="shared" ref="E127:E135" si="2">0*(10.764)</f>
        <v>0</v>
      </c>
      <c r="F127" s="61">
        <f>D127+(IF(E127&lt;201,E127,IF(E127&lt;301,E127/2,E127/3)))</f>
        <v>1407.166956</v>
      </c>
      <c r="G127" s="62">
        <v>0</v>
      </c>
      <c r="H127" s="61">
        <f>(F127+(IF(G127&lt;101,G127,IF(G127&lt;201,G127/2,IF(G127&lt;=301,G127/3,G127/4)))))*(($H$123)+1)</f>
        <v>2110.750434</v>
      </c>
      <c r="I127" s="35"/>
      <c r="J127" s="74">
        <f>10.764</f>
        <v>10.763999999999999</v>
      </c>
      <c r="L127" s="168"/>
      <c r="M127" s="168"/>
      <c r="N127" s="35"/>
      <c r="T127" s="34"/>
    </row>
    <row r="128" spans="1:22" s="36" customFormat="1" ht="15.75" customHeight="1">
      <c r="A128" s="107">
        <f>A127+1</f>
        <v>2</v>
      </c>
      <c r="B128" s="108"/>
      <c r="C128" s="67" t="s">
        <v>303</v>
      </c>
      <c r="D128" s="88">
        <f>(61.5)*(10.764)</f>
        <v>661.98599999999999</v>
      </c>
      <c r="E128" s="74">
        <f t="shared" si="2"/>
        <v>0</v>
      </c>
      <c r="F128" s="61">
        <f t="shared" ref="F128:F133" si="3">D128+(IF(E128&lt;201,E128,IF(E128&lt;301,E128/2,E128/3)))</f>
        <v>661.98599999999999</v>
      </c>
      <c r="G128" s="55">
        <v>0</v>
      </c>
      <c r="H128" s="61">
        <f t="shared" ref="H128:H133" si="4">(F128+(IF(G128&lt;101,G128,IF(G128&lt;201,G128/2,IF(G128&lt;=301,G128/3,G128/4)))))*(($H$123)+1)</f>
        <v>992.97900000000004</v>
      </c>
      <c r="I128" s="35"/>
      <c r="L128" s="168"/>
      <c r="M128" s="168"/>
      <c r="N128" s="35"/>
      <c r="T128" s="33"/>
    </row>
    <row r="129" spans="1:20" s="36" customFormat="1" ht="15.75" customHeight="1">
      <c r="A129" s="107">
        <f>A128+1</f>
        <v>3</v>
      </c>
      <c r="B129" s="108"/>
      <c r="C129" s="67" t="s">
        <v>303</v>
      </c>
      <c r="D129" s="88">
        <f>(61.5)*(10.764)</f>
        <v>661.98599999999999</v>
      </c>
      <c r="E129" s="74">
        <f t="shared" si="2"/>
        <v>0</v>
      </c>
      <c r="F129" s="61">
        <f t="shared" si="3"/>
        <v>661.98599999999999</v>
      </c>
      <c r="G129" s="55">
        <v>0</v>
      </c>
      <c r="H129" s="61">
        <f t="shared" si="4"/>
        <v>992.97900000000004</v>
      </c>
      <c r="I129" s="35"/>
      <c r="L129" s="168"/>
      <c r="M129" s="168"/>
      <c r="N129" s="35"/>
      <c r="T129" s="20"/>
    </row>
    <row r="130" spans="1:20" s="36" customFormat="1" ht="15.75" customHeight="1">
      <c r="A130" s="107">
        <f>A129+1</f>
        <v>4</v>
      </c>
      <c r="B130" s="108"/>
      <c r="C130" s="67" t="s">
        <v>303</v>
      </c>
      <c r="D130" s="88">
        <f>(68.75)*(10.764)</f>
        <v>740.02499999999998</v>
      </c>
      <c r="E130" s="74">
        <f t="shared" si="2"/>
        <v>0</v>
      </c>
      <c r="F130" s="61">
        <f t="shared" si="3"/>
        <v>740.02499999999998</v>
      </c>
      <c r="G130" s="55">
        <v>0</v>
      </c>
      <c r="H130" s="61">
        <f t="shared" si="4"/>
        <v>1110.0374999999999</v>
      </c>
      <c r="I130" s="35"/>
      <c r="L130" s="168"/>
      <c r="M130" s="168"/>
      <c r="N130" s="35"/>
      <c r="T130" s="20"/>
    </row>
    <row r="131" spans="1:20" s="68" customFormat="1" ht="15.75" customHeight="1">
      <c r="A131" s="107">
        <f t="shared" ref="A131:A134" si="5">A130+1</f>
        <v>5</v>
      </c>
      <c r="B131" s="108"/>
      <c r="C131" s="67" t="s">
        <v>303</v>
      </c>
      <c r="D131" s="88">
        <f>(68.75)*(10.764)</f>
        <v>740.02499999999998</v>
      </c>
      <c r="E131" s="74">
        <f t="shared" si="2"/>
        <v>0</v>
      </c>
      <c r="F131" s="67">
        <f t="shared" si="3"/>
        <v>740.02499999999998</v>
      </c>
      <c r="G131" s="67">
        <v>0</v>
      </c>
      <c r="H131" s="67">
        <f t="shared" si="4"/>
        <v>1110.0374999999999</v>
      </c>
      <c r="I131" s="35"/>
      <c r="N131" s="35"/>
      <c r="T131" s="20"/>
    </row>
    <row r="132" spans="1:20" s="68" customFormat="1" ht="15.75" customHeight="1">
      <c r="A132" s="107">
        <f t="shared" si="5"/>
        <v>6</v>
      </c>
      <c r="B132" s="108"/>
      <c r="C132" s="67" t="s">
        <v>303</v>
      </c>
      <c r="D132" s="88">
        <f>(61.5)*(10.764)</f>
        <v>661.98599999999999</v>
      </c>
      <c r="E132" s="74">
        <f t="shared" si="2"/>
        <v>0</v>
      </c>
      <c r="F132" s="67">
        <f t="shared" si="3"/>
        <v>661.98599999999999</v>
      </c>
      <c r="G132" s="67">
        <v>0</v>
      </c>
      <c r="H132" s="67">
        <f t="shared" si="4"/>
        <v>992.97900000000004</v>
      </c>
      <c r="I132" s="35"/>
      <c r="N132" s="35"/>
      <c r="T132" s="20"/>
    </row>
    <row r="133" spans="1:20" s="68" customFormat="1" ht="15.75" customHeight="1">
      <c r="A133" s="107">
        <f>A132+1</f>
        <v>7</v>
      </c>
      <c r="B133" s="108"/>
      <c r="C133" s="67" t="s">
        <v>303</v>
      </c>
      <c r="D133" s="88">
        <f>(61.5)*(10.764)</f>
        <v>661.98599999999999</v>
      </c>
      <c r="E133" s="74">
        <f t="shared" si="2"/>
        <v>0</v>
      </c>
      <c r="F133" s="67">
        <f t="shared" si="3"/>
        <v>661.98599999999999</v>
      </c>
      <c r="G133" s="67">
        <v>0</v>
      </c>
      <c r="H133" s="67">
        <f t="shared" si="4"/>
        <v>992.97900000000004</v>
      </c>
      <c r="I133" s="35"/>
      <c r="N133" s="35"/>
      <c r="T133" s="20"/>
    </row>
    <row r="134" spans="1:20" s="84" customFormat="1" ht="57" customHeight="1">
      <c r="A134" s="96">
        <f t="shared" si="5"/>
        <v>8</v>
      </c>
      <c r="B134" s="97"/>
      <c r="C134" s="94" t="s">
        <v>373</v>
      </c>
      <c r="D134" s="74">
        <f>(155.61+145.51)*(10.764)</f>
        <v>3241.2556799999998</v>
      </c>
      <c r="E134" s="74">
        <f t="shared" si="2"/>
        <v>0</v>
      </c>
      <c r="F134" s="94">
        <f t="shared" ref="F134:F135" si="6">D134+(IF(E134&lt;201,E134,IF(E134&lt;301,E134/2,E134/3)))</f>
        <v>3241.2556799999998</v>
      </c>
      <c r="G134" s="94">
        <v>0</v>
      </c>
      <c r="H134" s="94">
        <f t="shared" ref="H134:H135" si="7">(F134+(IF(G134&lt;101,G134,IF(G134&lt;201,G134/2,IF(G134&lt;=301,G134/3,G134/4)))))*(($H$123)+1)</f>
        <v>4861.8835199999994</v>
      </c>
      <c r="I134" s="35">
        <f>10.44*13+4.35*2.08+1.5*1.5</f>
        <v>147.018</v>
      </c>
      <c r="N134" s="35"/>
      <c r="T134" s="20"/>
    </row>
    <row r="135" spans="1:20" s="84" customFormat="1" ht="51" customHeight="1">
      <c r="A135" s="96">
        <f>A134+1</f>
        <v>9</v>
      </c>
      <c r="B135" s="97"/>
      <c r="C135" s="94" t="s">
        <v>373</v>
      </c>
      <c r="D135" s="74">
        <f>(117.43+108.83)*(10.764)</f>
        <v>2435.4626399999997</v>
      </c>
      <c r="E135" s="74">
        <f t="shared" si="2"/>
        <v>0</v>
      </c>
      <c r="F135" s="94">
        <f t="shared" si="6"/>
        <v>2435.4626399999997</v>
      </c>
      <c r="G135" s="94">
        <v>0</v>
      </c>
      <c r="H135" s="94">
        <f t="shared" si="7"/>
        <v>3653.1939599999996</v>
      </c>
      <c r="I135" s="35"/>
      <c r="N135" s="35"/>
      <c r="T135" s="20"/>
    </row>
    <row r="136" spans="1:20" s="68" customFormat="1" ht="15.75" customHeight="1">
      <c r="A136" s="98" t="s">
        <v>371</v>
      </c>
      <c r="B136" s="99"/>
      <c r="C136" s="99"/>
      <c r="D136" s="99"/>
      <c r="E136" s="99"/>
      <c r="F136" s="99"/>
      <c r="G136" s="99"/>
      <c r="H136" s="100"/>
      <c r="I136" s="35"/>
      <c r="N136" s="35"/>
      <c r="T136" s="20"/>
    </row>
    <row r="137" spans="1:20" s="68" customFormat="1" ht="15.75" customHeight="1">
      <c r="A137" s="96">
        <v>1</v>
      </c>
      <c r="B137" s="97"/>
      <c r="C137" s="94" t="s">
        <v>303</v>
      </c>
      <c r="D137" s="74">
        <f>130.73*(10.764)</f>
        <v>1407.1777199999999</v>
      </c>
      <c r="E137" s="74">
        <f t="shared" ref="E137:E143" si="8">0*(10.764)</f>
        <v>0</v>
      </c>
      <c r="F137" s="94">
        <f>D137+(IF(E137&lt;201,E137,IF(E137&lt;301,E137/2,E137/3)))</f>
        <v>1407.1777199999999</v>
      </c>
      <c r="G137" s="95">
        <v>0</v>
      </c>
      <c r="H137" s="94">
        <f>(F137+(IF(G137&lt;101,G137,IF(G137&lt;201,G137/2,IF(G137&lt;=301,G137/3,G137/4)))))*(($H$123)+1)</f>
        <v>2110.76658</v>
      </c>
      <c r="I137" s="35"/>
      <c r="N137" s="35"/>
      <c r="T137" s="20"/>
    </row>
    <row r="138" spans="1:20" s="68" customFormat="1" ht="15.75" customHeight="1">
      <c r="A138" s="96">
        <f>A137+1</f>
        <v>2</v>
      </c>
      <c r="B138" s="97"/>
      <c r="C138" s="94" t="s">
        <v>303</v>
      </c>
      <c r="D138" s="74">
        <f>(61.48)*(10.764)</f>
        <v>661.77071999999998</v>
      </c>
      <c r="E138" s="74">
        <f t="shared" si="8"/>
        <v>0</v>
      </c>
      <c r="F138" s="94">
        <f t="shared" ref="F138:F143" si="9">D138+(IF(E138&lt;201,E138,IF(E138&lt;301,E138/2,E138/3)))</f>
        <v>661.77071999999998</v>
      </c>
      <c r="G138" s="94">
        <v>0</v>
      </c>
      <c r="H138" s="94">
        <f t="shared" ref="H138:H143" si="10">(F138+(IF(G138&lt;101,G138,IF(G138&lt;201,G138/2,IF(G138&lt;=301,G138/3,G138/4)))))*(($H$123)+1)</f>
        <v>992.65607999999997</v>
      </c>
      <c r="I138" s="35"/>
      <c r="N138" s="35"/>
      <c r="T138" s="20"/>
    </row>
    <row r="139" spans="1:20" s="68" customFormat="1" ht="15.75" customHeight="1">
      <c r="A139" s="96">
        <f>A138+1</f>
        <v>3</v>
      </c>
      <c r="B139" s="97"/>
      <c r="C139" s="94" t="s">
        <v>303</v>
      </c>
      <c r="D139" s="74">
        <f>(61.57)*(10.764)</f>
        <v>662.73947999999996</v>
      </c>
      <c r="E139" s="74">
        <f t="shared" si="8"/>
        <v>0</v>
      </c>
      <c r="F139" s="94">
        <f t="shared" si="9"/>
        <v>662.73947999999996</v>
      </c>
      <c r="G139" s="94">
        <v>0</v>
      </c>
      <c r="H139" s="94">
        <f t="shared" si="10"/>
        <v>994.10921999999994</v>
      </c>
      <c r="I139" s="35"/>
      <c r="N139" s="35"/>
      <c r="T139" s="20"/>
    </row>
    <row r="140" spans="1:20" s="68" customFormat="1" ht="15.75" customHeight="1">
      <c r="A140" s="96">
        <f>A139+1</f>
        <v>4</v>
      </c>
      <c r="B140" s="97"/>
      <c r="C140" s="94" t="s">
        <v>303</v>
      </c>
      <c r="D140" s="74">
        <f>(68.76)*(10.764)</f>
        <v>740.13264000000004</v>
      </c>
      <c r="E140" s="74">
        <f t="shared" si="8"/>
        <v>0</v>
      </c>
      <c r="F140" s="94">
        <f t="shared" si="9"/>
        <v>740.13264000000004</v>
      </c>
      <c r="G140" s="94">
        <v>0</v>
      </c>
      <c r="H140" s="94">
        <f t="shared" si="10"/>
        <v>1110.1989600000002</v>
      </c>
      <c r="I140" s="35"/>
      <c r="N140" s="35"/>
      <c r="T140" s="20"/>
    </row>
    <row r="141" spans="1:20" s="68" customFormat="1" ht="15.75" customHeight="1">
      <c r="A141" s="96">
        <f t="shared" ref="A141:A144" si="11">A140+1</f>
        <v>5</v>
      </c>
      <c r="B141" s="97"/>
      <c r="C141" s="94" t="s">
        <v>303</v>
      </c>
      <c r="D141" s="74">
        <f>(68.76)*(10.764)</f>
        <v>740.13264000000004</v>
      </c>
      <c r="E141" s="74">
        <f t="shared" si="8"/>
        <v>0</v>
      </c>
      <c r="F141" s="94">
        <f t="shared" si="9"/>
        <v>740.13264000000004</v>
      </c>
      <c r="G141" s="94">
        <v>0</v>
      </c>
      <c r="H141" s="94">
        <f t="shared" si="10"/>
        <v>1110.1989600000002</v>
      </c>
      <c r="I141" s="35"/>
      <c r="N141" s="35"/>
      <c r="T141" s="20"/>
    </row>
    <row r="142" spans="1:20" s="68" customFormat="1" ht="15.75" customHeight="1">
      <c r="A142" s="96">
        <f t="shared" si="11"/>
        <v>6</v>
      </c>
      <c r="B142" s="97"/>
      <c r="C142" s="94" t="s">
        <v>303</v>
      </c>
      <c r="D142" s="74">
        <f>(61.57)*(10.764)</f>
        <v>662.73947999999996</v>
      </c>
      <c r="E142" s="74">
        <f t="shared" si="8"/>
        <v>0</v>
      </c>
      <c r="F142" s="94">
        <f t="shared" si="9"/>
        <v>662.73947999999996</v>
      </c>
      <c r="G142" s="94">
        <v>0</v>
      </c>
      <c r="H142" s="94">
        <f t="shared" si="10"/>
        <v>994.10921999999994</v>
      </c>
      <c r="I142" s="35"/>
      <c r="N142" s="35"/>
      <c r="T142" s="20"/>
    </row>
    <row r="143" spans="1:20" s="68" customFormat="1" ht="15.75" customHeight="1">
      <c r="A143" s="96">
        <f>A142+1</f>
        <v>7</v>
      </c>
      <c r="B143" s="97"/>
      <c r="C143" s="94" t="s">
        <v>303</v>
      </c>
      <c r="D143" s="74">
        <f>(61.57)*(10.764)</f>
        <v>662.73947999999996</v>
      </c>
      <c r="E143" s="74">
        <f t="shared" si="8"/>
        <v>0</v>
      </c>
      <c r="F143" s="94">
        <f t="shared" si="9"/>
        <v>662.73947999999996</v>
      </c>
      <c r="G143" s="94">
        <v>0</v>
      </c>
      <c r="H143" s="94">
        <f t="shared" si="10"/>
        <v>994.10921999999994</v>
      </c>
      <c r="I143" s="35"/>
      <c r="N143" s="35"/>
      <c r="T143" s="20"/>
    </row>
    <row r="144" spans="1:20" s="84" customFormat="1" ht="15.75" customHeight="1">
      <c r="A144" s="96">
        <f t="shared" si="11"/>
        <v>8</v>
      </c>
      <c r="B144" s="97"/>
      <c r="C144" s="96" t="s">
        <v>374</v>
      </c>
      <c r="D144" s="250"/>
      <c r="E144" s="250"/>
      <c r="F144" s="250"/>
      <c r="G144" s="97"/>
      <c r="H144" s="94" t="s">
        <v>324</v>
      </c>
      <c r="I144" s="35"/>
      <c r="N144" s="35"/>
      <c r="T144" s="20"/>
    </row>
    <row r="145" spans="1:20" s="84" customFormat="1" ht="15.75" customHeight="1">
      <c r="A145" s="96">
        <f>A144+1</f>
        <v>9</v>
      </c>
      <c r="B145" s="97"/>
      <c r="C145" s="96" t="s">
        <v>374</v>
      </c>
      <c r="D145" s="250"/>
      <c r="E145" s="250"/>
      <c r="F145" s="250"/>
      <c r="G145" s="97"/>
      <c r="H145" s="94" t="s">
        <v>324</v>
      </c>
      <c r="I145" s="35"/>
      <c r="N145" s="35"/>
      <c r="T145" s="20"/>
    </row>
    <row r="146" spans="1:20" s="68" customFormat="1" ht="15.75" customHeight="1">
      <c r="A146" s="104" t="s">
        <v>341</v>
      </c>
      <c r="B146" s="105"/>
      <c r="C146" s="105"/>
      <c r="D146" s="105"/>
      <c r="E146" s="105"/>
      <c r="F146" s="105"/>
      <c r="G146" s="105"/>
      <c r="H146" s="106"/>
      <c r="I146" s="35"/>
      <c r="N146" s="35"/>
      <c r="T146" s="20"/>
    </row>
    <row r="147" spans="1:20" s="84" customFormat="1" ht="15.75" customHeight="1">
      <c r="A147" s="104" t="s">
        <v>342</v>
      </c>
      <c r="B147" s="105"/>
      <c r="C147" s="105"/>
      <c r="D147" s="105"/>
      <c r="E147" s="105"/>
      <c r="F147" s="105"/>
      <c r="G147" s="105"/>
      <c r="H147" s="106"/>
      <c r="I147" s="35"/>
      <c r="N147" s="35"/>
      <c r="T147" s="20"/>
    </row>
    <row r="148" spans="1:20" s="68" customFormat="1" ht="15.75" customHeight="1">
      <c r="A148" s="104" t="s">
        <v>343</v>
      </c>
      <c r="B148" s="105"/>
      <c r="C148" s="105"/>
      <c r="D148" s="105"/>
      <c r="E148" s="105"/>
      <c r="F148" s="105"/>
      <c r="G148" s="105"/>
      <c r="H148" s="106"/>
      <c r="I148" s="35"/>
      <c r="N148" s="35"/>
      <c r="T148" s="20"/>
    </row>
    <row r="149" spans="1:20" s="84" customFormat="1" ht="15.75" customHeight="1">
      <c r="A149" s="104" t="s">
        <v>344</v>
      </c>
      <c r="B149" s="105"/>
      <c r="C149" s="105"/>
      <c r="D149" s="105"/>
      <c r="E149" s="105"/>
      <c r="F149" s="105"/>
      <c r="G149" s="105"/>
      <c r="H149" s="106"/>
      <c r="I149" s="35"/>
      <c r="N149" s="35"/>
      <c r="T149" s="20"/>
    </row>
    <row r="150" spans="1:20" s="68" customFormat="1" ht="15.75" customHeight="1">
      <c r="A150" s="104" t="s">
        <v>345</v>
      </c>
      <c r="B150" s="105"/>
      <c r="C150" s="105"/>
      <c r="D150" s="105"/>
      <c r="E150" s="105"/>
      <c r="F150" s="105"/>
      <c r="G150" s="105"/>
      <c r="H150" s="106"/>
      <c r="I150" s="35"/>
      <c r="N150" s="35"/>
      <c r="T150" s="20"/>
    </row>
    <row r="151" spans="1:20" s="68" customFormat="1" ht="15.75" customHeight="1">
      <c r="A151" s="107">
        <v>1</v>
      </c>
      <c r="B151" s="108"/>
      <c r="C151" s="67" t="s">
        <v>299</v>
      </c>
      <c r="D151" s="74">
        <f>(50.534)*(10.764)</f>
        <v>543.94797599999993</v>
      </c>
      <c r="E151" s="74">
        <f t="shared" ref="E151:E172" si="12">0*(10.764)</f>
        <v>0</v>
      </c>
      <c r="F151" s="67">
        <f>D151+(IF(E151&lt;201,E151,IF(E151&lt;301,E151/2,E151/3)))</f>
        <v>543.94797599999993</v>
      </c>
      <c r="G151" s="62">
        <v>0</v>
      </c>
      <c r="H151" s="67">
        <f>(F151+(IF(G151&lt;101,G151,IF(G151&lt;201,G151/2,IF(G151&lt;=301,G151/3,G151/4)))))*(($H$123)+1)</f>
        <v>815.92196399999989</v>
      </c>
      <c r="I151" s="35"/>
      <c r="J151" s="68">
        <f>9100000/H151</f>
        <v>11153.027374563973</v>
      </c>
      <c r="N151" s="35"/>
      <c r="T151" s="20"/>
    </row>
    <row r="152" spans="1:20" s="68" customFormat="1" ht="15.75" customHeight="1">
      <c r="A152" s="107">
        <f>A151+1</f>
        <v>2</v>
      </c>
      <c r="B152" s="108"/>
      <c r="C152" s="67" t="s">
        <v>299</v>
      </c>
      <c r="D152" s="74">
        <f>(44.436)*(10.764)</f>
        <v>478.30910399999999</v>
      </c>
      <c r="E152" s="74">
        <f t="shared" si="12"/>
        <v>0</v>
      </c>
      <c r="F152" s="67">
        <f t="shared" ref="F152:F156" si="13">D152+(IF(E152&lt;201,E152,IF(E152&lt;301,E152/2,E152/3)))</f>
        <v>478.30910399999999</v>
      </c>
      <c r="G152" s="67">
        <v>0</v>
      </c>
      <c r="H152" s="67">
        <f t="shared" ref="H152:H156" si="14">(F152+(IF(G152&lt;101,G152,IF(G152&lt;201,G152/2,IF(G152&lt;=301,G152/3,G152/4)))))*(($H$123)+1)</f>
        <v>717.46365600000001</v>
      </c>
      <c r="I152" s="35">
        <f>9100000/H152</f>
        <v>12683.569298456561</v>
      </c>
      <c r="J152" s="81">
        <f t="shared" ref="J152:J157" si="15">9100000/H152</f>
        <v>12683.569298456561</v>
      </c>
      <c r="N152" s="35"/>
      <c r="T152" s="20"/>
    </row>
    <row r="153" spans="1:20" s="68" customFormat="1" ht="15.75" customHeight="1">
      <c r="A153" s="107">
        <f>A152+1</f>
        <v>3</v>
      </c>
      <c r="B153" s="108"/>
      <c r="C153" s="67" t="s">
        <v>299</v>
      </c>
      <c r="D153" s="74">
        <f>(45.898)*(10.764)</f>
        <v>494.04607199999998</v>
      </c>
      <c r="E153" s="74">
        <f t="shared" si="12"/>
        <v>0</v>
      </c>
      <c r="F153" s="67">
        <f t="shared" si="13"/>
        <v>494.04607199999998</v>
      </c>
      <c r="G153" s="67">
        <v>0</v>
      </c>
      <c r="H153" s="67">
        <f t="shared" si="14"/>
        <v>741.06910799999991</v>
      </c>
      <c r="I153" s="35">
        <f t="shared" ref="I153:I159" si="16">9100000/H153</f>
        <v>12279.556524166976</v>
      </c>
      <c r="J153" s="81">
        <f t="shared" si="15"/>
        <v>12279.556524166976</v>
      </c>
      <c r="N153" s="35"/>
      <c r="T153" s="20"/>
    </row>
    <row r="154" spans="1:20" s="68" customFormat="1" ht="15.75" customHeight="1">
      <c r="A154" s="107">
        <f>A153+1</f>
        <v>4</v>
      </c>
      <c r="B154" s="108"/>
      <c r="C154" s="67" t="s">
        <v>299</v>
      </c>
      <c r="D154" s="74">
        <f>(51.804)*(10.764)</f>
        <v>557.61825599999997</v>
      </c>
      <c r="E154" s="74">
        <f t="shared" si="12"/>
        <v>0</v>
      </c>
      <c r="F154" s="67">
        <f t="shared" si="13"/>
        <v>557.61825599999997</v>
      </c>
      <c r="G154" s="67">
        <v>0</v>
      </c>
      <c r="H154" s="67">
        <f t="shared" si="14"/>
        <v>836.42738399999996</v>
      </c>
      <c r="I154" s="35">
        <f t="shared" si="16"/>
        <v>10879.605539074508</v>
      </c>
      <c r="J154" s="81">
        <f t="shared" si="15"/>
        <v>10879.605539074508</v>
      </c>
      <c r="N154" s="35"/>
      <c r="T154" s="20"/>
    </row>
    <row r="155" spans="1:20" s="68" customFormat="1" ht="15.75" customHeight="1">
      <c r="A155" s="107">
        <f t="shared" ref="A155:A157" si="17">A154+1</f>
        <v>5</v>
      </c>
      <c r="B155" s="108"/>
      <c r="C155" s="67" t="s">
        <v>299</v>
      </c>
      <c r="D155" s="74">
        <f>(51.804)*(10.764)</f>
        <v>557.61825599999997</v>
      </c>
      <c r="E155" s="74">
        <f t="shared" si="12"/>
        <v>0</v>
      </c>
      <c r="F155" s="67">
        <f t="shared" si="13"/>
        <v>557.61825599999997</v>
      </c>
      <c r="G155" s="67">
        <v>0</v>
      </c>
      <c r="H155" s="67">
        <f t="shared" si="14"/>
        <v>836.42738399999996</v>
      </c>
      <c r="I155" s="35">
        <f t="shared" si="16"/>
        <v>10879.605539074508</v>
      </c>
      <c r="J155" s="81">
        <f t="shared" si="15"/>
        <v>10879.605539074508</v>
      </c>
      <c r="N155" s="35"/>
      <c r="T155" s="20"/>
    </row>
    <row r="156" spans="1:20" s="68" customFormat="1" ht="15.75" customHeight="1">
      <c r="A156" s="107">
        <f t="shared" si="17"/>
        <v>6</v>
      </c>
      <c r="B156" s="108"/>
      <c r="C156" s="67" t="s">
        <v>299</v>
      </c>
      <c r="D156" s="74">
        <f>(45.898)*(10.764)</f>
        <v>494.04607199999998</v>
      </c>
      <c r="E156" s="74">
        <f t="shared" si="12"/>
        <v>0</v>
      </c>
      <c r="F156" s="67">
        <f t="shared" si="13"/>
        <v>494.04607199999998</v>
      </c>
      <c r="G156" s="67">
        <v>0</v>
      </c>
      <c r="H156" s="67">
        <f t="shared" si="14"/>
        <v>741.06910799999991</v>
      </c>
      <c r="I156" s="35">
        <f t="shared" si="16"/>
        <v>12279.556524166976</v>
      </c>
      <c r="J156" s="81">
        <f t="shared" si="15"/>
        <v>12279.556524166976</v>
      </c>
      <c r="N156" s="35"/>
      <c r="T156" s="20"/>
    </row>
    <row r="157" spans="1:20" s="76" customFormat="1" ht="15.75" customHeight="1">
      <c r="A157" s="107">
        <f t="shared" si="17"/>
        <v>7</v>
      </c>
      <c r="B157" s="108"/>
      <c r="C157" s="83" t="s">
        <v>299</v>
      </c>
      <c r="D157" s="74">
        <f>( 85.213)*(10.764)</f>
        <v>917.23273199999983</v>
      </c>
      <c r="E157" s="74">
        <f t="shared" si="12"/>
        <v>0</v>
      </c>
      <c r="F157" s="83">
        <f t="shared" ref="F157" si="18">D157+(IF(E157&lt;201,E157,IF(E157&lt;301,E157/2,E157/3)))</f>
        <v>917.23273199999983</v>
      </c>
      <c r="G157" s="86">
        <v>0</v>
      </c>
      <c r="H157" s="83">
        <f t="shared" ref="H157" si="19">(F157+(IF(G157&lt;101,G157,IF(G157&lt;201,G157/2,IF(G157&lt;=301,G157/3,G157/4)))))*(($H$123)+1)</f>
        <v>1375.8490979999997</v>
      </c>
      <c r="I157" s="35">
        <f t="shared" si="16"/>
        <v>6614.0974422472618</v>
      </c>
      <c r="J157" s="81">
        <f t="shared" si="15"/>
        <v>6614.0974422472618</v>
      </c>
      <c r="N157" s="35"/>
      <c r="T157" s="20"/>
    </row>
    <row r="158" spans="1:20" s="84" customFormat="1" ht="15.75" customHeight="1">
      <c r="A158" s="104" t="s">
        <v>346</v>
      </c>
      <c r="B158" s="105"/>
      <c r="C158" s="105"/>
      <c r="D158" s="105"/>
      <c r="E158" s="105"/>
      <c r="F158" s="105"/>
      <c r="G158" s="105"/>
      <c r="H158" s="106"/>
      <c r="I158" s="35" t="e">
        <f t="shared" si="16"/>
        <v>#DIV/0!</v>
      </c>
      <c r="N158" s="35"/>
      <c r="T158" s="20"/>
    </row>
    <row r="159" spans="1:20" s="84" customFormat="1" ht="15.75" customHeight="1">
      <c r="A159" s="107">
        <v>1</v>
      </c>
      <c r="B159" s="108"/>
      <c r="C159" s="83" t="s">
        <v>299</v>
      </c>
      <c r="D159" s="74">
        <f>(50.534)*(10.764)</f>
        <v>543.94797599999993</v>
      </c>
      <c r="E159" s="74">
        <f t="shared" si="12"/>
        <v>0</v>
      </c>
      <c r="F159" s="83">
        <f>D159+(IF(E159&lt;201,E159,IF(E159&lt;301,E159/2,E159/3)))</f>
        <v>543.94797599999993</v>
      </c>
      <c r="G159" s="62">
        <v>0</v>
      </c>
      <c r="H159" s="83">
        <f>(F159+(IF(G159&lt;101,G159,IF(G159&lt;201,G159/2,IF(G159&lt;=301,G159/3,G159/4)))))*(($H$123)+1)</f>
        <v>815.92196399999989</v>
      </c>
      <c r="I159" s="35">
        <f t="shared" si="16"/>
        <v>11153.027374563973</v>
      </c>
      <c r="J159" s="84">
        <f>9100000/H159</f>
        <v>11153.027374563973</v>
      </c>
      <c r="N159" s="35"/>
      <c r="T159" s="20"/>
    </row>
    <row r="160" spans="1:20" s="84" customFormat="1" ht="15.75" customHeight="1">
      <c r="A160" s="107">
        <f>A159+1</f>
        <v>2</v>
      </c>
      <c r="B160" s="108"/>
      <c r="C160" s="83" t="s">
        <v>299</v>
      </c>
      <c r="D160" s="74">
        <f>(44.436)*(10.764)</f>
        <v>478.30910399999999</v>
      </c>
      <c r="E160" s="74">
        <f t="shared" si="12"/>
        <v>0</v>
      </c>
      <c r="F160" s="83">
        <f t="shared" ref="F160:F165" si="20">D160+(IF(E160&lt;201,E160,IF(E160&lt;301,E160/2,E160/3)))</f>
        <v>478.30910399999999</v>
      </c>
      <c r="G160" s="83">
        <v>0</v>
      </c>
      <c r="H160" s="83">
        <f t="shared" ref="H160:H165" si="21">(F160+(IF(G160&lt;101,G160,IF(G160&lt;201,G160/2,IF(G160&lt;=301,G160/3,G160/4)))))*(($H$123)+1)</f>
        <v>717.46365600000001</v>
      </c>
      <c r="I160" s="35"/>
      <c r="J160" s="84">
        <f t="shared" ref="J160:J165" si="22">9100000/H160</f>
        <v>12683.569298456561</v>
      </c>
      <c r="N160" s="35"/>
      <c r="T160" s="20"/>
    </row>
    <row r="161" spans="1:20" s="84" customFormat="1" ht="15.75" customHeight="1">
      <c r="A161" s="107">
        <f>A160+1</f>
        <v>3</v>
      </c>
      <c r="B161" s="108"/>
      <c r="C161" s="83" t="s">
        <v>299</v>
      </c>
      <c r="D161" s="74">
        <f>(45.898)*(10.764)</f>
        <v>494.04607199999998</v>
      </c>
      <c r="E161" s="74">
        <f t="shared" si="12"/>
        <v>0</v>
      </c>
      <c r="F161" s="83">
        <f t="shared" si="20"/>
        <v>494.04607199999998</v>
      </c>
      <c r="G161" s="83">
        <v>0</v>
      </c>
      <c r="H161" s="83">
        <f t="shared" si="21"/>
        <v>741.06910799999991</v>
      </c>
      <c r="I161" s="35"/>
      <c r="J161" s="84">
        <f t="shared" si="22"/>
        <v>12279.556524166976</v>
      </c>
      <c r="N161" s="35"/>
      <c r="T161" s="20"/>
    </row>
    <row r="162" spans="1:20" s="84" customFormat="1" ht="15.75" customHeight="1">
      <c r="A162" s="107">
        <f>A161+1</f>
        <v>4</v>
      </c>
      <c r="B162" s="108"/>
      <c r="C162" s="83" t="s">
        <v>299</v>
      </c>
      <c r="D162" s="74">
        <f>(51.804)*(10.764)</f>
        <v>557.61825599999997</v>
      </c>
      <c r="E162" s="74">
        <f t="shared" si="12"/>
        <v>0</v>
      </c>
      <c r="F162" s="83">
        <f t="shared" si="20"/>
        <v>557.61825599999997</v>
      </c>
      <c r="G162" s="83">
        <v>0</v>
      </c>
      <c r="H162" s="83">
        <f t="shared" si="21"/>
        <v>836.42738399999996</v>
      </c>
      <c r="I162" s="35"/>
      <c r="J162" s="84">
        <f t="shared" si="22"/>
        <v>10879.605539074508</v>
      </c>
      <c r="N162" s="35"/>
      <c r="T162" s="20"/>
    </row>
    <row r="163" spans="1:20" s="84" customFormat="1" ht="15.75" customHeight="1">
      <c r="A163" s="107">
        <f t="shared" ref="A163:A165" si="23">A162+1</f>
        <v>5</v>
      </c>
      <c r="B163" s="108"/>
      <c r="C163" s="83" t="s">
        <v>299</v>
      </c>
      <c r="D163" s="74">
        <f>(51.804)*(10.764)</f>
        <v>557.61825599999997</v>
      </c>
      <c r="E163" s="74">
        <f t="shared" si="12"/>
        <v>0</v>
      </c>
      <c r="F163" s="83">
        <f t="shared" si="20"/>
        <v>557.61825599999997</v>
      </c>
      <c r="G163" s="83">
        <v>0</v>
      </c>
      <c r="H163" s="83">
        <f t="shared" si="21"/>
        <v>836.42738399999996</v>
      </c>
      <c r="I163" s="35"/>
      <c r="J163" s="84">
        <f t="shared" si="22"/>
        <v>10879.605539074508</v>
      </c>
      <c r="N163" s="35"/>
      <c r="T163" s="20"/>
    </row>
    <row r="164" spans="1:20" s="84" customFormat="1" ht="15.75" customHeight="1">
      <c r="A164" s="107">
        <f t="shared" si="23"/>
        <v>6</v>
      </c>
      <c r="B164" s="108"/>
      <c r="C164" s="83" t="s">
        <v>299</v>
      </c>
      <c r="D164" s="74">
        <f>(45.898)*(10.764)</f>
        <v>494.04607199999998</v>
      </c>
      <c r="E164" s="74">
        <f t="shared" si="12"/>
        <v>0</v>
      </c>
      <c r="F164" s="83">
        <f t="shared" si="20"/>
        <v>494.04607199999998</v>
      </c>
      <c r="G164" s="83">
        <v>0</v>
      </c>
      <c r="H164" s="83">
        <f t="shared" si="21"/>
        <v>741.06910799999991</v>
      </c>
      <c r="I164" s="35"/>
      <c r="J164" s="84">
        <f t="shared" si="22"/>
        <v>12279.556524166976</v>
      </c>
      <c r="N164" s="35"/>
      <c r="T164" s="20"/>
    </row>
    <row r="165" spans="1:20" s="84" customFormat="1" ht="15.75" customHeight="1">
      <c r="A165" s="107">
        <f t="shared" si="23"/>
        <v>7</v>
      </c>
      <c r="B165" s="108"/>
      <c r="C165" s="83" t="s">
        <v>299</v>
      </c>
      <c r="D165" s="74">
        <f>( 85.213)*(10.764)</f>
        <v>917.23273199999983</v>
      </c>
      <c r="E165" s="74">
        <f t="shared" si="12"/>
        <v>0</v>
      </c>
      <c r="F165" s="83">
        <f t="shared" si="20"/>
        <v>917.23273199999983</v>
      </c>
      <c r="G165" s="86">
        <v>0</v>
      </c>
      <c r="H165" s="83">
        <f t="shared" si="21"/>
        <v>1375.8490979999997</v>
      </c>
      <c r="I165" s="35"/>
      <c r="J165" s="84">
        <f t="shared" si="22"/>
        <v>6614.0974422472618</v>
      </c>
      <c r="N165" s="35"/>
      <c r="T165" s="20"/>
    </row>
    <row r="166" spans="1:20" s="84" customFormat="1" ht="15.75" customHeight="1">
      <c r="A166" s="104" t="s">
        <v>347</v>
      </c>
      <c r="B166" s="105"/>
      <c r="C166" s="105"/>
      <c r="D166" s="105"/>
      <c r="E166" s="105"/>
      <c r="F166" s="105"/>
      <c r="G166" s="105"/>
      <c r="H166" s="106"/>
      <c r="I166" s="35"/>
      <c r="N166" s="35"/>
      <c r="T166" s="20"/>
    </row>
    <row r="167" spans="1:20" s="84" customFormat="1" ht="15.75" customHeight="1">
      <c r="A167" s="107">
        <v>1</v>
      </c>
      <c r="B167" s="108"/>
      <c r="C167" s="83" t="s">
        <v>299</v>
      </c>
      <c r="D167" s="74">
        <f>(50.534)*(10.764)</f>
        <v>543.94797599999993</v>
      </c>
      <c r="E167" s="74">
        <f t="shared" si="12"/>
        <v>0</v>
      </c>
      <c r="F167" s="83">
        <f>D167+(IF(E167&lt;201,E167,IF(E167&lt;301,E167/2,E167/3)))</f>
        <v>543.94797599999993</v>
      </c>
      <c r="G167" s="62">
        <v>0</v>
      </c>
      <c r="H167" s="83">
        <f>(F167+(IF(G167&lt;101,G167,IF(G167&lt;201,G167/2,IF(G167&lt;=301,G167/3,G167/4)))))*(($H$123)+1)</f>
        <v>815.92196399999989</v>
      </c>
      <c r="I167" s="35"/>
      <c r="J167" s="84">
        <f>9100000/H167</f>
        <v>11153.027374563973</v>
      </c>
      <c r="N167" s="35"/>
      <c r="T167" s="20"/>
    </row>
    <row r="168" spans="1:20" s="84" customFormat="1" ht="15.75" customHeight="1">
      <c r="A168" s="107">
        <f>A167+1</f>
        <v>2</v>
      </c>
      <c r="B168" s="108"/>
      <c r="C168" s="83" t="s">
        <v>299</v>
      </c>
      <c r="D168" s="74">
        <f>(44.436)*(10.764)</f>
        <v>478.30910399999999</v>
      </c>
      <c r="E168" s="74">
        <f t="shared" si="12"/>
        <v>0</v>
      </c>
      <c r="F168" s="83">
        <f t="shared" ref="F168:F172" si="24">D168+(IF(E168&lt;201,E168,IF(E168&lt;301,E168/2,E168/3)))</f>
        <v>478.30910399999999</v>
      </c>
      <c r="G168" s="83">
        <v>0</v>
      </c>
      <c r="H168" s="83">
        <f t="shared" ref="H168:H172" si="25">(F168+(IF(G168&lt;101,G168,IF(G168&lt;201,G168/2,IF(G168&lt;=301,G168/3,G168/4)))))*(($H$123)+1)</f>
        <v>717.46365600000001</v>
      </c>
      <c r="I168" s="35"/>
      <c r="J168" s="84">
        <f t="shared" ref="J168:J173" si="26">9100000/H168</f>
        <v>12683.569298456561</v>
      </c>
      <c r="N168" s="35"/>
      <c r="T168" s="20"/>
    </row>
    <row r="169" spans="1:20" s="84" customFormat="1" ht="15.75" customHeight="1">
      <c r="A169" s="107">
        <f>A168+1</f>
        <v>3</v>
      </c>
      <c r="B169" s="108"/>
      <c r="C169" s="83" t="s">
        <v>299</v>
      </c>
      <c r="D169" s="74">
        <f>(45.898)*(10.764)</f>
        <v>494.04607199999998</v>
      </c>
      <c r="E169" s="74">
        <f t="shared" si="12"/>
        <v>0</v>
      </c>
      <c r="F169" s="83">
        <f t="shared" si="24"/>
        <v>494.04607199999998</v>
      </c>
      <c r="G169" s="83">
        <v>0</v>
      </c>
      <c r="H169" s="83">
        <f t="shared" si="25"/>
        <v>741.06910799999991</v>
      </c>
      <c r="I169" s="35"/>
      <c r="J169" s="84">
        <f t="shared" si="26"/>
        <v>12279.556524166976</v>
      </c>
      <c r="N169" s="35"/>
      <c r="T169" s="20"/>
    </row>
    <row r="170" spans="1:20" s="84" customFormat="1" ht="15.75" customHeight="1">
      <c r="A170" s="107">
        <f>A169+1</f>
        <v>4</v>
      </c>
      <c r="B170" s="108"/>
      <c r="C170" s="83" t="s">
        <v>299</v>
      </c>
      <c r="D170" s="74">
        <f>(51.804)*(10.764)</f>
        <v>557.61825599999997</v>
      </c>
      <c r="E170" s="74">
        <f t="shared" si="12"/>
        <v>0</v>
      </c>
      <c r="F170" s="83">
        <f t="shared" si="24"/>
        <v>557.61825599999997</v>
      </c>
      <c r="G170" s="83">
        <v>0</v>
      </c>
      <c r="H170" s="83">
        <f t="shared" si="25"/>
        <v>836.42738399999996</v>
      </c>
      <c r="I170" s="35"/>
      <c r="J170" s="84">
        <f t="shared" si="26"/>
        <v>10879.605539074508</v>
      </c>
      <c r="N170" s="35"/>
      <c r="T170" s="20"/>
    </row>
    <row r="171" spans="1:20" s="84" customFormat="1" ht="15.75" customHeight="1">
      <c r="A171" s="107">
        <f t="shared" ref="A171:A173" si="27">A170+1</f>
        <v>5</v>
      </c>
      <c r="B171" s="108"/>
      <c r="C171" s="83" t="s">
        <v>299</v>
      </c>
      <c r="D171" s="74">
        <f>(51.804)*(10.764)</f>
        <v>557.61825599999997</v>
      </c>
      <c r="E171" s="74">
        <f t="shared" si="12"/>
        <v>0</v>
      </c>
      <c r="F171" s="83">
        <f t="shared" si="24"/>
        <v>557.61825599999997</v>
      </c>
      <c r="G171" s="83">
        <v>0</v>
      </c>
      <c r="H171" s="83">
        <f t="shared" si="25"/>
        <v>836.42738399999996</v>
      </c>
      <c r="I171" s="35"/>
      <c r="J171" s="84">
        <f t="shared" si="26"/>
        <v>10879.605539074508</v>
      </c>
      <c r="N171" s="35"/>
      <c r="T171" s="20"/>
    </row>
    <row r="172" spans="1:20" s="84" customFormat="1" ht="15.75" customHeight="1">
      <c r="A172" s="107">
        <f t="shared" si="27"/>
        <v>6</v>
      </c>
      <c r="B172" s="108"/>
      <c r="C172" s="83" t="s">
        <v>299</v>
      </c>
      <c r="D172" s="74">
        <f>(45.898)*(10.764)</f>
        <v>494.04607199999998</v>
      </c>
      <c r="E172" s="74">
        <f t="shared" si="12"/>
        <v>0</v>
      </c>
      <c r="F172" s="83">
        <f t="shared" si="24"/>
        <v>494.04607199999998</v>
      </c>
      <c r="G172" s="83">
        <v>0</v>
      </c>
      <c r="H172" s="83">
        <f t="shared" si="25"/>
        <v>741.06910799999991</v>
      </c>
      <c r="I172" s="35"/>
      <c r="J172" s="84">
        <f t="shared" si="26"/>
        <v>12279.556524166976</v>
      </c>
      <c r="N172" s="35"/>
      <c r="T172" s="20"/>
    </row>
    <row r="173" spans="1:20" s="84" customFormat="1" ht="15.75" customHeight="1">
      <c r="A173" s="107">
        <f t="shared" si="27"/>
        <v>7</v>
      </c>
      <c r="B173" s="108"/>
      <c r="C173" s="83" t="s">
        <v>348</v>
      </c>
      <c r="D173" s="101" t="s">
        <v>323</v>
      </c>
      <c r="E173" s="102"/>
      <c r="F173" s="102"/>
      <c r="G173" s="102"/>
      <c r="H173" s="103"/>
      <c r="I173" s="35"/>
      <c r="J173" s="84" t="e">
        <f t="shared" si="26"/>
        <v>#DIV/0!</v>
      </c>
      <c r="N173" s="35"/>
      <c r="T173" s="20"/>
    </row>
    <row r="174" spans="1:20" s="84" customFormat="1" ht="15.75" customHeight="1">
      <c r="A174" s="104" t="s">
        <v>349</v>
      </c>
      <c r="B174" s="105"/>
      <c r="C174" s="105"/>
      <c r="D174" s="105"/>
      <c r="E174" s="105"/>
      <c r="F174" s="105"/>
      <c r="G174" s="105"/>
      <c r="H174" s="106"/>
      <c r="I174" s="35"/>
      <c r="N174" s="35"/>
      <c r="T174" s="20"/>
    </row>
    <row r="175" spans="1:20" s="84" customFormat="1" ht="15.75" customHeight="1">
      <c r="A175" s="107">
        <v>1</v>
      </c>
      <c r="B175" s="108"/>
      <c r="C175" s="83" t="s">
        <v>299</v>
      </c>
      <c r="D175" s="74">
        <f>(50.534)*(10.764)</f>
        <v>543.94797599999993</v>
      </c>
      <c r="E175" s="74">
        <f t="shared" ref="E175:E189" si="28">0*(10.764)</f>
        <v>0</v>
      </c>
      <c r="F175" s="83">
        <f>D175+(IF(E175&lt;201,E175,IF(E175&lt;301,E175/2,E175/3)))</f>
        <v>543.94797599999993</v>
      </c>
      <c r="G175" s="62">
        <v>0</v>
      </c>
      <c r="H175" s="83">
        <f>(F175+(IF(G175&lt;101,G175,IF(G175&lt;201,G175/2,IF(G175&lt;=301,G175/3,G175/4)))))*(($H$123)+1)</f>
        <v>815.92196399999989</v>
      </c>
      <c r="I175" s="35"/>
      <c r="J175" s="84">
        <f>9100000/H175</f>
        <v>11153.027374563973</v>
      </c>
      <c r="N175" s="35"/>
      <c r="T175" s="20"/>
    </row>
    <row r="176" spans="1:20" s="84" customFormat="1" ht="15.75" customHeight="1">
      <c r="A176" s="107">
        <f>A175+1</f>
        <v>2</v>
      </c>
      <c r="B176" s="108"/>
      <c r="C176" s="83" t="s">
        <v>299</v>
      </c>
      <c r="D176" s="74">
        <f>(44.436)*(10.764)</f>
        <v>478.30910399999999</v>
      </c>
      <c r="E176" s="74">
        <f t="shared" si="28"/>
        <v>0</v>
      </c>
      <c r="F176" s="83">
        <f t="shared" ref="F176:F181" si="29">D176+(IF(E176&lt;201,E176,IF(E176&lt;301,E176/2,E176/3)))</f>
        <v>478.30910399999999</v>
      </c>
      <c r="G176" s="83">
        <v>0</v>
      </c>
      <c r="H176" s="83">
        <f t="shared" ref="H176:H181" si="30">(F176+(IF(G176&lt;101,G176,IF(G176&lt;201,G176/2,IF(G176&lt;=301,G176/3,G176/4)))))*(($H$123)+1)</f>
        <v>717.46365600000001</v>
      </c>
      <c r="I176" s="35"/>
      <c r="J176" s="84">
        <f t="shared" ref="J176:J181" si="31">9100000/H176</f>
        <v>12683.569298456561</v>
      </c>
      <c r="N176" s="35"/>
      <c r="T176" s="20"/>
    </row>
    <row r="177" spans="1:20" s="84" customFormat="1" ht="15.75" customHeight="1">
      <c r="A177" s="107">
        <f>A176+1</f>
        <v>3</v>
      </c>
      <c r="B177" s="108"/>
      <c r="C177" s="83" t="s">
        <v>299</v>
      </c>
      <c r="D177" s="74">
        <f>(45.898)*(10.764)</f>
        <v>494.04607199999998</v>
      </c>
      <c r="E177" s="74">
        <f t="shared" si="28"/>
        <v>0</v>
      </c>
      <c r="F177" s="83">
        <f t="shared" si="29"/>
        <v>494.04607199999998</v>
      </c>
      <c r="G177" s="83">
        <v>0</v>
      </c>
      <c r="H177" s="83">
        <f t="shared" si="30"/>
        <v>741.06910799999991</v>
      </c>
      <c r="I177" s="35"/>
      <c r="J177" s="84">
        <f t="shared" si="31"/>
        <v>12279.556524166976</v>
      </c>
      <c r="N177" s="35"/>
      <c r="T177" s="20"/>
    </row>
    <row r="178" spans="1:20" s="84" customFormat="1" ht="15.75" customHeight="1">
      <c r="A178" s="107">
        <f>A177+1</f>
        <v>4</v>
      </c>
      <c r="B178" s="108"/>
      <c r="C178" s="83" t="s">
        <v>299</v>
      </c>
      <c r="D178" s="74">
        <f>(51.804)*(10.764)</f>
        <v>557.61825599999997</v>
      </c>
      <c r="E178" s="74">
        <f t="shared" si="28"/>
        <v>0</v>
      </c>
      <c r="F178" s="83">
        <f t="shared" si="29"/>
        <v>557.61825599999997</v>
      </c>
      <c r="G178" s="83">
        <v>0</v>
      </c>
      <c r="H178" s="83">
        <f t="shared" si="30"/>
        <v>836.42738399999996</v>
      </c>
      <c r="I178" s="35"/>
      <c r="J178" s="84">
        <f t="shared" si="31"/>
        <v>10879.605539074508</v>
      </c>
      <c r="N178" s="35"/>
      <c r="T178" s="20"/>
    </row>
    <row r="179" spans="1:20" s="84" customFormat="1" ht="15.75" customHeight="1">
      <c r="A179" s="107">
        <f t="shared" ref="A179:A181" si="32">A178+1</f>
        <v>5</v>
      </c>
      <c r="B179" s="108"/>
      <c r="C179" s="83" t="s">
        <v>299</v>
      </c>
      <c r="D179" s="74">
        <f>(51.804)*(10.764)</f>
        <v>557.61825599999997</v>
      </c>
      <c r="E179" s="74">
        <f t="shared" si="28"/>
        <v>0</v>
      </c>
      <c r="F179" s="83">
        <f t="shared" si="29"/>
        <v>557.61825599999997</v>
      </c>
      <c r="G179" s="83">
        <v>0</v>
      </c>
      <c r="H179" s="83">
        <f t="shared" si="30"/>
        <v>836.42738399999996</v>
      </c>
      <c r="I179" s="35"/>
      <c r="J179" s="84">
        <f t="shared" si="31"/>
        <v>10879.605539074508</v>
      </c>
      <c r="N179" s="35"/>
      <c r="T179" s="20"/>
    </row>
    <row r="180" spans="1:20" s="84" customFormat="1" ht="15.75" customHeight="1">
      <c r="A180" s="107">
        <f t="shared" si="32"/>
        <v>6</v>
      </c>
      <c r="B180" s="108"/>
      <c r="C180" s="83" t="s">
        <v>299</v>
      </c>
      <c r="D180" s="74">
        <f>(45.898)*(10.764)</f>
        <v>494.04607199999998</v>
      </c>
      <c r="E180" s="74">
        <f t="shared" si="28"/>
        <v>0</v>
      </c>
      <c r="F180" s="83">
        <f t="shared" si="29"/>
        <v>494.04607199999998</v>
      </c>
      <c r="G180" s="83">
        <v>0</v>
      </c>
      <c r="H180" s="83">
        <f t="shared" si="30"/>
        <v>741.06910799999991</v>
      </c>
      <c r="I180" s="35"/>
      <c r="J180" s="84">
        <f t="shared" si="31"/>
        <v>12279.556524166976</v>
      </c>
      <c r="N180" s="35"/>
      <c r="T180" s="20"/>
    </row>
    <row r="181" spans="1:20" s="84" customFormat="1" ht="15.75" customHeight="1">
      <c r="A181" s="107">
        <f t="shared" si="32"/>
        <v>7</v>
      </c>
      <c r="B181" s="108"/>
      <c r="C181" s="83" t="s">
        <v>299</v>
      </c>
      <c r="D181" s="74">
        <f>( 85.213)*(10.764)</f>
        <v>917.23273199999983</v>
      </c>
      <c r="E181" s="74">
        <f t="shared" si="28"/>
        <v>0</v>
      </c>
      <c r="F181" s="83">
        <f t="shared" si="29"/>
        <v>917.23273199999983</v>
      </c>
      <c r="G181" s="86">
        <v>0</v>
      </c>
      <c r="H181" s="83">
        <f t="shared" si="30"/>
        <v>1375.8490979999997</v>
      </c>
      <c r="I181" s="35"/>
      <c r="J181" s="84">
        <f t="shared" si="31"/>
        <v>6614.0974422472618</v>
      </c>
      <c r="N181" s="35"/>
      <c r="T181" s="20"/>
    </row>
    <row r="182" spans="1:20" s="84" customFormat="1" ht="15.75" customHeight="1">
      <c r="A182" s="104" t="s">
        <v>350</v>
      </c>
      <c r="B182" s="105"/>
      <c r="C182" s="105"/>
      <c r="D182" s="105"/>
      <c r="E182" s="105"/>
      <c r="F182" s="105"/>
      <c r="G182" s="105"/>
      <c r="H182" s="106"/>
      <c r="I182" s="35"/>
      <c r="N182" s="35"/>
      <c r="T182" s="20"/>
    </row>
    <row r="183" spans="1:20" s="84" customFormat="1" ht="15.75" customHeight="1">
      <c r="A183" s="107">
        <v>1</v>
      </c>
      <c r="B183" s="108"/>
      <c r="C183" s="83" t="s">
        <v>299</v>
      </c>
      <c r="D183" s="74">
        <f>(50.534)*(10.764)</f>
        <v>543.94797599999993</v>
      </c>
      <c r="E183" s="74">
        <f t="shared" si="28"/>
        <v>0</v>
      </c>
      <c r="F183" s="83">
        <f>D183+(IF(E183&lt;201,E183,IF(E183&lt;301,E183/2,E183/3)))</f>
        <v>543.94797599999993</v>
      </c>
      <c r="G183" s="62">
        <v>0</v>
      </c>
      <c r="H183" s="83">
        <f>(F183+(IF(G183&lt;101,G183,IF(G183&lt;201,G183/2,IF(G183&lt;=301,G183/3,G183/4)))))*(($H$123)+1)</f>
        <v>815.92196399999989</v>
      </c>
      <c r="I183" s="35"/>
      <c r="J183" s="84">
        <f>9100000/H183</f>
        <v>11153.027374563973</v>
      </c>
      <c r="N183" s="35"/>
      <c r="T183" s="20"/>
    </row>
    <row r="184" spans="1:20" s="84" customFormat="1" ht="15.75" customHeight="1">
      <c r="A184" s="107">
        <f>A183+1</f>
        <v>2</v>
      </c>
      <c r="B184" s="108"/>
      <c r="C184" s="83" t="s">
        <v>299</v>
      </c>
      <c r="D184" s="74">
        <f>(44.436)*(10.764)</f>
        <v>478.30910399999999</v>
      </c>
      <c r="E184" s="74">
        <f t="shared" si="28"/>
        <v>0</v>
      </c>
      <c r="F184" s="83">
        <f t="shared" ref="F184:F189" si="33">D184+(IF(E184&lt;201,E184,IF(E184&lt;301,E184/2,E184/3)))</f>
        <v>478.30910399999999</v>
      </c>
      <c r="G184" s="83">
        <v>0</v>
      </c>
      <c r="H184" s="83">
        <f t="shared" ref="H184:H189" si="34">(F184+(IF(G184&lt;101,G184,IF(G184&lt;201,G184/2,IF(G184&lt;=301,G184/3,G184/4)))))*(($H$123)+1)</f>
        <v>717.46365600000001</v>
      </c>
      <c r="I184" s="35"/>
      <c r="J184" s="84">
        <f t="shared" ref="J184:J189" si="35">9100000/H184</f>
        <v>12683.569298456561</v>
      </c>
      <c r="N184" s="35"/>
      <c r="T184" s="20"/>
    </row>
    <row r="185" spans="1:20" s="84" customFormat="1" ht="15.75" customHeight="1">
      <c r="A185" s="107">
        <f>A184+1</f>
        <v>3</v>
      </c>
      <c r="B185" s="108"/>
      <c r="C185" s="83" t="s">
        <v>299</v>
      </c>
      <c r="D185" s="74">
        <f>(45.898)*(10.764)</f>
        <v>494.04607199999998</v>
      </c>
      <c r="E185" s="74">
        <f t="shared" si="28"/>
        <v>0</v>
      </c>
      <c r="F185" s="83">
        <f t="shared" si="33"/>
        <v>494.04607199999998</v>
      </c>
      <c r="G185" s="83">
        <v>0</v>
      </c>
      <c r="H185" s="83">
        <f t="shared" si="34"/>
        <v>741.06910799999991</v>
      </c>
      <c r="I185" s="35"/>
      <c r="J185" s="84">
        <f t="shared" si="35"/>
        <v>12279.556524166976</v>
      </c>
      <c r="N185" s="35"/>
      <c r="T185" s="20"/>
    </row>
    <row r="186" spans="1:20" s="84" customFormat="1" ht="15.75" customHeight="1">
      <c r="A186" s="107">
        <f>A185+1</f>
        <v>4</v>
      </c>
      <c r="B186" s="108"/>
      <c r="C186" s="83" t="s">
        <v>299</v>
      </c>
      <c r="D186" s="74">
        <f>(51.804)*(10.764)</f>
        <v>557.61825599999997</v>
      </c>
      <c r="E186" s="74">
        <f t="shared" si="28"/>
        <v>0</v>
      </c>
      <c r="F186" s="83">
        <f t="shared" si="33"/>
        <v>557.61825599999997</v>
      </c>
      <c r="G186" s="83">
        <v>0</v>
      </c>
      <c r="H186" s="83">
        <f t="shared" si="34"/>
        <v>836.42738399999996</v>
      </c>
      <c r="I186" s="35"/>
      <c r="J186" s="84">
        <f t="shared" si="35"/>
        <v>10879.605539074508</v>
      </c>
      <c r="N186" s="35"/>
      <c r="T186" s="20"/>
    </row>
    <row r="187" spans="1:20" s="84" customFormat="1" ht="15.75" customHeight="1">
      <c r="A187" s="107">
        <f t="shared" ref="A187:A189" si="36">A186+1</f>
        <v>5</v>
      </c>
      <c r="B187" s="108"/>
      <c r="C187" s="83" t="s">
        <v>299</v>
      </c>
      <c r="D187" s="74">
        <f>(51.804)*(10.764)</f>
        <v>557.61825599999997</v>
      </c>
      <c r="E187" s="74">
        <f t="shared" si="28"/>
        <v>0</v>
      </c>
      <c r="F187" s="83">
        <f t="shared" si="33"/>
        <v>557.61825599999997</v>
      </c>
      <c r="G187" s="83">
        <v>0</v>
      </c>
      <c r="H187" s="83">
        <f t="shared" si="34"/>
        <v>836.42738399999996</v>
      </c>
      <c r="I187" s="35"/>
      <c r="J187" s="84">
        <f t="shared" si="35"/>
        <v>10879.605539074508</v>
      </c>
      <c r="N187" s="35"/>
      <c r="T187" s="20"/>
    </row>
    <row r="188" spans="1:20" s="84" customFormat="1" ht="15.75" customHeight="1">
      <c r="A188" s="107">
        <f t="shared" si="36"/>
        <v>6</v>
      </c>
      <c r="B188" s="108"/>
      <c r="C188" s="83" t="s">
        <v>299</v>
      </c>
      <c r="D188" s="74">
        <f>(45.898)*(10.764)</f>
        <v>494.04607199999998</v>
      </c>
      <c r="E188" s="74">
        <f t="shared" si="28"/>
        <v>0</v>
      </c>
      <c r="F188" s="83">
        <f t="shared" si="33"/>
        <v>494.04607199999998</v>
      </c>
      <c r="G188" s="86">
        <v>0</v>
      </c>
      <c r="H188" s="83">
        <f t="shared" si="34"/>
        <v>741.06910799999991</v>
      </c>
      <c r="I188" s="35"/>
      <c r="J188" s="84">
        <f t="shared" si="35"/>
        <v>12279.556524166976</v>
      </c>
      <c r="N188" s="35"/>
      <c r="T188" s="20"/>
    </row>
    <row r="189" spans="1:20" s="84" customFormat="1" ht="15.75" customHeight="1">
      <c r="A189" s="107">
        <f t="shared" si="36"/>
        <v>7</v>
      </c>
      <c r="B189" s="108"/>
      <c r="C189" s="83" t="s">
        <v>299</v>
      </c>
      <c r="D189" s="74">
        <f>( 85.213)*(10.764)</f>
        <v>917.23273199999983</v>
      </c>
      <c r="E189" s="74">
        <f t="shared" si="28"/>
        <v>0</v>
      </c>
      <c r="F189" s="83">
        <f t="shared" si="33"/>
        <v>917.23273199999983</v>
      </c>
      <c r="G189" s="86">
        <v>0</v>
      </c>
      <c r="H189" s="83">
        <f t="shared" si="34"/>
        <v>1375.8490979999997</v>
      </c>
      <c r="I189" s="35"/>
      <c r="J189" s="84">
        <f t="shared" si="35"/>
        <v>6614.0974422472618</v>
      </c>
      <c r="N189" s="35"/>
      <c r="T189" s="20"/>
    </row>
    <row r="190" spans="1:20" s="84" customFormat="1" ht="15.75" customHeight="1">
      <c r="A190" s="104" t="s">
        <v>351</v>
      </c>
      <c r="B190" s="105"/>
      <c r="C190" s="105"/>
      <c r="D190" s="105"/>
      <c r="E190" s="105"/>
      <c r="F190" s="105"/>
      <c r="G190" s="105"/>
      <c r="H190" s="106"/>
      <c r="I190" s="35"/>
      <c r="N190" s="35"/>
      <c r="T190" s="20"/>
    </row>
    <row r="191" spans="1:20" s="84" customFormat="1" ht="15.75" customHeight="1">
      <c r="A191" s="107">
        <v>1</v>
      </c>
      <c r="B191" s="108"/>
      <c r="C191" s="83" t="s">
        <v>299</v>
      </c>
      <c r="D191" s="74">
        <f>(50.534)*(10.764)</f>
        <v>543.94797599999993</v>
      </c>
      <c r="E191" s="74">
        <f t="shared" ref="E191:E196" si="37">0*(10.764)</f>
        <v>0</v>
      </c>
      <c r="F191" s="83">
        <f>D191+(IF(E191&lt;201,E191,IF(E191&lt;301,E191/2,E191/3)))</f>
        <v>543.94797599999993</v>
      </c>
      <c r="G191" s="62">
        <v>0</v>
      </c>
      <c r="H191" s="83">
        <f>(F191+(IF(G191&lt;101,G191,IF(G191&lt;201,G191/2,IF(G191&lt;=301,G191/3,G191/4)))))*(($H$123)+1)</f>
        <v>815.92196399999989</v>
      </c>
      <c r="I191" s="35"/>
      <c r="J191" s="84">
        <f>9100000/H191</f>
        <v>11153.027374563973</v>
      </c>
      <c r="N191" s="35"/>
      <c r="T191" s="20"/>
    </row>
    <row r="192" spans="1:20" s="84" customFormat="1" ht="15.75" customHeight="1">
      <c r="A192" s="107">
        <f>A191+1</f>
        <v>2</v>
      </c>
      <c r="B192" s="108"/>
      <c r="C192" s="83" t="s">
        <v>299</v>
      </c>
      <c r="D192" s="74">
        <f>(44.436)*(10.764)</f>
        <v>478.30910399999999</v>
      </c>
      <c r="E192" s="74">
        <f t="shared" si="37"/>
        <v>0</v>
      </c>
      <c r="F192" s="83">
        <f t="shared" ref="F192:F196" si="38">D192+(IF(E192&lt;201,E192,IF(E192&lt;301,E192/2,E192/3)))</f>
        <v>478.30910399999999</v>
      </c>
      <c r="G192" s="83">
        <v>0</v>
      </c>
      <c r="H192" s="83">
        <f t="shared" ref="H192:H196" si="39">(F192+(IF(G192&lt;101,G192,IF(G192&lt;201,G192/2,IF(G192&lt;=301,G192/3,G192/4)))))*(($H$123)+1)</f>
        <v>717.46365600000001</v>
      </c>
      <c r="I192" s="35"/>
      <c r="J192" s="84">
        <f t="shared" ref="J192:J197" si="40">9100000/H192</f>
        <v>12683.569298456561</v>
      </c>
      <c r="N192" s="35"/>
      <c r="T192" s="20"/>
    </row>
    <row r="193" spans="1:20" s="84" customFormat="1" ht="15.75" customHeight="1">
      <c r="A193" s="107">
        <f>A192+1</f>
        <v>3</v>
      </c>
      <c r="B193" s="108"/>
      <c r="C193" s="83" t="s">
        <v>299</v>
      </c>
      <c r="D193" s="74">
        <f>(45.898)*(10.764)</f>
        <v>494.04607199999998</v>
      </c>
      <c r="E193" s="74">
        <f t="shared" si="37"/>
        <v>0</v>
      </c>
      <c r="F193" s="83">
        <f t="shared" si="38"/>
        <v>494.04607199999998</v>
      </c>
      <c r="G193" s="83">
        <v>0</v>
      </c>
      <c r="H193" s="83">
        <f t="shared" si="39"/>
        <v>741.06910799999991</v>
      </c>
      <c r="I193" s="35"/>
      <c r="J193" s="84">
        <f t="shared" si="40"/>
        <v>12279.556524166976</v>
      </c>
      <c r="N193" s="35"/>
      <c r="T193" s="20"/>
    </row>
    <row r="194" spans="1:20" s="84" customFormat="1" ht="15.75" customHeight="1">
      <c r="A194" s="107">
        <f>A193+1</f>
        <v>4</v>
      </c>
      <c r="B194" s="108"/>
      <c r="C194" s="83" t="s">
        <v>299</v>
      </c>
      <c r="D194" s="74">
        <f>(51.804)*(10.764)</f>
        <v>557.61825599999997</v>
      </c>
      <c r="E194" s="74">
        <f t="shared" si="37"/>
        <v>0</v>
      </c>
      <c r="F194" s="83">
        <f t="shared" si="38"/>
        <v>557.61825599999997</v>
      </c>
      <c r="G194" s="83">
        <v>0</v>
      </c>
      <c r="H194" s="83">
        <f t="shared" si="39"/>
        <v>836.42738399999996</v>
      </c>
      <c r="I194" s="35"/>
      <c r="J194" s="84">
        <f t="shared" si="40"/>
        <v>10879.605539074508</v>
      </c>
      <c r="N194" s="35"/>
      <c r="T194" s="20"/>
    </row>
    <row r="195" spans="1:20" s="84" customFormat="1" ht="15.75" customHeight="1">
      <c r="A195" s="107">
        <f t="shared" ref="A195:A197" si="41">A194+1</f>
        <v>5</v>
      </c>
      <c r="B195" s="108"/>
      <c r="C195" s="83" t="s">
        <v>299</v>
      </c>
      <c r="D195" s="74">
        <f>(51.804)*(10.764)</f>
        <v>557.61825599999997</v>
      </c>
      <c r="E195" s="74">
        <f t="shared" si="37"/>
        <v>0</v>
      </c>
      <c r="F195" s="83">
        <f t="shared" si="38"/>
        <v>557.61825599999997</v>
      </c>
      <c r="G195" s="83">
        <v>0</v>
      </c>
      <c r="H195" s="83">
        <f t="shared" si="39"/>
        <v>836.42738399999996</v>
      </c>
      <c r="I195" s="35"/>
      <c r="J195" s="84">
        <f t="shared" si="40"/>
        <v>10879.605539074508</v>
      </c>
      <c r="N195" s="35"/>
      <c r="T195" s="20"/>
    </row>
    <row r="196" spans="1:20" s="84" customFormat="1" ht="15.75" customHeight="1">
      <c r="A196" s="107">
        <f t="shared" si="41"/>
        <v>6</v>
      </c>
      <c r="B196" s="108"/>
      <c r="C196" s="83" t="s">
        <v>299</v>
      </c>
      <c r="D196" s="74">
        <f>(45.898)*(10.764)</f>
        <v>494.04607199999998</v>
      </c>
      <c r="E196" s="74">
        <f t="shared" si="37"/>
        <v>0</v>
      </c>
      <c r="F196" s="83">
        <f t="shared" si="38"/>
        <v>494.04607199999998</v>
      </c>
      <c r="G196" s="83">
        <v>0</v>
      </c>
      <c r="H196" s="83">
        <f t="shared" si="39"/>
        <v>741.06910799999991</v>
      </c>
      <c r="I196" s="35"/>
      <c r="J196" s="84">
        <f t="shared" si="40"/>
        <v>12279.556524166976</v>
      </c>
      <c r="N196" s="35"/>
      <c r="T196" s="20"/>
    </row>
    <row r="197" spans="1:20" s="84" customFormat="1" ht="15.75" customHeight="1">
      <c r="A197" s="107">
        <f t="shared" si="41"/>
        <v>7</v>
      </c>
      <c r="B197" s="108"/>
      <c r="C197" s="83" t="s">
        <v>348</v>
      </c>
      <c r="D197" s="101" t="s">
        <v>323</v>
      </c>
      <c r="E197" s="102"/>
      <c r="F197" s="102"/>
      <c r="G197" s="102"/>
      <c r="H197" s="103"/>
      <c r="I197" s="35"/>
      <c r="J197" s="84" t="e">
        <f t="shared" si="40"/>
        <v>#DIV/0!</v>
      </c>
      <c r="N197" s="35"/>
      <c r="T197" s="20"/>
    </row>
    <row r="198" spans="1:20" s="84" customFormat="1" ht="15.75" customHeight="1">
      <c r="A198" s="104" t="s">
        <v>352</v>
      </c>
      <c r="B198" s="105"/>
      <c r="C198" s="105"/>
      <c r="D198" s="105"/>
      <c r="E198" s="105"/>
      <c r="F198" s="105"/>
      <c r="G198" s="105"/>
      <c r="H198" s="106"/>
      <c r="I198" s="35"/>
      <c r="N198" s="35"/>
      <c r="T198" s="20"/>
    </row>
    <row r="199" spans="1:20" s="84" customFormat="1" ht="15.75" customHeight="1">
      <c r="A199" s="96">
        <v>1</v>
      </c>
      <c r="B199" s="97"/>
      <c r="C199" s="94" t="s">
        <v>299</v>
      </c>
      <c r="D199" s="74">
        <f>( 85.213)*(10.764)</f>
        <v>917.23273199999983</v>
      </c>
      <c r="E199" s="74">
        <f t="shared" ref="E199:E258" si="42">0*(10.764)</f>
        <v>0</v>
      </c>
      <c r="F199" s="94">
        <f>D199+(IF(E199&lt;201,E199,IF(E199&lt;301,E199/2,E199/3)))</f>
        <v>917.23273199999983</v>
      </c>
      <c r="G199" s="95">
        <v>0</v>
      </c>
      <c r="H199" s="94">
        <f>(F199+(IF(G199&lt;101,G199,IF(G199&lt;201,G199/2,IF(G199&lt;=301,G199/3,G199/4)))))*(($H$123)+1)</f>
        <v>1375.8490979999997</v>
      </c>
      <c r="I199" s="35"/>
      <c r="J199" s="84">
        <f>9100000/H199</f>
        <v>6614.0974422472618</v>
      </c>
      <c r="N199" s="35"/>
      <c r="T199" s="20"/>
    </row>
    <row r="200" spans="1:20" s="84" customFormat="1" ht="15.75" customHeight="1">
      <c r="A200" s="96">
        <f>A199+1</f>
        <v>2</v>
      </c>
      <c r="B200" s="97"/>
      <c r="C200" s="94" t="s">
        <v>299</v>
      </c>
      <c r="D200" s="74">
        <f>(45.898)*(10.764)</f>
        <v>494.04607199999998</v>
      </c>
      <c r="E200" s="74">
        <f t="shared" si="42"/>
        <v>0</v>
      </c>
      <c r="F200" s="94">
        <f t="shared" ref="F200:F204" si="43">D200+(IF(E200&lt;201,E200,IF(E200&lt;301,E200/2,E200/3)))</f>
        <v>494.04607199999998</v>
      </c>
      <c r="G200" s="94">
        <v>0</v>
      </c>
      <c r="H200" s="94">
        <f t="shared" ref="H200:H204" si="44">(F200+(IF(G200&lt;101,G200,IF(G200&lt;201,G200/2,IF(G200&lt;=301,G200/3,G200/4)))))*(($H$123)+1)</f>
        <v>741.06910799999991</v>
      </c>
      <c r="I200" s="35"/>
      <c r="J200" s="84">
        <f t="shared" ref="J200:J204" si="45">9100000/H200</f>
        <v>12279.556524166976</v>
      </c>
      <c r="N200" s="35"/>
      <c r="T200" s="20"/>
    </row>
    <row r="201" spans="1:20" s="84" customFormat="1" ht="15.75" customHeight="1">
      <c r="A201" s="96">
        <f>A200+1</f>
        <v>3</v>
      </c>
      <c r="B201" s="97"/>
      <c r="C201" s="94" t="s">
        <v>299</v>
      </c>
      <c r="D201" s="74">
        <f>(51.804)*(10.764)</f>
        <v>557.61825599999997</v>
      </c>
      <c r="E201" s="74">
        <f t="shared" si="42"/>
        <v>0</v>
      </c>
      <c r="F201" s="94">
        <f t="shared" si="43"/>
        <v>557.61825599999997</v>
      </c>
      <c r="G201" s="94">
        <v>0</v>
      </c>
      <c r="H201" s="94">
        <f t="shared" si="44"/>
        <v>836.42738399999996</v>
      </c>
      <c r="I201" s="35"/>
      <c r="J201" s="84">
        <f t="shared" si="45"/>
        <v>10879.605539074508</v>
      </c>
      <c r="N201" s="35"/>
      <c r="T201" s="20"/>
    </row>
    <row r="202" spans="1:20" s="84" customFormat="1" ht="15.75" customHeight="1">
      <c r="A202" s="96">
        <f>A201+1</f>
        <v>4</v>
      </c>
      <c r="B202" s="97"/>
      <c r="C202" s="94" t="s">
        <v>299</v>
      </c>
      <c r="D202" s="74">
        <f>(51.804)*(10.764)</f>
        <v>557.61825599999997</v>
      </c>
      <c r="E202" s="74">
        <f t="shared" si="42"/>
        <v>0</v>
      </c>
      <c r="F202" s="94">
        <f t="shared" si="43"/>
        <v>557.61825599999997</v>
      </c>
      <c r="G202" s="94">
        <v>0</v>
      </c>
      <c r="H202" s="94">
        <f t="shared" si="44"/>
        <v>836.42738399999996</v>
      </c>
      <c r="I202" s="35"/>
      <c r="J202" s="84">
        <f t="shared" si="45"/>
        <v>10879.605539074508</v>
      </c>
      <c r="N202" s="35"/>
      <c r="T202" s="20"/>
    </row>
    <row r="203" spans="1:20" s="84" customFormat="1" ht="15.75" customHeight="1">
      <c r="A203" s="96">
        <f t="shared" ref="A203:A204" si="46">A202+1</f>
        <v>5</v>
      </c>
      <c r="B203" s="97"/>
      <c r="C203" s="94" t="s">
        <v>299</v>
      </c>
      <c r="D203" s="74">
        <f>(45.898)*(10.764)</f>
        <v>494.04607199999998</v>
      </c>
      <c r="E203" s="74">
        <f t="shared" si="42"/>
        <v>0</v>
      </c>
      <c r="F203" s="94">
        <f t="shared" si="43"/>
        <v>494.04607199999998</v>
      </c>
      <c r="G203" s="94">
        <v>0</v>
      </c>
      <c r="H203" s="94">
        <f t="shared" si="44"/>
        <v>741.06910799999991</v>
      </c>
      <c r="I203" s="35"/>
      <c r="J203" s="84">
        <f t="shared" si="45"/>
        <v>12279.556524166976</v>
      </c>
      <c r="N203" s="35"/>
      <c r="T203" s="20"/>
    </row>
    <row r="204" spans="1:20" s="84" customFormat="1" ht="15.75" customHeight="1">
      <c r="A204" s="96">
        <f t="shared" si="46"/>
        <v>6</v>
      </c>
      <c r="B204" s="97"/>
      <c r="C204" s="94" t="s">
        <v>299</v>
      </c>
      <c r="D204" s="74">
        <f>(85.213)*(10.764)</f>
        <v>917.23273199999983</v>
      </c>
      <c r="E204" s="74">
        <f t="shared" si="42"/>
        <v>0</v>
      </c>
      <c r="F204" s="94">
        <f t="shared" si="43"/>
        <v>917.23273199999983</v>
      </c>
      <c r="G204" s="94">
        <v>0</v>
      </c>
      <c r="H204" s="94">
        <f t="shared" si="44"/>
        <v>1375.8490979999997</v>
      </c>
      <c r="I204" s="35"/>
      <c r="J204" s="84">
        <f t="shared" si="45"/>
        <v>6614.0974422472618</v>
      </c>
      <c r="N204" s="35"/>
      <c r="T204" s="20"/>
    </row>
    <row r="205" spans="1:20" s="84" customFormat="1" ht="15.75" customHeight="1">
      <c r="A205" s="98" t="s">
        <v>353</v>
      </c>
      <c r="B205" s="99"/>
      <c r="C205" s="99"/>
      <c r="D205" s="99"/>
      <c r="E205" s="99"/>
      <c r="F205" s="99"/>
      <c r="G205" s="99"/>
      <c r="H205" s="100"/>
      <c r="I205" s="35"/>
      <c r="N205" s="35"/>
      <c r="T205" s="20"/>
    </row>
    <row r="206" spans="1:20" s="84" customFormat="1" ht="15.75" customHeight="1">
      <c r="A206" s="96">
        <v>1</v>
      </c>
      <c r="B206" s="97"/>
      <c r="C206" s="94" t="s">
        <v>299</v>
      </c>
      <c r="D206" s="74">
        <f>( 85.213)*(10.764)</f>
        <v>917.23273199999983</v>
      </c>
      <c r="E206" s="74">
        <f t="shared" si="42"/>
        <v>0</v>
      </c>
      <c r="F206" s="94">
        <f>D206+(IF(E206&lt;201,E206,IF(E206&lt;301,E206/2,E206/3)))</f>
        <v>917.23273199999983</v>
      </c>
      <c r="G206" s="95">
        <v>0</v>
      </c>
      <c r="H206" s="94">
        <f>(F206+(IF(G206&lt;101,G206,IF(G206&lt;201,G206/2,IF(G206&lt;=301,G206/3,G206/4)))))*(($H$123)+1)</f>
        <v>1375.8490979999997</v>
      </c>
      <c r="I206" s="35"/>
      <c r="J206" s="84">
        <f>9100000/H206</f>
        <v>6614.0974422472618</v>
      </c>
      <c r="N206" s="35"/>
      <c r="T206" s="20"/>
    </row>
    <row r="207" spans="1:20" s="84" customFormat="1" ht="15.75" customHeight="1">
      <c r="A207" s="96">
        <f>A206+1</f>
        <v>2</v>
      </c>
      <c r="B207" s="97"/>
      <c r="C207" s="94" t="s">
        <v>299</v>
      </c>
      <c r="D207" s="74">
        <f>(45.898)*(10.764)</f>
        <v>494.04607199999998</v>
      </c>
      <c r="E207" s="74">
        <f t="shared" si="42"/>
        <v>0</v>
      </c>
      <c r="F207" s="94">
        <f t="shared" ref="F207:F211" si="47">D207+(IF(E207&lt;201,E207,IF(E207&lt;301,E207/2,E207/3)))</f>
        <v>494.04607199999998</v>
      </c>
      <c r="G207" s="94">
        <v>0</v>
      </c>
      <c r="H207" s="94">
        <f t="shared" ref="H207:H211" si="48">(F207+(IF(G207&lt;101,G207,IF(G207&lt;201,G207/2,IF(G207&lt;=301,G207/3,G207/4)))))*(($H$123)+1)</f>
        <v>741.06910799999991</v>
      </c>
      <c r="I207" s="35"/>
      <c r="J207" s="84">
        <f t="shared" ref="J207:J211" si="49">9100000/H207</f>
        <v>12279.556524166976</v>
      </c>
      <c r="N207" s="35"/>
      <c r="T207" s="20"/>
    </row>
    <row r="208" spans="1:20" s="84" customFormat="1" ht="15.75" customHeight="1">
      <c r="A208" s="96">
        <f>A207+1</f>
        <v>3</v>
      </c>
      <c r="B208" s="97"/>
      <c r="C208" s="94" t="s">
        <v>299</v>
      </c>
      <c r="D208" s="74">
        <f>(51.804)*(10.764)</f>
        <v>557.61825599999997</v>
      </c>
      <c r="E208" s="74">
        <f t="shared" si="42"/>
        <v>0</v>
      </c>
      <c r="F208" s="94">
        <f t="shared" si="47"/>
        <v>557.61825599999997</v>
      </c>
      <c r="G208" s="94">
        <v>0</v>
      </c>
      <c r="H208" s="94">
        <f t="shared" si="48"/>
        <v>836.42738399999996</v>
      </c>
      <c r="I208" s="35"/>
      <c r="J208" s="84">
        <f t="shared" si="49"/>
        <v>10879.605539074508</v>
      </c>
      <c r="N208" s="35"/>
      <c r="T208" s="20"/>
    </row>
    <row r="209" spans="1:20" s="84" customFormat="1" ht="15.75" customHeight="1">
      <c r="A209" s="96">
        <f>A208+1</f>
        <v>4</v>
      </c>
      <c r="B209" s="97"/>
      <c r="C209" s="94" t="s">
        <v>299</v>
      </c>
      <c r="D209" s="74">
        <f>(51.804)*(10.764)</f>
        <v>557.61825599999997</v>
      </c>
      <c r="E209" s="74">
        <f t="shared" si="42"/>
        <v>0</v>
      </c>
      <c r="F209" s="94">
        <f t="shared" si="47"/>
        <v>557.61825599999997</v>
      </c>
      <c r="G209" s="94">
        <v>0</v>
      </c>
      <c r="H209" s="94">
        <f t="shared" si="48"/>
        <v>836.42738399999996</v>
      </c>
      <c r="I209" s="35"/>
      <c r="J209" s="84">
        <f t="shared" si="49"/>
        <v>10879.605539074508</v>
      </c>
      <c r="N209" s="35"/>
      <c r="T209" s="20"/>
    </row>
    <row r="210" spans="1:20" s="84" customFormat="1" ht="15.75" customHeight="1">
      <c r="A210" s="96">
        <f t="shared" ref="A210:A211" si="50">A209+1</f>
        <v>5</v>
      </c>
      <c r="B210" s="97"/>
      <c r="C210" s="94" t="s">
        <v>299</v>
      </c>
      <c r="D210" s="74">
        <f>(45.898)*(10.764)</f>
        <v>494.04607199999998</v>
      </c>
      <c r="E210" s="74">
        <f t="shared" si="42"/>
        <v>0</v>
      </c>
      <c r="F210" s="94">
        <f t="shared" si="47"/>
        <v>494.04607199999998</v>
      </c>
      <c r="G210" s="94">
        <v>0</v>
      </c>
      <c r="H210" s="94">
        <f t="shared" si="48"/>
        <v>741.06910799999991</v>
      </c>
      <c r="I210" s="35"/>
      <c r="J210" s="84">
        <f t="shared" si="49"/>
        <v>12279.556524166976</v>
      </c>
      <c r="N210" s="35"/>
      <c r="T210" s="20"/>
    </row>
    <row r="211" spans="1:20" s="84" customFormat="1" ht="15.75" customHeight="1">
      <c r="A211" s="96">
        <f t="shared" si="50"/>
        <v>6</v>
      </c>
      <c r="B211" s="97"/>
      <c r="C211" s="94" t="s">
        <v>299</v>
      </c>
      <c r="D211" s="74">
        <f>( 85.213)*(10.764)</f>
        <v>917.23273199999983</v>
      </c>
      <c r="E211" s="74">
        <f t="shared" si="42"/>
        <v>0</v>
      </c>
      <c r="F211" s="94">
        <f t="shared" si="47"/>
        <v>917.23273199999983</v>
      </c>
      <c r="G211" s="94">
        <v>0</v>
      </c>
      <c r="H211" s="94">
        <f t="shared" si="48"/>
        <v>1375.8490979999997</v>
      </c>
      <c r="I211" s="35"/>
      <c r="J211" s="84">
        <f t="shared" si="49"/>
        <v>6614.0974422472618</v>
      </c>
      <c r="N211" s="35"/>
      <c r="T211" s="20"/>
    </row>
    <row r="212" spans="1:20" s="84" customFormat="1" ht="15.75" customHeight="1">
      <c r="A212" s="98" t="s">
        <v>354</v>
      </c>
      <c r="B212" s="99"/>
      <c r="C212" s="99"/>
      <c r="D212" s="99"/>
      <c r="E212" s="99"/>
      <c r="F212" s="99"/>
      <c r="G212" s="99"/>
      <c r="H212" s="100"/>
      <c r="I212" s="35"/>
      <c r="N212" s="35"/>
      <c r="T212" s="20"/>
    </row>
    <row r="213" spans="1:20" s="84" customFormat="1" ht="15.75" customHeight="1">
      <c r="A213" s="96" t="s">
        <v>324</v>
      </c>
      <c r="B213" s="97"/>
      <c r="C213" s="94" t="s">
        <v>348</v>
      </c>
      <c r="D213" s="101" t="s">
        <v>323</v>
      </c>
      <c r="E213" s="102"/>
      <c r="F213" s="102"/>
      <c r="G213" s="102"/>
      <c r="H213" s="103"/>
      <c r="I213" s="35"/>
      <c r="J213" s="84" t="e">
        <f>9100000/H213</f>
        <v>#DIV/0!</v>
      </c>
      <c r="N213" s="35"/>
      <c r="T213" s="20"/>
    </row>
    <row r="214" spans="1:20" s="84" customFormat="1" ht="15.75" customHeight="1">
      <c r="A214" s="96">
        <v>1</v>
      </c>
      <c r="B214" s="97"/>
      <c r="C214" s="94" t="s">
        <v>299</v>
      </c>
      <c r="D214" s="74">
        <f>(45.898)*(10.764)</f>
        <v>494.04607199999998</v>
      </c>
      <c r="E214" s="74">
        <f t="shared" si="42"/>
        <v>0</v>
      </c>
      <c r="F214" s="94">
        <f t="shared" ref="F214:F218" si="51">D214+(IF(E214&lt;201,E214,IF(E214&lt;301,E214/2,E214/3)))</f>
        <v>494.04607199999998</v>
      </c>
      <c r="G214" s="94">
        <v>0</v>
      </c>
      <c r="H214" s="94">
        <f t="shared" ref="H214:H218" si="52">(F214+(IF(G214&lt;101,G214,IF(G214&lt;201,G214/2,IF(G214&lt;=301,G214/3,G214/4)))))*(($H$123)+1)</f>
        <v>741.06910799999991</v>
      </c>
      <c r="I214" s="35"/>
      <c r="J214" s="84">
        <f t="shared" ref="J214:J218" si="53">9100000/H214</f>
        <v>12279.556524166976</v>
      </c>
      <c r="N214" s="35"/>
      <c r="T214" s="20"/>
    </row>
    <row r="215" spans="1:20" s="84" customFormat="1" ht="15.75" customHeight="1">
      <c r="A215" s="96">
        <f>A214+1</f>
        <v>2</v>
      </c>
      <c r="B215" s="97"/>
      <c r="C215" s="94" t="s">
        <v>299</v>
      </c>
      <c r="D215" s="74">
        <f>(51.804)*(10.764)</f>
        <v>557.61825599999997</v>
      </c>
      <c r="E215" s="74">
        <f t="shared" si="42"/>
        <v>0</v>
      </c>
      <c r="F215" s="94">
        <f t="shared" si="51"/>
        <v>557.61825599999997</v>
      </c>
      <c r="G215" s="94">
        <v>0</v>
      </c>
      <c r="H215" s="94">
        <f t="shared" si="52"/>
        <v>836.42738399999996</v>
      </c>
      <c r="I215" s="35"/>
      <c r="J215" s="84">
        <f t="shared" si="53"/>
        <v>10879.605539074508</v>
      </c>
      <c r="N215" s="35"/>
      <c r="T215" s="20"/>
    </row>
    <row r="216" spans="1:20" s="84" customFormat="1" ht="15.75" customHeight="1">
      <c r="A216" s="96">
        <f>A215+1</f>
        <v>3</v>
      </c>
      <c r="B216" s="97"/>
      <c r="C216" s="94" t="s">
        <v>299</v>
      </c>
      <c r="D216" s="74">
        <f>(51.804)*(10.764)</f>
        <v>557.61825599999997</v>
      </c>
      <c r="E216" s="74">
        <f t="shared" si="42"/>
        <v>0</v>
      </c>
      <c r="F216" s="94">
        <f t="shared" si="51"/>
        <v>557.61825599999997</v>
      </c>
      <c r="G216" s="94">
        <v>0</v>
      </c>
      <c r="H216" s="94">
        <f t="shared" si="52"/>
        <v>836.42738399999996</v>
      </c>
      <c r="I216" s="35"/>
      <c r="J216" s="84">
        <f t="shared" si="53"/>
        <v>10879.605539074508</v>
      </c>
      <c r="N216" s="35"/>
      <c r="T216" s="20"/>
    </row>
    <row r="217" spans="1:20" s="84" customFormat="1" ht="15.75" customHeight="1">
      <c r="A217" s="96">
        <f t="shared" ref="A217:A218" si="54">A216+1</f>
        <v>4</v>
      </c>
      <c r="B217" s="97"/>
      <c r="C217" s="94" t="s">
        <v>299</v>
      </c>
      <c r="D217" s="74">
        <f>(45.898)*(10.764)</f>
        <v>494.04607199999998</v>
      </c>
      <c r="E217" s="74">
        <f t="shared" si="42"/>
        <v>0</v>
      </c>
      <c r="F217" s="94">
        <f t="shared" si="51"/>
        <v>494.04607199999998</v>
      </c>
      <c r="G217" s="94">
        <v>0</v>
      </c>
      <c r="H217" s="94">
        <f t="shared" si="52"/>
        <v>741.06910799999991</v>
      </c>
      <c r="I217" s="35"/>
      <c r="J217" s="84">
        <f t="shared" si="53"/>
        <v>12279.556524166976</v>
      </c>
      <c r="N217" s="35"/>
      <c r="T217" s="20"/>
    </row>
    <row r="218" spans="1:20" s="84" customFormat="1" ht="15.75" customHeight="1">
      <c r="A218" s="96">
        <f t="shared" si="54"/>
        <v>5</v>
      </c>
      <c r="B218" s="97"/>
      <c r="C218" s="94" t="s">
        <v>299</v>
      </c>
      <c r="D218" s="74">
        <f>( 85.213)*(10.764)</f>
        <v>917.23273199999983</v>
      </c>
      <c r="E218" s="74">
        <f t="shared" si="42"/>
        <v>0</v>
      </c>
      <c r="F218" s="94">
        <f t="shared" si="51"/>
        <v>917.23273199999983</v>
      </c>
      <c r="G218" s="94">
        <v>0</v>
      </c>
      <c r="H218" s="94">
        <f t="shared" si="52"/>
        <v>1375.8490979999997</v>
      </c>
      <c r="I218" s="35"/>
      <c r="J218" s="84">
        <f t="shared" si="53"/>
        <v>6614.0974422472618</v>
      </c>
      <c r="N218" s="35"/>
      <c r="T218" s="20"/>
    </row>
    <row r="219" spans="1:20" s="84" customFormat="1" ht="15.75" customHeight="1">
      <c r="A219" s="98" t="s">
        <v>355</v>
      </c>
      <c r="B219" s="99"/>
      <c r="C219" s="99"/>
      <c r="D219" s="99"/>
      <c r="E219" s="99"/>
      <c r="F219" s="99"/>
      <c r="G219" s="99"/>
      <c r="H219" s="100"/>
      <c r="I219" s="35"/>
      <c r="N219" s="35"/>
      <c r="T219" s="20"/>
    </row>
    <row r="220" spans="1:20" s="84" customFormat="1" ht="15.75" customHeight="1">
      <c r="A220" s="96">
        <v>1</v>
      </c>
      <c r="B220" s="97"/>
      <c r="C220" s="94" t="s">
        <v>299</v>
      </c>
      <c r="D220" s="74">
        <f>( 85.213)*(10.764)</f>
        <v>917.23273199999983</v>
      </c>
      <c r="E220" s="74">
        <f t="shared" si="42"/>
        <v>0</v>
      </c>
      <c r="F220" s="94">
        <f>D220+(IF(E220&lt;201,E220,IF(E220&lt;301,E220/2,E220/3)))</f>
        <v>917.23273199999983</v>
      </c>
      <c r="G220" s="95">
        <v>0</v>
      </c>
      <c r="H220" s="94">
        <f>(F220+(IF(G220&lt;101,G220,IF(G220&lt;201,G220/2,IF(G220&lt;=301,G220/3,G220/4)))))*(($H$123)+1)</f>
        <v>1375.8490979999997</v>
      </c>
      <c r="I220" s="35"/>
      <c r="J220" s="84">
        <f>9100000/H220</f>
        <v>6614.0974422472618</v>
      </c>
      <c r="N220" s="35"/>
      <c r="T220" s="20"/>
    </row>
    <row r="221" spans="1:20" s="84" customFormat="1" ht="15.75" customHeight="1">
      <c r="A221" s="96">
        <f>A220+1</f>
        <v>2</v>
      </c>
      <c r="B221" s="97"/>
      <c r="C221" s="94" t="s">
        <v>299</v>
      </c>
      <c r="D221" s="74">
        <f>(45.898)*(10.764)</f>
        <v>494.04607199999998</v>
      </c>
      <c r="E221" s="74">
        <f t="shared" si="42"/>
        <v>0</v>
      </c>
      <c r="F221" s="94">
        <f t="shared" ref="F221:F225" si="55">D221+(IF(E221&lt;201,E221,IF(E221&lt;301,E221/2,E221/3)))</f>
        <v>494.04607199999998</v>
      </c>
      <c r="G221" s="94">
        <v>0</v>
      </c>
      <c r="H221" s="94">
        <f t="shared" ref="H221:H225" si="56">(F221+(IF(G221&lt;101,G221,IF(G221&lt;201,G221/2,IF(G221&lt;=301,G221/3,G221/4)))))*(($H$123)+1)</f>
        <v>741.06910799999991</v>
      </c>
      <c r="I221" s="35"/>
      <c r="J221" s="84">
        <f t="shared" ref="J221:J225" si="57">9100000/H221</f>
        <v>12279.556524166976</v>
      </c>
      <c r="N221" s="35"/>
      <c r="T221" s="20"/>
    </row>
    <row r="222" spans="1:20" s="84" customFormat="1" ht="15.75" customHeight="1">
      <c r="A222" s="96">
        <f>A221+1</f>
        <v>3</v>
      </c>
      <c r="B222" s="97"/>
      <c r="C222" s="94" t="s">
        <v>299</v>
      </c>
      <c r="D222" s="74">
        <f>(51.804)*(10.764)</f>
        <v>557.61825599999997</v>
      </c>
      <c r="E222" s="74">
        <f t="shared" si="42"/>
        <v>0</v>
      </c>
      <c r="F222" s="94">
        <f t="shared" si="55"/>
        <v>557.61825599999997</v>
      </c>
      <c r="G222" s="94">
        <v>0</v>
      </c>
      <c r="H222" s="94">
        <f t="shared" si="56"/>
        <v>836.42738399999996</v>
      </c>
      <c r="I222" s="35"/>
      <c r="J222" s="84">
        <f t="shared" si="57"/>
        <v>10879.605539074508</v>
      </c>
      <c r="N222" s="35"/>
      <c r="T222" s="20"/>
    </row>
    <row r="223" spans="1:20" s="84" customFormat="1" ht="15.75" customHeight="1">
      <c r="A223" s="96">
        <f>A222+1</f>
        <v>4</v>
      </c>
      <c r="B223" s="97"/>
      <c r="C223" s="94" t="s">
        <v>299</v>
      </c>
      <c r="D223" s="74">
        <f>(51.804)*(10.764)</f>
        <v>557.61825599999997</v>
      </c>
      <c r="E223" s="74">
        <f t="shared" si="42"/>
        <v>0</v>
      </c>
      <c r="F223" s="94">
        <f t="shared" si="55"/>
        <v>557.61825599999997</v>
      </c>
      <c r="G223" s="94">
        <v>0</v>
      </c>
      <c r="H223" s="94">
        <f t="shared" si="56"/>
        <v>836.42738399999996</v>
      </c>
      <c r="I223" s="35"/>
      <c r="J223" s="84">
        <f t="shared" si="57"/>
        <v>10879.605539074508</v>
      </c>
      <c r="N223" s="35"/>
      <c r="T223" s="20"/>
    </row>
    <row r="224" spans="1:20" s="84" customFormat="1" ht="15.75" customHeight="1">
      <c r="A224" s="96">
        <f t="shared" ref="A224:A226" si="58">A223+1</f>
        <v>5</v>
      </c>
      <c r="B224" s="97"/>
      <c r="C224" s="94" t="s">
        <v>299</v>
      </c>
      <c r="D224" s="74">
        <f>(45.898)*(10.764)</f>
        <v>494.04607199999998</v>
      </c>
      <c r="E224" s="74">
        <f t="shared" si="42"/>
        <v>0</v>
      </c>
      <c r="F224" s="94">
        <f t="shared" si="55"/>
        <v>494.04607199999998</v>
      </c>
      <c r="G224" s="94">
        <v>0</v>
      </c>
      <c r="H224" s="94">
        <f t="shared" si="56"/>
        <v>741.06910799999991</v>
      </c>
      <c r="I224" s="35"/>
      <c r="J224" s="84">
        <f t="shared" si="57"/>
        <v>12279.556524166976</v>
      </c>
      <c r="N224" s="35"/>
      <c r="T224" s="20"/>
    </row>
    <row r="225" spans="1:20" s="84" customFormat="1" ht="15.75" customHeight="1">
      <c r="A225" s="96">
        <f t="shared" si="58"/>
        <v>6</v>
      </c>
      <c r="B225" s="97"/>
      <c r="C225" s="94" t="s">
        <v>299</v>
      </c>
      <c r="D225" s="74">
        <f>(44.346)*(10.764)</f>
        <v>477.34034399999996</v>
      </c>
      <c r="E225" s="74">
        <f t="shared" si="42"/>
        <v>0</v>
      </c>
      <c r="F225" s="94">
        <f t="shared" si="55"/>
        <v>477.34034399999996</v>
      </c>
      <c r="G225" s="94">
        <v>0</v>
      </c>
      <c r="H225" s="94">
        <f t="shared" si="56"/>
        <v>716.01051599999994</v>
      </c>
      <c r="I225" s="35"/>
      <c r="J225" s="84">
        <f t="shared" si="57"/>
        <v>12709.310543142918</v>
      </c>
      <c r="N225" s="35"/>
      <c r="T225" s="20"/>
    </row>
    <row r="226" spans="1:20" s="84" customFormat="1" ht="15.75" customHeight="1">
      <c r="A226" s="96">
        <f t="shared" si="58"/>
        <v>7</v>
      </c>
      <c r="B226" s="97"/>
      <c r="C226" s="94" t="s">
        <v>299</v>
      </c>
      <c r="D226" s="74">
        <f>(50.534)*(10.764)</f>
        <v>543.94797599999993</v>
      </c>
      <c r="E226" s="74">
        <f t="shared" si="42"/>
        <v>0</v>
      </c>
      <c r="F226" s="94">
        <f t="shared" ref="F226" si="59">D226+(IF(E226&lt;201,E226,IF(E226&lt;301,E226/2,E226/3)))</f>
        <v>543.94797599999993</v>
      </c>
      <c r="G226" s="94">
        <v>0</v>
      </c>
      <c r="H226" s="94">
        <f t="shared" ref="H226" si="60">(F226+(IF(G226&lt;101,G226,IF(G226&lt;201,G226/2,IF(G226&lt;=301,G226/3,G226/4)))))*(($H$123)+1)</f>
        <v>815.92196399999989</v>
      </c>
      <c r="I226" s="35"/>
      <c r="J226" s="84">
        <f t="shared" ref="J226" si="61">9100000/H226</f>
        <v>11153.027374563973</v>
      </c>
      <c r="N226" s="35"/>
      <c r="T226" s="20"/>
    </row>
    <row r="227" spans="1:20" s="84" customFormat="1" ht="15.75" customHeight="1">
      <c r="A227" s="98" t="s">
        <v>356</v>
      </c>
      <c r="B227" s="99"/>
      <c r="C227" s="99"/>
      <c r="D227" s="99"/>
      <c r="E227" s="99"/>
      <c r="F227" s="99"/>
      <c r="G227" s="99"/>
      <c r="H227" s="100"/>
      <c r="I227" s="35"/>
      <c r="N227" s="35"/>
      <c r="T227" s="20"/>
    </row>
    <row r="228" spans="1:20" s="84" customFormat="1" ht="15.75" customHeight="1">
      <c r="A228" s="96">
        <v>1</v>
      </c>
      <c r="B228" s="97"/>
      <c r="C228" s="94" t="s">
        <v>299</v>
      </c>
      <c r="D228" s="74">
        <f>( 85.213)*(10.764)</f>
        <v>917.23273199999983</v>
      </c>
      <c r="E228" s="74">
        <f t="shared" si="42"/>
        <v>0</v>
      </c>
      <c r="F228" s="94">
        <f>D228+(IF(E228&lt;201,E228,IF(E228&lt;301,E228/2,E228/3)))</f>
        <v>917.23273199999983</v>
      </c>
      <c r="G228" s="95">
        <v>0</v>
      </c>
      <c r="H228" s="94">
        <f>(F228+(IF(G228&lt;101,G228,IF(G228&lt;201,G228/2,IF(G228&lt;=301,G228/3,G228/4)))))*(($H$123)+1)</f>
        <v>1375.8490979999997</v>
      </c>
      <c r="I228" s="35"/>
      <c r="J228" s="84">
        <f>9100000/H228</f>
        <v>6614.0974422472618</v>
      </c>
      <c r="N228" s="35"/>
      <c r="T228" s="20"/>
    </row>
    <row r="229" spans="1:20" s="84" customFormat="1" ht="15.75" customHeight="1">
      <c r="A229" s="96">
        <f>A228+1</f>
        <v>2</v>
      </c>
      <c r="B229" s="97"/>
      <c r="C229" s="94" t="s">
        <v>299</v>
      </c>
      <c r="D229" s="74">
        <f>(45.898)*(10.764)</f>
        <v>494.04607199999998</v>
      </c>
      <c r="E229" s="74">
        <f t="shared" si="42"/>
        <v>0</v>
      </c>
      <c r="F229" s="94">
        <f t="shared" ref="F229:F234" si="62">D229+(IF(E229&lt;201,E229,IF(E229&lt;301,E229/2,E229/3)))</f>
        <v>494.04607199999998</v>
      </c>
      <c r="G229" s="94">
        <v>0</v>
      </c>
      <c r="H229" s="94">
        <f t="shared" ref="H229:H234" si="63">(F229+(IF(G229&lt;101,G229,IF(G229&lt;201,G229/2,IF(G229&lt;=301,G229/3,G229/4)))))*(($H$123)+1)</f>
        <v>741.06910799999991</v>
      </c>
      <c r="I229" s="35"/>
      <c r="J229" s="84">
        <f t="shared" ref="J229:J234" si="64">9100000/H229</f>
        <v>12279.556524166976</v>
      </c>
      <c r="N229" s="35"/>
      <c r="T229" s="20"/>
    </row>
    <row r="230" spans="1:20" s="84" customFormat="1" ht="15.75" customHeight="1">
      <c r="A230" s="96">
        <f>A229+1</f>
        <v>3</v>
      </c>
      <c r="B230" s="97"/>
      <c r="C230" s="94" t="s">
        <v>299</v>
      </c>
      <c r="D230" s="74">
        <f>(51.804)*(10.764)</f>
        <v>557.61825599999997</v>
      </c>
      <c r="E230" s="74">
        <f t="shared" si="42"/>
        <v>0</v>
      </c>
      <c r="F230" s="94">
        <f t="shared" si="62"/>
        <v>557.61825599999997</v>
      </c>
      <c r="G230" s="94">
        <v>0</v>
      </c>
      <c r="H230" s="94">
        <f t="shared" si="63"/>
        <v>836.42738399999996</v>
      </c>
      <c r="I230" s="35"/>
      <c r="J230" s="84">
        <f t="shared" si="64"/>
        <v>10879.605539074508</v>
      </c>
      <c r="N230" s="35"/>
      <c r="T230" s="20"/>
    </row>
    <row r="231" spans="1:20" s="84" customFormat="1" ht="15.75" customHeight="1">
      <c r="A231" s="96">
        <f>A230+1</f>
        <v>4</v>
      </c>
      <c r="B231" s="97"/>
      <c r="C231" s="94" t="s">
        <v>299</v>
      </c>
      <c r="D231" s="74">
        <f>(51.804)*(10.764)</f>
        <v>557.61825599999997</v>
      </c>
      <c r="E231" s="74">
        <f t="shared" si="42"/>
        <v>0</v>
      </c>
      <c r="F231" s="94">
        <f t="shared" si="62"/>
        <v>557.61825599999997</v>
      </c>
      <c r="G231" s="94">
        <v>0</v>
      </c>
      <c r="H231" s="94">
        <f t="shared" si="63"/>
        <v>836.42738399999996</v>
      </c>
      <c r="I231" s="35"/>
      <c r="J231" s="84">
        <f t="shared" si="64"/>
        <v>10879.605539074508</v>
      </c>
      <c r="N231" s="35"/>
      <c r="T231" s="20"/>
    </row>
    <row r="232" spans="1:20" s="84" customFormat="1" ht="15.75" customHeight="1">
      <c r="A232" s="96">
        <f t="shared" ref="A232:A234" si="65">A231+1</f>
        <v>5</v>
      </c>
      <c r="B232" s="97"/>
      <c r="C232" s="94" t="s">
        <v>299</v>
      </c>
      <c r="D232" s="74">
        <f>(45.898)*(10.764)</f>
        <v>494.04607199999998</v>
      </c>
      <c r="E232" s="74">
        <f t="shared" si="42"/>
        <v>0</v>
      </c>
      <c r="F232" s="94">
        <f t="shared" si="62"/>
        <v>494.04607199999998</v>
      </c>
      <c r="G232" s="94">
        <v>0</v>
      </c>
      <c r="H232" s="94">
        <f t="shared" si="63"/>
        <v>741.06910799999991</v>
      </c>
      <c r="I232" s="35"/>
      <c r="J232" s="84">
        <f t="shared" si="64"/>
        <v>12279.556524166976</v>
      </c>
      <c r="N232" s="35"/>
      <c r="T232" s="20"/>
    </row>
    <row r="233" spans="1:20" s="84" customFormat="1" ht="15.75" customHeight="1">
      <c r="A233" s="96">
        <f t="shared" si="65"/>
        <v>6</v>
      </c>
      <c r="B233" s="97"/>
      <c r="C233" s="94" t="s">
        <v>299</v>
      </c>
      <c r="D233" s="74">
        <f>(44.346)*(10.764)</f>
        <v>477.34034399999996</v>
      </c>
      <c r="E233" s="74">
        <f t="shared" si="42"/>
        <v>0</v>
      </c>
      <c r="F233" s="94">
        <f t="shared" si="62"/>
        <v>477.34034399999996</v>
      </c>
      <c r="G233" s="94">
        <v>0</v>
      </c>
      <c r="H233" s="94">
        <f t="shared" si="63"/>
        <v>716.01051599999994</v>
      </c>
      <c r="I233" s="35"/>
      <c r="J233" s="84">
        <f t="shared" si="64"/>
        <v>12709.310543142918</v>
      </c>
      <c r="N233" s="35"/>
      <c r="T233" s="20"/>
    </row>
    <row r="234" spans="1:20" s="84" customFormat="1" ht="15.75" customHeight="1">
      <c r="A234" s="96">
        <f t="shared" si="65"/>
        <v>7</v>
      </c>
      <c r="B234" s="97"/>
      <c r="C234" s="94" t="s">
        <v>299</v>
      </c>
      <c r="D234" s="74">
        <f>(50.534)*(10.764)</f>
        <v>543.94797599999993</v>
      </c>
      <c r="E234" s="74">
        <f t="shared" si="42"/>
        <v>0</v>
      </c>
      <c r="F234" s="94">
        <f t="shared" si="62"/>
        <v>543.94797599999993</v>
      </c>
      <c r="G234" s="94">
        <v>0</v>
      </c>
      <c r="H234" s="94">
        <f t="shared" si="63"/>
        <v>815.92196399999989</v>
      </c>
      <c r="I234" s="35"/>
      <c r="J234" s="84">
        <f t="shared" si="64"/>
        <v>11153.027374563973</v>
      </c>
      <c r="N234" s="35"/>
      <c r="T234" s="20"/>
    </row>
    <row r="235" spans="1:20" s="84" customFormat="1" ht="15.75" customHeight="1">
      <c r="A235" s="98" t="s">
        <v>357</v>
      </c>
      <c r="B235" s="99"/>
      <c r="C235" s="99"/>
      <c r="D235" s="99"/>
      <c r="E235" s="99"/>
      <c r="F235" s="99"/>
      <c r="G235" s="99"/>
      <c r="H235" s="100"/>
      <c r="I235" s="35"/>
      <c r="N235" s="35"/>
      <c r="T235" s="20"/>
    </row>
    <row r="236" spans="1:20" s="84" customFormat="1" ht="15.75" customHeight="1">
      <c r="A236" s="96" t="s">
        <v>324</v>
      </c>
      <c r="B236" s="97"/>
      <c r="C236" s="94" t="s">
        <v>348</v>
      </c>
      <c r="D236" s="101" t="s">
        <v>323</v>
      </c>
      <c r="E236" s="102"/>
      <c r="F236" s="102"/>
      <c r="G236" s="102"/>
      <c r="H236" s="103"/>
      <c r="I236" s="35"/>
      <c r="J236" s="84" t="e">
        <f>9100000/H236</f>
        <v>#DIV/0!</v>
      </c>
      <c r="N236" s="35"/>
      <c r="T236" s="20"/>
    </row>
    <row r="237" spans="1:20" s="84" customFormat="1" ht="15.75" customHeight="1">
      <c r="A237" s="96">
        <v>1</v>
      </c>
      <c r="B237" s="97"/>
      <c r="C237" s="94" t="s">
        <v>299</v>
      </c>
      <c r="D237" s="74">
        <f>(45.898)*(10.764)</f>
        <v>494.04607199999998</v>
      </c>
      <c r="E237" s="74">
        <f t="shared" si="42"/>
        <v>0</v>
      </c>
      <c r="F237" s="94">
        <f t="shared" ref="F237:F242" si="66">D237+(IF(E237&lt;201,E237,IF(E237&lt;301,E237/2,E237/3)))</f>
        <v>494.04607199999998</v>
      </c>
      <c r="G237" s="94">
        <v>0</v>
      </c>
      <c r="H237" s="94">
        <f t="shared" ref="H237:H242" si="67">(F237+(IF(G237&lt;101,G237,IF(G237&lt;201,G237/2,IF(G237&lt;=301,G237/3,G237/4)))))*(($H$123)+1)</f>
        <v>741.06910799999991</v>
      </c>
      <c r="I237" s="35"/>
      <c r="J237" s="84">
        <f t="shared" ref="J237:J242" si="68">9100000/H237</f>
        <v>12279.556524166976</v>
      </c>
      <c r="N237" s="35"/>
      <c r="T237" s="20"/>
    </row>
    <row r="238" spans="1:20" s="84" customFormat="1" ht="15.75" customHeight="1">
      <c r="A238" s="96">
        <f>A237+1</f>
        <v>2</v>
      </c>
      <c r="B238" s="97"/>
      <c r="C238" s="94" t="s">
        <v>299</v>
      </c>
      <c r="D238" s="74">
        <f>(51.804)*(10.764)</f>
        <v>557.61825599999997</v>
      </c>
      <c r="E238" s="74">
        <f t="shared" si="42"/>
        <v>0</v>
      </c>
      <c r="F238" s="94">
        <f t="shared" si="66"/>
        <v>557.61825599999997</v>
      </c>
      <c r="G238" s="94">
        <v>0</v>
      </c>
      <c r="H238" s="94">
        <f t="shared" si="67"/>
        <v>836.42738399999996</v>
      </c>
      <c r="I238" s="35"/>
      <c r="J238" s="84">
        <f t="shared" si="68"/>
        <v>10879.605539074508</v>
      </c>
      <c r="N238" s="35"/>
      <c r="T238" s="20"/>
    </row>
    <row r="239" spans="1:20" s="84" customFormat="1" ht="15.75" customHeight="1">
      <c r="A239" s="96">
        <f>A238+1</f>
        <v>3</v>
      </c>
      <c r="B239" s="97"/>
      <c r="C239" s="94" t="s">
        <v>299</v>
      </c>
      <c r="D239" s="74">
        <f>(51.804)*(10.764)</f>
        <v>557.61825599999997</v>
      </c>
      <c r="E239" s="74">
        <f t="shared" si="42"/>
        <v>0</v>
      </c>
      <c r="F239" s="94">
        <f t="shared" si="66"/>
        <v>557.61825599999997</v>
      </c>
      <c r="G239" s="94">
        <v>0</v>
      </c>
      <c r="H239" s="94">
        <f t="shared" si="67"/>
        <v>836.42738399999996</v>
      </c>
      <c r="I239" s="35"/>
      <c r="J239" s="84">
        <f t="shared" si="68"/>
        <v>10879.605539074508</v>
      </c>
      <c r="N239" s="35"/>
      <c r="T239" s="20"/>
    </row>
    <row r="240" spans="1:20" s="84" customFormat="1" ht="15.75" customHeight="1">
      <c r="A240" s="96">
        <f t="shared" ref="A240:A242" si="69">A239+1</f>
        <v>4</v>
      </c>
      <c r="B240" s="97"/>
      <c r="C240" s="94" t="s">
        <v>299</v>
      </c>
      <c r="D240" s="74">
        <f>(45.898)*(10.764)</f>
        <v>494.04607199999998</v>
      </c>
      <c r="E240" s="74">
        <f t="shared" si="42"/>
        <v>0</v>
      </c>
      <c r="F240" s="94">
        <f t="shared" si="66"/>
        <v>494.04607199999998</v>
      </c>
      <c r="G240" s="94">
        <v>0</v>
      </c>
      <c r="H240" s="94">
        <f t="shared" si="67"/>
        <v>741.06910799999991</v>
      </c>
      <c r="I240" s="35"/>
      <c r="J240" s="84">
        <f t="shared" si="68"/>
        <v>12279.556524166976</v>
      </c>
      <c r="N240" s="35"/>
      <c r="T240" s="20"/>
    </row>
    <row r="241" spans="1:20" s="84" customFormat="1" ht="15.75" customHeight="1">
      <c r="A241" s="96">
        <f t="shared" si="69"/>
        <v>5</v>
      </c>
      <c r="B241" s="97"/>
      <c r="C241" s="94" t="s">
        <v>299</v>
      </c>
      <c r="D241" s="74">
        <f>(44.436)*(10.764)</f>
        <v>478.30910399999999</v>
      </c>
      <c r="E241" s="74">
        <f t="shared" si="42"/>
        <v>0</v>
      </c>
      <c r="F241" s="94">
        <f t="shared" si="66"/>
        <v>478.30910399999999</v>
      </c>
      <c r="G241" s="94">
        <v>0</v>
      </c>
      <c r="H241" s="94">
        <f t="shared" si="67"/>
        <v>717.46365600000001</v>
      </c>
      <c r="I241" s="35"/>
      <c r="J241" s="84">
        <f t="shared" si="68"/>
        <v>12683.569298456561</v>
      </c>
      <c r="N241" s="35"/>
      <c r="T241" s="20"/>
    </row>
    <row r="242" spans="1:20" s="84" customFormat="1" ht="15.75" customHeight="1">
      <c r="A242" s="96">
        <f t="shared" si="69"/>
        <v>6</v>
      </c>
      <c r="B242" s="97"/>
      <c r="C242" s="94" t="s">
        <v>299</v>
      </c>
      <c r="D242" s="74">
        <f>(50.534)*(10.764)</f>
        <v>543.94797599999993</v>
      </c>
      <c r="E242" s="74">
        <f t="shared" si="42"/>
        <v>0</v>
      </c>
      <c r="F242" s="94">
        <f t="shared" si="66"/>
        <v>543.94797599999993</v>
      </c>
      <c r="G242" s="94">
        <v>0</v>
      </c>
      <c r="H242" s="94">
        <f t="shared" si="67"/>
        <v>815.92196399999989</v>
      </c>
      <c r="I242" s="35"/>
      <c r="J242" s="84">
        <f t="shared" si="68"/>
        <v>11153.027374563973</v>
      </c>
      <c r="N242" s="35"/>
      <c r="T242" s="20"/>
    </row>
    <row r="243" spans="1:20" s="84" customFormat="1" ht="15.75" customHeight="1">
      <c r="A243" s="98" t="s">
        <v>359</v>
      </c>
      <c r="B243" s="99"/>
      <c r="C243" s="99"/>
      <c r="D243" s="99"/>
      <c r="E243" s="99"/>
      <c r="F243" s="99"/>
      <c r="G243" s="99"/>
      <c r="H243" s="100"/>
      <c r="I243" s="35"/>
      <c r="N243" s="35"/>
      <c r="T243" s="20"/>
    </row>
    <row r="244" spans="1:20" s="84" customFormat="1" ht="15.75" customHeight="1">
      <c r="A244" s="96">
        <v>1</v>
      </c>
      <c r="B244" s="97"/>
      <c r="C244" s="94" t="s">
        <v>299</v>
      </c>
      <c r="D244" s="74">
        <f>( 85.213)*(10.764)</f>
        <v>917.23273199999983</v>
      </c>
      <c r="E244" s="74">
        <f t="shared" si="42"/>
        <v>0</v>
      </c>
      <c r="F244" s="94">
        <f>D244+(IF(E244&lt;201,E244,IF(E244&lt;301,E244/2,E244/3)))</f>
        <v>917.23273199999983</v>
      </c>
      <c r="G244" s="95">
        <v>0</v>
      </c>
      <c r="H244" s="94">
        <f>(F244+(IF(G244&lt;101,G244,IF(G244&lt;201,G244/2,IF(G244&lt;=301,G244/3,G244/4)))))*(($H$123)+1)</f>
        <v>1375.8490979999997</v>
      </c>
      <c r="I244" s="35"/>
      <c r="J244" s="84">
        <f>9100000/H244</f>
        <v>6614.0974422472618</v>
      </c>
      <c r="N244" s="35"/>
      <c r="T244" s="20"/>
    </row>
    <row r="245" spans="1:20" s="84" customFormat="1" ht="15.75" customHeight="1">
      <c r="A245" s="96">
        <f>A244+1</f>
        <v>2</v>
      </c>
      <c r="B245" s="97"/>
      <c r="C245" s="94" t="s">
        <v>299</v>
      </c>
      <c r="D245" s="74">
        <f>(45.898)*(10.764)</f>
        <v>494.04607199999998</v>
      </c>
      <c r="E245" s="74">
        <f t="shared" si="42"/>
        <v>0</v>
      </c>
      <c r="F245" s="94">
        <f t="shared" ref="F245:F250" si="70">D245+(IF(E245&lt;201,E245,IF(E245&lt;301,E245/2,E245/3)))</f>
        <v>494.04607199999998</v>
      </c>
      <c r="G245" s="94">
        <v>0</v>
      </c>
      <c r="H245" s="94">
        <f t="shared" ref="H245:H250" si="71">(F245+(IF(G245&lt;101,G245,IF(G245&lt;201,G245/2,IF(G245&lt;=301,G245/3,G245/4)))))*(($H$123)+1)</f>
        <v>741.06910799999991</v>
      </c>
      <c r="I245" s="35"/>
      <c r="J245" s="84">
        <f t="shared" ref="J245:J250" si="72">9100000/H245</f>
        <v>12279.556524166976</v>
      </c>
      <c r="N245" s="35"/>
      <c r="T245" s="20"/>
    </row>
    <row r="246" spans="1:20" s="84" customFormat="1" ht="15.75" customHeight="1">
      <c r="A246" s="96">
        <f>A245+1</f>
        <v>3</v>
      </c>
      <c r="B246" s="97"/>
      <c r="C246" s="94" t="s">
        <v>299</v>
      </c>
      <c r="D246" s="74">
        <f>(51.804)*(10.764)</f>
        <v>557.61825599999997</v>
      </c>
      <c r="E246" s="74">
        <f t="shared" si="42"/>
        <v>0</v>
      </c>
      <c r="F246" s="94">
        <f t="shared" si="70"/>
        <v>557.61825599999997</v>
      </c>
      <c r="G246" s="94">
        <v>0</v>
      </c>
      <c r="H246" s="94">
        <f t="shared" si="71"/>
        <v>836.42738399999996</v>
      </c>
      <c r="I246" s="35"/>
      <c r="J246" s="84">
        <f t="shared" si="72"/>
        <v>10879.605539074508</v>
      </c>
      <c r="N246" s="35"/>
      <c r="T246" s="20"/>
    </row>
    <row r="247" spans="1:20" s="84" customFormat="1" ht="15.75" customHeight="1">
      <c r="A247" s="96">
        <f>A246+1</f>
        <v>4</v>
      </c>
      <c r="B247" s="97"/>
      <c r="C247" s="94" t="s">
        <v>299</v>
      </c>
      <c r="D247" s="74">
        <f>(51.804)*(10.764)</f>
        <v>557.61825599999997</v>
      </c>
      <c r="E247" s="74">
        <f t="shared" si="42"/>
        <v>0</v>
      </c>
      <c r="F247" s="94">
        <f t="shared" si="70"/>
        <v>557.61825599999997</v>
      </c>
      <c r="G247" s="94">
        <v>0</v>
      </c>
      <c r="H247" s="94">
        <f t="shared" si="71"/>
        <v>836.42738399999996</v>
      </c>
      <c r="I247" s="35"/>
      <c r="J247" s="84">
        <f t="shared" si="72"/>
        <v>10879.605539074508</v>
      </c>
      <c r="N247" s="35"/>
      <c r="T247" s="20"/>
    </row>
    <row r="248" spans="1:20" s="84" customFormat="1" ht="15.75" customHeight="1">
      <c r="A248" s="96">
        <f t="shared" ref="A248:A250" si="73">A247+1</f>
        <v>5</v>
      </c>
      <c r="B248" s="97"/>
      <c r="C248" s="94" t="s">
        <v>299</v>
      </c>
      <c r="D248" s="74">
        <f>(45.898)*(10.764)</f>
        <v>494.04607199999998</v>
      </c>
      <c r="E248" s="74">
        <f t="shared" si="42"/>
        <v>0</v>
      </c>
      <c r="F248" s="94">
        <f t="shared" si="70"/>
        <v>494.04607199999998</v>
      </c>
      <c r="G248" s="94">
        <v>0</v>
      </c>
      <c r="H248" s="94">
        <f t="shared" si="71"/>
        <v>741.06910799999991</v>
      </c>
      <c r="I248" s="35"/>
      <c r="J248" s="84">
        <f t="shared" si="72"/>
        <v>12279.556524166976</v>
      </c>
      <c r="N248" s="35"/>
      <c r="T248" s="20"/>
    </row>
    <row r="249" spans="1:20" s="84" customFormat="1" ht="15.75" customHeight="1">
      <c r="A249" s="96">
        <f t="shared" si="73"/>
        <v>6</v>
      </c>
      <c r="B249" s="97"/>
      <c r="C249" s="94" t="s">
        <v>299</v>
      </c>
      <c r="D249" s="74">
        <f>(44.436)*(10.764)</f>
        <v>478.30910399999999</v>
      </c>
      <c r="E249" s="74">
        <f t="shared" si="42"/>
        <v>0</v>
      </c>
      <c r="F249" s="94">
        <f t="shared" si="70"/>
        <v>478.30910399999999</v>
      </c>
      <c r="G249" s="94">
        <v>0</v>
      </c>
      <c r="H249" s="94">
        <f t="shared" si="71"/>
        <v>717.46365600000001</v>
      </c>
      <c r="I249" s="35"/>
      <c r="J249" s="84">
        <f t="shared" si="72"/>
        <v>12683.569298456561</v>
      </c>
      <c r="N249" s="35"/>
      <c r="T249" s="20"/>
    </row>
    <row r="250" spans="1:20" s="84" customFormat="1" ht="15.75" customHeight="1">
      <c r="A250" s="96">
        <f t="shared" si="73"/>
        <v>7</v>
      </c>
      <c r="B250" s="97"/>
      <c r="C250" s="94" t="s">
        <v>299</v>
      </c>
      <c r="D250" s="74">
        <f>(50.534)*(10.764)</f>
        <v>543.94797599999993</v>
      </c>
      <c r="E250" s="74">
        <f t="shared" si="42"/>
        <v>0</v>
      </c>
      <c r="F250" s="94">
        <f t="shared" si="70"/>
        <v>543.94797599999993</v>
      </c>
      <c r="G250" s="94">
        <v>0</v>
      </c>
      <c r="H250" s="94">
        <f t="shared" si="71"/>
        <v>815.92196399999989</v>
      </c>
      <c r="I250" s="35"/>
      <c r="J250" s="84">
        <f t="shared" si="72"/>
        <v>11153.027374563973</v>
      </c>
      <c r="N250" s="35"/>
      <c r="T250" s="20"/>
    </row>
    <row r="251" spans="1:20" s="84" customFormat="1" ht="15.75" customHeight="1">
      <c r="A251" s="98" t="s">
        <v>358</v>
      </c>
      <c r="B251" s="99"/>
      <c r="C251" s="99"/>
      <c r="D251" s="99"/>
      <c r="E251" s="99"/>
      <c r="F251" s="99"/>
      <c r="G251" s="99"/>
      <c r="H251" s="100"/>
      <c r="I251" s="35"/>
      <c r="N251" s="35"/>
      <c r="T251" s="20"/>
    </row>
    <row r="252" spans="1:20" s="84" customFormat="1" ht="15.75" customHeight="1">
      <c r="A252" s="96">
        <v>1</v>
      </c>
      <c r="B252" s="97"/>
      <c r="C252" s="94" t="s">
        <v>299</v>
      </c>
      <c r="D252" s="74">
        <f>( 85.213)*(10.764)</f>
        <v>917.23273199999983</v>
      </c>
      <c r="E252" s="74">
        <f t="shared" si="42"/>
        <v>0</v>
      </c>
      <c r="F252" s="94">
        <f>D252+(IF(E252&lt;201,E252,IF(E252&lt;301,E252/2,E252/3)))</f>
        <v>917.23273199999983</v>
      </c>
      <c r="G252" s="95">
        <v>0</v>
      </c>
      <c r="H252" s="94">
        <f>(F252+(IF(G252&lt;101,G252,IF(G252&lt;201,G252/2,IF(G252&lt;=301,G252/3,G252/4)))))*(($H$123)+1)</f>
        <v>1375.8490979999997</v>
      </c>
      <c r="I252" s="35"/>
      <c r="J252" s="84">
        <f>9100000/H252</f>
        <v>6614.0974422472618</v>
      </c>
      <c r="N252" s="35"/>
      <c r="T252" s="20"/>
    </row>
    <row r="253" spans="1:20" s="84" customFormat="1" ht="15.75" customHeight="1">
      <c r="A253" s="96">
        <f>A252+1</f>
        <v>2</v>
      </c>
      <c r="B253" s="97"/>
      <c r="C253" s="94" t="s">
        <v>299</v>
      </c>
      <c r="D253" s="74">
        <f>(45.898)*(10.764)</f>
        <v>494.04607199999998</v>
      </c>
      <c r="E253" s="74">
        <f t="shared" si="42"/>
        <v>0</v>
      </c>
      <c r="F253" s="94">
        <f t="shared" ref="F253:F258" si="74">D253+(IF(E253&lt;201,E253,IF(E253&lt;301,E253/2,E253/3)))</f>
        <v>494.04607199999998</v>
      </c>
      <c r="G253" s="94">
        <v>0</v>
      </c>
      <c r="H253" s="94">
        <f t="shared" ref="H253:H258" si="75">(F253+(IF(G253&lt;101,G253,IF(G253&lt;201,G253/2,IF(G253&lt;=301,G253/3,G253/4)))))*(($H$123)+1)</f>
        <v>741.06910799999991</v>
      </c>
      <c r="I253" s="35"/>
      <c r="J253" s="84">
        <f t="shared" ref="J253:J258" si="76">9100000/H253</f>
        <v>12279.556524166976</v>
      </c>
      <c r="N253" s="35"/>
      <c r="T253" s="20"/>
    </row>
    <row r="254" spans="1:20" s="84" customFormat="1" ht="15.75" customHeight="1">
      <c r="A254" s="96">
        <f>A253+1</f>
        <v>3</v>
      </c>
      <c r="B254" s="97"/>
      <c r="C254" s="94" t="s">
        <v>299</v>
      </c>
      <c r="D254" s="74">
        <f>(51.804)*(10.764)</f>
        <v>557.61825599999997</v>
      </c>
      <c r="E254" s="74">
        <f t="shared" si="42"/>
        <v>0</v>
      </c>
      <c r="F254" s="94">
        <f t="shared" si="74"/>
        <v>557.61825599999997</v>
      </c>
      <c r="G254" s="94">
        <v>0</v>
      </c>
      <c r="H254" s="94">
        <f t="shared" si="75"/>
        <v>836.42738399999996</v>
      </c>
      <c r="I254" s="35"/>
      <c r="J254" s="84">
        <f t="shared" si="76"/>
        <v>10879.605539074508</v>
      </c>
      <c r="N254" s="35"/>
      <c r="T254" s="20"/>
    </row>
    <row r="255" spans="1:20" s="84" customFormat="1" ht="15.75" customHeight="1">
      <c r="A255" s="96">
        <f>A254+1</f>
        <v>4</v>
      </c>
      <c r="B255" s="97"/>
      <c r="C255" s="94" t="s">
        <v>299</v>
      </c>
      <c r="D255" s="74">
        <f>(51.804)*(10.764)</f>
        <v>557.61825599999997</v>
      </c>
      <c r="E255" s="74">
        <f t="shared" si="42"/>
        <v>0</v>
      </c>
      <c r="F255" s="94">
        <f t="shared" si="74"/>
        <v>557.61825599999997</v>
      </c>
      <c r="G255" s="94">
        <v>0</v>
      </c>
      <c r="H255" s="94">
        <f t="shared" si="75"/>
        <v>836.42738399999996</v>
      </c>
      <c r="I255" s="35"/>
      <c r="J255" s="84">
        <f t="shared" si="76"/>
        <v>10879.605539074508</v>
      </c>
      <c r="N255" s="35"/>
      <c r="T255" s="20"/>
    </row>
    <row r="256" spans="1:20" s="84" customFormat="1" ht="15.75" customHeight="1">
      <c r="A256" s="96">
        <f t="shared" ref="A256:A258" si="77">A255+1</f>
        <v>5</v>
      </c>
      <c r="B256" s="97"/>
      <c r="C256" s="94" t="s">
        <v>299</v>
      </c>
      <c r="D256" s="74">
        <f>(45.898)*(10.764)</f>
        <v>494.04607199999998</v>
      </c>
      <c r="E256" s="74">
        <f t="shared" si="42"/>
        <v>0</v>
      </c>
      <c r="F256" s="94">
        <f t="shared" si="74"/>
        <v>494.04607199999998</v>
      </c>
      <c r="G256" s="94">
        <v>0</v>
      </c>
      <c r="H256" s="94">
        <f t="shared" si="75"/>
        <v>741.06910799999991</v>
      </c>
      <c r="I256" s="35"/>
      <c r="J256" s="84">
        <f t="shared" si="76"/>
        <v>12279.556524166976</v>
      </c>
      <c r="N256" s="35"/>
      <c r="T256" s="20"/>
    </row>
    <row r="257" spans="1:20" s="84" customFormat="1" ht="15.75" customHeight="1">
      <c r="A257" s="96">
        <f t="shared" si="77"/>
        <v>6</v>
      </c>
      <c r="B257" s="97"/>
      <c r="C257" s="94" t="s">
        <v>299</v>
      </c>
      <c r="D257" s="74">
        <f>(44.436)*(10.764)</f>
        <v>478.30910399999999</v>
      </c>
      <c r="E257" s="74">
        <f t="shared" si="42"/>
        <v>0</v>
      </c>
      <c r="F257" s="94">
        <f t="shared" si="74"/>
        <v>478.30910399999999</v>
      </c>
      <c r="G257" s="94">
        <v>0</v>
      </c>
      <c r="H257" s="94">
        <f t="shared" si="75"/>
        <v>717.46365600000001</v>
      </c>
      <c r="I257" s="35"/>
      <c r="J257" s="84">
        <f t="shared" si="76"/>
        <v>12683.569298456561</v>
      </c>
      <c r="N257" s="35"/>
      <c r="T257" s="20"/>
    </row>
    <row r="258" spans="1:20" s="84" customFormat="1" ht="15.75" customHeight="1">
      <c r="A258" s="96">
        <f t="shared" si="77"/>
        <v>7</v>
      </c>
      <c r="B258" s="97"/>
      <c r="C258" s="94" t="s">
        <v>299</v>
      </c>
      <c r="D258" s="74">
        <f>(50.534)*(10.764)</f>
        <v>543.94797599999993</v>
      </c>
      <c r="E258" s="74">
        <f t="shared" si="42"/>
        <v>0</v>
      </c>
      <c r="F258" s="94">
        <f t="shared" si="74"/>
        <v>543.94797599999993</v>
      </c>
      <c r="G258" s="94">
        <v>0</v>
      </c>
      <c r="H258" s="94">
        <f t="shared" si="75"/>
        <v>815.92196399999989</v>
      </c>
      <c r="I258" s="35"/>
      <c r="J258" s="84">
        <f t="shared" si="76"/>
        <v>11153.027374563973</v>
      </c>
      <c r="N258" s="35"/>
      <c r="T258" s="20"/>
    </row>
    <row r="259" spans="1:20" s="68" customFormat="1" ht="15.75" customHeight="1">
      <c r="A259" s="238" t="s">
        <v>378</v>
      </c>
      <c r="B259" s="239"/>
      <c r="C259" s="239"/>
      <c r="D259" s="239"/>
      <c r="E259" s="239"/>
      <c r="F259" s="239"/>
      <c r="G259" s="239"/>
      <c r="H259" s="240"/>
      <c r="I259" s="35"/>
      <c r="N259" s="35"/>
      <c r="T259" s="20"/>
    </row>
    <row r="260" spans="1:20" s="68" customFormat="1" ht="31.5" customHeight="1">
      <c r="A260" s="98" t="s">
        <v>360</v>
      </c>
      <c r="B260" s="99"/>
      <c r="C260" s="99"/>
      <c r="D260" s="99"/>
      <c r="E260" s="99"/>
      <c r="F260" s="99"/>
      <c r="G260" s="99"/>
      <c r="H260" s="100"/>
      <c r="I260" s="35"/>
      <c r="N260" s="35"/>
      <c r="T260" s="20"/>
    </row>
    <row r="261" spans="1:20" s="68" customFormat="1" ht="15.75" customHeight="1">
      <c r="A261" s="98" t="s">
        <v>361</v>
      </c>
      <c r="B261" s="99"/>
      <c r="C261" s="99"/>
      <c r="D261" s="99"/>
      <c r="E261" s="99"/>
      <c r="F261" s="99"/>
      <c r="G261" s="99"/>
      <c r="H261" s="100"/>
      <c r="I261" s="35"/>
      <c r="N261" s="35"/>
      <c r="T261" s="20"/>
    </row>
    <row r="262" spans="1:20" s="87" customFormat="1" ht="15.75" customHeight="1">
      <c r="A262" s="98" t="s">
        <v>362</v>
      </c>
      <c r="B262" s="99"/>
      <c r="C262" s="99"/>
      <c r="D262" s="99"/>
      <c r="E262" s="99"/>
      <c r="F262" s="99"/>
      <c r="G262" s="99"/>
      <c r="H262" s="100"/>
      <c r="I262" s="35"/>
      <c r="N262" s="35"/>
      <c r="T262" s="20"/>
    </row>
    <row r="263" spans="1:20" s="87" customFormat="1" ht="15.75" customHeight="1">
      <c r="A263" s="98" t="s">
        <v>363</v>
      </c>
      <c r="B263" s="99"/>
      <c r="C263" s="99"/>
      <c r="D263" s="99"/>
      <c r="E263" s="99"/>
      <c r="F263" s="99"/>
      <c r="G263" s="99"/>
      <c r="H263" s="100"/>
      <c r="I263" s="35"/>
      <c r="N263" s="35"/>
      <c r="T263" s="20"/>
    </row>
    <row r="264" spans="1:20" s="87" customFormat="1" ht="15.75" customHeight="1">
      <c r="A264" s="98" t="s">
        <v>364</v>
      </c>
      <c r="B264" s="99"/>
      <c r="C264" s="99"/>
      <c r="D264" s="99"/>
      <c r="E264" s="99"/>
      <c r="F264" s="99"/>
      <c r="G264" s="99"/>
      <c r="H264" s="100"/>
      <c r="I264" s="35"/>
      <c r="N264" s="35"/>
      <c r="T264" s="20"/>
    </row>
    <row r="265" spans="1:20" s="87" customFormat="1" ht="15.75" customHeight="1">
      <c r="A265" s="98" t="s">
        <v>365</v>
      </c>
      <c r="B265" s="99"/>
      <c r="C265" s="99"/>
      <c r="D265" s="99"/>
      <c r="E265" s="99"/>
      <c r="F265" s="99"/>
      <c r="G265" s="99"/>
      <c r="H265" s="100"/>
      <c r="I265" s="35"/>
      <c r="N265" s="35"/>
      <c r="T265" s="20"/>
    </row>
    <row r="266" spans="1:20" s="76" customFormat="1" ht="15.75" customHeight="1">
      <c r="A266" s="98" t="s">
        <v>366</v>
      </c>
      <c r="B266" s="99"/>
      <c r="C266" s="99"/>
      <c r="D266" s="99"/>
      <c r="E266" s="99"/>
      <c r="F266" s="99"/>
      <c r="G266" s="99"/>
      <c r="H266" s="100"/>
      <c r="I266" s="35"/>
      <c r="N266" s="35"/>
      <c r="T266" s="20"/>
    </row>
    <row r="267" spans="1:20" s="68" customFormat="1" ht="15.75" customHeight="1">
      <c r="A267" s="96">
        <v>1</v>
      </c>
      <c r="B267" s="97"/>
      <c r="C267" s="94" t="s">
        <v>299</v>
      </c>
      <c r="D267" s="74">
        <f>137.729*(10.764)</f>
        <v>1482.514956</v>
      </c>
      <c r="E267" s="74">
        <f t="shared" ref="E267:E327" si="78">0*(10.764)</f>
        <v>0</v>
      </c>
      <c r="F267" s="94">
        <f>D267+(IF(E267&lt;201,E267,IF(E267&lt;301,E267/2,E267/3)))</f>
        <v>1482.514956</v>
      </c>
      <c r="G267" s="95">
        <v>0</v>
      </c>
      <c r="H267" s="94">
        <f>(F267+(IF(G267&lt;101,G267,IF(G267&lt;201,G267/2,IF(G267&lt;=301,G267/3,G267/4)))))*(($H$123)+1)</f>
        <v>2223.772434</v>
      </c>
      <c r="I267" s="35"/>
      <c r="N267" s="35"/>
      <c r="T267" s="20"/>
    </row>
    <row r="268" spans="1:20" s="68" customFormat="1" ht="15.75" customHeight="1">
      <c r="A268" s="96">
        <v>2</v>
      </c>
      <c r="B268" s="97"/>
      <c r="C268" s="94" t="s">
        <v>299</v>
      </c>
      <c r="D268" s="74">
        <f>82.349*(10.764)</f>
        <v>886.40463599999998</v>
      </c>
      <c r="E268" s="74">
        <f t="shared" si="78"/>
        <v>0</v>
      </c>
      <c r="F268" s="94">
        <f>D268+(IF(E268&lt;201,E268,IF(E268&lt;301,E268/2,E268/3)))</f>
        <v>886.40463599999998</v>
      </c>
      <c r="G268" s="95">
        <v>0</v>
      </c>
      <c r="H268" s="94">
        <f>(F268+(IF(G268&lt;101,G268,IF(G268&lt;201,G268/2,IF(G268&lt;=301,G268/3,G268/4)))))*(($H$123)+1)</f>
        <v>1329.6069539999999</v>
      </c>
      <c r="I268" s="35"/>
      <c r="N268" s="35"/>
      <c r="T268" s="20"/>
    </row>
    <row r="269" spans="1:20" s="68" customFormat="1" ht="15.75" customHeight="1">
      <c r="A269" s="96">
        <v>3</v>
      </c>
      <c r="B269" s="97"/>
      <c r="C269" s="94" t="s">
        <v>299</v>
      </c>
      <c r="D269" s="74">
        <f>85.131*(10.764)</f>
        <v>916.35008399999992</v>
      </c>
      <c r="E269" s="74">
        <f t="shared" si="78"/>
        <v>0</v>
      </c>
      <c r="F269" s="94">
        <f t="shared" ref="F269:F282" si="79">D269+(IF(E269&lt;201,E269,IF(E269&lt;301,E269/2,E269/3)))</f>
        <v>916.35008399999992</v>
      </c>
      <c r="G269" s="94">
        <v>0</v>
      </c>
      <c r="H269" s="94">
        <f t="shared" ref="H269:H282" si="80">(F269+(IF(G269&lt;101,G269,IF(G269&lt;201,G269/2,IF(G269&lt;=301,G269/3,G269/4)))))*(($H$123)+1)</f>
        <v>1374.525126</v>
      </c>
      <c r="I269" s="35"/>
      <c r="N269" s="35"/>
      <c r="T269" s="20"/>
    </row>
    <row r="270" spans="1:20" s="68" customFormat="1" ht="15.75" customHeight="1">
      <c r="A270" s="96">
        <v>4</v>
      </c>
      <c r="B270" s="97"/>
      <c r="C270" s="94" t="s">
        <v>299</v>
      </c>
      <c r="D270" s="74">
        <f>87.336*(10.764)</f>
        <v>940.08470399999987</v>
      </c>
      <c r="E270" s="74">
        <f t="shared" si="78"/>
        <v>0</v>
      </c>
      <c r="F270" s="94">
        <f t="shared" si="79"/>
        <v>940.08470399999987</v>
      </c>
      <c r="G270" s="94">
        <v>0</v>
      </c>
      <c r="H270" s="94">
        <f t="shared" si="80"/>
        <v>1410.1270559999998</v>
      </c>
      <c r="I270" s="35"/>
      <c r="N270" s="35"/>
      <c r="T270" s="20"/>
    </row>
    <row r="271" spans="1:20" s="68" customFormat="1" ht="15.75" customHeight="1">
      <c r="A271" s="96">
        <v>5</v>
      </c>
      <c r="B271" s="97"/>
      <c r="C271" s="94" t="s">
        <v>299</v>
      </c>
      <c r="D271" s="74">
        <f>89.135*(10.764)</f>
        <v>959.44913999999994</v>
      </c>
      <c r="E271" s="74">
        <f t="shared" si="78"/>
        <v>0</v>
      </c>
      <c r="F271" s="94">
        <f t="shared" si="79"/>
        <v>959.44913999999994</v>
      </c>
      <c r="G271" s="94">
        <v>0</v>
      </c>
      <c r="H271" s="94">
        <f t="shared" si="80"/>
        <v>1439.17371</v>
      </c>
      <c r="I271" s="35"/>
      <c r="N271" s="35"/>
      <c r="T271" s="20"/>
    </row>
    <row r="272" spans="1:20" s="68" customFormat="1" ht="15.75" customHeight="1">
      <c r="A272" s="96">
        <v>6</v>
      </c>
      <c r="B272" s="97"/>
      <c r="C272" s="94" t="s">
        <v>299</v>
      </c>
      <c r="D272" s="74">
        <f>103.903*(10.764)</f>
        <v>1118.4118920000001</v>
      </c>
      <c r="E272" s="74">
        <f t="shared" si="78"/>
        <v>0</v>
      </c>
      <c r="F272" s="94">
        <f t="shared" si="79"/>
        <v>1118.4118920000001</v>
      </c>
      <c r="G272" s="94">
        <v>0</v>
      </c>
      <c r="H272" s="94">
        <f t="shared" si="80"/>
        <v>1677.6178380000001</v>
      </c>
      <c r="I272" s="35"/>
      <c r="N272" s="35"/>
      <c r="T272" s="20"/>
    </row>
    <row r="273" spans="1:20" s="68" customFormat="1" ht="15.75" customHeight="1">
      <c r="A273" s="96">
        <v>7</v>
      </c>
      <c r="B273" s="97"/>
      <c r="C273" s="94" t="s">
        <v>299</v>
      </c>
      <c r="D273" s="74">
        <f>107.103*(10.764)</f>
        <v>1152.8566919999998</v>
      </c>
      <c r="E273" s="74">
        <f t="shared" si="78"/>
        <v>0</v>
      </c>
      <c r="F273" s="94">
        <f t="shared" si="79"/>
        <v>1152.8566919999998</v>
      </c>
      <c r="G273" s="94">
        <v>0</v>
      </c>
      <c r="H273" s="94">
        <f t="shared" si="80"/>
        <v>1729.2850379999998</v>
      </c>
      <c r="I273" s="35"/>
      <c r="N273" s="35"/>
      <c r="T273" s="20"/>
    </row>
    <row r="274" spans="1:20" s="68" customFormat="1" ht="15.75" customHeight="1">
      <c r="A274" s="96">
        <v>8</v>
      </c>
      <c r="B274" s="97"/>
      <c r="C274" s="94" t="s">
        <v>299</v>
      </c>
      <c r="D274" s="74">
        <f>89.023*(10.764)</f>
        <v>958.24357199999986</v>
      </c>
      <c r="E274" s="74">
        <f t="shared" si="78"/>
        <v>0</v>
      </c>
      <c r="F274" s="94">
        <f t="shared" si="79"/>
        <v>958.24357199999986</v>
      </c>
      <c r="G274" s="94">
        <v>0</v>
      </c>
      <c r="H274" s="94">
        <f t="shared" si="80"/>
        <v>1437.3653579999998</v>
      </c>
      <c r="I274" s="35"/>
      <c r="N274" s="35"/>
      <c r="T274" s="20"/>
    </row>
    <row r="275" spans="1:20" s="68" customFormat="1" ht="15.75" customHeight="1">
      <c r="A275" s="96">
        <v>9</v>
      </c>
      <c r="B275" s="97"/>
      <c r="C275" s="94" t="s">
        <v>299</v>
      </c>
      <c r="D275" s="74">
        <f>74.171*(10.764)</f>
        <v>798.37664400000006</v>
      </c>
      <c r="E275" s="74">
        <f t="shared" si="78"/>
        <v>0</v>
      </c>
      <c r="F275" s="94">
        <f t="shared" si="79"/>
        <v>798.37664400000006</v>
      </c>
      <c r="G275" s="94">
        <v>0</v>
      </c>
      <c r="H275" s="94">
        <f t="shared" si="80"/>
        <v>1197.5649660000001</v>
      </c>
      <c r="I275" s="35"/>
      <c r="N275" s="35"/>
      <c r="T275" s="20"/>
    </row>
    <row r="276" spans="1:20" s="68" customFormat="1" ht="15.75" customHeight="1">
      <c r="A276" s="96">
        <v>10</v>
      </c>
      <c r="B276" s="97"/>
      <c r="C276" s="94" t="s">
        <v>299</v>
      </c>
      <c r="D276" s="74">
        <f>74.171*(10.764)</f>
        <v>798.37664400000006</v>
      </c>
      <c r="E276" s="74">
        <f t="shared" si="78"/>
        <v>0</v>
      </c>
      <c r="F276" s="94">
        <f t="shared" si="79"/>
        <v>798.37664400000006</v>
      </c>
      <c r="G276" s="94">
        <v>0</v>
      </c>
      <c r="H276" s="94">
        <f t="shared" si="80"/>
        <v>1197.5649660000001</v>
      </c>
      <c r="I276" s="35"/>
      <c r="N276" s="35"/>
      <c r="T276" s="20"/>
    </row>
    <row r="277" spans="1:20" s="68" customFormat="1" ht="15.75" customHeight="1">
      <c r="A277" s="96">
        <v>11</v>
      </c>
      <c r="B277" s="97"/>
      <c r="C277" s="94" t="s">
        <v>299</v>
      </c>
      <c r="D277" s="74">
        <f>82.349*(10.764)</f>
        <v>886.40463599999998</v>
      </c>
      <c r="E277" s="74">
        <f t="shared" si="78"/>
        <v>0</v>
      </c>
      <c r="F277" s="94">
        <f t="shared" si="79"/>
        <v>886.40463599999998</v>
      </c>
      <c r="G277" s="94">
        <v>0</v>
      </c>
      <c r="H277" s="94">
        <f t="shared" si="80"/>
        <v>1329.6069539999999</v>
      </c>
      <c r="I277" s="35"/>
      <c r="N277" s="35"/>
      <c r="T277" s="20"/>
    </row>
    <row r="278" spans="1:20" s="68" customFormat="1" ht="15.75" customHeight="1">
      <c r="A278" s="96">
        <v>12</v>
      </c>
      <c r="B278" s="97"/>
      <c r="C278" s="94" t="s">
        <v>299</v>
      </c>
      <c r="D278" s="74">
        <f>137.711*(10.764)</f>
        <v>1482.3212040000001</v>
      </c>
      <c r="E278" s="74">
        <f t="shared" si="78"/>
        <v>0</v>
      </c>
      <c r="F278" s="94">
        <f t="shared" si="79"/>
        <v>1482.3212040000001</v>
      </c>
      <c r="G278" s="94">
        <v>0</v>
      </c>
      <c r="H278" s="94">
        <f t="shared" si="80"/>
        <v>2223.4818060000002</v>
      </c>
      <c r="I278" s="35"/>
      <c r="N278" s="35"/>
      <c r="T278" s="20"/>
    </row>
    <row r="279" spans="1:20" s="68" customFormat="1" ht="15.75" customHeight="1">
      <c r="A279" s="96">
        <v>13</v>
      </c>
      <c r="B279" s="97"/>
      <c r="C279" s="94" t="s">
        <v>299</v>
      </c>
      <c r="D279" s="74">
        <f>126.012*(10.764)</f>
        <v>1356.3931679999998</v>
      </c>
      <c r="E279" s="74">
        <f t="shared" si="78"/>
        <v>0</v>
      </c>
      <c r="F279" s="94">
        <f t="shared" si="79"/>
        <v>1356.3931679999998</v>
      </c>
      <c r="G279" s="94">
        <v>0</v>
      </c>
      <c r="H279" s="94">
        <f t="shared" si="80"/>
        <v>2034.5897519999999</v>
      </c>
      <c r="I279" s="35"/>
      <c r="N279" s="35"/>
      <c r="T279" s="20"/>
    </row>
    <row r="280" spans="1:20" s="68" customFormat="1" ht="15.75" customHeight="1">
      <c r="A280" s="96">
        <v>14</v>
      </c>
      <c r="B280" s="97"/>
      <c r="C280" s="94" t="s">
        <v>299</v>
      </c>
      <c r="D280" s="74">
        <f>80.022*(10.764)</f>
        <v>861.356808</v>
      </c>
      <c r="E280" s="74">
        <f t="shared" si="78"/>
        <v>0</v>
      </c>
      <c r="F280" s="94">
        <f t="shared" si="79"/>
        <v>861.356808</v>
      </c>
      <c r="G280" s="94">
        <v>0</v>
      </c>
      <c r="H280" s="94">
        <f t="shared" si="80"/>
        <v>1292.035212</v>
      </c>
      <c r="I280" s="35"/>
      <c r="N280" s="35"/>
      <c r="T280" s="20"/>
    </row>
    <row r="281" spans="1:20" s="68" customFormat="1" ht="15.75" customHeight="1">
      <c r="A281" s="96">
        <v>15</v>
      </c>
      <c r="B281" s="97"/>
      <c r="C281" s="94" t="s">
        <v>299</v>
      </c>
      <c r="D281" s="74">
        <f>82.802*(10.764)</f>
        <v>891.28072800000007</v>
      </c>
      <c r="E281" s="74">
        <f t="shared" si="78"/>
        <v>0</v>
      </c>
      <c r="F281" s="94">
        <f t="shared" si="79"/>
        <v>891.28072800000007</v>
      </c>
      <c r="G281" s="94">
        <v>0</v>
      </c>
      <c r="H281" s="94">
        <f t="shared" si="80"/>
        <v>1336.921092</v>
      </c>
      <c r="I281" s="35"/>
      <c r="N281" s="35"/>
      <c r="T281" s="20"/>
    </row>
    <row r="282" spans="1:20" s="68" customFormat="1" ht="15.75" customHeight="1">
      <c r="A282" s="96">
        <v>16</v>
      </c>
      <c r="B282" s="97"/>
      <c r="C282" s="94" t="s">
        <v>299</v>
      </c>
      <c r="D282" s="74">
        <f>150.037*(10.764)</f>
        <v>1614.9982680000001</v>
      </c>
      <c r="E282" s="74">
        <f t="shared" si="78"/>
        <v>0</v>
      </c>
      <c r="F282" s="94">
        <f t="shared" si="79"/>
        <v>1614.9982680000001</v>
      </c>
      <c r="G282" s="94">
        <v>0</v>
      </c>
      <c r="H282" s="94">
        <f t="shared" si="80"/>
        <v>2422.497402</v>
      </c>
      <c r="I282" s="35"/>
      <c r="N282" s="35"/>
      <c r="T282" s="20"/>
    </row>
    <row r="283" spans="1:20" s="87" customFormat="1" ht="15.75" customHeight="1">
      <c r="A283" s="96">
        <v>17</v>
      </c>
      <c r="B283" s="97"/>
      <c r="C283" s="94" t="s">
        <v>299</v>
      </c>
      <c r="D283" s="74">
        <f>150.037*(10.764)</f>
        <v>1614.9982680000001</v>
      </c>
      <c r="E283" s="74">
        <f t="shared" si="78"/>
        <v>0</v>
      </c>
      <c r="F283" s="94">
        <f t="shared" ref="F283:F286" si="81">D283+(IF(E283&lt;201,E283,IF(E283&lt;301,E283/2,E283/3)))</f>
        <v>1614.9982680000001</v>
      </c>
      <c r="G283" s="94">
        <v>0</v>
      </c>
      <c r="H283" s="94">
        <f t="shared" ref="H283:H286" si="82">(F283+(IF(G283&lt;101,G283,IF(G283&lt;201,G283/2,IF(G283&lt;=301,G283/3,G283/4)))))*(($H$123)+1)</f>
        <v>2422.497402</v>
      </c>
      <c r="I283" s="35"/>
      <c r="N283" s="35"/>
      <c r="T283" s="20"/>
    </row>
    <row r="284" spans="1:20" s="87" customFormat="1" ht="15.75" customHeight="1">
      <c r="A284" s="96">
        <v>18</v>
      </c>
      <c r="B284" s="97"/>
      <c r="C284" s="94" t="s">
        <v>299</v>
      </c>
      <c r="D284" s="74">
        <f>82.756*(10.764)</f>
        <v>890.78558399999997</v>
      </c>
      <c r="E284" s="74">
        <f t="shared" si="78"/>
        <v>0</v>
      </c>
      <c r="F284" s="94">
        <f t="shared" si="81"/>
        <v>890.78558399999997</v>
      </c>
      <c r="G284" s="94">
        <v>0</v>
      </c>
      <c r="H284" s="94">
        <f t="shared" si="82"/>
        <v>1336.1783759999998</v>
      </c>
      <c r="I284" s="35"/>
      <c r="N284" s="35"/>
      <c r="T284" s="20"/>
    </row>
    <row r="285" spans="1:20" s="87" customFormat="1" ht="15.75" customHeight="1">
      <c r="A285" s="96">
        <v>19</v>
      </c>
      <c r="B285" s="97"/>
      <c r="C285" s="94" t="s">
        <v>299</v>
      </c>
      <c r="D285" s="74">
        <f>80.049*(10.764)</f>
        <v>861.64743599999997</v>
      </c>
      <c r="E285" s="74">
        <f t="shared" si="78"/>
        <v>0</v>
      </c>
      <c r="F285" s="94">
        <f t="shared" si="81"/>
        <v>861.64743599999997</v>
      </c>
      <c r="G285" s="94">
        <v>0</v>
      </c>
      <c r="H285" s="94">
        <f t="shared" si="82"/>
        <v>1292.4711539999998</v>
      </c>
      <c r="I285" s="35"/>
      <c r="N285" s="35"/>
      <c r="T285" s="20"/>
    </row>
    <row r="286" spans="1:20" s="87" customFormat="1" ht="15.75" customHeight="1">
      <c r="A286" s="96">
        <v>20</v>
      </c>
      <c r="B286" s="97"/>
      <c r="C286" s="94" t="s">
        <v>299</v>
      </c>
      <c r="D286" s="74">
        <f>126.012*(10.764)</f>
        <v>1356.3931679999998</v>
      </c>
      <c r="E286" s="74">
        <f t="shared" si="78"/>
        <v>0</v>
      </c>
      <c r="F286" s="94">
        <f t="shared" si="81"/>
        <v>1356.3931679999998</v>
      </c>
      <c r="G286" s="94">
        <v>0</v>
      </c>
      <c r="H286" s="94">
        <f t="shared" si="82"/>
        <v>2034.5897519999999</v>
      </c>
      <c r="I286" s="35"/>
      <c r="N286" s="35"/>
      <c r="T286" s="20"/>
    </row>
    <row r="287" spans="1:20" s="87" customFormat="1" ht="15.75" customHeight="1">
      <c r="A287" s="98" t="s">
        <v>375</v>
      </c>
      <c r="B287" s="99"/>
      <c r="C287" s="99"/>
      <c r="D287" s="99"/>
      <c r="E287" s="99"/>
      <c r="F287" s="99"/>
      <c r="G287" s="99"/>
      <c r="H287" s="100"/>
      <c r="I287" s="35"/>
      <c r="N287" s="35"/>
      <c r="T287" s="20"/>
    </row>
    <row r="288" spans="1:20" s="87" customFormat="1" ht="15.75" customHeight="1">
      <c r="A288" s="96">
        <v>1</v>
      </c>
      <c r="B288" s="97"/>
      <c r="C288" s="94" t="s">
        <v>299</v>
      </c>
      <c r="D288" s="74">
        <f>137.729*(10.764)</f>
        <v>1482.514956</v>
      </c>
      <c r="E288" s="74">
        <f t="shared" si="78"/>
        <v>0</v>
      </c>
      <c r="F288" s="94">
        <f>D288+(IF(E288&lt;201,E288,IF(E288&lt;301,E288/2,E288/3)))</f>
        <v>1482.514956</v>
      </c>
      <c r="G288" s="95">
        <v>0</v>
      </c>
      <c r="H288" s="94">
        <f>(F288+(IF(G288&lt;101,G288,IF(G288&lt;201,G288/2,IF(G288&lt;=301,G288/3,G288/4)))))*(($H$123)+1)</f>
        <v>2223.772434</v>
      </c>
      <c r="I288" s="35"/>
      <c r="N288" s="35"/>
      <c r="T288" s="20"/>
    </row>
    <row r="289" spans="1:20" s="87" customFormat="1" ht="15.75" customHeight="1">
      <c r="A289" s="96">
        <v>2</v>
      </c>
      <c r="B289" s="97"/>
      <c r="C289" s="94" t="s">
        <v>299</v>
      </c>
      <c r="D289" s="74">
        <f>82.349*(10.764)</f>
        <v>886.40463599999998</v>
      </c>
      <c r="E289" s="74">
        <f t="shared" si="78"/>
        <v>0</v>
      </c>
      <c r="F289" s="94">
        <f>D289+(IF(E289&lt;201,E289,IF(E289&lt;301,E289/2,E289/3)))</f>
        <v>886.40463599999998</v>
      </c>
      <c r="G289" s="95">
        <v>0</v>
      </c>
      <c r="H289" s="94">
        <f>(F289+(IF(G289&lt;101,G289,IF(G289&lt;201,G289/2,IF(G289&lt;=301,G289/3,G289/4)))))*(($H$123)+1)</f>
        <v>1329.6069539999999</v>
      </c>
      <c r="I289" s="35"/>
      <c r="N289" s="35"/>
      <c r="T289" s="20"/>
    </row>
    <row r="290" spans="1:20" s="87" customFormat="1" ht="15.75" customHeight="1">
      <c r="A290" s="96">
        <v>3</v>
      </c>
      <c r="B290" s="97"/>
      <c r="C290" s="94" t="s">
        <v>299</v>
      </c>
      <c r="D290" s="74">
        <f>85.131*(10.764)</f>
        <v>916.35008399999992</v>
      </c>
      <c r="E290" s="74">
        <f t="shared" si="78"/>
        <v>0</v>
      </c>
      <c r="F290" s="94">
        <f t="shared" ref="F290:F307" si="83">D290+(IF(E290&lt;201,E290,IF(E290&lt;301,E290/2,E290/3)))</f>
        <v>916.35008399999992</v>
      </c>
      <c r="G290" s="94">
        <v>0</v>
      </c>
      <c r="H290" s="94">
        <f t="shared" ref="H290:H307" si="84">(F290+(IF(G290&lt;101,G290,IF(G290&lt;201,G290/2,IF(G290&lt;=301,G290/3,G290/4)))))*(($H$123)+1)</f>
        <v>1374.525126</v>
      </c>
      <c r="I290" s="35"/>
      <c r="N290" s="35"/>
      <c r="T290" s="20"/>
    </row>
    <row r="291" spans="1:20" s="87" customFormat="1" ht="15.75" customHeight="1">
      <c r="A291" s="96">
        <v>4</v>
      </c>
      <c r="B291" s="97"/>
      <c r="C291" s="94" t="s">
        <v>299</v>
      </c>
      <c r="D291" s="74">
        <f>87.336*(10.764)</f>
        <v>940.08470399999987</v>
      </c>
      <c r="E291" s="74">
        <f t="shared" si="78"/>
        <v>0</v>
      </c>
      <c r="F291" s="94">
        <f t="shared" si="83"/>
        <v>940.08470399999987</v>
      </c>
      <c r="G291" s="94">
        <v>0</v>
      </c>
      <c r="H291" s="94">
        <f t="shared" si="84"/>
        <v>1410.1270559999998</v>
      </c>
      <c r="I291" s="35"/>
      <c r="N291" s="35"/>
      <c r="T291" s="20"/>
    </row>
    <row r="292" spans="1:20" s="87" customFormat="1" ht="15.75" customHeight="1">
      <c r="A292" s="96">
        <v>5</v>
      </c>
      <c r="B292" s="97"/>
      <c r="C292" s="94" t="s">
        <v>299</v>
      </c>
      <c r="D292" s="74">
        <f>89.135*(10.764)</f>
        <v>959.44913999999994</v>
      </c>
      <c r="E292" s="74">
        <f t="shared" si="78"/>
        <v>0</v>
      </c>
      <c r="F292" s="94">
        <f t="shared" si="83"/>
        <v>959.44913999999994</v>
      </c>
      <c r="G292" s="94">
        <v>0</v>
      </c>
      <c r="H292" s="94">
        <f t="shared" si="84"/>
        <v>1439.17371</v>
      </c>
      <c r="I292" s="35"/>
      <c r="N292" s="35"/>
      <c r="T292" s="20"/>
    </row>
    <row r="293" spans="1:20" s="87" customFormat="1" ht="15.75" customHeight="1">
      <c r="A293" s="96">
        <v>6</v>
      </c>
      <c r="B293" s="97"/>
      <c r="C293" s="94" t="s">
        <v>299</v>
      </c>
      <c r="D293" s="74">
        <f>103.903*(10.764)</f>
        <v>1118.4118920000001</v>
      </c>
      <c r="E293" s="74">
        <f t="shared" si="78"/>
        <v>0</v>
      </c>
      <c r="F293" s="94">
        <f t="shared" si="83"/>
        <v>1118.4118920000001</v>
      </c>
      <c r="G293" s="94">
        <v>0</v>
      </c>
      <c r="H293" s="94">
        <f t="shared" si="84"/>
        <v>1677.6178380000001</v>
      </c>
      <c r="I293" s="35"/>
      <c r="N293" s="35"/>
      <c r="T293" s="20"/>
    </row>
    <row r="294" spans="1:20" s="87" customFormat="1" ht="15.75" customHeight="1">
      <c r="A294" s="96">
        <v>7</v>
      </c>
      <c r="B294" s="97"/>
      <c r="C294" s="94" t="s">
        <v>299</v>
      </c>
      <c r="D294" s="74">
        <f>107.103*(10.764)</f>
        <v>1152.8566919999998</v>
      </c>
      <c r="E294" s="74">
        <f t="shared" si="78"/>
        <v>0</v>
      </c>
      <c r="F294" s="94">
        <f t="shared" si="83"/>
        <v>1152.8566919999998</v>
      </c>
      <c r="G294" s="94">
        <v>0</v>
      </c>
      <c r="H294" s="94">
        <f t="shared" si="84"/>
        <v>1729.2850379999998</v>
      </c>
      <c r="I294" s="35"/>
      <c r="N294" s="35"/>
      <c r="T294" s="20"/>
    </row>
    <row r="295" spans="1:20" s="87" customFormat="1" ht="15.75" customHeight="1">
      <c r="A295" s="96">
        <v>8</v>
      </c>
      <c r="B295" s="97"/>
      <c r="C295" s="94" t="s">
        <v>299</v>
      </c>
      <c r="D295" s="74">
        <f>89.023*(10.764)</f>
        <v>958.24357199999986</v>
      </c>
      <c r="E295" s="74">
        <f t="shared" si="78"/>
        <v>0</v>
      </c>
      <c r="F295" s="94">
        <f t="shared" si="83"/>
        <v>958.24357199999986</v>
      </c>
      <c r="G295" s="94">
        <v>0</v>
      </c>
      <c r="H295" s="94">
        <f t="shared" si="84"/>
        <v>1437.3653579999998</v>
      </c>
      <c r="I295" s="35"/>
      <c r="N295" s="35"/>
      <c r="T295" s="20"/>
    </row>
    <row r="296" spans="1:20" s="87" customFormat="1" ht="15.75" customHeight="1">
      <c r="A296" s="96">
        <v>9</v>
      </c>
      <c r="B296" s="97"/>
      <c r="C296" s="94" t="s">
        <v>299</v>
      </c>
      <c r="D296" s="74">
        <f>74.171*(10.764)</f>
        <v>798.37664400000006</v>
      </c>
      <c r="E296" s="74">
        <f t="shared" si="78"/>
        <v>0</v>
      </c>
      <c r="F296" s="94">
        <f t="shared" si="83"/>
        <v>798.37664400000006</v>
      </c>
      <c r="G296" s="94">
        <v>0</v>
      </c>
      <c r="H296" s="94">
        <f t="shared" si="84"/>
        <v>1197.5649660000001</v>
      </c>
      <c r="I296" s="35"/>
      <c r="N296" s="35"/>
      <c r="T296" s="20"/>
    </row>
    <row r="297" spans="1:20" s="87" customFormat="1" ht="15.75" customHeight="1">
      <c r="A297" s="107">
        <v>10</v>
      </c>
      <c r="B297" s="108"/>
      <c r="C297" s="86" t="s">
        <v>299</v>
      </c>
      <c r="D297" s="74">
        <f>74.171*(10.764)</f>
        <v>798.37664400000006</v>
      </c>
      <c r="E297" s="74">
        <f t="shared" si="78"/>
        <v>0</v>
      </c>
      <c r="F297" s="86">
        <f t="shared" si="83"/>
        <v>798.37664400000006</v>
      </c>
      <c r="G297" s="86">
        <v>0</v>
      </c>
      <c r="H297" s="86">
        <f t="shared" si="84"/>
        <v>1197.5649660000001</v>
      </c>
      <c r="I297" s="35"/>
      <c r="N297" s="35"/>
      <c r="T297" s="20"/>
    </row>
    <row r="298" spans="1:20" s="87" customFormat="1" ht="15.75" customHeight="1">
      <c r="A298" s="107">
        <v>11</v>
      </c>
      <c r="B298" s="108"/>
      <c r="C298" s="86" t="s">
        <v>299</v>
      </c>
      <c r="D298" s="74">
        <f>82.349*(10.764)</f>
        <v>886.40463599999998</v>
      </c>
      <c r="E298" s="74">
        <f t="shared" si="78"/>
        <v>0</v>
      </c>
      <c r="F298" s="86">
        <f t="shared" si="83"/>
        <v>886.40463599999998</v>
      </c>
      <c r="G298" s="86">
        <v>0</v>
      </c>
      <c r="H298" s="86">
        <f t="shared" si="84"/>
        <v>1329.6069539999999</v>
      </c>
      <c r="I298" s="35"/>
      <c r="N298" s="35"/>
      <c r="T298" s="20"/>
    </row>
    <row r="299" spans="1:20" s="87" customFormat="1" ht="15.75" customHeight="1">
      <c r="A299" s="107">
        <v>12</v>
      </c>
      <c r="B299" s="108"/>
      <c r="C299" s="86" t="s">
        <v>299</v>
      </c>
      <c r="D299" s="74">
        <f>137.711*(10.764)</f>
        <v>1482.3212040000001</v>
      </c>
      <c r="E299" s="74">
        <f t="shared" si="78"/>
        <v>0</v>
      </c>
      <c r="F299" s="86">
        <f t="shared" si="83"/>
        <v>1482.3212040000001</v>
      </c>
      <c r="G299" s="86">
        <v>0</v>
      </c>
      <c r="H299" s="86">
        <f t="shared" si="84"/>
        <v>2223.4818060000002</v>
      </c>
      <c r="I299" s="35"/>
      <c r="N299" s="35"/>
      <c r="T299" s="20"/>
    </row>
    <row r="300" spans="1:20" s="87" customFormat="1" ht="15.75" customHeight="1">
      <c r="A300" s="107">
        <v>13</v>
      </c>
      <c r="B300" s="108"/>
      <c r="C300" s="86" t="s">
        <v>299</v>
      </c>
      <c r="D300" s="74">
        <f>126.012*(10.764)</f>
        <v>1356.3931679999998</v>
      </c>
      <c r="E300" s="74">
        <f t="shared" si="78"/>
        <v>0</v>
      </c>
      <c r="F300" s="86">
        <f t="shared" si="83"/>
        <v>1356.3931679999998</v>
      </c>
      <c r="G300" s="86">
        <v>0</v>
      </c>
      <c r="H300" s="86">
        <f t="shared" si="84"/>
        <v>2034.5897519999999</v>
      </c>
      <c r="I300" s="35"/>
      <c r="N300" s="35"/>
      <c r="T300" s="20"/>
    </row>
    <row r="301" spans="1:20" s="87" customFormat="1" ht="15.75" customHeight="1">
      <c r="A301" s="107">
        <v>14</v>
      </c>
      <c r="B301" s="108"/>
      <c r="C301" s="86" t="s">
        <v>299</v>
      </c>
      <c r="D301" s="74">
        <f>80.022*(10.764)</f>
        <v>861.356808</v>
      </c>
      <c r="E301" s="74">
        <f t="shared" si="78"/>
        <v>0</v>
      </c>
      <c r="F301" s="86">
        <f t="shared" si="83"/>
        <v>861.356808</v>
      </c>
      <c r="G301" s="86">
        <v>0</v>
      </c>
      <c r="H301" s="86">
        <f t="shared" si="84"/>
        <v>1292.035212</v>
      </c>
      <c r="I301" s="35"/>
      <c r="N301" s="35"/>
      <c r="T301" s="20"/>
    </row>
    <row r="302" spans="1:20" s="87" customFormat="1" ht="15.75" customHeight="1">
      <c r="A302" s="107">
        <v>15</v>
      </c>
      <c r="B302" s="108"/>
      <c r="C302" s="86" t="s">
        <v>299</v>
      </c>
      <c r="D302" s="74">
        <f>82.802*(10.764)</f>
        <v>891.28072800000007</v>
      </c>
      <c r="E302" s="74">
        <f t="shared" si="78"/>
        <v>0</v>
      </c>
      <c r="F302" s="86">
        <f t="shared" si="83"/>
        <v>891.28072800000007</v>
      </c>
      <c r="G302" s="86">
        <v>0</v>
      </c>
      <c r="H302" s="86">
        <f t="shared" si="84"/>
        <v>1336.921092</v>
      </c>
      <c r="I302" s="35"/>
      <c r="N302" s="35"/>
      <c r="T302" s="20"/>
    </row>
    <row r="303" spans="1:20" s="87" customFormat="1" ht="15.75" customHeight="1">
      <c r="A303" s="107">
        <v>16</v>
      </c>
      <c r="B303" s="108"/>
      <c r="C303" s="86" t="s">
        <v>299</v>
      </c>
      <c r="D303" s="74">
        <f>150.037*(10.764)</f>
        <v>1614.9982680000001</v>
      </c>
      <c r="E303" s="74">
        <f t="shared" si="78"/>
        <v>0</v>
      </c>
      <c r="F303" s="86">
        <f t="shared" si="83"/>
        <v>1614.9982680000001</v>
      </c>
      <c r="G303" s="86">
        <v>0</v>
      </c>
      <c r="H303" s="86">
        <f t="shared" si="84"/>
        <v>2422.497402</v>
      </c>
      <c r="I303" s="35"/>
      <c r="N303" s="35"/>
      <c r="T303" s="20"/>
    </row>
    <row r="304" spans="1:20" s="87" customFormat="1" ht="15.75" customHeight="1">
      <c r="A304" s="107">
        <v>17</v>
      </c>
      <c r="B304" s="108"/>
      <c r="C304" s="86" t="s">
        <v>299</v>
      </c>
      <c r="D304" s="74">
        <f>150.037*(10.764)</f>
        <v>1614.9982680000001</v>
      </c>
      <c r="E304" s="74">
        <f t="shared" si="78"/>
        <v>0</v>
      </c>
      <c r="F304" s="86">
        <f t="shared" si="83"/>
        <v>1614.9982680000001</v>
      </c>
      <c r="G304" s="86">
        <v>0</v>
      </c>
      <c r="H304" s="86">
        <f t="shared" si="84"/>
        <v>2422.497402</v>
      </c>
      <c r="I304" s="35"/>
      <c r="N304" s="35"/>
      <c r="T304" s="20"/>
    </row>
    <row r="305" spans="1:20" s="87" customFormat="1" ht="15.75" customHeight="1">
      <c r="A305" s="107">
        <v>18</v>
      </c>
      <c r="B305" s="108"/>
      <c r="C305" s="86" t="s">
        <v>299</v>
      </c>
      <c r="D305" s="74">
        <f>82.756*(10.764)</f>
        <v>890.78558399999997</v>
      </c>
      <c r="E305" s="74">
        <f t="shared" si="78"/>
        <v>0</v>
      </c>
      <c r="F305" s="86">
        <f t="shared" si="83"/>
        <v>890.78558399999997</v>
      </c>
      <c r="G305" s="86">
        <v>0</v>
      </c>
      <c r="H305" s="86">
        <f t="shared" si="84"/>
        <v>1336.1783759999998</v>
      </c>
      <c r="I305" s="35"/>
      <c r="N305" s="35"/>
      <c r="T305" s="20"/>
    </row>
    <row r="306" spans="1:20" s="87" customFormat="1" ht="15.75" customHeight="1">
      <c r="A306" s="107">
        <v>19</v>
      </c>
      <c r="B306" s="108"/>
      <c r="C306" s="86" t="s">
        <v>299</v>
      </c>
      <c r="D306" s="74">
        <f>80.049*(10.764)</f>
        <v>861.64743599999997</v>
      </c>
      <c r="E306" s="74">
        <f t="shared" si="78"/>
        <v>0</v>
      </c>
      <c r="F306" s="86">
        <f t="shared" si="83"/>
        <v>861.64743599999997</v>
      </c>
      <c r="G306" s="86">
        <v>0</v>
      </c>
      <c r="H306" s="86">
        <f t="shared" si="84"/>
        <v>1292.4711539999998</v>
      </c>
      <c r="I306" s="35"/>
      <c r="N306" s="35"/>
      <c r="T306" s="20"/>
    </row>
    <row r="307" spans="1:20" s="87" customFormat="1" ht="15.75" customHeight="1">
      <c r="A307" s="107">
        <v>20</v>
      </c>
      <c r="B307" s="108"/>
      <c r="C307" s="86" t="s">
        <v>299</v>
      </c>
      <c r="D307" s="74">
        <f>126.012*(10.764)</f>
        <v>1356.3931679999998</v>
      </c>
      <c r="E307" s="74">
        <f t="shared" si="78"/>
        <v>0</v>
      </c>
      <c r="F307" s="86">
        <f t="shared" si="83"/>
        <v>1356.3931679999998</v>
      </c>
      <c r="G307" s="86">
        <v>0</v>
      </c>
      <c r="H307" s="86">
        <f t="shared" si="84"/>
        <v>2034.5897519999999</v>
      </c>
      <c r="I307" s="35"/>
      <c r="N307" s="35"/>
      <c r="T307" s="20"/>
    </row>
    <row r="308" spans="1:20" s="87" customFormat="1" ht="15.75" customHeight="1">
      <c r="A308" s="104" t="s">
        <v>347</v>
      </c>
      <c r="B308" s="105"/>
      <c r="C308" s="105"/>
      <c r="D308" s="105"/>
      <c r="E308" s="105"/>
      <c r="F308" s="105"/>
      <c r="G308" s="105"/>
      <c r="H308" s="106"/>
      <c r="I308" s="35"/>
      <c r="N308" s="35"/>
      <c r="T308" s="20"/>
    </row>
    <row r="309" spans="1:20" s="87" customFormat="1" ht="15.75" customHeight="1">
      <c r="A309" s="107">
        <v>1</v>
      </c>
      <c r="B309" s="108"/>
      <c r="C309" s="86" t="s">
        <v>299</v>
      </c>
      <c r="D309" s="74">
        <f>137.729*(10.764)</f>
        <v>1482.514956</v>
      </c>
      <c r="E309" s="74">
        <f t="shared" si="78"/>
        <v>0</v>
      </c>
      <c r="F309" s="86">
        <f>D309+(IF(E309&lt;201,E309,IF(E309&lt;301,E309/2,E309/3)))</f>
        <v>1482.514956</v>
      </c>
      <c r="G309" s="62">
        <v>0</v>
      </c>
      <c r="H309" s="86">
        <f t="shared" ref="H309:H320" si="85">(F309+(IF(G309&lt;101,G309,IF(G309&lt;201,G309/2,IF(G309&lt;=301,G309/3,G309/4)))))*(($H$123)+1)</f>
        <v>2223.772434</v>
      </c>
      <c r="I309" s="35"/>
      <c r="N309" s="35"/>
      <c r="T309" s="20"/>
    </row>
    <row r="310" spans="1:20" s="87" customFormat="1" ht="15.75" customHeight="1">
      <c r="A310" s="107">
        <v>2</v>
      </c>
      <c r="B310" s="108"/>
      <c r="C310" s="86" t="s">
        <v>299</v>
      </c>
      <c r="D310" s="74">
        <f>82.349*(10.764)</f>
        <v>886.40463599999998</v>
      </c>
      <c r="E310" s="74">
        <f t="shared" si="78"/>
        <v>0</v>
      </c>
      <c r="F310" s="86">
        <f>D310+(IF(E310&lt;201,E310,IF(E310&lt;301,E310/2,E310/3)))</f>
        <v>886.40463599999998</v>
      </c>
      <c r="G310" s="62">
        <v>0</v>
      </c>
      <c r="H310" s="86">
        <f t="shared" si="85"/>
        <v>1329.6069539999999</v>
      </c>
      <c r="I310" s="35"/>
      <c r="N310" s="35"/>
      <c r="T310" s="20"/>
    </row>
    <row r="311" spans="1:20" s="87" customFormat="1" ht="15.75" customHeight="1">
      <c r="A311" s="107">
        <v>3</v>
      </c>
      <c r="B311" s="108"/>
      <c r="C311" s="86" t="s">
        <v>299</v>
      </c>
      <c r="D311" s="74">
        <f>85.131*(10.764)</f>
        <v>916.35008399999992</v>
      </c>
      <c r="E311" s="74">
        <f t="shared" si="78"/>
        <v>0</v>
      </c>
      <c r="F311" s="86">
        <f t="shared" ref="F311:F327" si="86">D311+(IF(E311&lt;201,E311,IF(E311&lt;301,E311/2,E311/3)))</f>
        <v>916.35008399999992</v>
      </c>
      <c r="G311" s="86">
        <v>0</v>
      </c>
      <c r="H311" s="86">
        <f t="shared" si="85"/>
        <v>1374.525126</v>
      </c>
      <c r="I311" s="35"/>
      <c r="N311" s="35"/>
      <c r="T311" s="20"/>
    </row>
    <row r="312" spans="1:20" s="87" customFormat="1" ht="15.75" customHeight="1">
      <c r="A312" s="107">
        <v>4</v>
      </c>
      <c r="B312" s="108"/>
      <c r="C312" s="86" t="s">
        <v>299</v>
      </c>
      <c r="D312" s="74">
        <f>87.336*(10.764)</f>
        <v>940.08470399999987</v>
      </c>
      <c r="E312" s="74">
        <f t="shared" si="78"/>
        <v>0</v>
      </c>
      <c r="F312" s="86">
        <f t="shared" si="86"/>
        <v>940.08470399999987</v>
      </c>
      <c r="G312" s="86">
        <v>0</v>
      </c>
      <c r="H312" s="86">
        <f t="shared" si="85"/>
        <v>1410.1270559999998</v>
      </c>
      <c r="I312" s="35"/>
      <c r="N312" s="35"/>
      <c r="T312" s="20"/>
    </row>
    <row r="313" spans="1:20" s="87" customFormat="1" ht="15.75" customHeight="1">
      <c r="A313" s="107">
        <v>5</v>
      </c>
      <c r="B313" s="108"/>
      <c r="C313" s="86" t="s">
        <v>299</v>
      </c>
      <c r="D313" s="74">
        <f>89.135*(10.764)</f>
        <v>959.44913999999994</v>
      </c>
      <c r="E313" s="74">
        <f t="shared" si="78"/>
        <v>0</v>
      </c>
      <c r="F313" s="86">
        <f t="shared" si="86"/>
        <v>959.44913999999994</v>
      </c>
      <c r="G313" s="86">
        <v>0</v>
      </c>
      <c r="H313" s="86">
        <f t="shared" si="85"/>
        <v>1439.17371</v>
      </c>
      <c r="I313" s="35"/>
      <c r="N313" s="35"/>
      <c r="T313" s="20"/>
    </row>
    <row r="314" spans="1:20" s="87" customFormat="1" ht="15.75" customHeight="1">
      <c r="A314" s="107">
        <v>6</v>
      </c>
      <c r="B314" s="108"/>
      <c r="C314" s="86" t="s">
        <v>299</v>
      </c>
      <c r="D314" s="74">
        <f>103.903*(10.764)</f>
        <v>1118.4118920000001</v>
      </c>
      <c r="E314" s="74">
        <f t="shared" si="78"/>
        <v>0</v>
      </c>
      <c r="F314" s="86">
        <f t="shared" si="86"/>
        <v>1118.4118920000001</v>
      </c>
      <c r="G314" s="86">
        <v>0</v>
      </c>
      <c r="H314" s="86">
        <f t="shared" si="85"/>
        <v>1677.6178380000001</v>
      </c>
      <c r="I314" s="35"/>
      <c r="N314" s="35"/>
      <c r="T314" s="20"/>
    </row>
    <row r="315" spans="1:20" s="87" customFormat="1" ht="15.75" customHeight="1">
      <c r="A315" s="107">
        <v>7</v>
      </c>
      <c r="B315" s="108"/>
      <c r="C315" s="86" t="s">
        <v>299</v>
      </c>
      <c r="D315" s="74">
        <f>107.103*(10.764)</f>
        <v>1152.8566919999998</v>
      </c>
      <c r="E315" s="74">
        <f t="shared" si="78"/>
        <v>0</v>
      </c>
      <c r="F315" s="86">
        <f t="shared" si="86"/>
        <v>1152.8566919999998</v>
      </c>
      <c r="G315" s="86">
        <v>0</v>
      </c>
      <c r="H315" s="86">
        <f t="shared" si="85"/>
        <v>1729.2850379999998</v>
      </c>
      <c r="I315" s="35"/>
      <c r="N315" s="35"/>
      <c r="T315" s="20"/>
    </row>
    <row r="316" spans="1:20" s="87" customFormat="1" ht="15.75" customHeight="1">
      <c r="A316" s="107">
        <v>8</v>
      </c>
      <c r="B316" s="108"/>
      <c r="C316" s="86" t="s">
        <v>299</v>
      </c>
      <c r="D316" s="74">
        <f>89.023*(10.764)</f>
        <v>958.24357199999986</v>
      </c>
      <c r="E316" s="74">
        <f t="shared" si="78"/>
        <v>0</v>
      </c>
      <c r="F316" s="86">
        <f t="shared" si="86"/>
        <v>958.24357199999986</v>
      </c>
      <c r="G316" s="86">
        <v>0</v>
      </c>
      <c r="H316" s="86">
        <f t="shared" si="85"/>
        <v>1437.3653579999998</v>
      </c>
      <c r="I316" s="35"/>
      <c r="N316" s="35"/>
      <c r="T316" s="20"/>
    </row>
    <row r="317" spans="1:20" s="87" customFormat="1" ht="15.75" customHeight="1">
      <c r="A317" s="107">
        <v>9</v>
      </c>
      <c r="B317" s="108"/>
      <c r="C317" s="86" t="s">
        <v>299</v>
      </c>
      <c r="D317" s="74">
        <f>74.171*(10.764)</f>
        <v>798.37664400000006</v>
      </c>
      <c r="E317" s="74">
        <f t="shared" si="78"/>
        <v>0</v>
      </c>
      <c r="F317" s="86">
        <f t="shared" si="86"/>
        <v>798.37664400000006</v>
      </c>
      <c r="G317" s="86">
        <v>0</v>
      </c>
      <c r="H317" s="86">
        <f t="shared" si="85"/>
        <v>1197.5649660000001</v>
      </c>
      <c r="I317" s="35"/>
      <c r="N317" s="35"/>
      <c r="T317" s="20"/>
    </row>
    <row r="318" spans="1:20" s="87" customFormat="1" ht="15.75" customHeight="1">
      <c r="A318" s="107">
        <v>10</v>
      </c>
      <c r="B318" s="108"/>
      <c r="C318" s="86" t="s">
        <v>299</v>
      </c>
      <c r="D318" s="74">
        <f>74.171*(10.764)</f>
        <v>798.37664400000006</v>
      </c>
      <c r="E318" s="74">
        <f t="shared" si="78"/>
        <v>0</v>
      </c>
      <c r="F318" s="86">
        <f t="shared" si="86"/>
        <v>798.37664400000006</v>
      </c>
      <c r="G318" s="86">
        <v>0</v>
      </c>
      <c r="H318" s="86">
        <f t="shared" si="85"/>
        <v>1197.5649660000001</v>
      </c>
      <c r="I318" s="35"/>
      <c r="N318" s="35"/>
      <c r="T318" s="20"/>
    </row>
    <row r="319" spans="1:20" s="87" customFormat="1" ht="15.75" customHeight="1">
      <c r="A319" s="107">
        <v>11</v>
      </c>
      <c r="B319" s="108"/>
      <c r="C319" s="86" t="s">
        <v>299</v>
      </c>
      <c r="D319" s="74">
        <f>82.349*(10.764)</f>
        <v>886.40463599999998</v>
      </c>
      <c r="E319" s="74">
        <f t="shared" si="78"/>
        <v>0</v>
      </c>
      <c r="F319" s="86">
        <f t="shared" si="86"/>
        <v>886.40463599999998</v>
      </c>
      <c r="G319" s="86">
        <v>0</v>
      </c>
      <c r="H319" s="86">
        <f t="shared" si="85"/>
        <v>1329.6069539999999</v>
      </c>
      <c r="I319" s="35"/>
      <c r="N319" s="35"/>
      <c r="T319" s="20"/>
    </row>
    <row r="320" spans="1:20" s="87" customFormat="1" ht="15.75" customHeight="1">
      <c r="A320" s="107">
        <v>12</v>
      </c>
      <c r="B320" s="108"/>
      <c r="C320" s="86" t="s">
        <v>299</v>
      </c>
      <c r="D320" s="74">
        <f>137.711*(10.764)</f>
        <v>1482.3212040000001</v>
      </c>
      <c r="E320" s="74">
        <f t="shared" si="78"/>
        <v>0</v>
      </c>
      <c r="F320" s="86">
        <f t="shared" si="86"/>
        <v>1482.3212040000001</v>
      </c>
      <c r="G320" s="86">
        <v>0</v>
      </c>
      <c r="H320" s="86">
        <f t="shared" si="85"/>
        <v>2223.4818060000002</v>
      </c>
      <c r="I320" s="35"/>
      <c r="N320" s="35"/>
      <c r="T320" s="20"/>
    </row>
    <row r="321" spans="1:20" s="87" customFormat="1" ht="15.75" customHeight="1">
      <c r="A321" s="107">
        <v>13</v>
      </c>
      <c r="B321" s="108"/>
      <c r="C321" s="86" t="s">
        <v>348</v>
      </c>
      <c r="D321" s="101" t="s">
        <v>323</v>
      </c>
      <c r="E321" s="102"/>
      <c r="F321" s="102"/>
      <c r="G321" s="102"/>
      <c r="H321" s="103"/>
      <c r="I321" s="35"/>
      <c r="N321" s="35"/>
      <c r="T321" s="20"/>
    </row>
    <row r="322" spans="1:20" s="87" customFormat="1" ht="15.75" customHeight="1">
      <c r="A322" s="107">
        <v>14</v>
      </c>
      <c r="B322" s="108"/>
      <c r="C322" s="86" t="s">
        <v>299</v>
      </c>
      <c r="D322" s="74">
        <f>110.505*(10.764)</f>
        <v>1189.4758199999999</v>
      </c>
      <c r="E322" s="74">
        <f t="shared" si="78"/>
        <v>0</v>
      </c>
      <c r="F322" s="86">
        <f t="shared" si="86"/>
        <v>1189.4758199999999</v>
      </c>
      <c r="G322" s="86">
        <v>0</v>
      </c>
      <c r="H322" s="86">
        <f t="shared" ref="H322:H327" si="87">(F322+(IF(G322&lt;101,G322,IF(G322&lt;201,G322/2,IF(G322&lt;=301,G322/3,G322/4)))))*(($H$123)+1)</f>
        <v>1784.2137299999999</v>
      </c>
      <c r="I322" s="35"/>
      <c r="N322" s="35"/>
      <c r="T322" s="20"/>
    </row>
    <row r="323" spans="1:20" s="87" customFormat="1" ht="15.75" customHeight="1">
      <c r="A323" s="107">
        <v>15</v>
      </c>
      <c r="B323" s="108"/>
      <c r="C323" s="86" t="s">
        <v>299</v>
      </c>
      <c r="D323" s="74">
        <f>82.802*(10.764)</f>
        <v>891.28072800000007</v>
      </c>
      <c r="E323" s="74">
        <f t="shared" si="78"/>
        <v>0</v>
      </c>
      <c r="F323" s="86">
        <f t="shared" si="86"/>
        <v>891.28072800000007</v>
      </c>
      <c r="G323" s="86">
        <v>0</v>
      </c>
      <c r="H323" s="86">
        <f t="shared" si="87"/>
        <v>1336.921092</v>
      </c>
      <c r="I323" s="35"/>
      <c r="N323" s="35"/>
      <c r="T323" s="20"/>
    </row>
    <row r="324" spans="1:20" s="87" customFormat="1" ht="15.75" customHeight="1">
      <c r="A324" s="107">
        <v>16</v>
      </c>
      <c r="B324" s="108"/>
      <c r="C324" s="86" t="s">
        <v>299</v>
      </c>
      <c r="D324" s="74">
        <f>150.037*(10.764)</f>
        <v>1614.9982680000001</v>
      </c>
      <c r="E324" s="74">
        <f t="shared" si="78"/>
        <v>0</v>
      </c>
      <c r="F324" s="86">
        <f t="shared" si="86"/>
        <v>1614.9982680000001</v>
      </c>
      <c r="G324" s="86">
        <v>0</v>
      </c>
      <c r="H324" s="86">
        <f t="shared" si="87"/>
        <v>2422.497402</v>
      </c>
      <c r="I324" s="35"/>
      <c r="N324" s="35"/>
      <c r="T324" s="20"/>
    </row>
    <row r="325" spans="1:20" s="87" customFormat="1" ht="15.75" customHeight="1">
      <c r="A325" s="107">
        <v>17</v>
      </c>
      <c r="B325" s="108"/>
      <c r="C325" s="86" t="s">
        <v>299</v>
      </c>
      <c r="D325" s="74">
        <f>150.037*(10.764)</f>
        <v>1614.9982680000001</v>
      </c>
      <c r="E325" s="74">
        <f t="shared" si="78"/>
        <v>0</v>
      </c>
      <c r="F325" s="86">
        <f t="shared" si="86"/>
        <v>1614.9982680000001</v>
      </c>
      <c r="G325" s="86">
        <v>0</v>
      </c>
      <c r="H325" s="86">
        <f t="shared" si="87"/>
        <v>2422.497402</v>
      </c>
      <c r="I325" s="35"/>
      <c r="N325" s="35"/>
      <c r="T325" s="20"/>
    </row>
    <row r="326" spans="1:20" s="87" customFormat="1" ht="15.75" customHeight="1">
      <c r="A326" s="107">
        <v>18</v>
      </c>
      <c r="B326" s="108"/>
      <c r="C326" s="86" t="s">
        <v>299</v>
      </c>
      <c r="D326" s="74">
        <f>82.756*(10.764)</f>
        <v>890.78558399999997</v>
      </c>
      <c r="E326" s="74">
        <f t="shared" si="78"/>
        <v>0</v>
      </c>
      <c r="F326" s="86">
        <f t="shared" si="86"/>
        <v>890.78558399999997</v>
      </c>
      <c r="G326" s="86">
        <v>0</v>
      </c>
      <c r="H326" s="86">
        <f t="shared" si="87"/>
        <v>1336.1783759999998</v>
      </c>
      <c r="I326" s="35"/>
      <c r="N326" s="35"/>
      <c r="T326" s="20"/>
    </row>
    <row r="327" spans="1:20" s="87" customFormat="1" ht="15.75" customHeight="1">
      <c r="A327" s="107">
        <v>19</v>
      </c>
      <c r="B327" s="108"/>
      <c r="C327" s="86" t="s">
        <v>299</v>
      </c>
      <c r="D327" s="74">
        <f>110.505*(10.764)</f>
        <v>1189.4758199999999</v>
      </c>
      <c r="E327" s="74">
        <f t="shared" si="78"/>
        <v>0</v>
      </c>
      <c r="F327" s="86">
        <f t="shared" si="86"/>
        <v>1189.4758199999999</v>
      </c>
      <c r="G327" s="86">
        <v>0</v>
      </c>
      <c r="H327" s="86">
        <f t="shared" si="87"/>
        <v>1784.2137299999999</v>
      </c>
      <c r="I327" s="35"/>
      <c r="N327" s="35"/>
      <c r="T327" s="20"/>
    </row>
    <row r="328" spans="1:20" s="87" customFormat="1" ht="15.75" customHeight="1">
      <c r="A328" s="107">
        <v>20</v>
      </c>
      <c r="B328" s="108"/>
      <c r="C328" s="86" t="s">
        <v>348</v>
      </c>
      <c r="D328" s="101" t="s">
        <v>323</v>
      </c>
      <c r="E328" s="102"/>
      <c r="F328" s="102"/>
      <c r="G328" s="102"/>
      <c r="H328" s="103"/>
      <c r="I328" s="35"/>
      <c r="N328" s="35"/>
      <c r="T328" s="20"/>
    </row>
    <row r="329" spans="1:20" s="87" customFormat="1" ht="15.75" customHeight="1">
      <c r="A329" s="104" t="s">
        <v>351</v>
      </c>
      <c r="B329" s="105"/>
      <c r="C329" s="105"/>
      <c r="D329" s="105"/>
      <c r="E329" s="105"/>
      <c r="F329" s="105"/>
      <c r="G329" s="105"/>
      <c r="H329" s="106"/>
      <c r="I329" s="35"/>
      <c r="N329" s="35"/>
      <c r="T329" s="20"/>
    </row>
    <row r="330" spans="1:20" s="87" customFormat="1" ht="15.75" customHeight="1">
      <c r="A330" s="107">
        <v>1</v>
      </c>
      <c r="B330" s="108"/>
      <c r="C330" s="86" t="s">
        <v>299</v>
      </c>
      <c r="D330" s="74">
        <f>138.598*(10.764)</f>
        <v>1491.868872</v>
      </c>
      <c r="E330" s="74">
        <f t="shared" ref="E330:E348" si="88">0*(10.764)</f>
        <v>0</v>
      </c>
      <c r="F330" s="86">
        <f>D330+(IF(E330&lt;201,E330,IF(E330&lt;301,E330/2,E330/3)))</f>
        <v>1491.868872</v>
      </c>
      <c r="G330" s="62">
        <v>0</v>
      </c>
      <c r="H330" s="86">
        <f>(F330+(IF(G330&lt;101,G330,IF(G330&lt;201,G330/2,IF(G330&lt;=301,G330/3,G330/4)))))*(($H$123)+1)</f>
        <v>2237.803308</v>
      </c>
      <c r="I330" s="35"/>
      <c r="N330" s="35"/>
      <c r="T330" s="20"/>
    </row>
    <row r="331" spans="1:20" s="87" customFormat="1" ht="15.75" customHeight="1">
      <c r="A331" s="107">
        <v>2</v>
      </c>
      <c r="B331" s="108"/>
      <c r="C331" s="86" t="s">
        <v>299</v>
      </c>
      <c r="D331" s="74">
        <f>82.349*(10.764)</f>
        <v>886.40463599999998</v>
      </c>
      <c r="E331" s="74">
        <f t="shared" si="88"/>
        <v>0</v>
      </c>
      <c r="F331" s="86">
        <f>D331+(IF(E331&lt;201,E331,IF(E331&lt;301,E331/2,E331/3)))</f>
        <v>886.40463599999998</v>
      </c>
      <c r="G331" s="62">
        <v>0</v>
      </c>
      <c r="H331" s="86">
        <f>(F331+(IF(G331&lt;101,G331,IF(G331&lt;201,G331/2,IF(G331&lt;=301,G331/3,G331/4)))))*(($H$123)+1)</f>
        <v>1329.6069539999999</v>
      </c>
      <c r="I331" s="35"/>
      <c r="N331" s="35"/>
      <c r="T331" s="20"/>
    </row>
    <row r="332" spans="1:20" s="87" customFormat="1" ht="15.75" customHeight="1">
      <c r="A332" s="107">
        <v>3</v>
      </c>
      <c r="B332" s="108"/>
      <c r="C332" s="86" t="s">
        <v>299</v>
      </c>
      <c r="D332" s="74">
        <f>85.131*(10.764)</f>
        <v>916.35008399999992</v>
      </c>
      <c r="E332" s="74">
        <f t="shared" si="88"/>
        <v>0</v>
      </c>
      <c r="F332" s="86">
        <f t="shared" ref="F332:F341" si="89">D332+(IF(E332&lt;201,E332,IF(E332&lt;301,E332/2,E332/3)))</f>
        <v>916.35008399999992</v>
      </c>
      <c r="G332" s="86">
        <v>0</v>
      </c>
      <c r="H332" s="86">
        <f t="shared" ref="H332:H341" si="90">(F332+(IF(G332&lt;101,G332,IF(G332&lt;201,G332/2,IF(G332&lt;=301,G332/3,G332/4)))))*(($H$123)+1)</f>
        <v>1374.525126</v>
      </c>
      <c r="I332" s="35"/>
      <c r="N332" s="35"/>
      <c r="T332" s="20"/>
    </row>
    <row r="333" spans="1:20" s="87" customFormat="1" ht="15.75" customHeight="1">
      <c r="A333" s="107">
        <v>4</v>
      </c>
      <c r="B333" s="108"/>
      <c r="C333" s="86" t="s">
        <v>299</v>
      </c>
      <c r="D333" s="74">
        <f>87.336*(10.764)</f>
        <v>940.08470399999987</v>
      </c>
      <c r="E333" s="74">
        <f t="shared" si="88"/>
        <v>0</v>
      </c>
      <c r="F333" s="86">
        <f t="shared" si="89"/>
        <v>940.08470399999987</v>
      </c>
      <c r="G333" s="86">
        <v>0</v>
      </c>
      <c r="H333" s="86">
        <f t="shared" si="90"/>
        <v>1410.1270559999998</v>
      </c>
      <c r="I333" s="35"/>
      <c r="N333" s="35"/>
      <c r="T333" s="20"/>
    </row>
    <row r="334" spans="1:20" s="87" customFormat="1" ht="15.75" customHeight="1">
      <c r="A334" s="107">
        <v>5</v>
      </c>
      <c r="B334" s="108"/>
      <c r="C334" s="86" t="s">
        <v>299</v>
      </c>
      <c r="D334" s="74">
        <f>89.135*(10.764)</f>
        <v>959.44913999999994</v>
      </c>
      <c r="E334" s="74">
        <f t="shared" si="88"/>
        <v>0</v>
      </c>
      <c r="F334" s="86">
        <f t="shared" si="89"/>
        <v>959.44913999999994</v>
      </c>
      <c r="G334" s="86">
        <v>0</v>
      </c>
      <c r="H334" s="86">
        <f t="shared" si="90"/>
        <v>1439.17371</v>
      </c>
      <c r="I334" s="35"/>
      <c r="N334" s="35"/>
      <c r="T334" s="20"/>
    </row>
    <row r="335" spans="1:20" s="87" customFormat="1" ht="15.75" customHeight="1">
      <c r="A335" s="107">
        <v>6</v>
      </c>
      <c r="B335" s="108"/>
      <c r="C335" s="86" t="s">
        <v>299</v>
      </c>
      <c r="D335" s="74">
        <f>105.23*(10.764)</f>
        <v>1132.6957199999999</v>
      </c>
      <c r="E335" s="74">
        <f t="shared" si="88"/>
        <v>0</v>
      </c>
      <c r="F335" s="86">
        <f t="shared" si="89"/>
        <v>1132.6957199999999</v>
      </c>
      <c r="G335" s="86">
        <v>0</v>
      </c>
      <c r="H335" s="86">
        <f t="shared" si="90"/>
        <v>1699.04358</v>
      </c>
      <c r="I335" s="35"/>
      <c r="N335" s="35"/>
      <c r="T335" s="20"/>
    </row>
    <row r="336" spans="1:20" s="87" customFormat="1" ht="15.75" customHeight="1">
      <c r="A336" s="107">
        <v>7</v>
      </c>
      <c r="B336" s="108"/>
      <c r="C336" s="86" t="s">
        <v>299</v>
      </c>
      <c r="D336" s="74">
        <f>109.439*(10.764)</f>
        <v>1178.0013959999999</v>
      </c>
      <c r="E336" s="74">
        <f t="shared" si="88"/>
        <v>0</v>
      </c>
      <c r="F336" s="86">
        <f t="shared" si="89"/>
        <v>1178.0013959999999</v>
      </c>
      <c r="G336" s="86">
        <v>0</v>
      </c>
      <c r="H336" s="86">
        <f t="shared" si="90"/>
        <v>1767.0020939999999</v>
      </c>
      <c r="I336" s="35"/>
      <c r="N336" s="35"/>
      <c r="T336" s="20"/>
    </row>
    <row r="337" spans="1:20" s="87" customFormat="1" ht="15.75" customHeight="1">
      <c r="A337" s="107">
        <v>8</v>
      </c>
      <c r="B337" s="108"/>
      <c r="C337" s="86" t="s">
        <v>299</v>
      </c>
      <c r="D337" s="74">
        <f>89.023*(10.764)</f>
        <v>958.24357199999986</v>
      </c>
      <c r="E337" s="74">
        <f t="shared" si="88"/>
        <v>0</v>
      </c>
      <c r="F337" s="86">
        <f t="shared" si="89"/>
        <v>958.24357199999986</v>
      </c>
      <c r="G337" s="86">
        <v>0</v>
      </c>
      <c r="H337" s="86">
        <f t="shared" si="90"/>
        <v>1437.3653579999998</v>
      </c>
      <c r="I337" s="35"/>
      <c r="N337" s="35"/>
      <c r="T337" s="20"/>
    </row>
    <row r="338" spans="1:20" s="87" customFormat="1" ht="15.75" customHeight="1">
      <c r="A338" s="107">
        <v>9</v>
      </c>
      <c r="B338" s="108"/>
      <c r="C338" s="86" t="s">
        <v>299</v>
      </c>
      <c r="D338" s="74">
        <f>74.171*(10.764)</f>
        <v>798.37664400000006</v>
      </c>
      <c r="E338" s="74">
        <f t="shared" si="88"/>
        <v>0</v>
      </c>
      <c r="F338" s="86">
        <f t="shared" si="89"/>
        <v>798.37664400000006</v>
      </c>
      <c r="G338" s="86">
        <v>0</v>
      </c>
      <c r="H338" s="86">
        <f t="shared" si="90"/>
        <v>1197.5649660000001</v>
      </c>
      <c r="I338" s="35"/>
      <c r="N338" s="35"/>
      <c r="T338" s="20"/>
    </row>
    <row r="339" spans="1:20" s="87" customFormat="1" ht="15.75" customHeight="1">
      <c r="A339" s="107">
        <v>10</v>
      </c>
      <c r="B339" s="108"/>
      <c r="C339" s="86" t="s">
        <v>299</v>
      </c>
      <c r="D339" s="74">
        <f>74.171*(10.764)</f>
        <v>798.37664400000006</v>
      </c>
      <c r="E339" s="74">
        <f t="shared" si="88"/>
        <v>0</v>
      </c>
      <c r="F339" s="86">
        <f t="shared" si="89"/>
        <v>798.37664400000006</v>
      </c>
      <c r="G339" s="86">
        <v>0</v>
      </c>
      <c r="H339" s="86">
        <f t="shared" si="90"/>
        <v>1197.5649660000001</v>
      </c>
      <c r="I339" s="35"/>
      <c r="N339" s="35"/>
      <c r="T339" s="20"/>
    </row>
    <row r="340" spans="1:20" s="87" customFormat="1" ht="15.75" customHeight="1">
      <c r="A340" s="107">
        <v>11</v>
      </c>
      <c r="B340" s="108"/>
      <c r="C340" s="86" t="s">
        <v>299</v>
      </c>
      <c r="D340" s="74">
        <f>82.349*(10.764)</f>
        <v>886.40463599999998</v>
      </c>
      <c r="E340" s="74">
        <f t="shared" si="88"/>
        <v>0</v>
      </c>
      <c r="F340" s="86">
        <f t="shared" si="89"/>
        <v>886.40463599999998</v>
      </c>
      <c r="G340" s="86">
        <v>0</v>
      </c>
      <c r="H340" s="86">
        <f t="shared" si="90"/>
        <v>1329.6069539999999</v>
      </c>
      <c r="I340" s="35"/>
      <c r="N340" s="35"/>
      <c r="T340" s="20"/>
    </row>
    <row r="341" spans="1:20" s="87" customFormat="1" ht="15.75" customHeight="1">
      <c r="A341" s="107">
        <v>12</v>
      </c>
      <c r="B341" s="108"/>
      <c r="C341" s="86" t="s">
        <v>299</v>
      </c>
      <c r="D341" s="74">
        <f>138.58*(10.764)</f>
        <v>1491.6751200000001</v>
      </c>
      <c r="E341" s="74">
        <f t="shared" si="88"/>
        <v>0</v>
      </c>
      <c r="F341" s="86">
        <f t="shared" si="89"/>
        <v>1491.6751200000001</v>
      </c>
      <c r="G341" s="86">
        <v>0</v>
      </c>
      <c r="H341" s="86">
        <f t="shared" si="90"/>
        <v>2237.5126800000003</v>
      </c>
      <c r="I341" s="35"/>
      <c r="N341" s="35"/>
      <c r="T341" s="20"/>
    </row>
    <row r="342" spans="1:20" s="87" customFormat="1" ht="15.75" customHeight="1">
      <c r="A342" s="107">
        <v>13</v>
      </c>
      <c r="B342" s="108"/>
      <c r="C342" s="86" t="s">
        <v>348</v>
      </c>
      <c r="D342" s="101" t="s">
        <v>323</v>
      </c>
      <c r="E342" s="102"/>
      <c r="F342" s="102"/>
      <c r="G342" s="102"/>
      <c r="H342" s="103"/>
      <c r="I342" s="35"/>
      <c r="N342" s="35"/>
      <c r="T342" s="20"/>
    </row>
    <row r="343" spans="1:20" s="87" customFormat="1" ht="15.75" customHeight="1">
      <c r="A343" s="107">
        <v>14</v>
      </c>
      <c r="B343" s="108"/>
      <c r="C343" s="86" t="s">
        <v>299</v>
      </c>
      <c r="D343" s="74">
        <f>110.505*(10.764)</f>
        <v>1189.4758199999999</v>
      </c>
      <c r="E343" s="74">
        <f t="shared" si="88"/>
        <v>0</v>
      </c>
      <c r="F343" s="86">
        <f t="shared" ref="F343:F348" si="91">D343+(IF(E343&lt;201,E343,IF(E343&lt;301,E343/2,E343/3)))</f>
        <v>1189.4758199999999</v>
      </c>
      <c r="G343" s="86">
        <v>0</v>
      </c>
      <c r="H343" s="86">
        <f t="shared" ref="H343:H348" si="92">(F343+(IF(G343&lt;101,G343,IF(G343&lt;201,G343/2,IF(G343&lt;=301,G343/3,G343/4)))))*(($H$123)+1)</f>
        <v>1784.2137299999999</v>
      </c>
      <c r="I343" s="35"/>
      <c r="N343" s="35"/>
      <c r="T343" s="20"/>
    </row>
    <row r="344" spans="1:20" s="87" customFormat="1" ht="15.75" customHeight="1">
      <c r="A344" s="107">
        <v>15</v>
      </c>
      <c r="B344" s="108"/>
      <c r="C344" s="86" t="s">
        <v>299</v>
      </c>
      <c r="D344" s="74">
        <f>82.802*(10.764)</f>
        <v>891.28072800000007</v>
      </c>
      <c r="E344" s="74">
        <f t="shared" si="88"/>
        <v>0</v>
      </c>
      <c r="F344" s="86">
        <f t="shared" si="91"/>
        <v>891.28072800000007</v>
      </c>
      <c r="G344" s="86">
        <v>0</v>
      </c>
      <c r="H344" s="86">
        <f t="shared" si="92"/>
        <v>1336.921092</v>
      </c>
      <c r="I344" s="35"/>
      <c r="N344" s="35"/>
      <c r="T344" s="20"/>
    </row>
    <row r="345" spans="1:20" s="87" customFormat="1" ht="15.75" customHeight="1">
      <c r="A345" s="107">
        <v>16</v>
      </c>
      <c r="B345" s="108"/>
      <c r="C345" s="86" t="s">
        <v>299</v>
      </c>
      <c r="D345" s="74">
        <f>150.598*(10.764)</f>
        <v>1621.0368720000001</v>
      </c>
      <c r="E345" s="74">
        <f t="shared" si="88"/>
        <v>0</v>
      </c>
      <c r="F345" s="86">
        <f t="shared" si="91"/>
        <v>1621.0368720000001</v>
      </c>
      <c r="G345" s="86">
        <v>0</v>
      </c>
      <c r="H345" s="86">
        <f t="shared" si="92"/>
        <v>2431.555308</v>
      </c>
      <c r="I345" s="35"/>
      <c r="N345" s="35"/>
      <c r="T345" s="20"/>
    </row>
    <row r="346" spans="1:20" s="87" customFormat="1" ht="15.75" customHeight="1">
      <c r="A346" s="107">
        <v>17</v>
      </c>
      <c r="B346" s="108"/>
      <c r="C346" s="86" t="s">
        <v>299</v>
      </c>
      <c r="D346" s="74">
        <f>150.598*(10.764)</f>
        <v>1621.0368720000001</v>
      </c>
      <c r="E346" s="74">
        <f t="shared" si="88"/>
        <v>0</v>
      </c>
      <c r="F346" s="86">
        <f t="shared" si="91"/>
        <v>1621.0368720000001</v>
      </c>
      <c r="G346" s="86">
        <v>0</v>
      </c>
      <c r="H346" s="86">
        <f t="shared" si="92"/>
        <v>2431.555308</v>
      </c>
      <c r="I346" s="35"/>
      <c r="N346" s="35"/>
      <c r="T346" s="20"/>
    </row>
    <row r="347" spans="1:20" s="87" customFormat="1" ht="15.75" customHeight="1">
      <c r="A347" s="107">
        <v>18</v>
      </c>
      <c r="B347" s="108"/>
      <c r="C347" s="86" t="s">
        <v>299</v>
      </c>
      <c r="D347" s="74">
        <f>82.756*(10.764)</f>
        <v>890.78558399999997</v>
      </c>
      <c r="E347" s="74">
        <f t="shared" si="88"/>
        <v>0</v>
      </c>
      <c r="F347" s="86">
        <f t="shared" si="91"/>
        <v>890.78558399999997</v>
      </c>
      <c r="G347" s="86">
        <v>0</v>
      </c>
      <c r="H347" s="86">
        <f t="shared" si="92"/>
        <v>1336.1783759999998</v>
      </c>
      <c r="I347" s="35"/>
      <c r="N347" s="35"/>
      <c r="T347" s="20"/>
    </row>
    <row r="348" spans="1:20" s="87" customFormat="1" ht="15.75" customHeight="1">
      <c r="A348" s="107">
        <v>19</v>
      </c>
      <c r="B348" s="108"/>
      <c r="C348" s="86" t="s">
        <v>299</v>
      </c>
      <c r="D348" s="74">
        <f>110.505*(10.764)</f>
        <v>1189.4758199999999</v>
      </c>
      <c r="E348" s="74">
        <f t="shared" si="88"/>
        <v>0</v>
      </c>
      <c r="F348" s="86">
        <f t="shared" si="91"/>
        <v>1189.4758199999999</v>
      </c>
      <c r="G348" s="86">
        <v>0</v>
      </c>
      <c r="H348" s="86">
        <f t="shared" si="92"/>
        <v>1784.2137299999999</v>
      </c>
      <c r="I348" s="35"/>
      <c r="N348" s="35"/>
      <c r="T348" s="20"/>
    </row>
    <row r="349" spans="1:20" s="87" customFormat="1" ht="15.75" customHeight="1">
      <c r="A349" s="107">
        <v>20</v>
      </c>
      <c r="B349" s="108"/>
      <c r="C349" s="86" t="s">
        <v>348</v>
      </c>
      <c r="D349" s="101" t="s">
        <v>323</v>
      </c>
      <c r="E349" s="102"/>
      <c r="F349" s="102"/>
      <c r="G349" s="102"/>
      <c r="H349" s="103"/>
      <c r="I349" s="35"/>
      <c r="N349" s="35"/>
      <c r="T349" s="20"/>
    </row>
    <row r="350" spans="1:20" s="87" customFormat="1" ht="15.75" customHeight="1">
      <c r="A350" s="104" t="s">
        <v>367</v>
      </c>
      <c r="B350" s="105"/>
      <c r="C350" s="105"/>
      <c r="D350" s="105"/>
      <c r="E350" s="105"/>
      <c r="F350" s="105"/>
      <c r="G350" s="105"/>
      <c r="H350" s="106"/>
      <c r="I350" s="35"/>
      <c r="N350" s="35"/>
      <c r="T350" s="20"/>
    </row>
    <row r="351" spans="1:20" s="87" customFormat="1" ht="15.75" customHeight="1">
      <c r="A351" s="107">
        <v>1</v>
      </c>
      <c r="B351" s="108"/>
      <c r="C351" s="86" t="s">
        <v>299</v>
      </c>
      <c r="D351" s="74">
        <f>138.596*(10.764)</f>
        <v>1491.847344</v>
      </c>
      <c r="E351" s="74">
        <f t="shared" ref="E351:E414" si="93">0*(10.764)</f>
        <v>0</v>
      </c>
      <c r="F351" s="86">
        <f>D351+(IF(E351&lt;201,E351,IF(E351&lt;301,E351/2,E351/3)))</f>
        <v>1491.847344</v>
      </c>
      <c r="G351" s="62">
        <v>0</v>
      </c>
      <c r="H351" s="86">
        <f>(F351+(IF(G351&lt;101,G351,IF(G351&lt;201,G351/2,IF(G351&lt;=301,G351/3,G351/4)))))*(($H$123)+1)</f>
        <v>2237.7710160000001</v>
      </c>
      <c r="I351" s="35"/>
      <c r="N351" s="35"/>
      <c r="T351" s="20"/>
    </row>
    <row r="352" spans="1:20" s="87" customFormat="1" ht="15.75" customHeight="1">
      <c r="A352" s="107">
        <v>2</v>
      </c>
      <c r="B352" s="108"/>
      <c r="C352" s="86" t="s">
        <v>299</v>
      </c>
      <c r="D352" s="74">
        <f>82.349*(10.764)</f>
        <v>886.40463599999998</v>
      </c>
      <c r="E352" s="74">
        <f t="shared" si="93"/>
        <v>0</v>
      </c>
      <c r="F352" s="86">
        <f>D352+(IF(E352&lt;201,E352,IF(E352&lt;301,E352/2,E352/3)))</f>
        <v>886.40463599999998</v>
      </c>
      <c r="G352" s="62">
        <v>0</v>
      </c>
      <c r="H352" s="86">
        <f>(F352+(IF(G352&lt;101,G352,IF(G352&lt;201,G352/2,IF(G352&lt;=301,G352/3,G352/4)))))*(($H$123)+1)</f>
        <v>1329.6069539999999</v>
      </c>
      <c r="I352" s="35"/>
      <c r="N352" s="35"/>
      <c r="T352" s="20"/>
    </row>
    <row r="353" spans="1:20" s="87" customFormat="1" ht="15.75" customHeight="1">
      <c r="A353" s="107">
        <v>3</v>
      </c>
      <c r="B353" s="108"/>
      <c r="C353" s="86" t="s">
        <v>299</v>
      </c>
      <c r="D353" s="74">
        <f>85.131*(10.764)</f>
        <v>916.35008399999992</v>
      </c>
      <c r="E353" s="74">
        <f t="shared" si="93"/>
        <v>0</v>
      </c>
      <c r="F353" s="86">
        <f t="shared" ref="F353:F370" si="94">D353+(IF(E353&lt;201,E353,IF(E353&lt;301,E353/2,E353/3)))</f>
        <v>916.35008399999992</v>
      </c>
      <c r="G353" s="86">
        <v>0</v>
      </c>
      <c r="H353" s="86">
        <f t="shared" ref="H353:H370" si="95">(F353+(IF(G353&lt;101,G353,IF(G353&lt;201,G353/2,IF(G353&lt;=301,G353/3,G353/4)))))*(($H$123)+1)</f>
        <v>1374.525126</v>
      </c>
      <c r="I353" s="35"/>
      <c r="N353" s="35"/>
      <c r="T353" s="20"/>
    </row>
    <row r="354" spans="1:20" s="87" customFormat="1" ht="15.75" customHeight="1">
      <c r="A354" s="107">
        <v>4</v>
      </c>
      <c r="B354" s="108"/>
      <c r="C354" s="86" t="s">
        <v>299</v>
      </c>
      <c r="D354" s="74">
        <f>87.336*(10.764)</f>
        <v>940.08470399999987</v>
      </c>
      <c r="E354" s="74">
        <f t="shared" si="93"/>
        <v>0</v>
      </c>
      <c r="F354" s="86">
        <f t="shared" si="94"/>
        <v>940.08470399999987</v>
      </c>
      <c r="G354" s="86">
        <v>0</v>
      </c>
      <c r="H354" s="86">
        <f t="shared" si="95"/>
        <v>1410.1270559999998</v>
      </c>
      <c r="I354" s="35"/>
      <c r="N354" s="35"/>
      <c r="T354" s="20"/>
    </row>
    <row r="355" spans="1:20" s="87" customFormat="1" ht="15.75" customHeight="1">
      <c r="A355" s="107">
        <v>5</v>
      </c>
      <c r="B355" s="108"/>
      <c r="C355" s="86" t="s">
        <v>299</v>
      </c>
      <c r="D355" s="74">
        <f>89.135*(10.764)</f>
        <v>959.44913999999994</v>
      </c>
      <c r="E355" s="74">
        <f t="shared" si="93"/>
        <v>0</v>
      </c>
      <c r="F355" s="86">
        <f t="shared" si="94"/>
        <v>959.44913999999994</v>
      </c>
      <c r="G355" s="86">
        <v>0</v>
      </c>
      <c r="H355" s="86">
        <f t="shared" si="95"/>
        <v>1439.17371</v>
      </c>
      <c r="I355" s="35"/>
      <c r="N355" s="35"/>
      <c r="T355" s="20"/>
    </row>
    <row r="356" spans="1:20" s="87" customFormat="1" ht="15.75" customHeight="1">
      <c r="A356" s="107">
        <v>6</v>
      </c>
      <c r="B356" s="108"/>
      <c r="C356" s="86" t="s">
        <v>299</v>
      </c>
      <c r="D356" s="74">
        <f>105.23*(10.764)</f>
        <v>1132.6957199999999</v>
      </c>
      <c r="E356" s="74">
        <f t="shared" si="93"/>
        <v>0</v>
      </c>
      <c r="F356" s="86">
        <f t="shared" si="94"/>
        <v>1132.6957199999999</v>
      </c>
      <c r="G356" s="86">
        <v>0</v>
      </c>
      <c r="H356" s="86">
        <f t="shared" si="95"/>
        <v>1699.04358</v>
      </c>
      <c r="I356" s="35"/>
      <c r="N356" s="35"/>
      <c r="T356" s="20"/>
    </row>
    <row r="357" spans="1:20" s="87" customFormat="1" ht="15.75" customHeight="1">
      <c r="A357" s="107">
        <v>7</v>
      </c>
      <c r="B357" s="108"/>
      <c r="C357" s="86" t="s">
        <v>299</v>
      </c>
      <c r="D357" s="74">
        <f>109.439*(10.764)</f>
        <v>1178.0013959999999</v>
      </c>
      <c r="E357" s="74">
        <f t="shared" si="93"/>
        <v>0</v>
      </c>
      <c r="F357" s="86">
        <f t="shared" si="94"/>
        <v>1178.0013959999999</v>
      </c>
      <c r="G357" s="86">
        <v>0</v>
      </c>
      <c r="H357" s="86">
        <f t="shared" si="95"/>
        <v>1767.0020939999999</v>
      </c>
      <c r="I357" s="35"/>
      <c r="N357" s="35"/>
      <c r="T357" s="20"/>
    </row>
    <row r="358" spans="1:20" s="87" customFormat="1" ht="15.75" customHeight="1">
      <c r="A358" s="107">
        <v>8</v>
      </c>
      <c r="B358" s="108"/>
      <c r="C358" s="86" t="s">
        <v>299</v>
      </c>
      <c r="D358" s="74">
        <f>89.023*(10.764)</f>
        <v>958.24357199999986</v>
      </c>
      <c r="E358" s="74">
        <f t="shared" si="93"/>
        <v>0</v>
      </c>
      <c r="F358" s="86">
        <f t="shared" si="94"/>
        <v>958.24357199999986</v>
      </c>
      <c r="G358" s="86">
        <v>0</v>
      </c>
      <c r="H358" s="86">
        <f t="shared" si="95"/>
        <v>1437.3653579999998</v>
      </c>
      <c r="I358" s="35"/>
      <c r="N358" s="35"/>
      <c r="T358" s="20"/>
    </row>
    <row r="359" spans="1:20" s="87" customFormat="1" ht="15.75" customHeight="1">
      <c r="A359" s="107">
        <v>9</v>
      </c>
      <c r="B359" s="108"/>
      <c r="C359" s="86" t="s">
        <v>299</v>
      </c>
      <c r="D359" s="74">
        <f>74.171*(10.764)</f>
        <v>798.37664400000006</v>
      </c>
      <c r="E359" s="74">
        <f t="shared" si="93"/>
        <v>0</v>
      </c>
      <c r="F359" s="86">
        <f t="shared" si="94"/>
        <v>798.37664400000006</v>
      </c>
      <c r="G359" s="86">
        <v>0</v>
      </c>
      <c r="H359" s="86">
        <f t="shared" si="95"/>
        <v>1197.5649660000001</v>
      </c>
      <c r="I359" s="35"/>
      <c r="N359" s="35"/>
      <c r="T359" s="20"/>
    </row>
    <row r="360" spans="1:20" s="87" customFormat="1" ht="15.75" customHeight="1">
      <c r="A360" s="107">
        <v>10</v>
      </c>
      <c r="B360" s="108"/>
      <c r="C360" s="86" t="s">
        <v>299</v>
      </c>
      <c r="D360" s="74">
        <f>74.171*(10.764)</f>
        <v>798.37664400000006</v>
      </c>
      <c r="E360" s="74">
        <f t="shared" si="93"/>
        <v>0</v>
      </c>
      <c r="F360" s="86">
        <f t="shared" si="94"/>
        <v>798.37664400000006</v>
      </c>
      <c r="G360" s="86">
        <v>0</v>
      </c>
      <c r="H360" s="86">
        <f t="shared" si="95"/>
        <v>1197.5649660000001</v>
      </c>
      <c r="I360" s="35"/>
      <c r="N360" s="35"/>
      <c r="T360" s="20"/>
    </row>
    <row r="361" spans="1:20" s="87" customFormat="1" ht="15.75" customHeight="1">
      <c r="A361" s="107">
        <v>11</v>
      </c>
      <c r="B361" s="108"/>
      <c r="C361" s="86" t="s">
        <v>299</v>
      </c>
      <c r="D361" s="74">
        <f>82.349*(10.764)</f>
        <v>886.40463599999998</v>
      </c>
      <c r="E361" s="74">
        <f t="shared" si="93"/>
        <v>0</v>
      </c>
      <c r="F361" s="86">
        <f t="shared" si="94"/>
        <v>886.40463599999998</v>
      </c>
      <c r="G361" s="86">
        <v>0</v>
      </c>
      <c r="H361" s="86">
        <f t="shared" si="95"/>
        <v>1329.6069539999999</v>
      </c>
      <c r="I361" s="35"/>
      <c r="N361" s="35"/>
      <c r="T361" s="20"/>
    </row>
    <row r="362" spans="1:20" s="87" customFormat="1" ht="15.75" customHeight="1">
      <c r="A362" s="107">
        <v>12</v>
      </c>
      <c r="B362" s="108"/>
      <c r="C362" s="86" t="s">
        <v>299</v>
      </c>
      <c r="D362" s="74">
        <f>138.58*(10.764)</f>
        <v>1491.6751200000001</v>
      </c>
      <c r="E362" s="74">
        <f t="shared" si="93"/>
        <v>0</v>
      </c>
      <c r="F362" s="86">
        <f t="shared" si="94"/>
        <v>1491.6751200000001</v>
      </c>
      <c r="G362" s="86">
        <v>0</v>
      </c>
      <c r="H362" s="86">
        <f t="shared" si="95"/>
        <v>2237.5126800000003</v>
      </c>
      <c r="I362" s="35"/>
      <c r="N362" s="35"/>
      <c r="T362" s="20"/>
    </row>
    <row r="363" spans="1:20" s="87" customFormat="1" ht="15.75" customHeight="1">
      <c r="A363" s="107">
        <v>13</v>
      </c>
      <c r="B363" s="108"/>
      <c r="C363" s="86" t="s">
        <v>299</v>
      </c>
      <c r="D363" s="74">
        <f>126.881*(10.764)</f>
        <v>1365.7470839999999</v>
      </c>
      <c r="E363" s="74">
        <f t="shared" si="93"/>
        <v>0</v>
      </c>
      <c r="F363" s="86">
        <f t="shared" si="94"/>
        <v>1365.7470839999999</v>
      </c>
      <c r="G363" s="86">
        <v>0</v>
      </c>
      <c r="H363" s="86">
        <f t="shared" si="95"/>
        <v>2048.6206259999999</v>
      </c>
      <c r="I363" s="35"/>
      <c r="N363" s="35"/>
      <c r="T363" s="20"/>
    </row>
    <row r="364" spans="1:20" s="87" customFormat="1" ht="15.75" customHeight="1">
      <c r="A364" s="107">
        <v>14</v>
      </c>
      <c r="B364" s="108"/>
      <c r="C364" s="86" t="s">
        <v>299</v>
      </c>
      <c r="D364" s="74">
        <f>80.022*(10.764)</f>
        <v>861.356808</v>
      </c>
      <c r="E364" s="74">
        <f t="shared" si="93"/>
        <v>0</v>
      </c>
      <c r="F364" s="86">
        <f t="shared" si="94"/>
        <v>861.356808</v>
      </c>
      <c r="G364" s="86">
        <v>0</v>
      </c>
      <c r="H364" s="86">
        <f t="shared" si="95"/>
        <v>1292.035212</v>
      </c>
      <c r="I364" s="35"/>
      <c r="N364" s="35"/>
      <c r="T364" s="20"/>
    </row>
    <row r="365" spans="1:20" s="87" customFormat="1" ht="15.75" customHeight="1">
      <c r="A365" s="107">
        <v>15</v>
      </c>
      <c r="B365" s="108"/>
      <c r="C365" s="86" t="s">
        <v>299</v>
      </c>
      <c r="D365" s="74">
        <f>82.802*(10.764)</f>
        <v>891.28072800000007</v>
      </c>
      <c r="E365" s="74">
        <f t="shared" si="93"/>
        <v>0</v>
      </c>
      <c r="F365" s="86">
        <f t="shared" si="94"/>
        <v>891.28072800000007</v>
      </c>
      <c r="G365" s="86">
        <v>0</v>
      </c>
      <c r="H365" s="86">
        <f t="shared" si="95"/>
        <v>1336.921092</v>
      </c>
      <c r="I365" s="35"/>
      <c r="N365" s="35"/>
      <c r="T365" s="20"/>
    </row>
    <row r="366" spans="1:20" s="87" customFormat="1" ht="15.75" customHeight="1">
      <c r="A366" s="107">
        <v>16</v>
      </c>
      <c r="B366" s="108"/>
      <c r="C366" s="86" t="s">
        <v>299</v>
      </c>
      <c r="D366" s="74">
        <f>150.598*(10.764)</f>
        <v>1621.0368720000001</v>
      </c>
      <c r="E366" s="74">
        <f t="shared" si="93"/>
        <v>0</v>
      </c>
      <c r="F366" s="86">
        <f t="shared" si="94"/>
        <v>1621.0368720000001</v>
      </c>
      <c r="G366" s="86">
        <v>0</v>
      </c>
      <c r="H366" s="86">
        <f t="shared" si="95"/>
        <v>2431.555308</v>
      </c>
      <c r="I366" s="35"/>
      <c r="N366" s="35"/>
      <c r="T366" s="20"/>
    </row>
    <row r="367" spans="1:20" s="87" customFormat="1" ht="15.75" customHeight="1">
      <c r="A367" s="107">
        <v>17</v>
      </c>
      <c r="B367" s="108"/>
      <c r="C367" s="86" t="s">
        <v>299</v>
      </c>
      <c r="D367" s="74">
        <f>150.598*(10.764)</f>
        <v>1621.0368720000001</v>
      </c>
      <c r="E367" s="74">
        <f t="shared" si="93"/>
        <v>0</v>
      </c>
      <c r="F367" s="86">
        <f t="shared" si="94"/>
        <v>1621.0368720000001</v>
      </c>
      <c r="G367" s="86">
        <v>0</v>
      </c>
      <c r="H367" s="86">
        <f t="shared" si="95"/>
        <v>2431.555308</v>
      </c>
      <c r="I367" s="35"/>
      <c r="N367" s="35"/>
      <c r="T367" s="20"/>
    </row>
    <row r="368" spans="1:20" s="87" customFormat="1" ht="15.75" customHeight="1">
      <c r="A368" s="107">
        <v>18</v>
      </c>
      <c r="B368" s="108"/>
      <c r="C368" s="86" t="s">
        <v>299</v>
      </c>
      <c r="D368" s="74">
        <f>82.756*(10.764)</f>
        <v>890.78558399999997</v>
      </c>
      <c r="E368" s="74">
        <f t="shared" si="93"/>
        <v>0</v>
      </c>
      <c r="F368" s="86">
        <f t="shared" si="94"/>
        <v>890.78558399999997</v>
      </c>
      <c r="G368" s="86">
        <v>0</v>
      </c>
      <c r="H368" s="86">
        <f t="shared" si="95"/>
        <v>1336.1783759999998</v>
      </c>
      <c r="I368" s="35"/>
      <c r="N368" s="35"/>
      <c r="T368" s="20"/>
    </row>
    <row r="369" spans="1:20" s="87" customFormat="1" ht="15.75" customHeight="1">
      <c r="A369" s="107">
        <v>19</v>
      </c>
      <c r="B369" s="108"/>
      <c r="C369" s="86" t="s">
        <v>299</v>
      </c>
      <c r="D369" s="74">
        <f>80.049*(10.764)</f>
        <v>861.64743599999997</v>
      </c>
      <c r="E369" s="74">
        <f t="shared" si="93"/>
        <v>0</v>
      </c>
      <c r="F369" s="86">
        <f t="shared" si="94"/>
        <v>861.64743599999997</v>
      </c>
      <c r="G369" s="86">
        <v>0</v>
      </c>
      <c r="H369" s="86">
        <f t="shared" si="95"/>
        <v>1292.4711539999998</v>
      </c>
      <c r="I369" s="35"/>
      <c r="N369" s="35"/>
      <c r="T369" s="20"/>
    </row>
    <row r="370" spans="1:20" s="87" customFormat="1" ht="15.75" customHeight="1">
      <c r="A370" s="107">
        <v>20</v>
      </c>
      <c r="B370" s="108"/>
      <c r="C370" s="86" t="s">
        <v>299</v>
      </c>
      <c r="D370" s="74">
        <f>126.881*(10.764)</f>
        <v>1365.7470839999999</v>
      </c>
      <c r="E370" s="74">
        <f t="shared" si="93"/>
        <v>0</v>
      </c>
      <c r="F370" s="86">
        <f t="shared" si="94"/>
        <v>1365.7470839999999</v>
      </c>
      <c r="G370" s="86">
        <v>0</v>
      </c>
      <c r="H370" s="86">
        <f t="shared" si="95"/>
        <v>2048.6206259999999</v>
      </c>
      <c r="I370" s="35"/>
      <c r="N370" s="35"/>
      <c r="T370" s="20"/>
    </row>
    <row r="371" spans="1:20" s="87" customFormat="1" ht="15.75" customHeight="1">
      <c r="A371" s="98" t="s">
        <v>352</v>
      </c>
      <c r="B371" s="99"/>
      <c r="C371" s="99"/>
      <c r="D371" s="99"/>
      <c r="E371" s="99"/>
      <c r="F371" s="99"/>
      <c r="G371" s="99"/>
      <c r="H371" s="100"/>
      <c r="I371" s="35"/>
      <c r="N371" s="35"/>
      <c r="T371" s="20"/>
    </row>
    <row r="372" spans="1:20" s="87" customFormat="1" ht="15.75" customHeight="1">
      <c r="A372" s="96">
        <v>1</v>
      </c>
      <c r="B372" s="97"/>
      <c r="C372" s="94" t="s">
        <v>299</v>
      </c>
      <c r="D372" s="74">
        <f>138.596*(10.764)</f>
        <v>1491.847344</v>
      </c>
      <c r="E372" s="74">
        <f t="shared" si="93"/>
        <v>0</v>
      </c>
      <c r="F372" s="94">
        <f>D372+(IF(E372&lt;201,E372,IF(E372&lt;301,E372/2,E372/3)))</f>
        <v>1491.847344</v>
      </c>
      <c r="G372" s="95">
        <v>0</v>
      </c>
      <c r="H372" s="94">
        <f>(F372+(IF(G372&lt;101,G372,IF(G372&lt;201,G372/2,IF(G372&lt;=301,G372/3,G372/4)))))*(($H$123)+1)</f>
        <v>2237.7710160000001</v>
      </c>
      <c r="I372" s="35"/>
      <c r="N372" s="35"/>
      <c r="T372" s="20"/>
    </row>
    <row r="373" spans="1:20" s="87" customFormat="1" ht="15.75" customHeight="1">
      <c r="A373" s="96">
        <v>2</v>
      </c>
      <c r="B373" s="97"/>
      <c r="C373" s="94" t="s">
        <v>299</v>
      </c>
      <c r="D373" s="74">
        <f>82.349*(10.764)</f>
        <v>886.40463599999998</v>
      </c>
      <c r="E373" s="74">
        <f t="shared" si="93"/>
        <v>0</v>
      </c>
      <c r="F373" s="94">
        <f>D373+(IF(E373&lt;201,E373,IF(E373&lt;301,E373/2,E373/3)))</f>
        <v>886.40463599999998</v>
      </c>
      <c r="G373" s="95">
        <v>0</v>
      </c>
      <c r="H373" s="94">
        <f>(F373+(IF(G373&lt;101,G373,IF(G373&lt;201,G373/2,IF(G373&lt;=301,G373/3,G373/4)))))*(($H$123)+1)</f>
        <v>1329.6069539999999</v>
      </c>
      <c r="I373" s="35"/>
      <c r="N373" s="35"/>
      <c r="T373" s="20"/>
    </row>
    <row r="374" spans="1:20" s="87" customFormat="1" ht="15.75" customHeight="1">
      <c r="A374" s="96">
        <v>3</v>
      </c>
      <c r="B374" s="97"/>
      <c r="C374" s="94" t="s">
        <v>299</v>
      </c>
      <c r="D374" s="74">
        <f>85.131*(10.764)</f>
        <v>916.35008399999992</v>
      </c>
      <c r="E374" s="74">
        <f t="shared" si="93"/>
        <v>0</v>
      </c>
      <c r="F374" s="94">
        <f t="shared" ref="F374:F391" si="96">D374+(IF(E374&lt;201,E374,IF(E374&lt;301,E374/2,E374/3)))</f>
        <v>916.35008399999992</v>
      </c>
      <c r="G374" s="94">
        <v>0</v>
      </c>
      <c r="H374" s="94">
        <f t="shared" ref="H374:H391" si="97">(F374+(IF(G374&lt;101,G374,IF(G374&lt;201,G374/2,IF(G374&lt;=301,G374/3,G374/4)))))*(($H$123)+1)</f>
        <v>1374.525126</v>
      </c>
      <c r="I374" s="35"/>
      <c r="N374" s="35"/>
      <c r="T374" s="20"/>
    </row>
    <row r="375" spans="1:20" s="87" customFormat="1" ht="15.75" customHeight="1">
      <c r="A375" s="96">
        <v>4</v>
      </c>
      <c r="B375" s="97"/>
      <c r="C375" s="94" t="s">
        <v>299</v>
      </c>
      <c r="D375" s="74">
        <f>87.336*(10.764)</f>
        <v>940.08470399999987</v>
      </c>
      <c r="E375" s="74">
        <f t="shared" si="93"/>
        <v>0</v>
      </c>
      <c r="F375" s="94">
        <f t="shared" si="96"/>
        <v>940.08470399999987</v>
      </c>
      <c r="G375" s="94">
        <v>0</v>
      </c>
      <c r="H375" s="94">
        <f t="shared" si="97"/>
        <v>1410.1270559999998</v>
      </c>
      <c r="I375" s="35"/>
      <c r="N375" s="35"/>
      <c r="T375" s="20"/>
    </row>
    <row r="376" spans="1:20" s="87" customFormat="1" ht="15.75" customHeight="1">
      <c r="A376" s="96">
        <v>5</v>
      </c>
      <c r="B376" s="97"/>
      <c r="C376" s="94" t="s">
        <v>299</v>
      </c>
      <c r="D376" s="74">
        <f>74.206*(10.764)</f>
        <v>798.75338399999998</v>
      </c>
      <c r="E376" s="74">
        <f t="shared" si="93"/>
        <v>0</v>
      </c>
      <c r="F376" s="94">
        <f t="shared" si="96"/>
        <v>798.75338399999998</v>
      </c>
      <c r="G376" s="94">
        <v>0</v>
      </c>
      <c r="H376" s="94">
        <f t="shared" si="97"/>
        <v>1198.1300759999999</v>
      </c>
      <c r="I376" s="35"/>
      <c r="N376" s="35"/>
      <c r="T376" s="20"/>
    </row>
    <row r="377" spans="1:20" s="87" customFormat="1" ht="15.75" customHeight="1">
      <c r="A377" s="96">
        <v>6</v>
      </c>
      <c r="B377" s="97"/>
      <c r="C377" s="94" t="s">
        <v>299</v>
      </c>
      <c r="D377" s="74">
        <f>84.925*(10.764)</f>
        <v>914.13269999999989</v>
      </c>
      <c r="E377" s="74">
        <f t="shared" si="93"/>
        <v>0</v>
      </c>
      <c r="F377" s="94">
        <f t="shared" si="96"/>
        <v>914.13269999999989</v>
      </c>
      <c r="G377" s="94">
        <v>0</v>
      </c>
      <c r="H377" s="94">
        <f t="shared" si="97"/>
        <v>1371.1990499999997</v>
      </c>
      <c r="I377" s="35"/>
      <c r="N377" s="35"/>
      <c r="T377" s="20"/>
    </row>
    <row r="378" spans="1:20" s="87" customFormat="1" ht="15.75" customHeight="1">
      <c r="A378" s="96">
        <v>7</v>
      </c>
      <c r="B378" s="97"/>
      <c r="C378" s="94" t="s">
        <v>299</v>
      </c>
      <c r="D378" s="74">
        <f>109.439*(10.764)</f>
        <v>1178.0013959999999</v>
      </c>
      <c r="E378" s="74">
        <f t="shared" si="93"/>
        <v>0</v>
      </c>
      <c r="F378" s="94">
        <f t="shared" si="96"/>
        <v>1178.0013959999999</v>
      </c>
      <c r="G378" s="94">
        <v>0</v>
      </c>
      <c r="H378" s="94">
        <f t="shared" si="97"/>
        <v>1767.0020939999999</v>
      </c>
      <c r="I378" s="35"/>
      <c r="N378" s="35"/>
      <c r="T378" s="20"/>
    </row>
    <row r="379" spans="1:20" s="87" customFormat="1" ht="15.75" customHeight="1">
      <c r="A379" s="96">
        <v>8</v>
      </c>
      <c r="B379" s="97"/>
      <c r="C379" s="94" t="s">
        <v>299</v>
      </c>
      <c r="D379" s="74">
        <f>89.023*(10.764)</f>
        <v>958.24357199999986</v>
      </c>
      <c r="E379" s="74">
        <f t="shared" si="93"/>
        <v>0</v>
      </c>
      <c r="F379" s="94">
        <f t="shared" si="96"/>
        <v>958.24357199999986</v>
      </c>
      <c r="G379" s="94">
        <v>0</v>
      </c>
      <c r="H379" s="94">
        <f t="shared" si="97"/>
        <v>1437.3653579999998</v>
      </c>
      <c r="I379" s="35"/>
      <c r="N379" s="35"/>
      <c r="T379" s="20"/>
    </row>
    <row r="380" spans="1:20" s="87" customFormat="1" ht="15.75" customHeight="1">
      <c r="A380" s="96">
        <v>9</v>
      </c>
      <c r="B380" s="97"/>
      <c r="C380" s="94" t="s">
        <v>299</v>
      </c>
      <c r="D380" s="74">
        <f>74.171*(10.764)</f>
        <v>798.37664400000006</v>
      </c>
      <c r="E380" s="74">
        <f t="shared" si="93"/>
        <v>0</v>
      </c>
      <c r="F380" s="94">
        <f t="shared" si="96"/>
        <v>798.37664400000006</v>
      </c>
      <c r="G380" s="94">
        <v>0</v>
      </c>
      <c r="H380" s="94">
        <f t="shared" si="97"/>
        <v>1197.5649660000001</v>
      </c>
      <c r="I380" s="35"/>
      <c r="N380" s="35"/>
      <c r="T380" s="20"/>
    </row>
    <row r="381" spans="1:20" s="87" customFormat="1" ht="15.75" customHeight="1">
      <c r="A381" s="96">
        <v>10</v>
      </c>
      <c r="B381" s="97"/>
      <c r="C381" s="94" t="s">
        <v>299</v>
      </c>
      <c r="D381" s="74">
        <f>74.171*(10.764)</f>
        <v>798.37664400000006</v>
      </c>
      <c r="E381" s="74">
        <f t="shared" si="93"/>
        <v>0</v>
      </c>
      <c r="F381" s="94">
        <f t="shared" si="96"/>
        <v>798.37664400000006</v>
      </c>
      <c r="G381" s="94">
        <v>0</v>
      </c>
      <c r="H381" s="94">
        <f t="shared" si="97"/>
        <v>1197.5649660000001</v>
      </c>
      <c r="I381" s="35"/>
      <c r="N381" s="35"/>
      <c r="T381" s="20"/>
    </row>
    <row r="382" spans="1:20" s="87" customFormat="1" ht="15.75" customHeight="1">
      <c r="A382" s="96">
        <v>11</v>
      </c>
      <c r="B382" s="97"/>
      <c r="C382" s="94" t="s">
        <v>299</v>
      </c>
      <c r="D382" s="74">
        <f>82.349*(10.764)</f>
        <v>886.40463599999998</v>
      </c>
      <c r="E382" s="74">
        <f t="shared" si="93"/>
        <v>0</v>
      </c>
      <c r="F382" s="94">
        <f t="shared" si="96"/>
        <v>886.40463599999998</v>
      </c>
      <c r="G382" s="94">
        <v>0</v>
      </c>
      <c r="H382" s="94">
        <f t="shared" si="97"/>
        <v>1329.6069539999999</v>
      </c>
      <c r="I382" s="35"/>
      <c r="N382" s="35"/>
      <c r="T382" s="20"/>
    </row>
    <row r="383" spans="1:20" s="87" customFormat="1" ht="15.75" customHeight="1">
      <c r="A383" s="96">
        <v>12</v>
      </c>
      <c r="B383" s="97"/>
      <c r="C383" s="94" t="s">
        <v>299</v>
      </c>
      <c r="D383" s="74">
        <f>138.58*(10.764)</f>
        <v>1491.6751200000001</v>
      </c>
      <c r="E383" s="74">
        <f t="shared" si="93"/>
        <v>0</v>
      </c>
      <c r="F383" s="94">
        <f t="shared" si="96"/>
        <v>1491.6751200000001</v>
      </c>
      <c r="G383" s="94">
        <v>0</v>
      </c>
      <c r="H383" s="94">
        <f t="shared" si="97"/>
        <v>2237.5126800000003</v>
      </c>
      <c r="I383" s="35"/>
      <c r="N383" s="35"/>
      <c r="T383" s="20"/>
    </row>
    <row r="384" spans="1:20" s="87" customFormat="1" ht="15.75" customHeight="1">
      <c r="A384" s="96">
        <v>13</v>
      </c>
      <c r="B384" s="97"/>
      <c r="C384" s="94" t="s">
        <v>299</v>
      </c>
      <c r="D384" s="74">
        <f>126.881*(10.764)</f>
        <v>1365.7470839999999</v>
      </c>
      <c r="E384" s="74">
        <f t="shared" si="93"/>
        <v>0</v>
      </c>
      <c r="F384" s="94">
        <f t="shared" si="96"/>
        <v>1365.7470839999999</v>
      </c>
      <c r="G384" s="94">
        <v>0</v>
      </c>
      <c r="H384" s="94">
        <f t="shared" si="97"/>
        <v>2048.6206259999999</v>
      </c>
      <c r="I384" s="35"/>
      <c r="N384" s="35"/>
      <c r="T384" s="20"/>
    </row>
    <row r="385" spans="1:20" s="87" customFormat="1" ht="15.75" customHeight="1">
      <c r="A385" s="96">
        <v>14</v>
      </c>
      <c r="B385" s="97"/>
      <c r="C385" s="94" t="s">
        <v>299</v>
      </c>
      <c r="D385" s="74">
        <f>80.022*(10.764)</f>
        <v>861.356808</v>
      </c>
      <c r="E385" s="74">
        <f t="shared" si="93"/>
        <v>0</v>
      </c>
      <c r="F385" s="94">
        <f t="shared" si="96"/>
        <v>861.356808</v>
      </c>
      <c r="G385" s="94">
        <v>0</v>
      </c>
      <c r="H385" s="94">
        <f t="shared" si="97"/>
        <v>1292.035212</v>
      </c>
      <c r="I385" s="35"/>
      <c r="N385" s="35"/>
      <c r="T385" s="20"/>
    </row>
    <row r="386" spans="1:20" s="87" customFormat="1" ht="15.75" customHeight="1">
      <c r="A386" s="96">
        <v>15</v>
      </c>
      <c r="B386" s="97"/>
      <c r="C386" s="94" t="s">
        <v>299</v>
      </c>
      <c r="D386" s="74">
        <f>82.802*(10.764)</f>
        <v>891.28072800000007</v>
      </c>
      <c r="E386" s="74">
        <f t="shared" si="93"/>
        <v>0</v>
      </c>
      <c r="F386" s="94">
        <f t="shared" si="96"/>
        <v>891.28072800000007</v>
      </c>
      <c r="G386" s="94">
        <v>0</v>
      </c>
      <c r="H386" s="94">
        <f t="shared" si="97"/>
        <v>1336.921092</v>
      </c>
      <c r="I386" s="35"/>
      <c r="N386" s="35"/>
      <c r="T386" s="20"/>
    </row>
    <row r="387" spans="1:20" s="87" customFormat="1" ht="15.75" customHeight="1">
      <c r="A387" s="96">
        <v>16</v>
      </c>
      <c r="B387" s="97"/>
      <c r="C387" s="94" t="s">
        <v>299</v>
      </c>
      <c r="D387" s="74">
        <f>150.598*(10.764)</f>
        <v>1621.0368720000001</v>
      </c>
      <c r="E387" s="74">
        <f t="shared" si="93"/>
        <v>0</v>
      </c>
      <c r="F387" s="94">
        <f t="shared" si="96"/>
        <v>1621.0368720000001</v>
      </c>
      <c r="G387" s="94">
        <v>0</v>
      </c>
      <c r="H387" s="94">
        <f t="shared" si="97"/>
        <v>2431.555308</v>
      </c>
      <c r="I387" s="35"/>
      <c r="N387" s="35"/>
      <c r="T387" s="20"/>
    </row>
    <row r="388" spans="1:20" s="87" customFormat="1" ht="15.75" customHeight="1">
      <c r="A388" s="96">
        <v>17</v>
      </c>
      <c r="B388" s="97"/>
      <c r="C388" s="94" t="s">
        <v>299</v>
      </c>
      <c r="D388" s="74">
        <f>150.598*(10.764)</f>
        <v>1621.0368720000001</v>
      </c>
      <c r="E388" s="74">
        <f t="shared" si="93"/>
        <v>0</v>
      </c>
      <c r="F388" s="94">
        <f t="shared" si="96"/>
        <v>1621.0368720000001</v>
      </c>
      <c r="G388" s="94">
        <v>0</v>
      </c>
      <c r="H388" s="94">
        <f t="shared" si="97"/>
        <v>2431.555308</v>
      </c>
      <c r="I388" s="35"/>
      <c r="N388" s="35"/>
      <c r="T388" s="20"/>
    </row>
    <row r="389" spans="1:20" s="87" customFormat="1" ht="15.75" customHeight="1">
      <c r="A389" s="96">
        <v>18</v>
      </c>
      <c r="B389" s="97"/>
      <c r="C389" s="94" t="s">
        <v>299</v>
      </c>
      <c r="D389" s="74">
        <f>82.756*(10.764)</f>
        <v>890.78558399999997</v>
      </c>
      <c r="E389" s="74">
        <f t="shared" si="93"/>
        <v>0</v>
      </c>
      <c r="F389" s="94">
        <f t="shared" si="96"/>
        <v>890.78558399999997</v>
      </c>
      <c r="G389" s="94">
        <v>0</v>
      </c>
      <c r="H389" s="94">
        <f t="shared" si="97"/>
        <v>1336.1783759999998</v>
      </c>
      <c r="I389" s="35"/>
      <c r="N389" s="35"/>
      <c r="T389" s="20"/>
    </row>
    <row r="390" spans="1:20" s="87" customFormat="1" ht="15.75" customHeight="1">
      <c r="A390" s="96">
        <v>19</v>
      </c>
      <c r="B390" s="97"/>
      <c r="C390" s="94" t="s">
        <v>299</v>
      </c>
      <c r="D390" s="74">
        <f>80.049*(10.764)</f>
        <v>861.64743599999997</v>
      </c>
      <c r="E390" s="74">
        <f t="shared" si="93"/>
        <v>0</v>
      </c>
      <c r="F390" s="94">
        <f t="shared" si="96"/>
        <v>861.64743599999997</v>
      </c>
      <c r="G390" s="94">
        <v>0</v>
      </c>
      <c r="H390" s="94">
        <f t="shared" si="97"/>
        <v>1292.4711539999998</v>
      </c>
      <c r="I390" s="35"/>
      <c r="N390" s="35"/>
      <c r="T390" s="20"/>
    </row>
    <row r="391" spans="1:20" s="87" customFormat="1" ht="15.75" customHeight="1">
      <c r="A391" s="96">
        <v>20</v>
      </c>
      <c r="B391" s="97"/>
      <c r="C391" s="94" t="s">
        <v>299</v>
      </c>
      <c r="D391" s="74">
        <f>126.881*(10.764)</f>
        <v>1365.7470839999999</v>
      </c>
      <c r="E391" s="74">
        <f t="shared" si="93"/>
        <v>0</v>
      </c>
      <c r="F391" s="94">
        <f t="shared" si="96"/>
        <v>1365.7470839999999</v>
      </c>
      <c r="G391" s="94">
        <v>0</v>
      </c>
      <c r="H391" s="94">
        <f t="shared" si="97"/>
        <v>2048.6206259999999</v>
      </c>
      <c r="I391" s="35"/>
      <c r="N391" s="35"/>
      <c r="T391" s="20"/>
    </row>
    <row r="392" spans="1:20" s="87" customFormat="1" ht="15.75" customHeight="1">
      <c r="A392" s="98" t="s">
        <v>353</v>
      </c>
      <c r="B392" s="99"/>
      <c r="C392" s="99"/>
      <c r="D392" s="99"/>
      <c r="E392" s="99"/>
      <c r="F392" s="99"/>
      <c r="G392" s="99"/>
      <c r="H392" s="100"/>
      <c r="I392" s="35"/>
      <c r="N392" s="35"/>
      <c r="T392" s="20"/>
    </row>
    <row r="393" spans="1:20" s="87" customFormat="1" ht="32.25" customHeight="1">
      <c r="A393" s="96">
        <v>1</v>
      </c>
      <c r="B393" s="97"/>
      <c r="C393" s="94" t="s">
        <v>368</v>
      </c>
      <c r="D393" s="74">
        <f>138.596*(10.764)</f>
        <v>1491.847344</v>
      </c>
      <c r="E393" s="74">
        <f t="shared" si="93"/>
        <v>0</v>
      </c>
      <c r="F393" s="94">
        <f>D393+(IF(E393&lt;201,E393,IF(E393&lt;301,E393/2,E393/3)))</f>
        <v>1491.847344</v>
      </c>
      <c r="G393" s="95">
        <v>0</v>
      </c>
      <c r="H393" s="94">
        <f>(F393+(IF(G393&lt;101,G393,IF(G393&lt;201,G393/2,IF(G393&lt;=301,G393/3,G393/4)))))*(($H$123)+1)</f>
        <v>2237.7710160000001</v>
      </c>
      <c r="I393" s="35"/>
      <c r="N393" s="35"/>
      <c r="T393" s="20"/>
    </row>
    <row r="394" spans="1:20" s="87" customFormat="1" ht="32.25" customHeight="1">
      <c r="A394" s="96">
        <v>2</v>
      </c>
      <c r="B394" s="97"/>
      <c r="C394" s="94" t="s">
        <v>368</v>
      </c>
      <c r="D394" s="74">
        <f>82.349*(10.764)</f>
        <v>886.40463599999998</v>
      </c>
      <c r="E394" s="74">
        <f t="shared" si="93"/>
        <v>0</v>
      </c>
      <c r="F394" s="94">
        <f>D394+(IF(E394&lt;201,E394,IF(E394&lt;301,E394/2,E394/3)))</f>
        <v>886.40463599999998</v>
      </c>
      <c r="G394" s="95">
        <v>0</v>
      </c>
      <c r="H394" s="94">
        <f>(F394+(IF(G394&lt;101,G394,IF(G394&lt;201,G394/2,IF(G394&lt;=301,G394/3,G394/4)))))*(($H$123)+1)</f>
        <v>1329.6069539999999</v>
      </c>
      <c r="I394" s="35"/>
      <c r="N394" s="35"/>
      <c r="T394" s="20"/>
    </row>
    <row r="395" spans="1:20" s="87" customFormat="1" ht="32.25" customHeight="1">
      <c r="A395" s="96">
        <v>3</v>
      </c>
      <c r="B395" s="97"/>
      <c r="C395" s="94" t="s">
        <v>368</v>
      </c>
      <c r="D395" s="74">
        <f>85.131*(10.764)</f>
        <v>916.35008399999992</v>
      </c>
      <c r="E395" s="74">
        <f t="shared" si="93"/>
        <v>0</v>
      </c>
      <c r="F395" s="94">
        <f t="shared" ref="F395:F412" si="98">D395+(IF(E395&lt;201,E395,IF(E395&lt;301,E395/2,E395/3)))</f>
        <v>916.35008399999992</v>
      </c>
      <c r="G395" s="94">
        <v>0</v>
      </c>
      <c r="H395" s="94">
        <f t="shared" ref="H395:H412" si="99">(F395+(IF(G395&lt;101,G395,IF(G395&lt;201,G395/2,IF(G395&lt;=301,G395/3,G395/4)))))*(($H$123)+1)</f>
        <v>1374.525126</v>
      </c>
      <c r="I395" s="35"/>
      <c r="N395" s="35"/>
      <c r="T395" s="20"/>
    </row>
    <row r="396" spans="1:20" s="87" customFormat="1" ht="32.25" customHeight="1">
      <c r="A396" s="96">
        <v>4</v>
      </c>
      <c r="B396" s="97"/>
      <c r="C396" s="94" t="s">
        <v>368</v>
      </c>
      <c r="D396" s="74">
        <f>87.336*(10.764)</f>
        <v>940.08470399999987</v>
      </c>
      <c r="E396" s="74">
        <f t="shared" si="93"/>
        <v>0</v>
      </c>
      <c r="F396" s="94">
        <f t="shared" si="98"/>
        <v>940.08470399999987</v>
      </c>
      <c r="G396" s="94">
        <v>0</v>
      </c>
      <c r="H396" s="94">
        <f t="shared" si="99"/>
        <v>1410.1270559999998</v>
      </c>
      <c r="I396" s="35"/>
      <c r="N396" s="35"/>
      <c r="T396" s="20"/>
    </row>
    <row r="397" spans="1:20" s="87" customFormat="1" ht="32.25" customHeight="1">
      <c r="A397" s="96">
        <v>5</v>
      </c>
      <c r="B397" s="97"/>
      <c r="C397" s="94" t="s">
        <v>368</v>
      </c>
      <c r="D397" s="74">
        <f>74.206*(10.764)</f>
        <v>798.75338399999998</v>
      </c>
      <c r="E397" s="74">
        <f t="shared" si="93"/>
        <v>0</v>
      </c>
      <c r="F397" s="94">
        <f t="shared" si="98"/>
        <v>798.75338399999998</v>
      </c>
      <c r="G397" s="94">
        <v>0</v>
      </c>
      <c r="H397" s="94">
        <f t="shared" si="99"/>
        <v>1198.1300759999999</v>
      </c>
      <c r="I397" s="35"/>
      <c r="N397" s="35"/>
      <c r="T397" s="20"/>
    </row>
    <row r="398" spans="1:20" s="87" customFormat="1" ht="32.25" customHeight="1">
      <c r="A398" s="96">
        <v>6</v>
      </c>
      <c r="B398" s="97"/>
      <c r="C398" s="94" t="s">
        <v>368</v>
      </c>
      <c r="D398" s="74">
        <f>84.925*(10.764)</f>
        <v>914.13269999999989</v>
      </c>
      <c r="E398" s="74">
        <f t="shared" si="93"/>
        <v>0</v>
      </c>
      <c r="F398" s="94">
        <f t="shared" si="98"/>
        <v>914.13269999999989</v>
      </c>
      <c r="G398" s="94">
        <v>0</v>
      </c>
      <c r="H398" s="94">
        <f t="shared" si="99"/>
        <v>1371.1990499999997</v>
      </c>
      <c r="I398" s="35"/>
      <c r="N398" s="35"/>
      <c r="T398" s="20"/>
    </row>
    <row r="399" spans="1:20" s="87" customFormat="1" ht="32.25" customHeight="1">
      <c r="A399" s="96">
        <v>7</v>
      </c>
      <c r="B399" s="97"/>
      <c r="C399" s="94" t="s">
        <v>368</v>
      </c>
      <c r="D399" s="74">
        <f>109.439*(10.764)</f>
        <v>1178.0013959999999</v>
      </c>
      <c r="E399" s="74">
        <f t="shared" si="93"/>
        <v>0</v>
      </c>
      <c r="F399" s="94">
        <f t="shared" si="98"/>
        <v>1178.0013959999999</v>
      </c>
      <c r="G399" s="94">
        <v>0</v>
      </c>
      <c r="H399" s="94">
        <f t="shared" si="99"/>
        <v>1767.0020939999999</v>
      </c>
      <c r="I399" s="35"/>
      <c r="N399" s="35"/>
      <c r="T399" s="20"/>
    </row>
    <row r="400" spans="1:20" s="87" customFormat="1" ht="32.25" customHeight="1">
      <c r="A400" s="96">
        <v>8</v>
      </c>
      <c r="B400" s="97"/>
      <c r="C400" s="94" t="s">
        <v>368</v>
      </c>
      <c r="D400" s="74">
        <f>89.023*(10.764)</f>
        <v>958.24357199999986</v>
      </c>
      <c r="E400" s="74">
        <f t="shared" si="93"/>
        <v>0</v>
      </c>
      <c r="F400" s="94">
        <f t="shared" si="98"/>
        <v>958.24357199999986</v>
      </c>
      <c r="G400" s="94">
        <v>0</v>
      </c>
      <c r="H400" s="94">
        <f t="shared" si="99"/>
        <v>1437.3653579999998</v>
      </c>
      <c r="I400" s="35"/>
      <c r="N400" s="35"/>
      <c r="T400" s="20"/>
    </row>
    <row r="401" spans="1:20" s="87" customFormat="1" ht="32.25" customHeight="1">
      <c r="A401" s="96">
        <v>9</v>
      </c>
      <c r="B401" s="97"/>
      <c r="C401" s="94" t="s">
        <v>368</v>
      </c>
      <c r="D401" s="74">
        <f>74.171*(10.764)</f>
        <v>798.37664400000006</v>
      </c>
      <c r="E401" s="74">
        <f t="shared" si="93"/>
        <v>0</v>
      </c>
      <c r="F401" s="94">
        <f t="shared" si="98"/>
        <v>798.37664400000006</v>
      </c>
      <c r="G401" s="94">
        <v>0</v>
      </c>
      <c r="H401" s="94">
        <f t="shared" si="99"/>
        <v>1197.5649660000001</v>
      </c>
      <c r="I401" s="35"/>
      <c r="N401" s="35"/>
      <c r="T401" s="20"/>
    </row>
    <row r="402" spans="1:20" s="87" customFormat="1" ht="32.25" customHeight="1">
      <c r="A402" s="96">
        <v>10</v>
      </c>
      <c r="B402" s="97"/>
      <c r="C402" s="94" t="s">
        <v>368</v>
      </c>
      <c r="D402" s="74">
        <f>74.171*(10.764)</f>
        <v>798.37664400000006</v>
      </c>
      <c r="E402" s="74">
        <f t="shared" si="93"/>
        <v>0</v>
      </c>
      <c r="F402" s="94">
        <f t="shared" si="98"/>
        <v>798.37664400000006</v>
      </c>
      <c r="G402" s="94">
        <v>0</v>
      </c>
      <c r="H402" s="94">
        <f t="shared" si="99"/>
        <v>1197.5649660000001</v>
      </c>
      <c r="I402" s="35"/>
      <c r="N402" s="35"/>
      <c r="T402" s="20"/>
    </row>
    <row r="403" spans="1:20" s="87" customFormat="1" ht="32.25" customHeight="1">
      <c r="A403" s="96">
        <v>11</v>
      </c>
      <c r="B403" s="97"/>
      <c r="C403" s="94" t="s">
        <v>368</v>
      </c>
      <c r="D403" s="74">
        <f>82.349*(10.764)</f>
        <v>886.40463599999998</v>
      </c>
      <c r="E403" s="74">
        <f t="shared" si="93"/>
        <v>0</v>
      </c>
      <c r="F403" s="94">
        <f t="shared" si="98"/>
        <v>886.40463599999998</v>
      </c>
      <c r="G403" s="94">
        <v>0</v>
      </c>
      <c r="H403" s="94">
        <f t="shared" si="99"/>
        <v>1329.6069539999999</v>
      </c>
      <c r="I403" s="35"/>
      <c r="N403" s="35"/>
      <c r="T403" s="20"/>
    </row>
    <row r="404" spans="1:20" s="87" customFormat="1" ht="32.25" customHeight="1">
      <c r="A404" s="96">
        <v>12</v>
      </c>
      <c r="B404" s="97"/>
      <c r="C404" s="94" t="s">
        <v>368</v>
      </c>
      <c r="D404" s="74">
        <f>138.58*(10.764)</f>
        <v>1491.6751200000001</v>
      </c>
      <c r="E404" s="74">
        <f t="shared" si="93"/>
        <v>0</v>
      </c>
      <c r="F404" s="94">
        <f t="shared" si="98"/>
        <v>1491.6751200000001</v>
      </c>
      <c r="G404" s="94">
        <v>0</v>
      </c>
      <c r="H404" s="94">
        <f t="shared" si="99"/>
        <v>2237.5126800000003</v>
      </c>
      <c r="I404" s="35"/>
      <c r="N404" s="35"/>
      <c r="T404" s="20"/>
    </row>
    <row r="405" spans="1:20" s="87" customFormat="1" ht="15.75" customHeight="1">
      <c r="A405" s="96">
        <v>13</v>
      </c>
      <c r="B405" s="97"/>
      <c r="C405" s="94" t="s">
        <v>299</v>
      </c>
      <c r="D405" s="74">
        <f>126.881*(10.764)</f>
        <v>1365.7470839999999</v>
      </c>
      <c r="E405" s="74">
        <f t="shared" si="93"/>
        <v>0</v>
      </c>
      <c r="F405" s="94">
        <f t="shared" si="98"/>
        <v>1365.7470839999999</v>
      </c>
      <c r="G405" s="94">
        <v>0</v>
      </c>
      <c r="H405" s="94">
        <f t="shared" si="99"/>
        <v>2048.6206259999999</v>
      </c>
      <c r="I405" s="35"/>
      <c r="N405" s="35"/>
      <c r="T405" s="20"/>
    </row>
    <row r="406" spans="1:20" s="87" customFormat="1" ht="15.75" customHeight="1">
      <c r="A406" s="96">
        <v>14</v>
      </c>
      <c r="B406" s="97"/>
      <c r="C406" s="94" t="s">
        <v>299</v>
      </c>
      <c r="D406" s="74">
        <f>80.022*(10.764)</f>
        <v>861.356808</v>
      </c>
      <c r="E406" s="74">
        <f t="shared" si="93"/>
        <v>0</v>
      </c>
      <c r="F406" s="94">
        <f t="shared" si="98"/>
        <v>861.356808</v>
      </c>
      <c r="G406" s="94">
        <v>0</v>
      </c>
      <c r="H406" s="94">
        <f t="shared" si="99"/>
        <v>1292.035212</v>
      </c>
      <c r="I406" s="35"/>
      <c r="N406" s="35"/>
      <c r="T406" s="20"/>
    </row>
    <row r="407" spans="1:20" s="87" customFormat="1" ht="15.75" customHeight="1">
      <c r="A407" s="96">
        <v>15</v>
      </c>
      <c r="B407" s="97"/>
      <c r="C407" s="94" t="s">
        <v>299</v>
      </c>
      <c r="D407" s="74">
        <f>82.802*(10.764)</f>
        <v>891.28072800000007</v>
      </c>
      <c r="E407" s="74">
        <f t="shared" si="93"/>
        <v>0</v>
      </c>
      <c r="F407" s="94">
        <f t="shared" si="98"/>
        <v>891.28072800000007</v>
      </c>
      <c r="G407" s="94">
        <v>0</v>
      </c>
      <c r="H407" s="94">
        <f t="shared" si="99"/>
        <v>1336.921092</v>
      </c>
      <c r="I407" s="35"/>
      <c r="N407" s="35"/>
      <c r="T407" s="20"/>
    </row>
    <row r="408" spans="1:20" s="87" customFormat="1" ht="15.75" customHeight="1">
      <c r="A408" s="96">
        <v>16</v>
      </c>
      <c r="B408" s="97"/>
      <c r="C408" s="94" t="s">
        <v>299</v>
      </c>
      <c r="D408" s="74">
        <f>150.598*(10.764)</f>
        <v>1621.0368720000001</v>
      </c>
      <c r="E408" s="74">
        <f t="shared" si="93"/>
        <v>0</v>
      </c>
      <c r="F408" s="94">
        <f t="shared" si="98"/>
        <v>1621.0368720000001</v>
      </c>
      <c r="G408" s="94">
        <v>0</v>
      </c>
      <c r="H408" s="94">
        <f t="shared" si="99"/>
        <v>2431.555308</v>
      </c>
      <c r="I408" s="35"/>
      <c r="N408" s="35"/>
      <c r="T408" s="20"/>
    </row>
    <row r="409" spans="1:20" s="87" customFormat="1" ht="32.25" customHeight="1">
      <c r="A409" s="96">
        <v>17</v>
      </c>
      <c r="B409" s="97"/>
      <c r="C409" s="94" t="s">
        <v>368</v>
      </c>
      <c r="D409" s="74">
        <f>150.598*(10.764)</f>
        <v>1621.0368720000001</v>
      </c>
      <c r="E409" s="74">
        <f t="shared" si="93"/>
        <v>0</v>
      </c>
      <c r="F409" s="94">
        <f t="shared" si="98"/>
        <v>1621.0368720000001</v>
      </c>
      <c r="G409" s="94">
        <v>0</v>
      </c>
      <c r="H409" s="94">
        <f t="shared" si="99"/>
        <v>2431.555308</v>
      </c>
      <c r="I409" s="35"/>
      <c r="N409" s="35"/>
      <c r="T409" s="20"/>
    </row>
    <row r="410" spans="1:20" s="87" customFormat="1" ht="32.25" customHeight="1">
      <c r="A410" s="96">
        <v>18</v>
      </c>
      <c r="B410" s="97"/>
      <c r="C410" s="94" t="s">
        <v>368</v>
      </c>
      <c r="D410" s="74">
        <f>82.756*(10.764)</f>
        <v>890.78558399999997</v>
      </c>
      <c r="E410" s="74">
        <f t="shared" si="93"/>
        <v>0</v>
      </c>
      <c r="F410" s="94">
        <f t="shared" si="98"/>
        <v>890.78558399999997</v>
      </c>
      <c r="G410" s="94">
        <v>0</v>
      </c>
      <c r="H410" s="94">
        <f t="shared" si="99"/>
        <v>1336.1783759999998</v>
      </c>
      <c r="I410" s="35"/>
      <c r="N410" s="35"/>
      <c r="T410" s="20"/>
    </row>
    <row r="411" spans="1:20" s="87" customFormat="1" ht="32.25" customHeight="1">
      <c r="A411" s="96">
        <v>19</v>
      </c>
      <c r="B411" s="97"/>
      <c r="C411" s="94" t="s">
        <v>368</v>
      </c>
      <c r="D411" s="74">
        <f>80.049*(10.764)</f>
        <v>861.64743599999997</v>
      </c>
      <c r="E411" s="74">
        <f t="shared" si="93"/>
        <v>0</v>
      </c>
      <c r="F411" s="94">
        <f t="shared" si="98"/>
        <v>861.64743599999997</v>
      </c>
      <c r="G411" s="94">
        <v>0</v>
      </c>
      <c r="H411" s="94">
        <f t="shared" si="99"/>
        <v>1292.4711539999998</v>
      </c>
      <c r="I411" s="35"/>
      <c r="N411" s="35"/>
      <c r="T411" s="20"/>
    </row>
    <row r="412" spans="1:20" s="87" customFormat="1" ht="32.25" customHeight="1">
      <c r="A412" s="96">
        <v>20</v>
      </c>
      <c r="B412" s="97"/>
      <c r="C412" s="94" t="s">
        <v>368</v>
      </c>
      <c r="D412" s="74">
        <f>126.881*(10.764)</f>
        <v>1365.7470839999999</v>
      </c>
      <c r="E412" s="74">
        <f t="shared" si="93"/>
        <v>0</v>
      </c>
      <c r="F412" s="94">
        <f t="shared" si="98"/>
        <v>1365.7470839999999</v>
      </c>
      <c r="G412" s="94">
        <v>0</v>
      </c>
      <c r="H412" s="94">
        <f t="shared" si="99"/>
        <v>2048.6206259999999</v>
      </c>
      <c r="I412" s="35"/>
      <c r="N412" s="35"/>
      <c r="T412" s="20"/>
    </row>
    <row r="413" spans="1:20" s="87" customFormat="1" ht="15.75" customHeight="1">
      <c r="A413" s="247" t="s">
        <v>354</v>
      </c>
      <c r="B413" s="248"/>
      <c r="C413" s="248"/>
      <c r="D413" s="248"/>
      <c r="E413" s="248"/>
      <c r="F413" s="248"/>
      <c r="G413" s="248"/>
      <c r="H413" s="249"/>
      <c r="I413" s="35"/>
      <c r="N413" s="35"/>
      <c r="T413" s="20"/>
    </row>
    <row r="414" spans="1:20" s="87" customFormat="1" ht="15.75" customHeight="1">
      <c r="A414" s="107">
        <v>1</v>
      </c>
      <c r="B414" s="108"/>
      <c r="C414" s="86" t="s">
        <v>299</v>
      </c>
      <c r="D414" s="74">
        <f>138.596*(10.764)</f>
        <v>1491.847344</v>
      </c>
      <c r="E414" s="74">
        <f t="shared" si="93"/>
        <v>0</v>
      </c>
      <c r="F414" s="86">
        <f>D414+(IF(E414&lt;201,E414,IF(E414&lt;301,E414/2,E414/3)))</f>
        <v>1491.847344</v>
      </c>
      <c r="G414" s="62">
        <v>0</v>
      </c>
      <c r="H414" s="86">
        <f t="shared" ref="H414:H425" si="100">(F414+(IF(G414&lt;101,G414,IF(G414&lt;201,G414/2,IF(G414&lt;=301,G414/3,G414/4)))))*(($H$123)+1)</f>
        <v>2237.7710160000001</v>
      </c>
      <c r="I414" s="35"/>
      <c r="N414" s="35"/>
      <c r="T414" s="20"/>
    </row>
    <row r="415" spans="1:20" s="87" customFormat="1" ht="15.75" customHeight="1">
      <c r="A415" s="107">
        <v>2</v>
      </c>
      <c r="B415" s="108"/>
      <c r="C415" s="86" t="s">
        <v>299</v>
      </c>
      <c r="D415" s="74">
        <f>82.349*(10.764)</f>
        <v>886.40463599999998</v>
      </c>
      <c r="E415" s="74">
        <f t="shared" ref="E415:E432" si="101">0*(10.764)</f>
        <v>0</v>
      </c>
      <c r="F415" s="86">
        <f>D415+(IF(E415&lt;201,E415,IF(E415&lt;301,E415/2,E415/3)))</f>
        <v>886.40463599999998</v>
      </c>
      <c r="G415" s="62">
        <v>0</v>
      </c>
      <c r="H415" s="86">
        <f t="shared" si="100"/>
        <v>1329.6069539999999</v>
      </c>
      <c r="I415" s="35"/>
      <c r="N415" s="35"/>
      <c r="T415" s="20"/>
    </row>
    <row r="416" spans="1:20" s="87" customFormat="1" ht="15.75" customHeight="1">
      <c r="A416" s="107">
        <v>3</v>
      </c>
      <c r="B416" s="108"/>
      <c r="C416" s="86" t="s">
        <v>299</v>
      </c>
      <c r="D416" s="74">
        <f>85.131*(10.764)</f>
        <v>916.35008399999992</v>
      </c>
      <c r="E416" s="74">
        <f t="shared" si="101"/>
        <v>0</v>
      </c>
      <c r="F416" s="86">
        <f t="shared" ref="F416:F432" si="102">D416+(IF(E416&lt;201,E416,IF(E416&lt;301,E416/2,E416/3)))</f>
        <v>916.35008399999992</v>
      </c>
      <c r="G416" s="86">
        <v>0</v>
      </c>
      <c r="H416" s="86">
        <f t="shared" si="100"/>
        <v>1374.525126</v>
      </c>
      <c r="I416" s="35"/>
      <c r="N416" s="35"/>
      <c r="T416" s="20"/>
    </row>
    <row r="417" spans="1:20" s="87" customFormat="1" ht="15.75" customHeight="1">
      <c r="A417" s="107">
        <v>4</v>
      </c>
      <c r="B417" s="108"/>
      <c r="C417" s="86" t="s">
        <v>299</v>
      </c>
      <c r="D417" s="74">
        <f>87.336*(10.764)</f>
        <v>940.08470399999987</v>
      </c>
      <c r="E417" s="74">
        <f t="shared" si="101"/>
        <v>0</v>
      </c>
      <c r="F417" s="86">
        <f t="shared" si="102"/>
        <v>940.08470399999987</v>
      </c>
      <c r="G417" s="86">
        <v>0</v>
      </c>
      <c r="H417" s="86">
        <f t="shared" si="100"/>
        <v>1410.1270559999998</v>
      </c>
      <c r="I417" s="35"/>
      <c r="N417" s="35"/>
      <c r="T417" s="20"/>
    </row>
    <row r="418" spans="1:20" s="87" customFormat="1" ht="15.75" customHeight="1">
      <c r="A418" s="107">
        <v>5</v>
      </c>
      <c r="B418" s="108"/>
      <c r="C418" s="86" t="s">
        <v>299</v>
      </c>
      <c r="D418" s="74">
        <f>74.206*(10.764)</f>
        <v>798.75338399999998</v>
      </c>
      <c r="E418" s="74">
        <f t="shared" si="101"/>
        <v>0</v>
      </c>
      <c r="F418" s="86">
        <f t="shared" si="102"/>
        <v>798.75338399999998</v>
      </c>
      <c r="G418" s="86">
        <v>0</v>
      </c>
      <c r="H418" s="86">
        <f t="shared" si="100"/>
        <v>1198.1300759999999</v>
      </c>
      <c r="I418" s="35"/>
      <c r="N418" s="35"/>
      <c r="T418" s="20"/>
    </row>
    <row r="419" spans="1:20" s="87" customFormat="1" ht="15.75" customHeight="1">
      <c r="A419" s="107">
        <v>6</v>
      </c>
      <c r="B419" s="108"/>
      <c r="C419" s="86" t="s">
        <v>299</v>
      </c>
      <c r="D419" s="74">
        <f>84.925*(10.764)</f>
        <v>914.13269999999989</v>
      </c>
      <c r="E419" s="74">
        <f t="shared" si="101"/>
        <v>0</v>
      </c>
      <c r="F419" s="86">
        <f t="shared" si="102"/>
        <v>914.13269999999989</v>
      </c>
      <c r="G419" s="86">
        <v>0</v>
      </c>
      <c r="H419" s="86">
        <f t="shared" si="100"/>
        <v>1371.1990499999997</v>
      </c>
      <c r="I419" s="35"/>
      <c r="N419" s="35"/>
      <c r="T419" s="20"/>
    </row>
    <row r="420" spans="1:20" s="87" customFormat="1" ht="15.75" customHeight="1">
      <c r="A420" s="107">
        <v>7</v>
      </c>
      <c r="B420" s="108"/>
      <c r="C420" s="86" t="s">
        <v>299</v>
      </c>
      <c r="D420" s="74">
        <f>109.439*(10.764)</f>
        <v>1178.0013959999999</v>
      </c>
      <c r="E420" s="74">
        <f t="shared" si="101"/>
        <v>0</v>
      </c>
      <c r="F420" s="86">
        <f t="shared" si="102"/>
        <v>1178.0013959999999</v>
      </c>
      <c r="G420" s="86">
        <v>0</v>
      </c>
      <c r="H420" s="86">
        <f t="shared" si="100"/>
        <v>1767.0020939999999</v>
      </c>
      <c r="I420" s="35"/>
      <c r="N420" s="35"/>
      <c r="T420" s="20"/>
    </row>
    <row r="421" spans="1:20" s="87" customFormat="1" ht="15.75" customHeight="1">
      <c r="A421" s="107">
        <v>8</v>
      </c>
      <c r="B421" s="108"/>
      <c r="C421" s="86" t="s">
        <v>299</v>
      </c>
      <c r="D421" s="74">
        <f>89.023*(10.764)</f>
        <v>958.24357199999986</v>
      </c>
      <c r="E421" s="74">
        <f t="shared" si="101"/>
        <v>0</v>
      </c>
      <c r="F421" s="86">
        <f t="shared" si="102"/>
        <v>958.24357199999986</v>
      </c>
      <c r="G421" s="86">
        <v>0</v>
      </c>
      <c r="H421" s="86">
        <f t="shared" si="100"/>
        <v>1437.3653579999998</v>
      </c>
      <c r="I421" s="35"/>
      <c r="N421" s="35"/>
      <c r="T421" s="20"/>
    </row>
    <row r="422" spans="1:20" s="87" customFormat="1" ht="15.75" customHeight="1">
      <c r="A422" s="107">
        <v>9</v>
      </c>
      <c r="B422" s="108"/>
      <c r="C422" s="86" t="s">
        <v>299</v>
      </c>
      <c r="D422" s="74">
        <f>74.171*(10.764)</f>
        <v>798.37664400000006</v>
      </c>
      <c r="E422" s="74">
        <f t="shared" si="101"/>
        <v>0</v>
      </c>
      <c r="F422" s="86">
        <f t="shared" si="102"/>
        <v>798.37664400000006</v>
      </c>
      <c r="G422" s="86">
        <v>0</v>
      </c>
      <c r="H422" s="86">
        <f t="shared" si="100"/>
        <v>1197.5649660000001</v>
      </c>
      <c r="I422" s="35"/>
      <c r="N422" s="35"/>
      <c r="T422" s="20"/>
    </row>
    <row r="423" spans="1:20" s="87" customFormat="1" ht="15.75" customHeight="1">
      <c r="A423" s="107">
        <v>10</v>
      </c>
      <c r="B423" s="108"/>
      <c r="C423" s="86" t="s">
        <v>299</v>
      </c>
      <c r="D423" s="74">
        <f>74.171*(10.764)</f>
        <v>798.37664400000006</v>
      </c>
      <c r="E423" s="74">
        <f t="shared" si="101"/>
        <v>0</v>
      </c>
      <c r="F423" s="86">
        <f t="shared" si="102"/>
        <v>798.37664400000006</v>
      </c>
      <c r="G423" s="86">
        <v>0</v>
      </c>
      <c r="H423" s="86">
        <f t="shared" si="100"/>
        <v>1197.5649660000001</v>
      </c>
      <c r="I423" s="35"/>
      <c r="N423" s="35"/>
      <c r="T423" s="20"/>
    </row>
    <row r="424" spans="1:20" s="87" customFormat="1" ht="15.75" customHeight="1">
      <c r="A424" s="107">
        <v>11</v>
      </c>
      <c r="B424" s="108"/>
      <c r="C424" s="86" t="s">
        <v>299</v>
      </c>
      <c r="D424" s="74">
        <f>82.349*(10.764)</f>
        <v>886.40463599999998</v>
      </c>
      <c r="E424" s="74">
        <f t="shared" si="101"/>
        <v>0</v>
      </c>
      <c r="F424" s="86">
        <f t="shared" si="102"/>
        <v>886.40463599999998</v>
      </c>
      <c r="G424" s="86">
        <v>0</v>
      </c>
      <c r="H424" s="86">
        <f t="shared" si="100"/>
        <v>1329.6069539999999</v>
      </c>
      <c r="I424" s="35"/>
      <c r="N424" s="35"/>
      <c r="T424" s="20"/>
    </row>
    <row r="425" spans="1:20" s="87" customFormat="1" ht="15.75" customHeight="1">
      <c r="A425" s="107">
        <v>12</v>
      </c>
      <c r="B425" s="108"/>
      <c r="C425" s="86" t="s">
        <v>299</v>
      </c>
      <c r="D425" s="74">
        <f>138.58*(10.764)</f>
        <v>1491.6751200000001</v>
      </c>
      <c r="E425" s="74">
        <f t="shared" si="101"/>
        <v>0</v>
      </c>
      <c r="F425" s="86">
        <f t="shared" si="102"/>
        <v>1491.6751200000001</v>
      </c>
      <c r="G425" s="86">
        <v>0</v>
      </c>
      <c r="H425" s="86">
        <f t="shared" si="100"/>
        <v>2237.5126800000003</v>
      </c>
      <c r="I425" s="35"/>
      <c r="N425" s="35"/>
      <c r="T425" s="20"/>
    </row>
    <row r="426" spans="1:20" s="87" customFormat="1" ht="15.75" customHeight="1">
      <c r="A426" s="107">
        <v>13</v>
      </c>
      <c r="B426" s="108"/>
      <c r="C426" s="86" t="s">
        <v>369</v>
      </c>
      <c r="D426" s="101" t="s">
        <v>323</v>
      </c>
      <c r="E426" s="102"/>
      <c r="F426" s="102"/>
      <c r="G426" s="102"/>
      <c r="H426" s="103"/>
      <c r="I426" s="35"/>
      <c r="N426" s="35"/>
      <c r="T426" s="20"/>
    </row>
    <row r="427" spans="1:20" s="87" customFormat="1" ht="15.75" customHeight="1">
      <c r="A427" s="107">
        <v>14</v>
      </c>
      <c r="B427" s="108"/>
      <c r="C427" s="86" t="s">
        <v>299</v>
      </c>
      <c r="D427" s="74">
        <f>110.505*(10.764)</f>
        <v>1189.4758199999999</v>
      </c>
      <c r="E427" s="74">
        <f t="shared" si="101"/>
        <v>0</v>
      </c>
      <c r="F427" s="86">
        <f t="shared" si="102"/>
        <v>1189.4758199999999</v>
      </c>
      <c r="G427" s="86">
        <v>0</v>
      </c>
      <c r="H427" s="86">
        <f t="shared" ref="H427:H432" si="103">(F427+(IF(G427&lt;101,G427,IF(G427&lt;201,G427/2,IF(G427&lt;=301,G427/3,G427/4)))))*(($H$123)+1)</f>
        <v>1784.2137299999999</v>
      </c>
      <c r="I427" s="35"/>
      <c r="N427" s="35"/>
      <c r="T427" s="20"/>
    </row>
    <row r="428" spans="1:20" s="87" customFormat="1" ht="15.75" customHeight="1">
      <c r="A428" s="107">
        <v>15</v>
      </c>
      <c r="B428" s="108"/>
      <c r="C428" s="86" t="s">
        <v>299</v>
      </c>
      <c r="D428" s="74">
        <f>82.802*(10.764)</f>
        <v>891.28072800000007</v>
      </c>
      <c r="E428" s="74">
        <f t="shared" si="101"/>
        <v>0</v>
      </c>
      <c r="F428" s="86">
        <f t="shared" si="102"/>
        <v>891.28072800000007</v>
      </c>
      <c r="G428" s="86">
        <v>0</v>
      </c>
      <c r="H428" s="86">
        <f t="shared" si="103"/>
        <v>1336.921092</v>
      </c>
      <c r="I428" s="35"/>
      <c r="N428" s="35"/>
      <c r="T428" s="20"/>
    </row>
    <row r="429" spans="1:20" s="87" customFormat="1" ht="15.75" customHeight="1">
      <c r="A429" s="107">
        <v>16</v>
      </c>
      <c r="B429" s="108"/>
      <c r="C429" s="86" t="s">
        <v>299</v>
      </c>
      <c r="D429" s="74">
        <f>150.598*(10.764)</f>
        <v>1621.0368720000001</v>
      </c>
      <c r="E429" s="74">
        <f t="shared" si="101"/>
        <v>0</v>
      </c>
      <c r="F429" s="86">
        <f t="shared" si="102"/>
        <v>1621.0368720000001</v>
      </c>
      <c r="G429" s="86">
        <v>0</v>
      </c>
      <c r="H429" s="86">
        <f t="shared" si="103"/>
        <v>2431.555308</v>
      </c>
      <c r="I429" s="35"/>
      <c r="N429" s="35"/>
      <c r="T429" s="20"/>
    </row>
    <row r="430" spans="1:20" s="87" customFormat="1" ht="15.75" customHeight="1">
      <c r="A430" s="107">
        <v>17</v>
      </c>
      <c r="B430" s="108"/>
      <c r="C430" s="86" t="s">
        <v>299</v>
      </c>
      <c r="D430" s="74">
        <f>150.598*(10.764)</f>
        <v>1621.0368720000001</v>
      </c>
      <c r="E430" s="74">
        <f t="shared" si="101"/>
        <v>0</v>
      </c>
      <c r="F430" s="86">
        <f t="shared" si="102"/>
        <v>1621.0368720000001</v>
      </c>
      <c r="G430" s="86">
        <v>0</v>
      </c>
      <c r="H430" s="86">
        <f t="shared" si="103"/>
        <v>2431.555308</v>
      </c>
      <c r="I430" s="35"/>
      <c r="N430" s="35"/>
      <c r="T430" s="20"/>
    </row>
    <row r="431" spans="1:20" s="87" customFormat="1" ht="15.75" customHeight="1">
      <c r="A431" s="107">
        <v>18</v>
      </c>
      <c r="B431" s="108"/>
      <c r="C431" s="86" t="s">
        <v>299</v>
      </c>
      <c r="D431" s="74">
        <f>82.756*(10.764)</f>
        <v>890.78558399999997</v>
      </c>
      <c r="E431" s="74">
        <f t="shared" si="101"/>
        <v>0</v>
      </c>
      <c r="F431" s="86">
        <f t="shared" si="102"/>
        <v>890.78558399999997</v>
      </c>
      <c r="G431" s="86">
        <v>0</v>
      </c>
      <c r="H431" s="86">
        <f t="shared" si="103"/>
        <v>1336.1783759999998</v>
      </c>
      <c r="I431" s="35"/>
      <c r="N431" s="35"/>
      <c r="T431" s="20"/>
    </row>
    <row r="432" spans="1:20" s="87" customFormat="1" ht="15.75" customHeight="1">
      <c r="A432" s="107">
        <v>19</v>
      </c>
      <c r="B432" s="108"/>
      <c r="C432" s="86" t="s">
        <v>299</v>
      </c>
      <c r="D432" s="74">
        <f>110.505*(10.764)</f>
        <v>1189.4758199999999</v>
      </c>
      <c r="E432" s="74">
        <f t="shared" si="101"/>
        <v>0</v>
      </c>
      <c r="F432" s="86">
        <f t="shared" si="102"/>
        <v>1189.4758199999999</v>
      </c>
      <c r="G432" s="86">
        <v>0</v>
      </c>
      <c r="H432" s="86">
        <f t="shared" si="103"/>
        <v>1784.2137299999999</v>
      </c>
      <c r="I432" s="35"/>
      <c r="N432" s="35"/>
      <c r="T432" s="20"/>
    </row>
    <row r="433" spans="1:20" s="87" customFormat="1" ht="15.75" customHeight="1">
      <c r="A433" s="107">
        <v>20</v>
      </c>
      <c r="B433" s="108"/>
      <c r="C433" s="86" t="s">
        <v>369</v>
      </c>
      <c r="D433" s="101" t="s">
        <v>323</v>
      </c>
      <c r="E433" s="102"/>
      <c r="F433" s="102"/>
      <c r="G433" s="102"/>
      <c r="H433" s="103"/>
      <c r="I433" s="35"/>
      <c r="N433" s="35"/>
      <c r="T433" s="20"/>
    </row>
    <row r="434" spans="1:20" s="87" customFormat="1" ht="15.75" customHeight="1">
      <c r="A434" s="104" t="s">
        <v>355</v>
      </c>
      <c r="B434" s="105"/>
      <c r="C434" s="105"/>
      <c r="D434" s="105"/>
      <c r="E434" s="105"/>
      <c r="F434" s="105"/>
      <c r="G434" s="105"/>
      <c r="H434" s="106"/>
      <c r="I434" s="35"/>
      <c r="N434" s="35"/>
      <c r="T434" s="20"/>
    </row>
    <row r="435" spans="1:20" s="87" customFormat="1" ht="15.75" customHeight="1">
      <c r="A435" s="107">
        <v>1</v>
      </c>
      <c r="B435" s="108"/>
      <c r="C435" s="86" t="s">
        <v>299</v>
      </c>
      <c r="D435" s="74">
        <f>138.596*(10.764)</f>
        <v>1491.847344</v>
      </c>
      <c r="E435" s="74">
        <f t="shared" ref="E435:E496" si="104">0*(10.764)</f>
        <v>0</v>
      </c>
      <c r="F435" s="86">
        <f>D435+(IF(E435&lt;201,E435,IF(E435&lt;301,E435/2,E435/3)))</f>
        <v>1491.847344</v>
      </c>
      <c r="G435" s="62">
        <v>0</v>
      </c>
      <c r="H435" s="86">
        <f>(F435+(IF(G435&lt;101,G435,IF(G435&lt;201,G435/2,IF(G435&lt;=301,G435/3,G435/4)))))*(($H$123)+1)</f>
        <v>2237.7710160000001</v>
      </c>
      <c r="I435" s="35"/>
      <c r="N435" s="35"/>
      <c r="T435" s="20"/>
    </row>
    <row r="436" spans="1:20" s="87" customFormat="1" ht="15.75" customHeight="1">
      <c r="A436" s="107">
        <v>2</v>
      </c>
      <c r="B436" s="108"/>
      <c r="C436" s="86" t="s">
        <v>299</v>
      </c>
      <c r="D436" s="74">
        <f>82.349*(10.764)</f>
        <v>886.40463599999998</v>
      </c>
      <c r="E436" s="74">
        <f t="shared" si="104"/>
        <v>0</v>
      </c>
      <c r="F436" s="86">
        <f>D436+(IF(E436&lt;201,E436,IF(E436&lt;301,E436/2,E436/3)))</f>
        <v>886.40463599999998</v>
      </c>
      <c r="G436" s="62">
        <v>0</v>
      </c>
      <c r="H436" s="86">
        <f>(F436+(IF(G436&lt;101,G436,IF(G436&lt;201,G436/2,IF(G436&lt;=301,G436/3,G436/4)))))*(($H$123)+1)</f>
        <v>1329.6069539999999</v>
      </c>
      <c r="I436" s="35"/>
      <c r="N436" s="35"/>
      <c r="T436" s="20"/>
    </row>
    <row r="437" spans="1:20" s="87" customFormat="1" ht="15.75" customHeight="1">
      <c r="A437" s="107">
        <v>3</v>
      </c>
      <c r="B437" s="108"/>
      <c r="C437" s="86" t="s">
        <v>299</v>
      </c>
      <c r="D437" s="74">
        <f>85.131*(10.764)</f>
        <v>916.35008399999992</v>
      </c>
      <c r="E437" s="74">
        <f t="shared" si="104"/>
        <v>0</v>
      </c>
      <c r="F437" s="86">
        <f t="shared" ref="F437:F454" si="105">D437+(IF(E437&lt;201,E437,IF(E437&lt;301,E437/2,E437/3)))</f>
        <v>916.35008399999992</v>
      </c>
      <c r="G437" s="86">
        <v>0</v>
      </c>
      <c r="H437" s="86">
        <f t="shared" ref="H437:H454" si="106">(F437+(IF(G437&lt;101,G437,IF(G437&lt;201,G437/2,IF(G437&lt;=301,G437/3,G437/4)))))*(($H$123)+1)</f>
        <v>1374.525126</v>
      </c>
      <c r="I437" s="35"/>
      <c r="N437" s="35"/>
      <c r="T437" s="20"/>
    </row>
    <row r="438" spans="1:20" s="87" customFormat="1" ht="15.75" customHeight="1">
      <c r="A438" s="107">
        <v>4</v>
      </c>
      <c r="B438" s="108"/>
      <c r="C438" s="86" t="s">
        <v>299</v>
      </c>
      <c r="D438" s="74">
        <f>87.336*(10.764)</f>
        <v>940.08470399999987</v>
      </c>
      <c r="E438" s="74">
        <f t="shared" si="104"/>
        <v>0</v>
      </c>
      <c r="F438" s="86">
        <f t="shared" si="105"/>
        <v>940.08470399999987</v>
      </c>
      <c r="G438" s="86">
        <v>0</v>
      </c>
      <c r="H438" s="86">
        <f t="shared" si="106"/>
        <v>1410.1270559999998</v>
      </c>
      <c r="I438" s="35"/>
      <c r="N438" s="35"/>
      <c r="T438" s="20"/>
    </row>
    <row r="439" spans="1:20" s="87" customFormat="1" ht="15.75" customHeight="1">
      <c r="A439" s="107">
        <v>5</v>
      </c>
      <c r="B439" s="108"/>
      <c r="C439" s="86" t="s">
        <v>299</v>
      </c>
      <c r="D439" s="74">
        <f>74.206*(10.764)</f>
        <v>798.75338399999998</v>
      </c>
      <c r="E439" s="74">
        <f t="shared" si="104"/>
        <v>0</v>
      </c>
      <c r="F439" s="86">
        <f t="shared" si="105"/>
        <v>798.75338399999998</v>
      </c>
      <c r="G439" s="86">
        <v>0</v>
      </c>
      <c r="H439" s="86">
        <f t="shared" si="106"/>
        <v>1198.1300759999999</v>
      </c>
      <c r="I439" s="35"/>
      <c r="N439" s="35"/>
      <c r="T439" s="20"/>
    </row>
    <row r="440" spans="1:20" s="87" customFormat="1" ht="15.75" customHeight="1">
      <c r="A440" s="107">
        <v>6</v>
      </c>
      <c r="B440" s="108"/>
      <c r="C440" s="86" t="s">
        <v>299</v>
      </c>
      <c r="D440" s="74">
        <f>84.925*(10.764)</f>
        <v>914.13269999999989</v>
      </c>
      <c r="E440" s="74">
        <f t="shared" si="104"/>
        <v>0</v>
      </c>
      <c r="F440" s="86">
        <f t="shared" si="105"/>
        <v>914.13269999999989</v>
      </c>
      <c r="G440" s="86">
        <v>0</v>
      </c>
      <c r="H440" s="86">
        <f t="shared" si="106"/>
        <v>1371.1990499999997</v>
      </c>
      <c r="I440" s="35"/>
      <c r="N440" s="35"/>
      <c r="T440" s="20"/>
    </row>
    <row r="441" spans="1:20" s="87" customFormat="1" ht="15.75" customHeight="1">
      <c r="A441" s="107">
        <v>7</v>
      </c>
      <c r="B441" s="108"/>
      <c r="C441" s="86" t="s">
        <v>299</v>
      </c>
      <c r="D441" s="74">
        <f>109.439*(10.764)</f>
        <v>1178.0013959999999</v>
      </c>
      <c r="E441" s="74">
        <f t="shared" si="104"/>
        <v>0</v>
      </c>
      <c r="F441" s="86">
        <f t="shared" si="105"/>
        <v>1178.0013959999999</v>
      </c>
      <c r="G441" s="86">
        <v>0</v>
      </c>
      <c r="H441" s="86">
        <f t="shared" si="106"/>
        <v>1767.0020939999999</v>
      </c>
      <c r="I441" s="35"/>
      <c r="N441" s="35"/>
      <c r="T441" s="20"/>
    </row>
    <row r="442" spans="1:20" s="87" customFormat="1" ht="15.75" customHeight="1">
      <c r="A442" s="107">
        <v>8</v>
      </c>
      <c r="B442" s="108"/>
      <c r="C442" s="86" t="s">
        <v>299</v>
      </c>
      <c r="D442" s="74">
        <f>89.023*(10.764)</f>
        <v>958.24357199999986</v>
      </c>
      <c r="E442" s="74">
        <f t="shared" si="104"/>
        <v>0</v>
      </c>
      <c r="F442" s="86">
        <f t="shared" si="105"/>
        <v>958.24357199999986</v>
      </c>
      <c r="G442" s="86">
        <v>0</v>
      </c>
      <c r="H442" s="86">
        <f t="shared" si="106"/>
        <v>1437.3653579999998</v>
      </c>
      <c r="I442" s="35"/>
      <c r="N442" s="35"/>
      <c r="T442" s="20"/>
    </row>
    <row r="443" spans="1:20" s="87" customFormat="1" ht="15.75" customHeight="1">
      <c r="A443" s="107">
        <v>9</v>
      </c>
      <c r="B443" s="108"/>
      <c r="C443" s="86" t="s">
        <v>299</v>
      </c>
      <c r="D443" s="74">
        <f>87.336*(10.764)</f>
        <v>940.08470399999987</v>
      </c>
      <c r="E443" s="74">
        <f t="shared" si="104"/>
        <v>0</v>
      </c>
      <c r="F443" s="86">
        <f t="shared" si="105"/>
        <v>940.08470399999987</v>
      </c>
      <c r="G443" s="86">
        <v>0</v>
      </c>
      <c r="H443" s="86">
        <f t="shared" si="106"/>
        <v>1410.1270559999998</v>
      </c>
      <c r="I443" s="35"/>
      <c r="N443" s="35"/>
      <c r="T443" s="20"/>
    </row>
    <row r="444" spans="1:20" s="87" customFormat="1" ht="15.75" customHeight="1">
      <c r="A444" s="107">
        <v>10</v>
      </c>
      <c r="B444" s="108"/>
      <c r="C444" s="86" t="s">
        <v>299</v>
      </c>
      <c r="D444" s="74">
        <f>85.131*(10.764)</f>
        <v>916.35008399999992</v>
      </c>
      <c r="E444" s="74">
        <f t="shared" si="104"/>
        <v>0</v>
      </c>
      <c r="F444" s="86">
        <f t="shared" si="105"/>
        <v>916.35008399999992</v>
      </c>
      <c r="G444" s="86">
        <v>0</v>
      </c>
      <c r="H444" s="86">
        <f t="shared" si="106"/>
        <v>1374.525126</v>
      </c>
      <c r="I444" s="35"/>
      <c r="N444" s="35"/>
      <c r="T444" s="20"/>
    </row>
    <row r="445" spans="1:20" s="87" customFormat="1" ht="15.75" customHeight="1">
      <c r="A445" s="107">
        <v>11</v>
      </c>
      <c r="B445" s="108"/>
      <c r="C445" s="86" t="s">
        <v>299</v>
      </c>
      <c r="D445" s="74">
        <f>82.349*(10.764)</f>
        <v>886.40463599999998</v>
      </c>
      <c r="E445" s="74">
        <f t="shared" si="104"/>
        <v>0</v>
      </c>
      <c r="F445" s="86">
        <f t="shared" si="105"/>
        <v>886.40463599999998</v>
      </c>
      <c r="G445" s="86">
        <v>0</v>
      </c>
      <c r="H445" s="86">
        <f t="shared" si="106"/>
        <v>1329.6069539999999</v>
      </c>
      <c r="I445" s="35"/>
      <c r="N445" s="35"/>
      <c r="T445" s="20"/>
    </row>
    <row r="446" spans="1:20" s="87" customFormat="1" ht="15.75" customHeight="1">
      <c r="A446" s="107">
        <v>12</v>
      </c>
      <c r="B446" s="108"/>
      <c r="C446" s="86" t="s">
        <v>299</v>
      </c>
      <c r="D446" s="74">
        <f>137.711*(10.764)</f>
        <v>1482.3212040000001</v>
      </c>
      <c r="E446" s="74">
        <f t="shared" si="104"/>
        <v>0</v>
      </c>
      <c r="F446" s="86">
        <f t="shared" si="105"/>
        <v>1482.3212040000001</v>
      </c>
      <c r="G446" s="86">
        <v>0</v>
      </c>
      <c r="H446" s="86">
        <f t="shared" si="106"/>
        <v>2223.4818060000002</v>
      </c>
      <c r="I446" s="35"/>
      <c r="N446" s="35"/>
      <c r="T446" s="20"/>
    </row>
    <row r="447" spans="1:20" s="87" customFormat="1" ht="15.75" customHeight="1">
      <c r="A447" s="107">
        <v>13</v>
      </c>
      <c r="B447" s="108"/>
      <c r="C447" s="86" t="s">
        <v>299</v>
      </c>
      <c r="D447" s="74">
        <f>126.881*(10.764)</f>
        <v>1365.7470839999999</v>
      </c>
      <c r="E447" s="74">
        <f t="shared" si="104"/>
        <v>0</v>
      </c>
      <c r="F447" s="86">
        <f t="shared" si="105"/>
        <v>1365.7470839999999</v>
      </c>
      <c r="G447" s="86">
        <v>0</v>
      </c>
      <c r="H447" s="86">
        <f t="shared" si="106"/>
        <v>2048.6206259999999</v>
      </c>
      <c r="I447" s="35"/>
      <c r="N447" s="35"/>
      <c r="T447" s="20"/>
    </row>
    <row r="448" spans="1:20" s="87" customFormat="1" ht="15.75" customHeight="1">
      <c r="A448" s="107">
        <v>14</v>
      </c>
      <c r="B448" s="108"/>
      <c r="C448" s="86" t="s">
        <v>299</v>
      </c>
      <c r="D448" s="74">
        <f>79.969*(10.764)</f>
        <v>860.78631599999983</v>
      </c>
      <c r="E448" s="74">
        <f t="shared" si="104"/>
        <v>0</v>
      </c>
      <c r="F448" s="86">
        <f t="shared" si="105"/>
        <v>860.78631599999983</v>
      </c>
      <c r="G448" s="86">
        <v>0</v>
      </c>
      <c r="H448" s="86">
        <f t="shared" si="106"/>
        <v>1291.1794739999998</v>
      </c>
      <c r="I448" s="35"/>
      <c r="N448" s="35"/>
      <c r="T448" s="20"/>
    </row>
    <row r="449" spans="1:20" s="87" customFormat="1" ht="15.75" customHeight="1">
      <c r="A449" s="107">
        <v>15</v>
      </c>
      <c r="B449" s="108"/>
      <c r="C449" s="86" t="s">
        <v>299</v>
      </c>
      <c r="D449" s="74">
        <f>82.802*(10.764)</f>
        <v>891.28072800000007</v>
      </c>
      <c r="E449" s="74">
        <f t="shared" si="104"/>
        <v>0</v>
      </c>
      <c r="F449" s="86">
        <f t="shared" si="105"/>
        <v>891.28072800000007</v>
      </c>
      <c r="G449" s="86">
        <v>0</v>
      </c>
      <c r="H449" s="86">
        <f t="shared" si="106"/>
        <v>1336.921092</v>
      </c>
      <c r="I449" s="35"/>
      <c r="N449" s="35"/>
      <c r="T449" s="20"/>
    </row>
    <row r="450" spans="1:20" s="87" customFormat="1" ht="15.75" customHeight="1">
      <c r="A450" s="107">
        <v>16</v>
      </c>
      <c r="B450" s="108"/>
      <c r="C450" s="86" t="s">
        <v>299</v>
      </c>
      <c r="D450" s="74">
        <f>150.598*(10.764)</f>
        <v>1621.0368720000001</v>
      </c>
      <c r="E450" s="74">
        <f t="shared" si="104"/>
        <v>0</v>
      </c>
      <c r="F450" s="86">
        <f t="shared" si="105"/>
        <v>1621.0368720000001</v>
      </c>
      <c r="G450" s="86">
        <v>0</v>
      </c>
      <c r="H450" s="86">
        <f t="shared" si="106"/>
        <v>2431.555308</v>
      </c>
      <c r="I450" s="35"/>
      <c r="N450" s="35"/>
      <c r="T450" s="20"/>
    </row>
    <row r="451" spans="1:20" s="87" customFormat="1" ht="15.75" customHeight="1">
      <c r="A451" s="107">
        <v>17</v>
      </c>
      <c r="B451" s="108"/>
      <c r="C451" s="86" t="s">
        <v>299</v>
      </c>
      <c r="D451" s="74">
        <f>150.598*(10.764)</f>
        <v>1621.0368720000001</v>
      </c>
      <c r="E451" s="74">
        <f t="shared" si="104"/>
        <v>0</v>
      </c>
      <c r="F451" s="86">
        <f t="shared" si="105"/>
        <v>1621.0368720000001</v>
      </c>
      <c r="G451" s="86">
        <v>0</v>
      </c>
      <c r="H451" s="86">
        <f t="shared" si="106"/>
        <v>2431.555308</v>
      </c>
      <c r="I451" s="35"/>
      <c r="N451" s="35"/>
      <c r="T451" s="20"/>
    </row>
    <row r="452" spans="1:20" s="87" customFormat="1" ht="15.75" customHeight="1">
      <c r="A452" s="107">
        <v>18</v>
      </c>
      <c r="B452" s="108"/>
      <c r="C452" s="86" t="s">
        <v>299</v>
      </c>
      <c r="D452" s="74">
        <f>82.756*(10.764)</f>
        <v>890.78558399999997</v>
      </c>
      <c r="E452" s="74">
        <f t="shared" si="104"/>
        <v>0</v>
      </c>
      <c r="F452" s="86">
        <f t="shared" si="105"/>
        <v>890.78558399999997</v>
      </c>
      <c r="G452" s="86">
        <v>0</v>
      </c>
      <c r="H452" s="86">
        <f t="shared" si="106"/>
        <v>1336.1783759999998</v>
      </c>
      <c r="I452" s="35"/>
      <c r="N452" s="35"/>
      <c r="T452" s="20"/>
    </row>
    <row r="453" spans="1:20" s="87" customFormat="1" ht="15.75" customHeight="1">
      <c r="A453" s="107">
        <v>19</v>
      </c>
      <c r="B453" s="108"/>
      <c r="C453" s="86" t="s">
        <v>299</v>
      </c>
      <c r="D453" s="74">
        <f>80.049*(10.764)</f>
        <v>861.64743599999997</v>
      </c>
      <c r="E453" s="74">
        <f t="shared" si="104"/>
        <v>0</v>
      </c>
      <c r="F453" s="86">
        <f t="shared" si="105"/>
        <v>861.64743599999997</v>
      </c>
      <c r="G453" s="86">
        <v>0</v>
      </c>
      <c r="H453" s="86">
        <f t="shared" si="106"/>
        <v>1292.4711539999998</v>
      </c>
      <c r="I453" s="35"/>
      <c r="N453" s="35"/>
      <c r="T453" s="20"/>
    </row>
    <row r="454" spans="1:20" s="87" customFormat="1" ht="15.75" customHeight="1">
      <c r="A454" s="107">
        <v>20</v>
      </c>
      <c r="B454" s="108"/>
      <c r="C454" s="86" t="s">
        <v>299</v>
      </c>
      <c r="D454" s="74">
        <f>126.881*(10.764)</f>
        <v>1365.7470839999999</v>
      </c>
      <c r="E454" s="74">
        <f t="shared" si="104"/>
        <v>0</v>
      </c>
      <c r="F454" s="86">
        <f t="shared" si="105"/>
        <v>1365.7470839999999</v>
      </c>
      <c r="G454" s="86">
        <v>0</v>
      </c>
      <c r="H454" s="86">
        <f t="shared" si="106"/>
        <v>2048.6206259999999</v>
      </c>
      <c r="I454" s="35"/>
      <c r="N454" s="35"/>
      <c r="T454" s="20"/>
    </row>
    <row r="455" spans="1:20" s="87" customFormat="1" ht="15.75" customHeight="1">
      <c r="A455" s="104" t="s">
        <v>370</v>
      </c>
      <c r="B455" s="105"/>
      <c r="C455" s="105"/>
      <c r="D455" s="105"/>
      <c r="E455" s="105"/>
      <c r="F455" s="105"/>
      <c r="G455" s="105"/>
      <c r="H455" s="106"/>
      <c r="I455" s="35"/>
      <c r="N455" s="35"/>
      <c r="T455" s="20"/>
    </row>
    <row r="456" spans="1:20" s="87" customFormat="1" ht="15.75" customHeight="1">
      <c r="A456" s="107">
        <v>1</v>
      </c>
      <c r="B456" s="108"/>
      <c r="C456" s="86" t="s">
        <v>299</v>
      </c>
      <c r="D456" s="74">
        <f>138.596*(10.764)</f>
        <v>1491.847344</v>
      </c>
      <c r="E456" s="74">
        <f t="shared" si="104"/>
        <v>0</v>
      </c>
      <c r="F456" s="86">
        <f>D456+(IF(E456&lt;201,E456,IF(E456&lt;301,E456/2,E456/3)))</f>
        <v>1491.847344</v>
      </c>
      <c r="G456" s="62">
        <v>0</v>
      </c>
      <c r="H456" s="86">
        <f>(F456+(IF(G456&lt;101,G456,IF(G456&lt;201,G456/2,IF(G456&lt;=301,G456/3,G456/4)))))*(($H$123)+1)</f>
        <v>2237.7710160000001</v>
      </c>
      <c r="I456" s="35"/>
      <c r="N456" s="35"/>
      <c r="T456" s="20"/>
    </row>
    <row r="457" spans="1:20" s="87" customFormat="1" ht="15.75" customHeight="1">
      <c r="A457" s="107">
        <v>2</v>
      </c>
      <c r="B457" s="108"/>
      <c r="C457" s="86" t="s">
        <v>299</v>
      </c>
      <c r="D457" s="74">
        <f>82.349*(10.764)</f>
        <v>886.40463599999998</v>
      </c>
      <c r="E457" s="74">
        <f t="shared" si="104"/>
        <v>0</v>
      </c>
      <c r="F457" s="86">
        <f>D457+(IF(E457&lt;201,E457,IF(E457&lt;301,E457/2,E457/3)))</f>
        <v>886.40463599999998</v>
      </c>
      <c r="G457" s="62">
        <v>0</v>
      </c>
      <c r="H457" s="86">
        <f>(F457+(IF(G457&lt;101,G457,IF(G457&lt;201,G457/2,IF(G457&lt;=301,G457/3,G457/4)))))*(($H$123)+1)</f>
        <v>1329.6069539999999</v>
      </c>
      <c r="I457" s="35"/>
      <c r="N457" s="35"/>
      <c r="T457" s="20"/>
    </row>
    <row r="458" spans="1:20" s="87" customFormat="1" ht="15.75" customHeight="1">
      <c r="A458" s="107">
        <v>3</v>
      </c>
      <c r="B458" s="108"/>
      <c r="C458" s="86" t="s">
        <v>299</v>
      </c>
      <c r="D458" s="74">
        <f>85.131*(10.764)</f>
        <v>916.35008399999992</v>
      </c>
      <c r="E458" s="74">
        <f t="shared" si="104"/>
        <v>0</v>
      </c>
      <c r="F458" s="86">
        <f t="shared" ref="F458:F475" si="107">D458+(IF(E458&lt;201,E458,IF(E458&lt;301,E458/2,E458/3)))</f>
        <v>916.35008399999992</v>
      </c>
      <c r="G458" s="86">
        <v>0</v>
      </c>
      <c r="H458" s="86">
        <f t="shared" ref="H458:H475" si="108">(F458+(IF(G458&lt;101,G458,IF(G458&lt;201,G458/2,IF(G458&lt;=301,G458/3,G458/4)))))*(($H$123)+1)</f>
        <v>1374.525126</v>
      </c>
      <c r="I458" s="35"/>
      <c r="N458" s="35"/>
      <c r="T458" s="20"/>
    </row>
    <row r="459" spans="1:20" s="87" customFormat="1" ht="15.75" customHeight="1">
      <c r="A459" s="107">
        <v>4</v>
      </c>
      <c r="B459" s="108"/>
      <c r="C459" s="86" t="s">
        <v>299</v>
      </c>
      <c r="D459" s="74">
        <f>87.336*(10.764)</f>
        <v>940.08470399999987</v>
      </c>
      <c r="E459" s="74">
        <f t="shared" si="104"/>
        <v>0</v>
      </c>
      <c r="F459" s="86">
        <f t="shared" si="107"/>
        <v>940.08470399999987</v>
      </c>
      <c r="G459" s="86">
        <v>0</v>
      </c>
      <c r="H459" s="86">
        <f t="shared" si="108"/>
        <v>1410.1270559999998</v>
      </c>
      <c r="I459" s="35"/>
      <c r="N459" s="35"/>
      <c r="T459" s="20"/>
    </row>
    <row r="460" spans="1:20" s="87" customFormat="1" ht="15.75" customHeight="1">
      <c r="A460" s="107">
        <v>5</v>
      </c>
      <c r="B460" s="108"/>
      <c r="C460" s="86" t="s">
        <v>299</v>
      </c>
      <c r="D460" s="74">
        <f>74.206*(10.764)</f>
        <v>798.75338399999998</v>
      </c>
      <c r="E460" s="74">
        <f t="shared" si="104"/>
        <v>0</v>
      </c>
      <c r="F460" s="86">
        <f t="shared" si="107"/>
        <v>798.75338399999998</v>
      </c>
      <c r="G460" s="86">
        <v>0</v>
      </c>
      <c r="H460" s="86">
        <f t="shared" si="108"/>
        <v>1198.1300759999999</v>
      </c>
      <c r="I460" s="35"/>
      <c r="N460" s="35"/>
      <c r="T460" s="20"/>
    </row>
    <row r="461" spans="1:20" s="87" customFormat="1" ht="15.75" customHeight="1">
      <c r="A461" s="107">
        <v>6</v>
      </c>
      <c r="B461" s="108"/>
      <c r="C461" s="86" t="s">
        <v>299</v>
      </c>
      <c r="D461" s="74">
        <f>84.925*(10.764)</f>
        <v>914.13269999999989</v>
      </c>
      <c r="E461" s="74">
        <f t="shared" si="104"/>
        <v>0</v>
      </c>
      <c r="F461" s="86">
        <f t="shared" si="107"/>
        <v>914.13269999999989</v>
      </c>
      <c r="G461" s="86">
        <v>0</v>
      </c>
      <c r="H461" s="86">
        <f t="shared" si="108"/>
        <v>1371.1990499999997</v>
      </c>
      <c r="I461" s="35"/>
      <c r="N461" s="35"/>
      <c r="T461" s="20"/>
    </row>
    <row r="462" spans="1:20" s="87" customFormat="1" ht="15.75" customHeight="1">
      <c r="A462" s="107">
        <v>7</v>
      </c>
      <c r="B462" s="108"/>
      <c r="C462" s="86" t="s">
        <v>299</v>
      </c>
      <c r="D462" s="74">
        <f>109.439*(10.764)</f>
        <v>1178.0013959999999</v>
      </c>
      <c r="E462" s="74">
        <f t="shared" si="104"/>
        <v>0</v>
      </c>
      <c r="F462" s="86">
        <f t="shared" si="107"/>
        <v>1178.0013959999999</v>
      </c>
      <c r="G462" s="86">
        <v>0</v>
      </c>
      <c r="H462" s="86">
        <f t="shared" si="108"/>
        <v>1767.0020939999999</v>
      </c>
      <c r="I462" s="35"/>
      <c r="N462" s="35"/>
      <c r="T462" s="20"/>
    </row>
    <row r="463" spans="1:20" s="87" customFormat="1" ht="15.75" customHeight="1">
      <c r="A463" s="107">
        <v>8</v>
      </c>
      <c r="B463" s="108"/>
      <c r="C463" s="86" t="s">
        <v>299</v>
      </c>
      <c r="D463" s="74">
        <f>89.023*(10.764)</f>
        <v>958.24357199999986</v>
      </c>
      <c r="E463" s="74">
        <f t="shared" si="104"/>
        <v>0</v>
      </c>
      <c r="F463" s="86">
        <f t="shared" si="107"/>
        <v>958.24357199999986</v>
      </c>
      <c r="G463" s="86">
        <v>0</v>
      </c>
      <c r="H463" s="86">
        <f t="shared" si="108"/>
        <v>1437.3653579999998</v>
      </c>
      <c r="I463" s="35"/>
      <c r="N463" s="35"/>
      <c r="T463" s="20"/>
    </row>
    <row r="464" spans="1:20" s="87" customFormat="1" ht="15.75" customHeight="1">
      <c r="A464" s="107">
        <v>9</v>
      </c>
      <c r="B464" s="108"/>
      <c r="C464" s="86" t="s">
        <v>299</v>
      </c>
      <c r="D464" s="74">
        <f>87.35*(10.764)</f>
        <v>940.23539999999991</v>
      </c>
      <c r="E464" s="74">
        <f t="shared" si="104"/>
        <v>0</v>
      </c>
      <c r="F464" s="86">
        <f t="shared" si="107"/>
        <v>940.23539999999991</v>
      </c>
      <c r="G464" s="86">
        <v>0</v>
      </c>
      <c r="H464" s="86">
        <f t="shared" si="108"/>
        <v>1410.3530999999998</v>
      </c>
      <c r="I464" s="35"/>
      <c r="N464" s="35"/>
      <c r="T464" s="20"/>
    </row>
    <row r="465" spans="1:20" s="87" customFormat="1" ht="15.75" customHeight="1">
      <c r="A465" s="107">
        <v>10</v>
      </c>
      <c r="B465" s="108"/>
      <c r="C465" s="86" t="s">
        <v>299</v>
      </c>
      <c r="D465" s="74">
        <f>85.127*(10.764)</f>
        <v>916.30702799999995</v>
      </c>
      <c r="E465" s="74">
        <f t="shared" si="104"/>
        <v>0</v>
      </c>
      <c r="F465" s="86">
        <f t="shared" si="107"/>
        <v>916.30702799999995</v>
      </c>
      <c r="G465" s="86">
        <v>0</v>
      </c>
      <c r="H465" s="86">
        <f t="shared" si="108"/>
        <v>1374.4605419999998</v>
      </c>
      <c r="I465" s="35"/>
      <c r="N465" s="35"/>
      <c r="T465" s="20"/>
    </row>
    <row r="466" spans="1:20" s="87" customFormat="1" ht="15.75" customHeight="1">
      <c r="A466" s="107">
        <v>11</v>
      </c>
      <c r="B466" s="108"/>
      <c r="C466" s="86" t="s">
        <v>299</v>
      </c>
      <c r="D466" s="74">
        <f>82.349*(10.764)</f>
        <v>886.40463599999998</v>
      </c>
      <c r="E466" s="74">
        <f t="shared" si="104"/>
        <v>0</v>
      </c>
      <c r="F466" s="86">
        <f t="shared" si="107"/>
        <v>886.40463599999998</v>
      </c>
      <c r="G466" s="86">
        <v>0</v>
      </c>
      <c r="H466" s="86">
        <f t="shared" si="108"/>
        <v>1329.6069539999999</v>
      </c>
      <c r="I466" s="35"/>
      <c r="N466" s="35"/>
      <c r="T466" s="20"/>
    </row>
    <row r="467" spans="1:20" s="87" customFormat="1" ht="15.75" customHeight="1">
      <c r="A467" s="107">
        <v>12</v>
      </c>
      <c r="B467" s="108"/>
      <c r="C467" s="86" t="s">
        <v>299</v>
      </c>
      <c r="D467" s="74">
        <f>138.58*(10.764)</f>
        <v>1491.6751200000001</v>
      </c>
      <c r="E467" s="74">
        <f t="shared" si="104"/>
        <v>0</v>
      </c>
      <c r="F467" s="86">
        <f t="shared" si="107"/>
        <v>1491.6751200000001</v>
      </c>
      <c r="G467" s="86">
        <v>0</v>
      </c>
      <c r="H467" s="86">
        <f t="shared" si="108"/>
        <v>2237.5126800000003</v>
      </c>
      <c r="I467" s="35"/>
      <c r="N467" s="35"/>
      <c r="T467" s="20"/>
    </row>
    <row r="468" spans="1:20" s="87" customFormat="1" ht="15.75" customHeight="1">
      <c r="A468" s="107">
        <v>13</v>
      </c>
      <c r="B468" s="108"/>
      <c r="C468" s="86" t="s">
        <v>299</v>
      </c>
      <c r="D468" s="74">
        <f>126.881*(10.764)</f>
        <v>1365.7470839999999</v>
      </c>
      <c r="E468" s="74">
        <f t="shared" si="104"/>
        <v>0</v>
      </c>
      <c r="F468" s="86">
        <f t="shared" si="107"/>
        <v>1365.7470839999999</v>
      </c>
      <c r="G468" s="86">
        <v>0</v>
      </c>
      <c r="H468" s="86">
        <f t="shared" si="108"/>
        <v>2048.6206259999999</v>
      </c>
      <c r="I468" s="35"/>
      <c r="N468" s="35"/>
      <c r="T468" s="20"/>
    </row>
    <row r="469" spans="1:20" s="87" customFormat="1" ht="15.75" customHeight="1">
      <c r="A469" s="107">
        <v>14</v>
      </c>
      <c r="B469" s="108"/>
      <c r="C469" s="86" t="s">
        <v>299</v>
      </c>
      <c r="D469" s="74">
        <f>80.022*(10.764)</f>
        <v>861.356808</v>
      </c>
      <c r="E469" s="74">
        <f t="shared" si="104"/>
        <v>0</v>
      </c>
      <c r="F469" s="86">
        <f t="shared" si="107"/>
        <v>861.356808</v>
      </c>
      <c r="G469" s="86">
        <v>0</v>
      </c>
      <c r="H469" s="86">
        <f t="shared" si="108"/>
        <v>1292.035212</v>
      </c>
      <c r="I469" s="35"/>
      <c r="N469" s="35"/>
      <c r="T469" s="20"/>
    </row>
    <row r="470" spans="1:20" s="87" customFormat="1" ht="15.75" customHeight="1">
      <c r="A470" s="107">
        <v>15</v>
      </c>
      <c r="B470" s="108"/>
      <c r="C470" s="86" t="s">
        <v>299</v>
      </c>
      <c r="D470" s="74">
        <f>82.802*(10.764)</f>
        <v>891.28072800000007</v>
      </c>
      <c r="E470" s="74">
        <f t="shared" si="104"/>
        <v>0</v>
      </c>
      <c r="F470" s="86">
        <f t="shared" si="107"/>
        <v>891.28072800000007</v>
      </c>
      <c r="G470" s="86">
        <v>0</v>
      </c>
      <c r="H470" s="86">
        <f t="shared" si="108"/>
        <v>1336.921092</v>
      </c>
      <c r="I470" s="35"/>
      <c r="N470" s="35"/>
      <c r="T470" s="20"/>
    </row>
    <row r="471" spans="1:20" s="87" customFormat="1" ht="15.75" customHeight="1">
      <c r="A471" s="107">
        <v>16</v>
      </c>
      <c r="B471" s="108"/>
      <c r="C471" s="86" t="s">
        <v>299</v>
      </c>
      <c r="D471" s="74">
        <f>150.598*(10.764)</f>
        <v>1621.0368720000001</v>
      </c>
      <c r="E471" s="74">
        <f t="shared" si="104"/>
        <v>0</v>
      </c>
      <c r="F471" s="86">
        <f t="shared" si="107"/>
        <v>1621.0368720000001</v>
      </c>
      <c r="G471" s="86">
        <v>0</v>
      </c>
      <c r="H471" s="86">
        <f t="shared" si="108"/>
        <v>2431.555308</v>
      </c>
      <c r="I471" s="35"/>
      <c r="N471" s="35"/>
      <c r="T471" s="20"/>
    </row>
    <row r="472" spans="1:20" s="87" customFormat="1" ht="15.75" customHeight="1">
      <c r="A472" s="107">
        <v>17</v>
      </c>
      <c r="B472" s="108"/>
      <c r="C472" s="86" t="s">
        <v>299</v>
      </c>
      <c r="D472" s="74">
        <f>150.598*(10.764)</f>
        <v>1621.0368720000001</v>
      </c>
      <c r="E472" s="74">
        <f t="shared" si="104"/>
        <v>0</v>
      </c>
      <c r="F472" s="86">
        <f t="shared" si="107"/>
        <v>1621.0368720000001</v>
      </c>
      <c r="G472" s="86">
        <v>0</v>
      </c>
      <c r="H472" s="86">
        <f t="shared" si="108"/>
        <v>2431.555308</v>
      </c>
      <c r="I472" s="35"/>
      <c r="N472" s="35"/>
      <c r="T472" s="20"/>
    </row>
    <row r="473" spans="1:20" s="87" customFormat="1" ht="15.75" customHeight="1">
      <c r="A473" s="107">
        <v>18</v>
      </c>
      <c r="B473" s="108"/>
      <c r="C473" s="86" t="s">
        <v>299</v>
      </c>
      <c r="D473" s="74">
        <f>82.756*(10.764)</f>
        <v>890.78558399999997</v>
      </c>
      <c r="E473" s="74">
        <f t="shared" si="104"/>
        <v>0</v>
      </c>
      <c r="F473" s="86">
        <f t="shared" si="107"/>
        <v>890.78558399999997</v>
      </c>
      <c r="G473" s="86">
        <v>0</v>
      </c>
      <c r="H473" s="86">
        <f t="shared" si="108"/>
        <v>1336.1783759999998</v>
      </c>
      <c r="I473" s="35"/>
      <c r="N473" s="35"/>
      <c r="T473" s="20"/>
    </row>
    <row r="474" spans="1:20" s="87" customFormat="1" ht="15.75" customHeight="1">
      <c r="A474" s="107">
        <v>19</v>
      </c>
      <c r="B474" s="108"/>
      <c r="C474" s="86" t="s">
        <v>299</v>
      </c>
      <c r="D474" s="74">
        <f>80.049*(10.764)</f>
        <v>861.64743599999997</v>
      </c>
      <c r="E474" s="74">
        <f t="shared" si="104"/>
        <v>0</v>
      </c>
      <c r="F474" s="86">
        <f t="shared" si="107"/>
        <v>861.64743599999997</v>
      </c>
      <c r="G474" s="86">
        <v>0</v>
      </c>
      <c r="H474" s="86">
        <f t="shared" si="108"/>
        <v>1292.4711539999998</v>
      </c>
      <c r="I474" s="35"/>
      <c r="N474" s="35"/>
      <c r="T474" s="20"/>
    </row>
    <row r="475" spans="1:20" s="87" customFormat="1" ht="15.75" customHeight="1">
      <c r="A475" s="107">
        <v>20</v>
      </c>
      <c r="B475" s="108"/>
      <c r="C475" s="86" t="s">
        <v>299</v>
      </c>
      <c r="D475" s="74">
        <f>126.881*(10.764)</f>
        <v>1365.7470839999999</v>
      </c>
      <c r="E475" s="74">
        <f t="shared" si="104"/>
        <v>0</v>
      </c>
      <c r="F475" s="86">
        <f t="shared" si="107"/>
        <v>1365.7470839999999</v>
      </c>
      <c r="G475" s="86">
        <v>0</v>
      </c>
      <c r="H475" s="86">
        <f t="shared" si="108"/>
        <v>2048.6206259999999</v>
      </c>
      <c r="I475" s="35"/>
      <c r="N475" s="35"/>
      <c r="T475" s="20"/>
    </row>
    <row r="476" spans="1:20" s="87" customFormat="1" ht="15.75" customHeight="1">
      <c r="A476" s="104" t="s">
        <v>376</v>
      </c>
      <c r="B476" s="105"/>
      <c r="C476" s="105"/>
      <c r="D476" s="105"/>
      <c r="E476" s="105"/>
      <c r="F476" s="105"/>
      <c r="G476" s="105"/>
      <c r="H476" s="106"/>
      <c r="I476" s="35"/>
      <c r="N476" s="35"/>
      <c r="T476" s="20"/>
    </row>
    <row r="477" spans="1:20" s="87" customFormat="1" ht="15.75" customHeight="1">
      <c r="A477" s="107">
        <v>1</v>
      </c>
      <c r="B477" s="108"/>
      <c r="C477" s="86" t="s">
        <v>299</v>
      </c>
      <c r="D477" s="74">
        <f>138.596*(10.764)</f>
        <v>1491.847344</v>
      </c>
      <c r="E477" s="74">
        <f t="shared" si="104"/>
        <v>0</v>
      </c>
      <c r="F477" s="86">
        <f>D477+(IF(E477&lt;201,E477,IF(E477&lt;301,E477/2,E477/3)))</f>
        <v>1491.847344</v>
      </c>
      <c r="G477" s="62">
        <v>0</v>
      </c>
      <c r="H477" s="86">
        <f>(F477+(IF(G477&lt;101,G477,IF(G477&lt;201,G477/2,IF(G477&lt;=301,G477/3,G477/4)))))*(($H$123)+1)</f>
        <v>2237.7710160000001</v>
      </c>
      <c r="I477" s="35"/>
      <c r="N477" s="35"/>
      <c r="T477" s="20"/>
    </row>
    <row r="478" spans="1:20" s="87" customFormat="1" ht="15.75" customHeight="1">
      <c r="A478" s="107">
        <v>2</v>
      </c>
      <c r="B478" s="108"/>
      <c r="C478" s="86" t="s">
        <v>299</v>
      </c>
      <c r="D478" s="74">
        <f>82.349*(10.764)</f>
        <v>886.40463599999998</v>
      </c>
      <c r="E478" s="74">
        <f t="shared" si="104"/>
        <v>0</v>
      </c>
      <c r="F478" s="86">
        <f>D478+(IF(E478&lt;201,E478,IF(E478&lt;301,E478/2,E478/3)))</f>
        <v>886.40463599999998</v>
      </c>
      <c r="G478" s="62">
        <v>0</v>
      </c>
      <c r="H478" s="86">
        <f>(F478+(IF(G478&lt;101,G478,IF(G478&lt;201,G478/2,IF(G478&lt;=301,G478/3,G478/4)))))*(($H$123)+1)</f>
        <v>1329.6069539999999</v>
      </c>
      <c r="I478" s="35"/>
      <c r="N478" s="35"/>
      <c r="T478" s="20"/>
    </row>
    <row r="479" spans="1:20" s="87" customFormat="1" ht="15.75" customHeight="1">
      <c r="A479" s="107">
        <v>3</v>
      </c>
      <c r="B479" s="108"/>
      <c r="C479" s="86" t="s">
        <v>299</v>
      </c>
      <c r="D479" s="74">
        <f>85.131*(10.764)</f>
        <v>916.35008399999992</v>
      </c>
      <c r="E479" s="74">
        <f t="shared" si="104"/>
        <v>0</v>
      </c>
      <c r="F479" s="86">
        <f t="shared" ref="F479:F496" si="109">D479+(IF(E479&lt;201,E479,IF(E479&lt;301,E479/2,E479/3)))</f>
        <v>916.35008399999992</v>
      </c>
      <c r="G479" s="86">
        <v>0</v>
      </c>
      <c r="H479" s="86">
        <f t="shared" ref="H479:H496" si="110">(F479+(IF(G479&lt;101,G479,IF(G479&lt;201,G479/2,IF(G479&lt;=301,G479/3,G479/4)))))*(($H$123)+1)</f>
        <v>1374.525126</v>
      </c>
      <c r="I479" s="35"/>
      <c r="N479" s="35"/>
      <c r="T479" s="20"/>
    </row>
    <row r="480" spans="1:20" s="87" customFormat="1" ht="15.75" customHeight="1">
      <c r="A480" s="107">
        <v>4</v>
      </c>
      <c r="B480" s="108"/>
      <c r="C480" s="86" t="s">
        <v>299</v>
      </c>
      <c r="D480" s="74">
        <f>87.336*(10.764)</f>
        <v>940.08470399999987</v>
      </c>
      <c r="E480" s="74">
        <f t="shared" si="104"/>
        <v>0</v>
      </c>
      <c r="F480" s="86">
        <f t="shared" si="109"/>
        <v>940.08470399999987</v>
      </c>
      <c r="G480" s="86">
        <v>0</v>
      </c>
      <c r="H480" s="86">
        <f t="shared" si="110"/>
        <v>1410.1270559999998</v>
      </c>
      <c r="I480" s="35"/>
      <c r="N480" s="35"/>
      <c r="T480" s="20"/>
    </row>
    <row r="481" spans="1:20" s="87" customFormat="1" ht="15.75" customHeight="1">
      <c r="A481" s="107">
        <v>5</v>
      </c>
      <c r="B481" s="108"/>
      <c r="C481" s="86" t="s">
        <v>299</v>
      </c>
      <c r="D481" s="74">
        <f>74.206*(10.764)</f>
        <v>798.75338399999998</v>
      </c>
      <c r="E481" s="74">
        <f t="shared" si="104"/>
        <v>0</v>
      </c>
      <c r="F481" s="86">
        <f t="shared" si="109"/>
        <v>798.75338399999998</v>
      </c>
      <c r="G481" s="86">
        <v>0</v>
      </c>
      <c r="H481" s="86">
        <f t="shared" si="110"/>
        <v>1198.1300759999999</v>
      </c>
      <c r="I481" s="35"/>
      <c r="N481" s="35"/>
      <c r="T481" s="20"/>
    </row>
    <row r="482" spans="1:20" s="87" customFormat="1" ht="15.75" customHeight="1">
      <c r="A482" s="107">
        <v>6</v>
      </c>
      <c r="B482" s="108"/>
      <c r="C482" s="86" t="s">
        <v>299</v>
      </c>
      <c r="D482" s="74">
        <f>84.925*(10.764)</f>
        <v>914.13269999999989</v>
      </c>
      <c r="E482" s="74">
        <f t="shared" si="104"/>
        <v>0</v>
      </c>
      <c r="F482" s="86">
        <f t="shared" si="109"/>
        <v>914.13269999999989</v>
      </c>
      <c r="G482" s="86">
        <v>0</v>
      </c>
      <c r="H482" s="86">
        <f t="shared" si="110"/>
        <v>1371.1990499999997</v>
      </c>
      <c r="I482" s="35"/>
      <c r="N482" s="35"/>
      <c r="T482" s="20"/>
    </row>
    <row r="483" spans="1:20" s="87" customFormat="1" ht="15.75" customHeight="1">
      <c r="A483" s="107">
        <v>7</v>
      </c>
      <c r="B483" s="108"/>
      <c r="C483" s="86" t="s">
        <v>299</v>
      </c>
      <c r="D483" s="74">
        <f>109.439*(10.764)</f>
        <v>1178.0013959999999</v>
      </c>
      <c r="E483" s="74">
        <f t="shared" si="104"/>
        <v>0</v>
      </c>
      <c r="F483" s="86">
        <f t="shared" si="109"/>
        <v>1178.0013959999999</v>
      </c>
      <c r="G483" s="86">
        <v>0</v>
      </c>
      <c r="H483" s="86">
        <f t="shared" si="110"/>
        <v>1767.0020939999999</v>
      </c>
      <c r="I483" s="35"/>
      <c r="N483" s="35"/>
      <c r="T483" s="20"/>
    </row>
    <row r="484" spans="1:20" s="87" customFormat="1" ht="15.75" customHeight="1">
      <c r="A484" s="107">
        <v>8</v>
      </c>
      <c r="B484" s="108"/>
      <c r="C484" s="86" t="s">
        <v>299</v>
      </c>
      <c r="D484" s="74">
        <f>89.023*(10.764)</f>
        <v>958.24357199999986</v>
      </c>
      <c r="E484" s="74">
        <f t="shared" si="104"/>
        <v>0</v>
      </c>
      <c r="F484" s="86">
        <f t="shared" si="109"/>
        <v>958.24357199999986</v>
      </c>
      <c r="G484" s="86">
        <v>0</v>
      </c>
      <c r="H484" s="86">
        <f t="shared" si="110"/>
        <v>1437.3653579999998</v>
      </c>
      <c r="I484" s="35"/>
      <c r="N484" s="35"/>
      <c r="T484" s="20"/>
    </row>
    <row r="485" spans="1:20" s="87" customFormat="1" ht="15.75" customHeight="1">
      <c r="A485" s="107">
        <v>9</v>
      </c>
      <c r="B485" s="108"/>
      <c r="C485" s="86" t="s">
        <v>299</v>
      </c>
      <c r="D485" s="74">
        <f>87.336*(10.764)</f>
        <v>940.08470399999987</v>
      </c>
      <c r="E485" s="74">
        <f t="shared" si="104"/>
        <v>0</v>
      </c>
      <c r="F485" s="86">
        <f t="shared" si="109"/>
        <v>940.08470399999987</v>
      </c>
      <c r="G485" s="86">
        <v>0</v>
      </c>
      <c r="H485" s="86">
        <f t="shared" si="110"/>
        <v>1410.1270559999998</v>
      </c>
      <c r="I485" s="35"/>
      <c r="N485" s="35"/>
      <c r="T485" s="20"/>
    </row>
    <row r="486" spans="1:20" s="87" customFormat="1" ht="15.75" customHeight="1">
      <c r="A486" s="107">
        <v>10</v>
      </c>
      <c r="B486" s="108"/>
      <c r="C486" s="86" t="s">
        <v>299</v>
      </c>
      <c r="D486" s="74">
        <f>85.131*(10.764)</f>
        <v>916.35008399999992</v>
      </c>
      <c r="E486" s="74">
        <f t="shared" si="104"/>
        <v>0</v>
      </c>
      <c r="F486" s="86">
        <f t="shared" si="109"/>
        <v>916.35008399999992</v>
      </c>
      <c r="G486" s="86">
        <v>0</v>
      </c>
      <c r="H486" s="86">
        <f t="shared" si="110"/>
        <v>1374.525126</v>
      </c>
      <c r="I486" s="35"/>
      <c r="N486" s="35"/>
      <c r="T486" s="20"/>
    </row>
    <row r="487" spans="1:20" s="87" customFormat="1" ht="15.75" customHeight="1">
      <c r="A487" s="107">
        <v>11</v>
      </c>
      <c r="B487" s="108"/>
      <c r="C487" s="86" t="s">
        <v>299</v>
      </c>
      <c r="D487" s="74">
        <f>82.349*(10.764)</f>
        <v>886.40463599999998</v>
      </c>
      <c r="E487" s="74">
        <f t="shared" si="104"/>
        <v>0</v>
      </c>
      <c r="F487" s="86">
        <f t="shared" si="109"/>
        <v>886.40463599999998</v>
      </c>
      <c r="G487" s="86">
        <v>0</v>
      </c>
      <c r="H487" s="86">
        <f t="shared" si="110"/>
        <v>1329.6069539999999</v>
      </c>
      <c r="I487" s="35"/>
      <c r="N487" s="35"/>
      <c r="T487" s="20"/>
    </row>
    <row r="488" spans="1:20" s="87" customFormat="1" ht="15.75" customHeight="1">
      <c r="A488" s="107">
        <v>12</v>
      </c>
      <c r="B488" s="108"/>
      <c r="C488" s="86" t="s">
        <v>299</v>
      </c>
      <c r="D488" s="74">
        <f>137.711*(10.764)</f>
        <v>1482.3212040000001</v>
      </c>
      <c r="E488" s="74">
        <f t="shared" si="104"/>
        <v>0</v>
      </c>
      <c r="F488" s="86">
        <f t="shared" si="109"/>
        <v>1482.3212040000001</v>
      </c>
      <c r="G488" s="86">
        <v>0</v>
      </c>
      <c r="H488" s="86">
        <f t="shared" si="110"/>
        <v>2223.4818060000002</v>
      </c>
      <c r="I488" s="35"/>
      <c r="N488" s="35"/>
      <c r="T488" s="20"/>
    </row>
    <row r="489" spans="1:20" s="87" customFormat="1" ht="15.75" customHeight="1">
      <c r="A489" s="107">
        <v>13</v>
      </c>
      <c r="B489" s="108"/>
      <c r="C489" s="86" t="s">
        <v>299</v>
      </c>
      <c r="D489" s="74">
        <f>126.881*(10.764)</f>
        <v>1365.7470839999999</v>
      </c>
      <c r="E489" s="74">
        <f t="shared" si="104"/>
        <v>0</v>
      </c>
      <c r="F489" s="86">
        <f t="shared" si="109"/>
        <v>1365.7470839999999</v>
      </c>
      <c r="G489" s="86">
        <v>0</v>
      </c>
      <c r="H489" s="86">
        <f t="shared" si="110"/>
        <v>2048.6206259999999</v>
      </c>
      <c r="I489" s="35"/>
      <c r="N489" s="35"/>
      <c r="T489" s="20"/>
    </row>
    <row r="490" spans="1:20" s="87" customFormat="1" ht="15.75" customHeight="1">
      <c r="A490" s="107">
        <v>14</v>
      </c>
      <c r="B490" s="108"/>
      <c r="C490" s="86" t="s">
        <v>299</v>
      </c>
      <c r="D490" s="74">
        <f>79.969*(10.764)</f>
        <v>860.78631599999983</v>
      </c>
      <c r="E490" s="74">
        <f t="shared" si="104"/>
        <v>0</v>
      </c>
      <c r="F490" s="86">
        <f t="shared" si="109"/>
        <v>860.78631599999983</v>
      </c>
      <c r="G490" s="86">
        <v>0</v>
      </c>
      <c r="H490" s="86">
        <f t="shared" si="110"/>
        <v>1291.1794739999998</v>
      </c>
      <c r="I490" s="35"/>
      <c r="N490" s="35"/>
      <c r="T490" s="20"/>
    </row>
    <row r="491" spans="1:20" s="87" customFormat="1" ht="15.75" customHeight="1">
      <c r="A491" s="107">
        <v>15</v>
      </c>
      <c r="B491" s="108"/>
      <c r="C491" s="86" t="s">
        <v>299</v>
      </c>
      <c r="D491" s="74">
        <f>82.802*(10.764)</f>
        <v>891.28072800000007</v>
      </c>
      <c r="E491" s="74">
        <f t="shared" si="104"/>
        <v>0</v>
      </c>
      <c r="F491" s="86">
        <f t="shared" si="109"/>
        <v>891.28072800000007</v>
      </c>
      <c r="G491" s="86">
        <v>0</v>
      </c>
      <c r="H491" s="86">
        <f t="shared" si="110"/>
        <v>1336.921092</v>
      </c>
      <c r="I491" s="35"/>
      <c r="N491" s="35"/>
      <c r="T491" s="20"/>
    </row>
    <row r="492" spans="1:20" s="87" customFormat="1" ht="15.75" customHeight="1">
      <c r="A492" s="107">
        <v>16</v>
      </c>
      <c r="B492" s="108"/>
      <c r="C492" s="86" t="s">
        <v>299</v>
      </c>
      <c r="D492" s="74">
        <f>150.598*(10.764)</f>
        <v>1621.0368720000001</v>
      </c>
      <c r="E492" s="74">
        <f t="shared" si="104"/>
        <v>0</v>
      </c>
      <c r="F492" s="86">
        <f t="shared" si="109"/>
        <v>1621.0368720000001</v>
      </c>
      <c r="G492" s="86">
        <v>0</v>
      </c>
      <c r="H492" s="86">
        <f t="shared" si="110"/>
        <v>2431.555308</v>
      </c>
      <c r="I492" s="35"/>
      <c r="N492" s="35"/>
      <c r="T492" s="20"/>
    </row>
    <row r="493" spans="1:20" s="87" customFormat="1" ht="15.75" customHeight="1">
      <c r="A493" s="107">
        <v>17</v>
      </c>
      <c r="B493" s="108"/>
      <c r="C493" s="86" t="s">
        <v>299</v>
      </c>
      <c r="D493" s="74">
        <f>150.598*(10.764)</f>
        <v>1621.0368720000001</v>
      </c>
      <c r="E493" s="74">
        <f t="shared" si="104"/>
        <v>0</v>
      </c>
      <c r="F493" s="86">
        <f t="shared" si="109"/>
        <v>1621.0368720000001</v>
      </c>
      <c r="G493" s="86">
        <v>0</v>
      </c>
      <c r="H493" s="86">
        <f t="shared" si="110"/>
        <v>2431.555308</v>
      </c>
      <c r="I493" s="35"/>
      <c r="N493" s="35"/>
      <c r="T493" s="20"/>
    </row>
    <row r="494" spans="1:20" s="87" customFormat="1" ht="15.75" customHeight="1">
      <c r="A494" s="107">
        <v>18</v>
      </c>
      <c r="B494" s="108"/>
      <c r="C494" s="86" t="s">
        <v>299</v>
      </c>
      <c r="D494" s="74">
        <f>82.756*(10.764)</f>
        <v>890.78558399999997</v>
      </c>
      <c r="E494" s="74">
        <f t="shared" si="104"/>
        <v>0</v>
      </c>
      <c r="F494" s="86">
        <f t="shared" si="109"/>
        <v>890.78558399999997</v>
      </c>
      <c r="G494" s="86">
        <v>0</v>
      </c>
      <c r="H494" s="86">
        <f t="shared" si="110"/>
        <v>1336.1783759999998</v>
      </c>
      <c r="I494" s="35"/>
      <c r="N494" s="35"/>
      <c r="T494" s="20"/>
    </row>
    <row r="495" spans="1:20" s="87" customFormat="1" ht="15.75" customHeight="1">
      <c r="A495" s="107">
        <v>19</v>
      </c>
      <c r="B495" s="108"/>
      <c r="C495" s="86" t="s">
        <v>299</v>
      </c>
      <c r="D495" s="74">
        <f>80.049*(10.764)</f>
        <v>861.64743599999997</v>
      </c>
      <c r="E495" s="74">
        <f t="shared" si="104"/>
        <v>0</v>
      </c>
      <c r="F495" s="86">
        <f t="shared" si="109"/>
        <v>861.64743599999997</v>
      </c>
      <c r="G495" s="86">
        <v>0</v>
      </c>
      <c r="H495" s="86">
        <f t="shared" si="110"/>
        <v>1292.4711539999998</v>
      </c>
      <c r="I495" s="35"/>
      <c r="N495" s="35"/>
      <c r="T495" s="20"/>
    </row>
    <row r="496" spans="1:20" s="87" customFormat="1" ht="15.75" customHeight="1">
      <c r="A496" s="107">
        <v>20</v>
      </c>
      <c r="B496" s="108"/>
      <c r="C496" s="86" t="s">
        <v>299</v>
      </c>
      <c r="D496" s="74">
        <f>126.881*(10.764)</f>
        <v>1365.7470839999999</v>
      </c>
      <c r="E496" s="74">
        <f t="shared" si="104"/>
        <v>0</v>
      </c>
      <c r="F496" s="86">
        <f t="shared" si="109"/>
        <v>1365.7470839999999</v>
      </c>
      <c r="G496" s="86">
        <v>0</v>
      </c>
      <c r="H496" s="86">
        <f t="shared" si="110"/>
        <v>2048.6206259999999</v>
      </c>
      <c r="I496" s="35"/>
      <c r="N496" s="35"/>
      <c r="T496" s="20"/>
    </row>
    <row r="497" spans="1:20" s="87" customFormat="1" ht="15.75" customHeight="1">
      <c r="A497" s="104" t="s">
        <v>357</v>
      </c>
      <c r="B497" s="105"/>
      <c r="C497" s="105"/>
      <c r="D497" s="105"/>
      <c r="E497" s="105"/>
      <c r="F497" s="105"/>
      <c r="G497" s="105"/>
      <c r="H497" s="106"/>
      <c r="I497" s="35"/>
      <c r="N497" s="35"/>
      <c r="T497" s="20"/>
    </row>
    <row r="498" spans="1:20" s="87" customFormat="1" ht="15.75" customHeight="1">
      <c r="A498" s="107">
        <v>1</v>
      </c>
      <c r="B498" s="108"/>
      <c r="C498" s="86" t="s">
        <v>299</v>
      </c>
      <c r="D498" s="74">
        <f>138.596*(10.764)</f>
        <v>1491.847344</v>
      </c>
      <c r="E498" s="74">
        <f t="shared" ref="E498:E516" si="111">0*(10.764)</f>
        <v>0</v>
      </c>
      <c r="F498" s="86">
        <f>D498+(IF(E498&lt;201,E498,IF(E498&lt;301,E498/2,E498/3)))</f>
        <v>1491.847344</v>
      </c>
      <c r="G498" s="62">
        <v>0</v>
      </c>
      <c r="H498" s="86">
        <f>(F498+(IF(G498&lt;101,G498,IF(G498&lt;201,G498/2,IF(G498&lt;=301,G498/3,G498/4)))))*(($H$123)+1)</f>
        <v>2237.7710160000001</v>
      </c>
      <c r="I498" s="35"/>
      <c r="N498" s="35"/>
      <c r="T498" s="20"/>
    </row>
    <row r="499" spans="1:20" s="87" customFormat="1" ht="15.75" customHeight="1">
      <c r="A499" s="107">
        <v>2</v>
      </c>
      <c r="B499" s="108"/>
      <c r="C499" s="86" t="s">
        <v>299</v>
      </c>
      <c r="D499" s="74">
        <f>82.349*(10.764)</f>
        <v>886.40463599999998</v>
      </c>
      <c r="E499" s="74">
        <f t="shared" si="111"/>
        <v>0</v>
      </c>
      <c r="F499" s="86">
        <f>D499+(IF(E499&lt;201,E499,IF(E499&lt;301,E499/2,E499/3)))</f>
        <v>886.40463599999998</v>
      </c>
      <c r="G499" s="62">
        <v>0</v>
      </c>
      <c r="H499" s="86">
        <f>(F499+(IF(G499&lt;101,G499,IF(G499&lt;201,G499/2,IF(G499&lt;=301,G499/3,G499/4)))))*(($H$123)+1)</f>
        <v>1329.6069539999999</v>
      </c>
      <c r="I499" s="35"/>
      <c r="N499" s="35"/>
      <c r="T499" s="20"/>
    </row>
    <row r="500" spans="1:20" s="87" customFormat="1" ht="15.75" customHeight="1">
      <c r="A500" s="107">
        <v>3</v>
      </c>
      <c r="B500" s="108"/>
      <c r="C500" s="86" t="s">
        <v>299</v>
      </c>
      <c r="D500" s="74">
        <f>85.131*(10.764)</f>
        <v>916.35008399999992</v>
      </c>
      <c r="E500" s="74">
        <f t="shared" si="111"/>
        <v>0</v>
      </c>
      <c r="F500" s="86">
        <f t="shared" ref="F500:F509" si="112">D500+(IF(E500&lt;201,E500,IF(E500&lt;301,E500/2,E500/3)))</f>
        <v>916.35008399999992</v>
      </c>
      <c r="G500" s="86">
        <v>0</v>
      </c>
      <c r="H500" s="86">
        <f t="shared" ref="H500:H509" si="113">(F500+(IF(G500&lt;101,G500,IF(G500&lt;201,G500/2,IF(G500&lt;=301,G500/3,G500/4)))))*(($H$123)+1)</f>
        <v>1374.525126</v>
      </c>
      <c r="I500" s="35"/>
      <c r="N500" s="35"/>
      <c r="T500" s="20"/>
    </row>
    <row r="501" spans="1:20" s="87" customFormat="1" ht="15.75" customHeight="1">
      <c r="A501" s="107">
        <v>4</v>
      </c>
      <c r="B501" s="108"/>
      <c r="C501" s="86" t="s">
        <v>299</v>
      </c>
      <c r="D501" s="74">
        <f>87.336*(10.764)</f>
        <v>940.08470399999987</v>
      </c>
      <c r="E501" s="74">
        <f t="shared" si="111"/>
        <v>0</v>
      </c>
      <c r="F501" s="86">
        <f t="shared" si="112"/>
        <v>940.08470399999987</v>
      </c>
      <c r="G501" s="86">
        <v>0</v>
      </c>
      <c r="H501" s="86">
        <f t="shared" si="113"/>
        <v>1410.1270559999998</v>
      </c>
      <c r="I501" s="35"/>
      <c r="N501" s="35"/>
      <c r="T501" s="20"/>
    </row>
    <row r="502" spans="1:20" s="87" customFormat="1" ht="15.75" customHeight="1">
      <c r="A502" s="107">
        <v>5</v>
      </c>
      <c r="B502" s="108"/>
      <c r="C502" s="86" t="s">
        <v>299</v>
      </c>
      <c r="D502" s="74">
        <f>74.206*(10.764)</f>
        <v>798.75338399999998</v>
      </c>
      <c r="E502" s="74">
        <f t="shared" si="111"/>
        <v>0</v>
      </c>
      <c r="F502" s="86">
        <f t="shared" si="112"/>
        <v>798.75338399999998</v>
      </c>
      <c r="G502" s="86">
        <v>0</v>
      </c>
      <c r="H502" s="86">
        <f t="shared" si="113"/>
        <v>1198.1300759999999</v>
      </c>
      <c r="I502" s="35"/>
      <c r="N502" s="35"/>
      <c r="T502" s="20"/>
    </row>
    <row r="503" spans="1:20" s="87" customFormat="1" ht="15.75" customHeight="1">
      <c r="A503" s="107">
        <v>6</v>
      </c>
      <c r="B503" s="108"/>
      <c r="C503" s="86" t="s">
        <v>299</v>
      </c>
      <c r="D503" s="74">
        <f>84.925*(10.764)</f>
        <v>914.13269999999989</v>
      </c>
      <c r="E503" s="74">
        <f t="shared" si="111"/>
        <v>0</v>
      </c>
      <c r="F503" s="86">
        <f t="shared" si="112"/>
        <v>914.13269999999989</v>
      </c>
      <c r="G503" s="86">
        <v>0</v>
      </c>
      <c r="H503" s="86">
        <f t="shared" si="113"/>
        <v>1371.1990499999997</v>
      </c>
      <c r="I503" s="35"/>
      <c r="N503" s="35"/>
      <c r="T503" s="20"/>
    </row>
    <row r="504" spans="1:20" s="87" customFormat="1" ht="15.75" customHeight="1">
      <c r="A504" s="107">
        <v>7</v>
      </c>
      <c r="B504" s="108"/>
      <c r="C504" s="86" t="s">
        <v>299</v>
      </c>
      <c r="D504" s="74">
        <f>109.439*(10.764)</f>
        <v>1178.0013959999999</v>
      </c>
      <c r="E504" s="74">
        <f t="shared" si="111"/>
        <v>0</v>
      </c>
      <c r="F504" s="86">
        <f t="shared" si="112"/>
        <v>1178.0013959999999</v>
      </c>
      <c r="G504" s="86">
        <v>0</v>
      </c>
      <c r="H504" s="86">
        <f t="shared" si="113"/>
        <v>1767.0020939999999</v>
      </c>
      <c r="I504" s="35"/>
      <c r="N504" s="35"/>
      <c r="T504" s="20"/>
    </row>
    <row r="505" spans="1:20" s="87" customFormat="1" ht="15.75" customHeight="1">
      <c r="A505" s="107">
        <v>8</v>
      </c>
      <c r="B505" s="108"/>
      <c r="C505" s="86" t="s">
        <v>299</v>
      </c>
      <c r="D505" s="74">
        <f>89.023*(10.764)</f>
        <v>958.24357199999986</v>
      </c>
      <c r="E505" s="74">
        <f t="shared" si="111"/>
        <v>0</v>
      </c>
      <c r="F505" s="86">
        <f t="shared" si="112"/>
        <v>958.24357199999986</v>
      </c>
      <c r="G505" s="86">
        <v>0</v>
      </c>
      <c r="H505" s="86">
        <f t="shared" si="113"/>
        <v>1437.3653579999998</v>
      </c>
      <c r="I505" s="35"/>
      <c r="N505" s="35"/>
      <c r="T505" s="20"/>
    </row>
    <row r="506" spans="1:20" s="87" customFormat="1" ht="15.75" customHeight="1">
      <c r="A506" s="107">
        <v>9</v>
      </c>
      <c r="B506" s="108"/>
      <c r="C506" s="86" t="s">
        <v>299</v>
      </c>
      <c r="D506" s="74">
        <f>87.336*(10.764)</f>
        <v>940.08470399999987</v>
      </c>
      <c r="E506" s="74">
        <f t="shared" si="111"/>
        <v>0</v>
      </c>
      <c r="F506" s="86">
        <f t="shared" si="112"/>
        <v>940.08470399999987</v>
      </c>
      <c r="G506" s="86">
        <v>0</v>
      </c>
      <c r="H506" s="86">
        <f t="shared" si="113"/>
        <v>1410.1270559999998</v>
      </c>
      <c r="I506" s="35"/>
      <c r="N506" s="35"/>
      <c r="T506" s="20"/>
    </row>
    <row r="507" spans="1:20" s="87" customFormat="1" ht="15.75" customHeight="1">
      <c r="A507" s="107">
        <v>10</v>
      </c>
      <c r="B507" s="108"/>
      <c r="C507" s="86" t="s">
        <v>299</v>
      </c>
      <c r="D507" s="74">
        <f>85.131*(10.764)</f>
        <v>916.35008399999992</v>
      </c>
      <c r="E507" s="74">
        <f t="shared" si="111"/>
        <v>0</v>
      </c>
      <c r="F507" s="86">
        <f t="shared" si="112"/>
        <v>916.35008399999992</v>
      </c>
      <c r="G507" s="86">
        <v>0</v>
      </c>
      <c r="H507" s="86">
        <f t="shared" si="113"/>
        <v>1374.525126</v>
      </c>
      <c r="I507" s="35"/>
      <c r="N507" s="35"/>
      <c r="T507" s="20"/>
    </row>
    <row r="508" spans="1:20" s="87" customFormat="1" ht="15.75" customHeight="1">
      <c r="A508" s="107">
        <v>11</v>
      </c>
      <c r="B508" s="108"/>
      <c r="C508" s="86" t="s">
        <v>299</v>
      </c>
      <c r="D508" s="74">
        <f>82.349*(10.764)</f>
        <v>886.40463599999998</v>
      </c>
      <c r="E508" s="74">
        <f t="shared" si="111"/>
        <v>0</v>
      </c>
      <c r="F508" s="86">
        <f t="shared" si="112"/>
        <v>886.40463599999998</v>
      </c>
      <c r="G508" s="86">
        <v>0</v>
      </c>
      <c r="H508" s="86">
        <f t="shared" si="113"/>
        <v>1329.6069539999999</v>
      </c>
      <c r="I508" s="35"/>
      <c r="N508" s="35"/>
      <c r="T508" s="20"/>
    </row>
    <row r="509" spans="1:20" s="87" customFormat="1" ht="15.75" customHeight="1">
      <c r="A509" s="107">
        <v>12</v>
      </c>
      <c r="B509" s="108"/>
      <c r="C509" s="86" t="s">
        <v>299</v>
      </c>
      <c r="D509" s="74">
        <f>137.711*(10.764)</f>
        <v>1482.3212040000001</v>
      </c>
      <c r="E509" s="74">
        <f t="shared" si="111"/>
        <v>0</v>
      </c>
      <c r="F509" s="86">
        <f t="shared" si="112"/>
        <v>1482.3212040000001</v>
      </c>
      <c r="G509" s="86">
        <v>0</v>
      </c>
      <c r="H509" s="86">
        <f t="shared" si="113"/>
        <v>2223.4818060000002</v>
      </c>
      <c r="I509" s="35"/>
      <c r="N509" s="35"/>
      <c r="T509" s="20"/>
    </row>
    <row r="510" spans="1:20" s="87" customFormat="1" ht="15.75" customHeight="1">
      <c r="A510" s="107">
        <v>13</v>
      </c>
      <c r="B510" s="108"/>
      <c r="C510" s="86" t="s">
        <v>369</v>
      </c>
      <c r="D510" s="101" t="s">
        <v>323</v>
      </c>
      <c r="E510" s="102"/>
      <c r="F510" s="102"/>
      <c r="G510" s="102"/>
      <c r="H510" s="103"/>
      <c r="I510" s="35"/>
      <c r="N510" s="35"/>
      <c r="T510" s="20"/>
    </row>
    <row r="511" spans="1:20" s="87" customFormat="1" ht="15.75" customHeight="1">
      <c r="A511" s="107">
        <v>14</v>
      </c>
      <c r="B511" s="108"/>
      <c r="C511" s="86" t="s">
        <v>299</v>
      </c>
      <c r="D511" s="74">
        <f>110.505*(10.764)</f>
        <v>1189.4758199999999</v>
      </c>
      <c r="E511" s="74">
        <f t="shared" si="111"/>
        <v>0</v>
      </c>
      <c r="F511" s="86">
        <f t="shared" ref="F511:F516" si="114">D511+(IF(E511&lt;201,E511,IF(E511&lt;301,E511/2,E511/3)))</f>
        <v>1189.4758199999999</v>
      </c>
      <c r="G511" s="86">
        <v>0</v>
      </c>
      <c r="H511" s="86">
        <f t="shared" ref="H511:H516" si="115">(F511+(IF(G511&lt;101,G511,IF(G511&lt;201,G511/2,IF(G511&lt;=301,G511/3,G511/4)))))*(($H$123)+1)</f>
        <v>1784.2137299999999</v>
      </c>
      <c r="I511" s="35"/>
      <c r="N511" s="35"/>
      <c r="T511" s="20"/>
    </row>
    <row r="512" spans="1:20" s="87" customFormat="1" ht="15.75" customHeight="1">
      <c r="A512" s="107">
        <v>15</v>
      </c>
      <c r="B512" s="108"/>
      <c r="C512" s="86" t="s">
        <v>299</v>
      </c>
      <c r="D512" s="74">
        <f>82.802*(10.764)</f>
        <v>891.28072800000007</v>
      </c>
      <c r="E512" s="74">
        <f t="shared" si="111"/>
        <v>0</v>
      </c>
      <c r="F512" s="86">
        <f t="shared" si="114"/>
        <v>891.28072800000007</v>
      </c>
      <c r="G512" s="86">
        <v>0</v>
      </c>
      <c r="H512" s="86">
        <f t="shared" si="115"/>
        <v>1336.921092</v>
      </c>
      <c r="I512" s="35"/>
      <c r="N512" s="35"/>
      <c r="T512" s="20"/>
    </row>
    <row r="513" spans="1:20" s="87" customFormat="1" ht="15.75" customHeight="1">
      <c r="A513" s="107">
        <v>16</v>
      </c>
      <c r="B513" s="108"/>
      <c r="C513" s="86" t="s">
        <v>299</v>
      </c>
      <c r="D513" s="74">
        <f>150.598*(10.764)</f>
        <v>1621.0368720000001</v>
      </c>
      <c r="E513" s="74">
        <f t="shared" si="111"/>
        <v>0</v>
      </c>
      <c r="F513" s="86">
        <f t="shared" si="114"/>
        <v>1621.0368720000001</v>
      </c>
      <c r="G513" s="86">
        <v>0</v>
      </c>
      <c r="H513" s="86">
        <f t="shared" si="115"/>
        <v>2431.555308</v>
      </c>
      <c r="I513" s="35"/>
      <c r="N513" s="35"/>
      <c r="T513" s="20"/>
    </row>
    <row r="514" spans="1:20" s="87" customFormat="1" ht="15.75" customHeight="1">
      <c r="A514" s="107">
        <v>17</v>
      </c>
      <c r="B514" s="108"/>
      <c r="C514" s="86" t="s">
        <v>299</v>
      </c>
      <c r="D514" s="74">
        <f>150.598*(10.764)</f>
        <v>1621.0368720000001</v>
      </c>
      <c r="E514" s="74">
        <f t="shared" si="111"/>
        <v>0</v>
      </c>
      <c r="F514" s="86">
        <f t="shared" si="114"/>
        <v>1621.0368720000001</v>
      </c>
      <c r="G514" s="86">
        <v>0</v>
      </c>
      <c r="H514" s="86">
        <f t="shared" si="115"/>
        <v>2431.555308</v>
      </c>
      <c r="I514" s="35"/>
      <c r="N514" s="35"/>
      <c r="T514" s="20"/>
    </row>
    <row r="515" spans="1:20" s="87" customFormat="1" ht="15.75" customHeight="1">
      <c r="A515" s="107">
        <v>18</v>
      </c>
      <c r="B515" s="108"/>
      <c r="C515" s="86" t="s">
        <v>299</v>
      </c>
      <c r="D515" s="74">
        <f>82.756*(10.764)</f>
        <v>890.78558399999997</v>
      </c>
      <c r="E515" s="74">
        <f t="shared" si="111"/>
        <v>0</v>
      </c>
      <c r="F515" s="86">
        <f t="shared" si="114"/>
        <v>890.78558399999997</v>
      </c>
      <c r="G515" s="86">
        <v>0</v>
      </c>
      <c r="H515" s="86">
        <f t="shared" si="115"/>
        <v>1336.1783759999998</v>
      </c>
      <c r="I515" s="35"/>
      <c r="N515" s="35"/>
      <c r="T515" s="20"/>
    </row>
    <row r="516" spans="1:20" s="87" customFormat="1" ht="15.75" customHeight="1">
      <c r="A516" s="107">
        <v>19</v>
      </c>
      <c r="B516" s="108"/>
      <c r="C516" s="86" t="s">
        <v>299</v>
      </c>
      <c r="D516" s="74">
        <f>110.505*(10.764)</f>
        <v>1189.4758199999999</v>
      </c>
      <c r="E516" s="74">
        <f t="shared" si="111"/>
        <v>0</v>
      </c>
      <c r="F516" s="86">
        <f t="shared" si="114"/>
        <v>1189.4758199999999</v>
      </c>
      <c r="G516" s="86">
        <v>0</v>
      </c>
      <c r="H516" s="86">
        <f t="shared" si="115"/>
        <v>1784.2137299999999</v>
      </c>
      <c r="I516" s="35"/>
      <c r="N516" s="35"/>
      <c r="T516" s="20"/>
    </row>
    <row r="517" spans="1:20" s="87" customFormat="1" ht="15.75" customHeight="1">
      <c r="A517" s="107">
        <v>20</v>
      </c>
      <c r="B517" s="108"/>
      <c r="C517" s="86" t="s">
        <v>369</v>
      </c>
      <c r="D517" s="101" t="s">
        <v>323</v>
      </c>
      <c r="E517" s="102"/>
      <c r="F517" s="102"/>
      <c r="G517" s="102"/>
      <c r="H517" s="103"/>
      <c r="I517" s="35"/>
      <c r="N517" s="35"/>
      <c r="T517" s="20"/>
    </row>
    <row r="518" spans="1:20" s="87" customFormat="1" ht="15.75" customHeight="1">
      <c r="A518" s="104" t="s">
        <v>359</v>
      </c>
      <c r="B518" s="105"/>
      <c r="C518" s="105"/>
      <c r="D518" s="105"/>
      <c r="E518" s="105"/>
      <c r="F518" s="105"/>
      <c r="G518" s="105"/>
      <c r="H518" s="106"/>
      <c r="I518" s="35"/>
      <c r="N518" s="35"/>
      <c r="T518" s="20"/>
    </row>
    <row r="519" spans="1:20" s="87" customFormat="1" ht="15.75" customHeight="1">
      <c r="A519" s="107">
        <v>1</v>
      </c>
      <c r="B519" s="108"/>
      <c r="C519" s="86" t="s">
        <v>299</v>
      </c>
      <c r="D519" s="74">
        <f>138.596*(10.764)</f>
        <v>1491.847344</v>
      </c>
      <c r="E519" s="74">
        <f t="shared" ref="E519:E538" si="116">0*(10.764)</f>
        <v>0</v>
      </c>
      <c r="F519" s="86">
        <f>D519+(IF(E519&lt;201,E519,IF(E519&lt;301,E519/2,E519/3)))</f>
        <v>1491.847344</v>
      </c>
      <c r="G519" s="62">
        <v>0</v>
      </c>
      <c r="H519" s="86">
        <f>(F519+(IF(G519&lt;101,G519,IF(G519&lt;201,G519/2,IF(G519&lt;=301,G519/3,G519/4)))))*(($H$123)+1)</f>
        <v>2237.7710160000001</v>
      </c>
      <c r="I519" s="35"/>
      <c r="N519" s="35"/>
      <c r="T519" s="20"/>
    </row>
    <row r="520" spans="1:20" s="87" customFormat="1" ht="15.75" customHeight="1">
      <c r="A520" s="107">
        <v>2</v>
      </c>
      <c r="B520" s="108"/>
      <c r="C520" s="86" t="s">
        <v>299</v>
      </c>
      <c r="D520" s="74">
        <f>82.349*(10.764)</f>
        <v>886.40463599999998</v>
      </c>
      <c r="E520" s="74">
        <f t="shared" si="116"/>
        <v>0</v>
      </c>
      <c r="F520" s="86">
        <f>D520+(IF(E520&lt;201,E520,IF(E520&lt;301,E520/2,E520/3)))</f>
        <v>886.40463599999998</v>
      </c>
      <c r="G520" s="62">
        <v>0</v>
      </c>
      <c r="H520" s="86">
        <f>(F520+(IF(G520&lt;101,G520,IF(G520&lt;201,G520/2,IF(G520&lt;=301,G520/3,G520/4)))))*(($H$123)+1)</f>
        <v>1329.6069539999999</v>
      </c>
      <c r="I520" s="35"/>
      <c r="N520" s="35"/>
      <c r="T520" s="20"/>
    </row>
    <row r="521" spans="1:20" s="87" customFormat="1" ht="15.75" customHeight="1">
      <c r="A521" s="107">
        <v>3</v>
      </c>
      <c r="B521" s="108"/>
      <c r="C521" s="86" t="s">
        <v>299</v>
      </c>
      <c r="D521" s="74">
        <f>85.131*(10.764)</f>
        <v>916.35008399999992</v>
      </c>
      <c r="E521" s="74">
        <f t="shared" si="116"/>
        <v>0</v>
      </c>
      <c r="F521" s="86">
        <f t="shared" ref="F521:F538" si="117">D521+(IF(E521&lt;201,E521,IF(E521&lt;301,E521/2,E521/3)))</f>
        <v>916.35008399999992</v>
      </c>
      <c r="G521" s="86">
        <v>0</v>
      </c>
      <c r="H521" s="86">
        <f t="shared" ref="H521:H538" si="118">(F521+(IF(G521&lt;101,G521,IF(G521&lt;201,G521/2,IF(G521&lt;=301,G521/3,G521/4)))))*(($H$123)+1)</f>
        <v>1374.525126</v>
      </c>
      <c r="I521" s="35"/>
      <c r="N521" s="35"/>
      <c r="T521" s="20"/>
    </row>
    <row r="522" spans="1:20" s="87" customFormat="1" ht="15.75" customHeight="1">
      <c r="A522" s="107">
        <v>4</v>
      </c>
      <c r="B522" s="108"/>
      <c r="C522" s="86" t="s">
        <v>299</v>
      </c>
      <c r="D522" s="74">
        <f>87.336*(10.764)</f>
        <v>940.08470399999987</v>
      </c>
      <c r="E522" s="74">
        <f t="shared" si="116"/>
        <v>0</v>
      </c>
      <c r="F522" s="86">
        <f t="shared" si="117"/>
        <v>940.08470399999987</v>
      </c>
      <c r="G522" s="86">
        <v>0</v>
      </c>
      <c r="H522" s="86">
        <f t="shared" si="118"/>
        <v>1410.1270559999998</v>
      </c>
      <c r="I522" s="35"/>
      <c r="N522" s="35"/>
      <c r="T522" s="20"/>
    </row>
    <row r="523" spans="1:20" s="87" customFormat="1" ht="15.75" customHeight="1">
      <c r="A523" s="107">
        <v>5</v>
      </c>
      <c r="B523" s="108"/>
      <c r="C523" s="86" t="s">
        <v>299</v>
      </c>
      <c r="D523" s="74">
        <f>74.206*(10.764)</f>
        <v>798.75338399999998</v>
      </c>
      <c r="E523" s="74">
        <f t="shared" si="116"/>
        <v>0</v>
      </c>
      <c r="F523" s="86">
        <f t="shared" si="117"/>
        <v>798.75338399999998</v>
      </c>
      <c r="G523" s="86">
        <v>0</v>
      </c>
      <c r="H523" s="86">
        <f t="shared" si="118"/>
        <v>1198.1300759999999</v>
      </c>
      <c r="I523" s="35"/>
      <c r="N523" s="35"/>
      <c r="T523" s="20"/>
    </row>
    <row r="524" spans="1:20" s="87" customFormat="1" ht="15.75" customHeight="1">
      <c r="A524" s="107">
        <v>6</v>
      </c>
      <c r="B524" s="108"/>
      <c r="C524" s="86" t="s">
        <v>299</v>
      </c>
      <c r="D524" s="74">
        <f>84.925*(10.764)</f>
        <v>914.13269999999989</v>
      </c>
      <c r="E524" s="74">
        <f t="shared" si="116"/>
        <v>0</v>
      </c>
      <c r="F524" s="86">
        <f t="shared" si="117"/>
        <v>914.13269999999989</v>
      </c>
      <c r="G524" s="86">
        <v>0</v>
      </c>
      <c r="H524" s="86">
        <f t="shared" si="118"/>
        <v>1371.1990499999997</v>
      </c>
      <c r="I524" s="35"/>
      <c r="N524" s="35"/>
      <c r="T524" s="20"/>
    </row>
    <row r="525" spans="1:20" s="87" customFormat="1" ht="15.75" customHeight="1">
      <c r="A525" s="107">
        <v>7</v>
      </c>
      <c r="B525" s="108"/>
      <c r="C525" s="86" t="s">
        <v>299</v>
      </c>
      <c r="D525" s="74">
        <f>109.439*(10.764)</f>
        <v>1178.0013959999999</v>
      </c>
      <c r="E525" s="74">
        <f t="shared" si="116"/>
        <v>0</v>
      </c>
      <c r="F525" s="86">
        <f t="shared" si="117"/>
        <v>1178.0013959999999</v>
      </c>
      <c r="G525" s="86">
        <v>0</v>
      </c>
      <c r="H525" s="86">
        <f t="shared" si="118"/>
        <v>1767.0020939999999</v>
      </c>
      <c r="I525" s="35"/>
      <c r="N525" s="35"/>
      <c r="T525" s="20"/>
    </row>
    <row r="526" spans="1:20" s="87" customFormat="1" ht="15.75" customHeight="1">
      <c r="A526" s="107">
        <v>8</v>
      </c>
      <c r="B526" s="108"/>
      <c r="C526" s="86" t="s">
        <v>299</v>
      </c>
      <c r="D526" s="74">
        <f>89.023*(10.764)</f>
        <v>958.24357199999986</v>
      </c>
      <c r="E526" s="74">
        <f t="shared" si="116"/>
        <v>0</v>
      </c>
      <c r="F526" s="86">
        <f t="shared" si="117"/>
        <v>958.24357199999986</v>
      </c>
      <c r="G526" s="86">
        <v>0</v>
      </c>
      <c r="H526" s="86">
        <f t="shared" si="118"/>
        <v>1437.3653579999998</v>
      </c>
      <c r="I526" s="35"/>
      <c r="N526" s="35"/>
      <c r="T526" s="20"/>
    </row>
    <row r="527" spans="1:20" s="87" customFormat="1" ht="15.75" customHeight="1">
      <c r="A527" s="107">
        <v>9</v>
      </c>
      <c r="B527" s="108"/>
      <c r="C527" s="86" t="s">
        <v>299</v>
      </c>
      <c r="D527" s="74">
        <f>87.336*(10.764)</f>
        <v>940.08470399999987</v>
      </c>
      <c r="E527" s="74">
        <f t="shared" si="116"/>
        <v>0</v>
      </c>
      <c r="F527" s="86">
        <f t="shared" si="117"/>
        <v>940.08470399999987</v>
      </c>
      <c r="G527" s="86">
        <v>0</v>
      </c>
      <c r="H527" s="86">
        <f t="shared" si="118"/>
        <v>1410.1270559999998</v>
      </c>
      <c r="I527" s="35"/>
      <c r="N527" s="35"/>
      <c r="T527" s="20"/>
    </row>
    <row r="528" spans="1:20" s="87" customFormat="1" ht="15.75" customHeight="1">
      <c r="A528" s="107">
        <v>10</v>
      </c>
      <c r="B528" s="108"/>
      <c r="C528" s="86" t="s">
        <v>299</v>
      </c>
      <c r="D528" s="74">
        <f>85.131*(10.764)</f>
        <v>916.35008399999992</v>
      </c>
      <c r="E528" s="74">
        <f t="shared" si="116"/>
        <v>0</v>
      </c>
      <c r="F528" s="86">
        <f t="shared" si="117"/>
        <v>916.35008399999992</v>
      </c>
      <c r="G528" s="86">
        <v>0</v>
      </c>
      <c r="H528" s="86">
        <f t="shared" si="118"/>
        <v>1374.525126</v>
      </c>
      <c r="I528" s="35"/>
      <c r="N528" s="35"/>
      <c r="T528" s="20"/>
    </row>
    <row r="529" spans="1:20" s="87" customFormat="1" ht="15.75" customHeight="1">
      <c r="A529" s="107">
        <v>11</v>
      </c>
      <c r="B529" s="108"/>
      <c r="C529" s="86" t="s">
        <v>299</v>
      </c>
      <c r="D529" s="74">
        <f>82.349*(10.764)</f>
        <v>886.40463599999998</v>
      </c>
      <c r="E529" s="74">
        <f t="shared" si="116"/>
        <v>0</v>
      </c>
      <c r="F529" s="86">
        <f t="shared" si="117"/>
        <v>886.40463599999998</v>
      </c>
      <c r="G529" s="86">
        <v>0</v>
      </c>
      <c r="H529" s="86">
        <f t="shared" si="118"/>
        <v>1329.6069539999999</v>
      </c>
      <c r="I529" s="35"/>
      <c r="N529" s="35"/>
      <c r="T529" s="20"/>
    </row>
    <row r="530" spans="1:20" s="87" customFormat="1" ht="15.75" customHeight="1">
      <c r="A530" s="107">
        <v>12</v>
      </c>
      <c r="B530" s="108"/>
      <c r="C530" s="86" t="s">
        <v>299</v>
      </c>
      <c r="D530" s="74">
        <f>137.711*(10.764)</f>
        <v>1482.3212040000001</v>
      </c>
      <c r="E530" s="74">
        <f t="shared" si="116"/>
        <v>0</v>
      </c>
      <c r="F530" s="86">
        <f t="shared" si="117"/>
        <v>1482.3212040000001</v>
      </c>
      <c r="G530" s="86">
        <v>0</v>
      </c>
      <c r="H530" s="86">
        <f t="shared" si="118"/>
        <v>2223.4818060000002</v>
      </c>
      <c r="I530" s="35"/>
      <c r="N530" s="35"/>
      <c r="T530" s="20"/>
    </row>
    <row r="531" spans="1:20" s="87" customFormat="1" ht="15.75" customHeight="1">
      <c r="A531" s="107">
        <v>13</v>
      </c>
      <c r="B531" s="108"/>
      <c r="C531" s="86" t="s">
        <v>299</v>
      </c>
      <c r="D531" s="74">
        <f>126.881*(10.764)</f>
        <v>1365.7470839999999</v>
      </c>
      <c r="E531" s="74">
        <f t="shared" si="116"/>
        <v>0</v>
      </c>
      <c r="F531" s="86">
        <f t="shared" si="117"/>
        <v>1365.7470839999999</v>
      </c>
      <c r="G531" s="86">
        <v>0</v>
      </c>
      <c r="H531" s="86">
        <f t="shared" si="118"/>
        <v>2048.6206259999999</v>
      </c>
      <c r="I531" s="35"/>
      <c r="N531" s="35"/>
      <c r="T531" s="20"/>
    </row>
    <row r="532" spans="1:20" s="87" customFormat="1" ht="15.75" customHeight="1">
      <c r="A532" s="107">
        <v>14</v>
      </c>
      <c r="B532" s="108"/>
      <c r="C532" s="86" t="s">
        <v>299</v>
      </c>
      <c r="D532" s="74">
        <f>79.969*(10.764)</f>
        <v>860.78631599999983</v>
      </c>
      <c r="E532" s="74">
        <f t="shared" si="116"/>
        <v>0</v>
      </c>
      <c r="F532" s="86">
        <f t="shared" si="117"/>
        <v>860.78631599999983</v>
      </c>
      <c r="G532" s="86">
        <v>0</v>
      </c>
      <c r="H532" s="86">
        <f t="shared" si="118"/>
        <v>1291.1794739999998</v>
      </c>
      <c r="I532" s="35"/>
      <c r="N532" s="35"/>
      <c r="T532" s="20"/>
    </row>
    <row r="533" spans="1:20" s="87" customFormat="1" ht="15.75" customHeight="1">
      <c r="A533" s="107">
        <v>15</v>
      </c>
      <c r="B533" s="108"/>
      <c r="C533" s="86" t="s">
        <v>299</v>
      </c>
      <c r="D533" s="74">
        <f>82.802*(10.764)</f>
        <v>891.28072800000007</v>
      </c>
      <c r="E533" s="74">
        <f t="shared" si="116"/>
        <v>0</v>
      </c>
      <c r="F533" s="86">
        <f t="shared" si="117"/>
        <v>891.28072800000007</v>
      </c>
      <c r="G533" s="86">
        <v>0</v>
      </c>
      <c r="H533" s="86">
        <f t="shared" si="118"/>
        <v>1336.921092</v>
      </c>
      <c r="I533" s="35"/>
      <c r="N533" s="35"/>
      <c r="T533" s="20"/>
    </row>
    <row r="534" spans="1:20" s="87" customFormat="1" ht="15.75" customHeight="1">
      <c r="A534" s="107">
        <v>16</v>
      </c>
      <c r="B534" s="108"/>
      <c r="C534" s="86" t="s">
        <v>299</v>
      </c>
      <c r="D534" s="74">
        <f>150.598*(10.764)</f>
        <v>1621.0368720000001</v>
      </c>
      <c r="E534" s="74">
        <f t="shared" si="116"/>
        <v>0</v>
      </c>
      <c r="F534" s="86">
        <f t="shared" si="117"/>
        <v>1621.0368720000001</v>
      </c>
      <c r="G534" s="86">
        <v>0</v>
      </c>
      <c r="H534" s="86">
        <f t="shared" si="118"/>
        <v>2431.555308</v>
      </c>
      <c r="I534" s="35"/>
      <c r="N534" s="35"/>
      <c r="T534" s="20"/>
    </row>
    <row r="535" spans="1:20" s="87" customFormat="1" ht="15.75" customHeight="1">
      <c r="A535" s="107">
        <v>17</v>
      </c>
      <c r="B535" s="108"/>
      <c r="C535" s="86" t="s">
        <v>299</v>
      </c>
      <c r="D535" s="74">
        <f>150.598*(10.764)</f>
        <v>1621.0368720000001</v>
      </c>
      <c r="E535" s="74">
        <f t="shared" si="116"/>
        <v>0</v>
      </c>
      <c r="F535" s="86">
        <f t="shared" si="117"/>
        <v>1621.0368720000001</v>
      </c>
      <c r="G535" s="86">
        <v>0</v>
      </c>
      <c r="H535" s="86">
        <f t="shared" si="118"/>
        <v>2431.555308</v>
      </c>
      <c r="I535" s="35"/>
      <c r="N535" s="35"/>
      <c r="T535" s="20"/>
    </row>
    <row r="536" spans="1:20" s="87" customFormat="1" ht="15.75" customHeight="1">
      <c r="A536" s="107">
        <v>18</v>
      </c>
      <c r="B536" s="108"/>
      <c r="C536" s="86" t="s">
        <v>299</v>
      </c>
      <c r="D536" s="74">
        <f>82.756*(10.764)</f>
        <v>890.78558399999997</v>
      </c>
      <c r="E536" s="74">
        <f t="shared" si="116"/>
        <v>0</v>
      </c>
      <c r="F536" s="86">
        <f t="shared" si="117"/>
        <v>890.78558399999997</v>
      </c>
      <c r="G536" s="86">
        <v>0</v>
      </c>
      <c r="H536" s="86">
        <f t="shared" si="118"/>
        <v>1336.1783759999998</v>
      </c>
      <c r="I536" s="35"/>
      <c r="N536" s="35"/>
      <c r="T536" s="20"/>
    </row>
    <row r="537" spans="1:20" s="87" customFormat="1" ht="15.75" customHeight="1">
      <c r="A537" s="107">
        <v>19</v>
      </c>
      <c r="B537" s="108"/>
      <c r="C537" s="86" t="s">
        <v>299</v>
      </c>
      <c r="D537" s="74">
        <f>80.049*(10.764)</f>
        <v>861.64743599999997</v>
      </c>
      <c r="E537" s="74">
        <f t="shared" si="116"/>
        <v>0</v>
      </c>
      <c r="F537" s="86">
        <f t="shared" si="117"/>
        <v>861.64743599999997</v>
      </c>
      <c r="G537" s="86">
        <v>0</v>
      </c>
      <c r="H537" s="86">
        <f t="shared" si="118"/>
        <v>1292.4711539999998</v>
      </c>
      <c r="I537" s="35"/>
      <c r="N537" s="35"/>
      <c r="T537" s="20"/>
    </row>
    <row r="538" spans="1:20" s="87" customFormat="1" ht="15.75" customHeight="1">
      <c r="A538" s="107">
        <v>20</v>
      </c>
      <c r="B538" s="108"/>
      <c r="C538" s="86" t="s">
        <v>299</v>
      </c>
      <c r="D538" s="74">
        <f>126.881*(10.764)</f>
        <v>1365.7470839999999</v>
      </c>
      <c r="E538" s="74">
        <f t="shared" si="116"/>
        <v>0</v>
      </c>
      <c r="F538" s="86">
        <f t="shared" si="117"/>
        <v>1365.7470839999999</v>
      </c>
      <c r="G538" s="86">
        <v>0</v>
      </c>
      <c r="H538" s="86">
        <f t="shared" si="118"/>
        <v>2048.6206259999999</v>
      </c>
      <c r="I538" s="35"/>
      <c r="N538" s="35"/>
      <c r="T538" s="20"/>
    </row>
    <row r="539" spans="1:20" s="34" customFormat="1">
      <c r="A539" s="244" t="s">
        <v>65</v>
      </c>
      <c r="B539" s="245"/>
      <c r="C539" s="245"/>
      <c r="D539" s="245"/>
      <c r="E539" s="245"/>
      <c r="F539" s="245"/>
      <c r="G539" s="245"/>
      <c r="H539" s="246"/>
      <c r="T539" s="36"/>
    </row>
    <row r="540" spans="1:20" s="34" customFormat="1" ht="17.25" customHeight="1">
      <c r="A540" s="44" t="s">
        <v>145</v>
      </c>
      <c r="B540" s="209" t="s">
        <v>388</v>
      </c>
      <c r="C540" s="210"/>
      <c r="D540" s="210"/>
      <c r="E540" s="210"/>
      <c r="F540" s="210"/>
      <c r="G540" s="210"/>
      <c r="H540" s="211"/>
      <c r="T540" s="36"/>
    </row>
    <row r="541" spans="1:20" s="34" customFormat="1">
      <c r="A541" s="44" t="s">
        <v>145</v>
      </c>
      <c r="B541" s="209" t="str">
        <f>(IF(H122="Saleable area Loading :","We have considered Saleable area of Commercial as per our Calculation.","We considered Saleable area of Commercial as per Builder area Sheet."))</f>
        <v>We have considered Saleable area of Commercial as per our Calculation.</v>
      </c>
      <c r="C541" s="210"/>
      <c r="D541" s="210"/>
      <c r="E541" s="210"/>
      <c r="F541" s="210"/>
      <c r="G541" s="210"/>
      <c r="H541" s="211"/>
      <c r="T541" s="36"/>
    </row>
    <row r="542" spans="1:20" s="34" customFormat="1">
      <c r="A542" s="44" t="s">
        <v>145</v>
      </c>
      <c r="B542" s="202" t="s">
        <v>116</v>
      </c>
      <c r="C542" s="203"/>
      <c r="D542" s="203"/>
      <c r="E542" s="203"/>
      <c r="F542" s="203"/>
      <c r="G542" s="203"/>
      <c r="H542" s="204"/>
      <c r="T542" s="36"/>
    </row>
    <row r="543" spans="1:20" s="34" customFormat="1" ht="16.5" customHeight="1">
      <c r="A543" s="44" t="s">
        <v>145</v>
      </c>
      <c r="B543" s="202" t="s">
        <v>380</v>
      </c>
      <c r="C543" s="203"/>
      <c r="D543" s="203"/>
      <c r="E543" s="203"/>
      <c r="F543" s="203"/>
      <c r="G543" s="203"/>
      <c r="H543" s="204"/>
      <c r="T543" s="36"/>
    </row>
    <row r="544" spans="1:20" s="34" customFormat="1">
      <c r="A544" s="44" t="s">
        <v>145</v>
      </c>
      <c r="B544" s="202" t="s">
        <v>144</v>
      </c>
      <c r="C544" s="203"/>
      <c r="D544" s="203"/>
      <c r="E544" s="203"/>
      <c r="F544" s="203"/>
      <c r="G544" s="203"/>
      <c r="H544" s="204"/>
    </row>
    <row r="545" spans="1:20" s="34" customFormat="1">
      <c r="A545" s="44" t="s">
        <v>145</v>
      </c>
      <c r="B545" s="202" t="s">
        <v>117</v>
      </c>
      <c r="C545" s="203"/>
      <c r="D545" s="203"/>
      <c r="E545" s="203"/>
      <c r="F545" s="203"/>
      <c r="G545" s="203"/>
      <c r="H545" s="204"/>
    </row>
    <row r="546" spans="1:20" s="34" customFormat="1" ht="34.5" customHeight="1">
      <c r="A546" s="44" t="s">
        <v>145</v>
      </c>
      <c r="B546" s="202" t="s">
        <v>146</v>
      </c>
      <c r="C546" s="203"/>
      <c r="D546" s="203"/>
      <c r="E546" s="203"/>
      <c r="F546" s="203"/>
      <c r="G546" s="203"/>
      <c r="H546" s="204"/>
    </row>
    <row r="547" spans="1:20" s="34" customFormat="1">
      <c r="A547" s="77" t="s">
        <v>145</v>
      </c>
      <c r="B547" s="202" t="s">
        <v>118</v>
      </c>
      <c r="C547" s="203"/>
      <c r="D547" s="203"/>
      <c r="E547" s="203"/>
      <c r="F547" s="203"/>
      <c r="G547" s="203"/>
      <c r="H547" s="204"/>
    </row>
    <row r="548" spans="1:20" s="34" customFormat="1">
      <c r="A548" s="90" t="s">
        <v>145</v>
      </c>
      <c r="B548" s="202" t="s">
        <v>328</v>
      </c>
      <c r="C548" s="203"/>
      <c r="D548" s="203"/>
      <c r="E548" s="203"/>
      <c r="F548" s="203"/>
      <c r="G548" s="203"/>
      <c r="H548" s="204"/>
    </row>
    <row r="549" spans="1:20" s="34" customFormat="1" hidden="1">
      <c r="A549" s="90" t="s">
        <v>145</v>
      </c>
      <c r="B549" s="202" t="s">
        <v>382</v>
      </c>
      <c r="C549" s="203"/>
      <c r="D549" s="203"/>
      <c r="E549" s="203"/>
      <c r="F549" s="203"/>
      <c r="G549" s="203"/>
      <c r="H549" s="204"/>
    </row>
    <row r="550" spans="1:20" s="34" customFormat="1" ht="32.25" customHeight="1">
      <c r="A550" s="44" t="s">
        <v>145</v>
      </c>
      <c r="B550" s="217" t="s">
        <v>381</v>
      </c>
      <c r="C550" s="218"/>
      <c r="D550" s="218"/>
      <c r="E550" s="218"/>
      <c r="F550" s="218"/>
      <c r="G550" s="218"/>
      <c r="H550" s="219"/>
    </row>
    <row r="551" spans="1:20">
      <c r="A551" s="188" t="s">
        <v>58</v>
      </c>
      <c r="B551" s="188"/>
      <c r="C551" s="188"/>
      <c r="D551" s="188"/>
      <c r="E551" s="188"/>
      <c r="F551" s="188"/>
      <c r="G551" s="188"/>
      <c r="H551" s="188"/>
      <c r="T551" s="34"/>
    </row>
    <row r="552" spans="1:20">
      <c r="A552" s="136" t="s">
        <v>59</v>
      </c>
      <c r="B552" s="136"/>
      <c r="C552" s="136"/>
      <c r="D552" s="136"/>
      <c r="E552" s="136"/>
      <c r="F552" s="136"/>
      <c r="G552" s="136"/>
      <c r="H552" s="136"/>
      <c r="T552" s="34"/>
    </row>
    <row r="553" spans="1:20" ht="15.75" customHeight="1">
      <c r="A553" s="213" t="s">
        <v>60</v>
      </c>
      <c r="B553" s="213"/>
      <c r="C553" s="213"/>
      <c r="D553" s="213"/>
      <c r="E553" s="213"/>
      <c r="F553" s="213"/>
      <c r="G553" s="213"/>
      <c r="H553" s="213"/>
      <c r="T553" s="34"/>
    </row>
    <row r="554" spans="1:20">
      <c r="A554" s="136" t="s">
        <v>61</v>
      </c>
      <c r="B554" s="136"/>
      <c r="C554" s="136"/>
      <c r="D554" s="136"/>
      <c r="E554" s="136"/>
      <c r="F554" s="136"/>
      <c r="G554" s="136"/>
      <c r="H554" s="136"/>
      <c r="T554" s="34"/>
    </row>
    <row r="555" spans="1:20">
      <c r="A555" s="136" t="s">
        <v>62</v>
      </c>
      <c r="B555" s="136"/>
      <c r="C555" s="136"/>
      <c r="D555" s="136"/>
      <c r="E555" s="136"/>
      <c r="F555" s="136"/>
      <c r="G555" s="136"/>
      <c r="H555" s="136"/>
      <c r="T555" s="34"/>
    </row>
    <row r="556" spans="1:20">
      <c r="A556" s="136" t="s">
        <v>119</v>
      </c>
      <c r="B556" s="136"/>
      <c r="C556" s="136"/>
      <c r="D556" s="136"/>
      <c r="E556" s="136"/>
      <c r="F556" s="136"/>
      <c r="G556" s="136"/>
      <c r="H556" s="136"/>
      <c r="T556" s="34"/>
    </row>
    <row r="557" spans="1:20" ht="33.950000000000003" customHeight="1">
      <c r="A557" s="137" t="s">
        <v>120</v>
      </c>
      <c r="B557" s="137"/>
      <c r="C557" s="137"/>
      <c r="D557" s="137"/>
      <c r="E557" s="137"/>
      <c r="F557" s="137"/>
      <c r="G557" s="137"/>
      <c r="H557" s="137"/>
    </row>
    <row r="558" spans="1:20">
      <c r="A558" s="206" t="s">
        <v>72</v>
      </c>
      <c r="B558" s="206"/>
      <c r="C558" s="207" t="s">
        <v>387</v>
      </c>
      <c r="D558" s="207"/>
      <c r="E558" s="206" t="s">
        <v>101</v>
      </c>
      <c r="F558" s="206"/>
      <c r="G558" s="206" t="s">
        <v>386</v>
      </c>
      <c r="H558" s="206"/>
    </row>
    <row r="559" spans="1:20">
      <c r="A559" s="205" t="s">
        <v>74</v>
      </c>
      <c r="B559" s="205"/>
      <c r="C559" s="205"/>
      <c r="D559" s="205"/>
      <c r="E559" s="205"/>
      <c r="F559" s="205"/>
      <c r="G559" s="205"/>
      <c r="H559" s="205"/>
    </row>
    <row r="560" spans="1:20">
      <c r="A560" s="205"/>
      <c r="B560" s="205"/>
      <c r="C560" s="205"/>
      <c r="D560" s="205"/>
      <c r="E560" s="205"/>
      <c r="F560" s="205"/>
      <c r="G560" s="205"/>
      <c r="H560" s="205"/>
    </row>
    <row r="561" spans="1:8">
      <c r="A561" s="205"/>
      <c r="B561" s="205"/>
      <c r="C561" s="205"/>
      <c r="D561" s="205"/>
      <c r="E561" s="205"/>
      <c r="F561" s="205"/>
      <c r="G561" s="205"/>
      <c r="H561" s="205"/>
    </row>
    <row r="562" spans="1:8">
      <c r="A562" s="205"/>
      <c r="B562" s="205"/>
      <c r="C562" s="205"/>
      <c r="D562" s="205"/>
      <c r="E562" s="205"/>
      <c r="F562" s="205"/>
      <c r="G562" s="205"/>
      <c r="H562" s="205"/>
    </row>
    <row r="563" spans="1:8">
      <c r="A563" s="37" t="s">
        <v>63</v>
      </c>
      <c r="B563" s="38"/>
      <c r="C563" s="38"/>
      <c r="D563" s="37" t="str">
        <f>E9</f>
        <v>Delta Stellar</v>
      </c>
      <c r="F563" s="38"/>
      <c r="G563" s="38"/>
      <c r="H563" s="38"/>
    </row>
    <row r="564" spans="1:8">
      <c r="A564" s="38"/>
      <c r="B564" s="38"/>
      <c r="C564" s="38"/>
      <c r="D564" s="38"/>
      <c r="E564" s="38"/>
      <c r="F564" s="38"/>
      <c r="G564" s="38"/>
      <c r="H564" s="38"/>
    </row>
    <row r="565" spans="1:8">
      <c r="A565" s="38"/>
      <c r="B565" s="38"/>
      <c r="C565" s="38"/>
      <c r="D565" s="38"/>
      <c r="E565" s="38"/>
      <c r="F565" s="38"/>
      <c r="G565" s="38"/>
      <c r="H565" s="38"/>
    </row>
    <row r="566" spans="1:8" ht="15" customHeight="1"/>
    <row r="583" spans="1:12">
      <c r="A583" s="20"/>
      <c r="B583" s="20"/>
      <c r="C583" s="20"/>
      <c r="D583" s="20"/>
      <c r="E583" s="20"/>
      <c r="F583" s="20"/>
      <c r="G583" s="20"/>
      <c r="H583" s="20"/>
      <c r="L583" s="20" t="s">
        <v>310</v>
      </c>
    </row>
    <row r="607" spans="1:8">
      <c r="A607" s="40" t="s">
        <v>152</v>
      </c>
      <c r="B607" s="20"/>
      <c r="C607" s="20"/>
      <c r="D607" s="20"/>
      <c r="E607" s="20"/>
      <c r="F607" s="20"/>
      <c r="G607" s="20"/>
      <c r="H607" s="20"/>
    </row>
    <row r="651" spans="1:8">
      <c r="A651" s="40" t="s">
        <v>64</v>
      </c>
      <c r="B651" s="20"/>
      <c r="C651" s="20"/>
      <c r="D651" s="20"/>
      <c r="E651" s="20"/>
      <c r="F651" s="20"/>
      <c r="G651" s="20"/>
      <c r="H651" s="20"/>
    </row>
    <row r="695" spans="1:8">
      <c r="A695" s="40" t="s">
        <v>326</v>
      </c>
      <c r="B695" s="20"/>
      <c r="C695" s="20"/>
      <c r="D695" s="20"/>
      <c r="E695" s="20"/>
      <c r="F695" s="20"/>
      <c r="G695" s="20"/>
      <c r="H695" s="20"/>
    </row>
  </sheetData>
  <mergeCells count="709">
    <mergeCell ref="C144:G144"/>
    <mergeCell ref="C145:G145"/>
    <mergeCell ref="B549:H549"/>
    <mergeCell ref="B548:H548"/>
    <mergeCell ref="A536:B536"/>
    <mergeCell ref="A537:B537"/>
    <mergeCell ref="A538:B538"/>
    <mergeCell ref="C118:D118"/>
    <mergeCell ref="E118:F118"/>
    <mergeCell ref="G118:H118"/>
    <mergeCell ref="A117:A118"/>
    <mergeCell ref="A527:B527"/>
    <mergeCell ref="A528:B528"/>
    <mergeCell ref="A529:B529"/>
    <mergeCell ref="A530:B530"/>
    <mergeCell ref="A531:B531"/>
    <mergeCell ref="A532:B532"/>
    <mergeCell ref="A533:B533"/>
    <mergeCell ref="A534:B534"/>
    <mergeCell ref="A535:B535"/>
    <mergeCell ref="A518:H518"/>
    <mergeCell ref="A519:B519"/>
    <mergeCell ref="A520:B520"/>
    <mergeCell ref="A521:B521"/>
    <mergeCell ref="A522:B522"/>
    <mergeCell ref="A523:B523"/>
    <mergeCell ref="A524:B524"/>
    <mergeCell ref="A525:B525"/>
    <mergeCell ref="A526:B526"/>
    <mergeCell ref="A510:B510"/>
    <mergeCell ref="D510:H510"/>
    <mergeCell ref="A511:B511"/>
    <mergeCell ref="A512:B512"/>
    <mergeCell ref="A513:B513"/>
    <mergeCell ref="A514:B514"/>
    <mergeCell ref="A515:B515"/>
    <mergeCell ref="A516:B516"/>
    <mergeCell ref="A517:B517"/>
    <mergeCell ref="D517:H517"/>
    <mergeCell ref="A501:B501"/>
    <mergeCell ref="A502:B502"/>
    <mergeCell ref="A503:B503"/>
    <mergeCell ref="A504:B504"/>
    <mergeCell ref="A505:B505"/>
    <mergeCell ref="A506:B506"/>
    <mergeCell ref="A507:B507"/>
    <mergeCell ref="A508:B508"/>
    <mergeCell ref="A509:B509"/>
    <mergeCell ref="A492:B492"/>
    <mergeCell ref="A493:B493"/>
    <mergeCell ref="A494:B494"/>
    <mergeCell ref="A495:B495"/>
    <mergeCell ref="A496:B496"/>
    <mergeCell ref="A497:H497"/>
    <mergeCell ref="A498:B498"/>
    <mergeCell ref="A499:B499"/>
    <mergeCell ref="A500:B500"/>
    <mergeCell ref="A483:B483"/>
    <mergeCell ref="A484:B484"/>
    <mergeCell ref="A485:B485"/>
    <mergeCell ref="A486:B486"/>
    <mergeCell ref="A487:B487"/>
    <mergeCell ref="A488:B488"/>
    <mergeCell ref="A489:B489"/>
    <mergeCell ref="A490:B490"/>
    <mergeCell ref="A491:B491"/>
    <mergeCell ref="A474:B474"/>
    <mergeCell ref="A475:B475"/>
    <mergeCell ref="A476:H476"/>
    <mergeCell ref="A477:B477"/>
    <mergeCell ref="A478:B478"/>
    <mergeCell ref="A479:B479"/>
    <mergeCell ref="A480:B480"/>
    <mergeCell ref="A481:B481"/>
    <mergeCell ref="A482:B482"/>
    <mergeCell ref="A465:B465"/>
    <mergeCell ref="A466:B466"/>
    <mergeCell ref="A467:B467"/>
    <mergeCell ref="A468:B468"/>
    <mergeCell ref="A469:B469"/>
    <mergeCell ref="A470:B470"/>
    <mergeCell ref="A471:B471"/>
    <mergeCell ref="A472:B472"/>
    <mergeCell ref="A473:B473"/>
    <mergeCell ref="A456:B456"/>
    <mergeCell ref="A457:B457"/>
    <mergeCell ref="A458:B458"/>
    <mergeCell ref="A459:B459"/>
    <mergeCell ref="A460:B460"/>
    <mergeCell ref="A461:B461"/>
    <mergeCell ref="A462:B462"/>
    <mergeCell ref="A463:B463"/>
    <mergeCell ref="A464:B464"/>
    <mergeCell ref="A447:B447"/>
    <mergeCell ref="A448:B448"/>
    <mergeCell ref="A449:B449"/>
    <mergeCell ref="A450:B450"/>
    <mergeCell ref="A451:B451"/>
    <mergeCell ref="A452:B452"/>
    <mergeCell ref="A453:B453"/>
    <mergeCell ref="A454:B454"/>
    <mergeCell ref="A455:H455"/>
    <mergeCell ref="A438:B438"/>
    <mergeCell ref="A439:B439"/>
    <mergeCell ref="A440:B440"/>
    <mergeCell ref="A441:B441"/>
    <mergeCell ref="A442:B442"/>
    <mergeCell ref="A443:B443"/>
    <mergeCell ref="A444:B444"/>
    <mergeCell ref="A445:B445"/>
    <mergeCell ref="A446:B446"/>
    <mergeCell ref="A431:B431"/>
    <mergeCell ref="A432:B432"/>
    <mergeCell ref="A433:B433"/>
    <mergeCell ref="D426:H426"/>
    <mergeCell ref="D433:H433"/>
    <mergeCell ref="A434:H434"/>
    <mergeCell ref="A435:B435"/>
    <mergeCell ref="A436:B436"/>
    <mergeCell ref="A437:B437"/>
    <mergeCell ref="A365:B365"/>
    <mergeCell ref="A539:H539"/>
    <mergeCell ref="A371:H371"/>
    <mergeCell ref="A384:B384"/>
    <mergeCell ref="A392:H392"/>
    <mergeCell ref="A401:B401"/>
    <mergeCell ref="A413:H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347:B347"/>
    <mergeCell ref="A348:B348"/>
    <mergeCell ref="A349:B349"/>
    <mergeCell ref="D349:H349"/>
    <mergeCell ref="A350:H350"/>
    <mergeCell ref="A351:B351"/>
    <mergeCell ref="A352:B352"/>
    <mergeCell ref="A357:B357"/>
    <mergeCell ref="A363:B363"/>
    <mergeCell ref="A339:B339"/>
    <mergeCell ref="A340:B340"/>
    <mergeCell ref="A341:B341"/>
    <mergeCell ref="A342:B342"/>
    <mergeCell ref="D342:H342"/>
    <mergeCell ref="A343:B343"/>
    <mergeCell ref="A344:B344"/>
    <mergeCell ref="A345:B345"/>
    <mergeCell ref="A346:B346"/>
    <mergeCell ref="A330:B330"/>
    <mergeCell ref="A331:B331"/>
    <mergeCell ref="A332:B332"/>
    <mergeCell ref="A333:B333"/>
    <mergeCell ref="A334:B334"/>
    <mergeCell ref="A335:B335"/>
    <mergeCell ref="A336:B336"/>
    <mergeCell ref="A337:B337"/>
    <mergeCell ref="A338:B338"/>
    <mergeCell ref="A323:B323"/>
    <mergeCell ref="A324:B324"/>
    <mergeCell ref="A325:B325"/>
    <mergeCell ref="A326:B326"/>
    <mergeCell ref="A327:B327"/>
    <mergeCell ref="A328:B328"/>
    <mergeCell ref="D321:H321"/>
    <mergeCell ref="D328:H328"/>
    <mergeCell ref="A329:H329"/>
    <mergeCell ref="A314:B314"/>
    <mergeCell ref="A315:B315"/>
    <mergeCell ref="A316:B316"/>
    <mergeCell ref="A317:B317"/>
    <mergeCell ref="A318:B318"/>
    <mergeCell ref="A319:B319"/>
    <mergeCell ref="A320:B320"/>
    <mergeCell ref="A321:B321"/>
    <mergeCell ref="A322:B322"/>
    <mergeCell ref="A305:B305"/>
    <mergeCell ref="A306:B306"/>
    <mergeCell ref="A307:B307"/>
    <mergeCell ref="A308:H308"/>
    <mergeCell ref="A309:B309"/>
    <mergeCell ref="A310:B310"/>
    <mergeCell ref="A311:B311"/>
    <mergeCell ref="A312:B312"/>
    <mergeCell ref="A313:B313"/>
    <mergeCell ref="A296:B296"/>
    <mergeCell ref="A297:B297"/>
    <mergeCell ref="A298:B298"/>
    <mergeCell ref="A299:B299"/>
    <mergeCell ref="A300:B300"/>
    <mergeCell ref="A301:B301"/>
    <mergeCell ref="A302:B302"/>
    <mergeCell ref="A303:B303"/>
    <mergeCell ref="A304:B304"/>
    <mergeCell ref="A263:H263"/>
    <mergeCell ref="A265:H265"/>
    <mergeCell ref="A283:B283"/>
    <mergeCell ref="A284:B284"/>
    <mergeCell ref="A285:B285"/>
    <mergeCell ref="A286:B286"/>
    <mergeCell ref="A287:H287"/>
    <mergeCell ref="A288:B288"/>
    <mergeCell ref="A289:B289"/>
    <mergeCell ref="A282:B282"/>
    <mergeCell ref="C116:D116"/>
    <mergeCell ref="E116:F116"/>
    <mergeCell ref="G116:H116"/>
    <mergeCell ref="A115:A116"/>
    <mergeCell ref="A406:B406"/>
    <mergeCell ref="A407:B407"/>
    <mergeCell ref="A408:B408"/>
    <mergeCell ref="A409:B409"/>
    <mergeCell ref="A410:B410"/>
    <mergeCell ref="A389:B389"/>
    <mergeCell ref="A390:B390"/>
    <mergeCell ref="A391:B391"/>
    <mergeCell ref="A393:B393"/>
    <mergeCell ref="A394:B394"/>
    <mergeCell ref="A395:B395"/>
    <mergeCell ref="A396:B396"/>
    <mergeCell ref="A397:B397"/>
    <mergeCell ref="A380:B380"/>
    <mergeCell ref="A381:B381"/>
    <mergeCell ref="A382:B382"/>
    <mergeCell ref="A383:B383"/>
    <mergeCell ref="A386:B386"/>
    <mergeCell ref="A387:B387"/>
    <mergeCell ref="A388:B388"/>
    <mergeCell ref="A411:B411"/>
    <mergeCell ref="A412:B412"/>
    <mergeCell ref="A398:B398"/>
    <mergeCell ref="A399:B399"/>
    <mergeCell ref="A400:B400"/>
    <mergeCell ref="A402:B402"/>
    <mergeCell ref="A403:B403"/>
    <mergeCell ref="A404:B404"/>
    <mergeCell ref="A405:B405"/>
    <mergeCell ref="A373:B373"/>
    <mergeCell ref="A374:B374"/>
    <mergeCell ref="A375:B375"/>
    <mergeCell ref="A376:B376"/>
    <mergeCell ref="A377:B377"/>
    <mergeCell ref="A378:B378"/>
    <mergeCell ref="A379:B379"/>
    <mergeCell ref="A368:B368"/>
    <mergeCell ref="A369:B369"/>
    <mergeCell ref="A370:B370"/>
    <mergeCell ref="A372:B372"/>
    <mergeCell ref="A290:B290"/>
    <mergeCell ref="A291:B291"/>
    <mergeCell ref="A292:B292"/>
    <mergeCell ref="A293:B293"/>
    <mergeCell ref="A294:B294"/>
    <mergeCell ref="A295:B295"/>
    <mergeCell ref="A273:B273"/>
    <mergeCell ref="A274:B274"/>
    <mergeCell ref="A275:B275"/>
    <mergeCell ref="A276:B276"/>
    <mergeCell ref="A277:B277"/>
    <mergeCell ref="A278:B278"/>
    <mergeCell ref="A279:B279"/>
    <mergeCell ref="A280:B280"/>
    <mergeCell ref="A281:B281"/>
    <mergeCell ref="A141:B141"/>
    <mergeCell ref="A142:B142"/>
    <mergeCell ref="A143:B143"/>
    <mergeCell ref="A146:H146"/>
    <mergeCell ref="A148:H148"/>
    <mergeCell ref="A271:B271"/>
    <mergeCell ref="A272:B272"/>
    <mergeCell ref="A178:B178"/>
    <mergeCell ref="A179:B179"/>
    <mergeCell ref="A180:B180"/>
    <mergeCell ref="A181:B181"/>
    <mergeCell ref="A259:H259"/>
    <mergeCell ref="A169:B169"/>
    <mergeCell ref="A170:B170"/>
    <mergeCell ref="A171:B171"/>
    <mergeCell ref="A172:B172"/>
    <mergeCell ref="A173:B173"/>
    <mergeCell ref="A174:H174"/>
    <mergeCell ref="A175:B175"/>
    <mergeCell ref="A176:B176"/>
    <mergeCell ref="A177:B177"/>
    <mergeCell ref="A266:H266"/>
    <mergeCell ref="A267:B267"/>
    <mergeCell ref="A262:H262"/>
    <mergeCell ref="D64:H64"/>
    <mergeCell ref="E89:F89"/>
    <mergeCell ref="G89:H89"/>
    <mergeCell ref="E90:F99"/>
    <mergeCell ref="A97:B97"/>
    <mergeCell ref="A98:B98"/>
    <mergeCell ref="A74:B74"/>
    <mergeCell ref="A72:B72"/>
    <mergeCell ref="C72:H72"/>
    <mergeCell ref="C74:H74"/>
    <mergeCell ref="A77:B77"/>
    <mergeCell ref="A79:B79"/>
    <mergeCell ref="E75:F75"/>
    <mergeCell ref="A68:C68"/>
    <mergeCell ref="D68:H68"/>
    <mergeCell ref="A71:C71"/>
    <mergeCell ref="D71:H71"/>
    <mergeCell ref="A69:C69"/>
    <mergeCell ref="D70:H70"/>
    <mergeCell ref="A76:B76"/>
    <mergeCell ref="G75:H75"/>
    <mergeCell ref="A78:B78"/>
    <mergeCell ref="A88:B88"/>
    <mergeCell ref="A80:B80"/>
    <mergeCell ref="I15:P15"/>
    <mergeCell ref="F110:H110"/>
    <mergeCell ref="F108:H108"/>
    <mergeCell ref="A121:H121"/>
    <mergeCell ref="G114:H114"/>
    <mergeCell ref="A109:E109"/>
    <mergeCell ref="A128:B128"/>
    <mergeCell ref="A58:B58"/>
    <mergeCell ref="C58:E58"/>
    <mergeCell ref="D60:H60"/>
    <mergeCell ref="F109:H109"/>
    <mergeCell ref="E114:F114"/>
    <mergeCell ref="A114:B114"/>
    <mergeCell ref="D69:H69"/>
    <mergeCell ref="A70:C70"/>
    <mergeCell ref="E43:H43"/>
    <mergeCell ref="A43:D43"/>
    <mergeCell ref="A86:B86"/>
    <mergeCell ref="C86:H86"/>
    <mergeCell ref="A81:B81"/>
    <mergeCell ref="A50:B50"/>
    <mergeCell ref="A125:H125"/>
    <mergeCell ref="A111:E111"/>
    <mergeCell ref="F111:H111"/>
    <mergeCell ref="A556:H556"/>
    <mergeCell ref="A553:H553"/>
    <mergeCell ref="A358:B358"/>
    <mergeCell ref="A94:B94"/>
    <mergeCell ref="A95:B95"/>
    <mergeCell ref="A96:B96"/>
    <mergeCell ref="F101:H101"/>
    <mergeCell ref="G115:H115"/>
    <mergeCell ref="F107:H107"/>
    <mergeCell ref="C114:D114"/>
    <mergeCell ref="A367:B367"/>
    <mergeCell ref="A364:B364"/>
    <mergeCell ref="A127:B127"/>
    <mergeCell ref="A119:B119"/>
    <mergeCell ref="C119:D119"/>
    <mergeCell ref="E119:F119"/>
    <mergeCell ref="A131:B131"/>
    <mergeCell ref="A132:B132"/>
    <mergeCell ref="A133:B133"/>
    <mergeCell ref="A136:H136"/>
    <mergeCell ref="A137:B137"/>
    <mergeCell ref="B550:H550"/>
    <mergeCell ref="B545:H545"/>
    <mergeCell ref="B541:H541"/>
    <mergeCell ref="B540:H540"/>
    <mergeCell ref="B542:H542"/>
    <mergeCell ref="B543:H543"/>
    <mergeCell ref="B546:H546"/>
    <mergeCell ref="B547:H547"/>
    <mergeCell ref="F100:H100"/>
    <mergeCell ref="F105:H105"/>
    <mergeCell ref="A353:B353"/>
    <mergeCell ref="A130:B130"/>
    <mergeCell ref="A129:B129"/>
    <mergeCell ref="A106:E106"/>
    <mergeCell ref="F106:H106"/>
    <mergeCell ref="A108:E108"/>
    <mergeCell ref="F103:H103"/>
    <mergeCell ref="A107:E107"/>
    <mergeCell ref="A120:H120"/>
    <mergeCell ref="A138:B138"/>
    <mergeCell ref="A139:B139"/>
    <mergeCell ref="A153:B153"/>
    <mergeCell ref="A154:B154"/>
    <mergeCell ref="A155:B155"/>
    <mergeCell ref="A156:B156"/>
    <mergeCell ref="A166:H166"/>
    <mergeCell ref="A167:B167"/>
    <mergeCell ref="A168:B168"/>
    <mergeCell ref="A140:B140"/>
    <mergeCell ref="A559:H562"/>
    <mergeCell ref="A558:B558"/>
    <mergeCell ref="E558:F558"/>
    <mergeCell ref="C558:D558"/>
    <mergeCell ref="G558:H558"/>
    <mergeCell ref="A113:H113"/>
    <mergeCell ref="D173:H173"/>
    <mergeCell ref="A182:H182"/>
    <mergeCell ref="A183:B183"/>
    <mergeCell ref="A184:B184"/>
    <mergeCell ref="A185:B185"/>
    <mergeCell ref="A186:B186"/>
    <mergeCell ref="A187:B187"/>
    <mergeCell ref="A188:B188"/>
    <mergeCell ref="A189:B189"/>
    <mergeCell ref="A198:H198"/>
    <mergeCell ref="A199:B199"/>
    <mergeCell ref="A200:B200"/>
    <mergeCell ref="A201:B201"/>
    <mergeCell ref="A202:B202"/>
    <mergeCell ref="A203:B203"/>
    <mergeCell ref="A204:B204"/>
    <mergeCell ref="A112:E112"/>
    <mergeCell ref="F112:H112"/>
    <mergeCell ref="A366:B366"/>
    <mergeCell ref="A554:H554"/>
    <mergeCell ref="A557:H557"/>
    <mergeCell ref="A555:H555"/>
    <mergeCell ref="A551:H551"/>
    <mergeCell ref="C122:C123"/>
    <mergeCell ref="A552:H552"/>
    <mergeCell ref="A362:B362"/>
    <mergeCell ref="A359:B359"/>
    <mergeCell ref="A360:B360"/>
    <mergeCell ref="A355:B355"/>
    <mergeCell ref="A356:B356"/>
    <mergeCell ref="A361:B361"/>
    <mergeCell ref="B544:H544"/>
    <mergeCell ref="G122:G123"/>
    <mergeCell ref="A159:B159"/>
    <mergeCell ref="A160:B160"/>
    <mergeCell ref="A161:B161"/>
    <mergeCell ref="A162:B162"/>
    <mergeCell ref="A163:B163"/>
    <mergeCell ref="A164:B164"/>
    <mergeCell ref="A165:B16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5:H35"/>
    <mergeCell ref="F34:H34"/>
    <mergeCell ref="A38:H38"/>
    <mergeCell ref="A37:B37"/>
    <mergeCell ref="C37:E37"/>
    <mergeCell ref="A42:D42"/>
    <mergeCell ref="E42:H42"/>
    <mergeCell ref="A41:H41"/>
    <mergeCell ref="A65:C65"/>
    <mergeCell ref="A66:C66"/>
    <mergeCell ref="D65:H65"/>
    <mergeCell ref="D66:H66"/>
    <mergeCell ref="A44:D44"/>
    <mergeCell ref="E44:H44"/>
    <mergeCell ref="E45:H45"/>
    <mergeCell ref="E46:H46"/>
    <mergeCell ref="E47:H47"/>
    <mergeCell ref="C57:H57"/>
    <mergeCell ref="F37:H37"/>
    <mergeCell ref="C50:E50"/>
    <mergeCell ref="G50:H50"/>
    <mergeCell ref="G52:H52"/>
    <mergeCell ref="A51:B51"/>
    <mergeCell ref="A59:H59"/>
    <mergeCell ref="A60:C60"/>
    <mergeCell ref="A61:C61"/>
    <mergeCell ref="A39:B39"/>
    <mergeCell ref="C39:H39"/>
    <mergeCell ref="A46:D46"/>
    <mergeCell ref="L130:M130"/>
    <mergeCell ref="L129:M129"/>
    <mergeCell ref="L128:M128"/>
    <mergeCell ref="L127:M127"/>
    <mergeCell ref="A83:B83"/>
    <mergeCell ref="A101:E101"/>
    <mergeCell ref="A126:H126"/>
    <mergeCell ref="E122:E123"/>
    <mergeCell ref="A90:B90"/>
    <mergeCell ref="A47:D47"/>
    <mergeCell ref="A48:H48"/>
    <mergeCell ref="D62:H62"/>
    <mergeCell ref="A62:C62"/>
    <mergeCell ref="A82:B82"/>
    <mergeCell ref="C88:H88"/>
    <mergeCell ref="A45:D45"/>
    <mergeCell ref="E76:F85"/>
    <mergeCell ref="G76:H85"/>
    <mergeCell ref="A84:B84"/>
    <mergeCell ref="A85:B85"/>
    <mergeCell ref="A89:B89"/>
    <mergeCell ref="A40:B40"/>
    <mergeCell ref="C40:H40"/>
    <mergeCell ref="F122:F123"/>
    <mergeCell ref="C115:D115"/>
    <mergeCell ref="E115:F115"/>
    <mergeCell ref="B122:B123"/>
    <mergeCell ref="A122:A123"/>
    <mergeCell ref="A354:B354"/>
    <mergeCell ref="G119:H119"/>
    <mergeCell ref="C55:H55"/>
    <mergeCell ref="A75:B75"/>
    <mergeCell ref="A49:B49"/>
    <mergeCell ref="C49:H49"/>
    <mergeCell ref="G90:H99"/>
    <mergeCell ref="A91:B91"/>
    <mergeCell ref="A92:B92"/>
    <mergeCell ref="A93:B93"/>
    <mergeCell ref="F102:H102"/>
    <mergeCell ref="A102:E102"/>
    <mergeCell ref="D122:D123"/>
    <mergeCell ref="A104:E104"/>
    <mergeCell ref="A103:E103"/>
    <mergeCell ref="A100:E100"/>
    <mergeCell ref="F104:H104"/>
    <mergeCell ref="A67:C67"/>
    <mergeCell ref="D67:H67"/>
    <mergeCell ref="A105:E105"/>
    <mergeCell ref="A157:B157"/>
    <mergeCell ref="A385:B385"/>
    <mergeCell ref="A99:B99"/>
    <mergeCell ref="A110:E110"/>
    <mergeCell ref="C117:D117"/>
    <mergeCell ref="E117:F117"/>
    <mergeCell ref="G117:H117"/>
    <mergeCell ref="A150:H150"/>
    <mergeCell ref="A268:B268"/>
    <mergeCell ref="A269:B269"/>
    <mergeCell ref="A260:H260"/>
    <mergeCell ref="A261:H261"/>
    <mergeCell ref="A264:H264"/>
    <mergeCell ref="A124:H124"/>
    <mergeCell ref="A270:B270"/>
    <mergeCell ref="A151:B151"/>
    <mergeCell ref="A152:B152"/>
    <mergeCell ref="A145:B145"/>
    <mergeCell ref="A147:H147"/>
    <mergeCell ref="A149:H149"/>
    <mergeCell ref="A158:H158"/>
    <mergeCell ref="I50:K50"/>
    <mergeCell ref="M50:N50"/>
    <mergeCell ref="I51:K51"/>
    <mergeCell ref="M51:N51"/>
    <mergeCell ref="I52:K52"/>
    <mergeCell ref="M52:N52"/>
    <mergeCell ref="A134:B134"/>
    <mergeCell ref="A135:B135"/>
    <mergeCell ref="A144:B144"/>
    <mergeCell ref="D61:H61"/>
    <mergeCell ref="G58:H58"/>
    <mergeCell ref="A54:B55"/>
    <mergeCell ref="C54:E54"/>
    <mergeCell ref="G54:H54"/>
    <mergeCell ref="A56:B57"/>
    <mergeCell ref="C56:E56"/>
    <mergeCell ref="G56:H56"/>
    <mergeCell ref="G51:H51"/>
    <mergeCell ref="A52:B53"/>
    <mergeCell ref="C52:E52"/>
    <mergeCell ref="C51:E51"/>
    <mergeCell ref="C53:H53"/>
    <mergeCell ref="A63:C64"/>
    <mergeCell ref="D63:H63"/>
    <mergeCell ref="A205:H205"/>
    <mergeCell ref="A190:H190"/>
    <mergeCell ref="A191:B191"/>
    <mergeCell ref="A192:B192"/>
    <mergeCell ref="A193:B193"/>
    <mergeCell ref="A194:B194"/>
    <mergeCell ref="A195:B195"/>
    <mergeCell ref="A196:B196"/>
    <mergeCell ref="A197:B197"/>
    <mergeCell ref="D197:H197"/>
    <mergeCell ref="A206:B206"/>
    <mergeCell ref="A207:B207"/>
    <mergeCell ref="A208:B208"/>
    <mergeCell ref="A209:B209"/>
    <mergeCell ref="A210:B210"/>
    <mergeCell ref="A211:B211"/>
    <mergeCell ref="A212:H212"/>
    <mergeCell ref="A213:B213"/>
    <mergeCell ref="A214:B214"/>
    <mergeCell ref="A215:B215"/>
    <mergeCell ref="A216:B216"/>
    <mergeCell ref="A217:B217"/>
    <mergeCell ref="A218:B218"/>
    <mergeCell ref="D213:H213"/>
    <mergeCell ref="A219:H219"/>
    <mergeCell ref="A220:B220"/>
    <mergeCell ref="A221:B221"/>
    <mergeCell ref="A222:B222"/>
    <mergeCell ref="A223:B223"/>
    <mergeCell ref="A224:B224"/>
    <mergeCell ref="A225:B225"/>
    <mergeCell ref="A226:B226"/>
    <mergeCell ref="A227:H227"/>
    <mergeCell ref="A228:B228"/>
    <mergeCell ref="A229:B229"/>
    <mergeCell ref="A230:B230"/>
    <mergeCell ref="A231:B231"/>
    <mergeCell ref="A232:B232"/>
    <mergeCell ref="A233:B233"/>
    <mergeCell ref="A234:B234"/>
    <mergeCell ref="A235:H235"/>
    <mergeCell ref="A236:B236"/>
    <mergeCell ref="A237:B237"/>
    <mergeCell ref="A238:B238"/>
    <mergeCell ref="A239:B239"/>
    <mergeCell ref="A240:B240"/>
    <mergeCell ref="A241:B241"/>
    <mergeCell ref="A242:B242"/>
    <mergeCell ref="D236:H236"/>
    <mergeCell ref="A251:H251"/>
    <mergeCell ref="A252:B252"/>
    <mergeCell ref="A253:B253"/>
    <mergeCell ref="A254:B254"/>
    <mergeCell ref="A255:B255"/>
    <mergeCell ref="A256:B256"/>
    <mergeCell ref="A257:B257"/>
    <mergeCell ref="A258:B258"/>
    <mergeCell ref="A243:H243"/>
    <mergeCell ref="A244:B244"/>
    <mergeCell ref="A245:B245"/>
    <mergeCell ref="A246:B246"/>
    <mergeCell ref="A247:B247"/>
    <mergeCell ref="A248:B248"/>
    <mergeCell ref="A249:B249"/>
    <mergeCell ref="A250:B250"/>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19:H20">
      <formula1>$S$13:$W$13</formula1>
    </dataValidation>
    <dataValidation type="list" allowBlank="1" showInputMessage="1" showErrorMessage="1" sqref="E122:E123">
      <formula1>"Attached Loft area,Attached Otla area,Attached Mezzanine area"</formula1>
    </dataValidation>
    <dataValidation type="list" allowBlank="1" showInputMessage="1" showErrorMessage="1" sqref="G558:H558">
      <formula1>"Saurav Panse, Kunal Kadam,Pranita Mhatre,Shruti Fule,Pooja Kawale,Neha Dhokale,Shruti Tathare, Hitakshi Mhatre, Sachin Sawant"</formula1>
    </dataValidation>
    <dataValidation type="list" allowBlank="1" showInputMessage="1" showErrorMessage="1" sqref="F100:H100">
      <formula1>"On Saleable Area,On Builtup Area,On Carpet Area,On Plot Area"</formula1>
    </dataValidation>
    <dataValidation type="list" allowBlank="1" showInputMessage="1" showErrorMessage="1" sqref="F111:H111">
      <formula1>OFFSET($S$100,1,MATCH($G20,$S$100:$W$100,0)-1,15,1)</formula1>
    </dataValidation>
    <dataValidation type="list" allowBlank="1" showInputMessage="1" showErrorMessage="1" sqref="B122:B123">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2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1">
      <formula1>0</formula1>
      <formula2>H73</formula2>
    </dataValidation>
    <dataValidation type="list" allowBlank="1" showInputMessage="1" showErrorMessage="1" sqref="H122">
      <formula1>"Saleable area Loading :,Builder Saleable Area"</formula1>
    </dataValidation>
    <dataValidation type="list" allowBlank="1" showInputMessage="1" showErrorMessage="1" sqref="D122:D123">
      <formula1>"Carpet area,RERA Carpet area"</formula1>
    </dataValidation>
  </dataValidations>
  <hyperlinks>
    <hyperlink ref="C40" r:id="rId1"/>
    <hyperlink ref="I68"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71" max="7" man="1"/>
    <brk id="119" max="7" man="1"/>
    <brk id="562" max="16383" man="1"/>
    <brk id="606" max="16383" man="1"/>
    <brk id="650"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16" sqref="C16"/>
    </sheetView>
  </sheetViews>
  <sheetFormatPr defaultColWidth="8.7109375" defaultRowHeight="1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254" t="s">
        <v>102</v>
      </c>
      <c r="C3" s="254"/>
      <c r="D3" s="254"/>
      <c r="E3" s="254"/>
      <c r="F3" s="254"/>
      <c r="G3" s="254"/>
      <c r="H3" s="254"/>
    </row>
    <row r="4" spans="1:9">
      <c r="A4" s="2"/>
      <c r="B4" s="3" t="s">
        <v>103</v>
      </c>
      <c r="C4" s="3" t="s">
        <v>104</v>
      </c>
      <c r="D4" s="3" t="s">
        <v>66</v>
      </c>
      <c r="E4" s="3" t="s">
        <v>105</v>
      </c>
      <c r="F4" s="3" t="s">
        <v>111</v>
      </c>
      <c r="G4" s="3" t="s">
        <v>112</v>
      </c>
      <c r="H4" s="3" t="s">
        <v>106</v>
      </c>
    </row>
    <row r="5" spans="1:9" ht="15" customHeight="1">
      <c r="A5" s="2"/>
      <c r="B5" s="5" t="s">
        <v>107</v>
      </c>
      <c r="C5" s="6"/>
      <c r="D5" s="5"/>
      <c r="E5" s="5"/>
      <c r="F5" s="7">
        <f>E5*1.6</f>
        <v>0</v>
      </c>
      <c r="G5" s="7" t="e">
        <f>H5/F5</f>
        <v>#DIV/0!</v>
      </c>
      <c r="H5" s="8"/>
    </row>
    <row r="6" spans="1:9">
      <c r="A6" s="2"/>
      <c r="B6" s="5" t="s">
        <v>107</v>
      </c>
      <c r="C6" s="9"/>
      <c r="D6" s="5"/>
      <c r="E6" s="5"/>
      <c r="F6" s="7">
        <f t="shared" ref="F6:F11" si="0">E6*1.6</f>
        <v>0</v>
      </c>
      <c r="G6" s="7" t="e">
        <f t="shared" ref="G6:G11" si="1">H6/F6</f>
        <v>#DIV/0!</v>
      </c>
      <c r="H6" s="8"/>
    </row>
    <row r="7" spans="1:9" ht="15" customHeight="1">
      <c r="A7" s="2"/>
      <c r="B7" s="5" t="s">
        <v>107</v>
      </c>
      <c r="C7" s="6"/>
      <c r="D7" s="5"/>
      <c r="E7" s="5"/>
      <c r="F7" s="7">
        <f t="shared" si="0"/>
        <v>0</v>
      </c>
      <c r="G7" s="7" t="e">
        <f t="shared" si="1"/>
        <v>#DIV/0!</v>
      </c>
      <c r="H7" s="8"/>
    </row>
    <row r="8" spans="1:9">
      <c r="A8" s="2"/>
      <c r="B8" s="5" t="s">
        <v>107</v>
      </c>
      <c r="C8" s="9"/>
      <c r="D8" s="5"/>
      <c r="E8" s="5"/>
      <c r="F8" s="7">
        <f t="shared" si="0"/>
        <v>0</v>
      </c>
      <c r="G8" s="7" t="e">
        <f t="shared" si="1"/>
        <v>#DIV/0!</v>
      </c>
      <c r="H8" s="8"/>
    </row>
    <row r="9" spans="1:9" ht="15" customHeight="1">
      <c r="A9" s="2"/>
      <c r="B9" s="5" t="s">
        <v>107</v>
      </c>
      <c r="C9" s="9"/>
      <c r="D9" s="5"/>
      <c r="E9" s="5"/>
      <c r="F9" s="7">
        <f t="shared" si="0"/>
        <v>0</v>
      </c>
      <c r="G9" s="7" t="e">
        <f t="shared" si="1"/>
        <v>#DIV/0!</v>
      </c>
      <c r="H9" s="8"/>
    </row>
    <row r="10" spans="1:9" ht="15" customHeight="1">
      <c r="A10" s="2"/>
      <c r="B10" s="5" t="s">
        <v>108</v>
      </c>
      <c r="C10" s="6"/>
      <c r="D10" s="5"/>
      <c r="E10" s="5"/>
      <c r="F10" s="7">
        <f t="shared" si="0"/>
        <v>0</v>
      </c>
      <c r="G10" s="7" t="e">
        <f t="shared" si="1"/>
        <v>#DIV/0!</v>
      </c>
      <c r="H10" s="8"/>
    </row>
    <row r="11" spans="1:9" ht="15" customHeight="1">
      <c r="A11" s="2"/>
      <c r="B11" s="5" t="s">
        <v>108</v>
      </c>
      <c r="C11" s="6"/>
      <c r="D11" s="5"/>
      <c r="E11" s="5"/>
      <c r="F11" s="7">
        <f t="shared" si="0"/>
        <v>0</v>
      </c>
      <c r="G11" s="7" t="e">
        <f t="shared" si="1"/>
        <v>#DIV/0!</v>
      </c>
      <c r="H11" s="8"/>
    </row>
    <row r="12" spans="1:9" ht="15" customHeight="1">
      <c r="A12" s="2"/>
      <c r="B12" s="10" t="s">
        <v>109</v>
      </c>
      <c r="C12" s="5"/>
      <c r="D12" s="5"/>
      <c r="E12" s="5"/>
      <c r="F12" s="5"/>
      <c r="G12" s="11" t="e">
        <f>AVERAGE(G5:G11)</f>
        <v>#DIV/0!</v>
      </c>
      <c r="H12" s="5"/>
    </row>
    <row r="13" spans="1:9" ht="15" customHeight="1">
      <c r="B13" s="10" t="s">
        <v>110</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c r="J3">
        <v>1</v>
      </c>
      <c r="K3">
        <v>2</v>
      </c>
    </row>
    <row r="4" spans="2:11">
      <c r="B4" s="53"/>
      <c r="C4" s="53" t="s">
        <v>11</v>
      </c>
      <c r="D4" s="54" t="s">
        <v>165</v>
      </c>
      <c r="E4" s="54" t="s">
        <v>175</v>
      </c>
      <c r="F4" s="54" t="s">
        <v>161</v>
      </c>
      <c r="G4" s="54" t="s">
        <v>180</v>
      </c>
      <c r="H4" s="54" t="s">
        <v>198</v>
      </c>
      <c r="J4" t="s">
        <v>180</v>
      </c>
      <c r="K4" t="s">
        <v>196</v>
      </c>
    </row>
    <row r="5" spans="2:11">
      <c r="B5" s="53"/>
      <c r="C5" s="53"/>
      <c r="D5" s="54" t="s">
        <v>166</v>
      </c>
      <c r="E5" s="54" t="s">
        <v>173</v>
      </c>
      <c r="F5" s="54" t="s">
        <v>195</v>
      </c>
      <c r="G5" s="54" t="s">
        <v>181</v>
      </c>
      <c r="H5" s="54" t="s">
        <v>199</v>
      </c>
    </row>
    <row r="6" spans="2:11">
      <c r="B6" s="53"/>
      <c r="C6" s="53"/>
      <c r="D6" s="54" t="s">
        <v>167</v>
      </c>
      <c r="E6" s="54" t="s">
        <v>174</v>
      </c>
      <c r="F6" s="54" t="s">
        <v>196</v>
      </c>
      <c r="G6" s="54" t="s">
        <v>182</v>
      </c>
      <c r="H6" s="54" t="s">
        <v>212</v>
      </c>
    </row>
    <row r="7" spans="2:11">
      <c r="B7" s="53"/>
      <c r="C7" s="53"/>
      <c r="D7" s="54" t="s">
        <v>168</v>
      </c>
      <c r="E7" s="54" t="s">
        <v>176</v>
      </c>
      <c r="F7" s="54" t="s">
        <v>197</v>
      </c>
      <c r="G7" s="54" t="s">
        <v>183</v>
      </c>
      <c r="H7" s="54" t="s">
        <v>200</v>
      </c>
    </row>
    <row r="8" spans="2:11">
      <c r="B8" s="53"/>
      <c r="C8" s="53"/>
      <c r="D8" s="54" t="s">
        <v>169</v>
      </c>
      <c r="E8" s="54" t="s">
        <v>177</v>
      </c>
      <c r="F8" s="54"/>
      <c r="G8" s="54" t="s">
        <v>184</v>
      </c>
      <c r="H8" s="54" t="s">
        <v>201</v>
      </c>
    </row>
    <row r="9" spans="2:11">
      <c r="B9" s="53"/>
      <c r="C9" s="53"/>
      <c r="D9" s="54" t="s">
        <v>170</v>
      </c>
      <c r="E9" s="54" t="s">
        <v>175</v>
      </c>
      <c r="F9" s="54"/>
      <c r="G9" s="54" t="s">
        <v>185</v>
      </c>
      <c r="H9" s="54" t="s">
        <v>202</v>
      </c>
    </row>
    <row r="10" spans="2:11">
      <c r="B10" s="53"/>
      <c r="C10" s="53"/>
      <c r="D10" s="54" t="s">
        <v>171</v>
      </c>
      <c r="E10" s="54" t="s">
        <v>178</v>
      </c>
      <c r="F10" s="54"/>
      <c r="G10" s="54" t="s">
        <v>186</v>
      </c>
      <c r="H10" s="54" t="s">
        <v>203</v>
      </c>
    </row>
    <row r="11" spans="2:11">
      <c r="B11" s="53"/>
      <c r="C11" s="53"/>
      <c r="D11" s="54" t="s">
        <v>172</v>
      </c>
      <c r="E11" s="54" t="s">
        <v>179</v>
      </c>
      <c r="F11" s="54"/>
      <c r="G11" s="54" t="s">
        <v>187</v>
      </c>
      <c r="H11" s="54" t="s">
        <v>204</v>
      </c>
    </row>
    <row r="12" spans="2:11">
      <c r="B12" s="53"/>
      <c r="C12" s="53"/>
      <c r="D12" s="54"/>
      <c r="E12" s="54"/>
      <c r="F12" s="54"/>
      <c r="G12" s="54" t="s">
        <v>188</v>
      </c>
      <c r="H12" s="54" t="s">
        <v>205</v>
      </c>
    </row>
    <row r="13" spans="2:11">
      <c r="B13" s="53"/>
      <c r="C13" s="53"/>
      <c r="D13" s="54"/>
      <c r="E13" s="54"/>
      <c r="F13" s="54"/>
      <c r="G13" s="54" t="s">
        <v>189</v>
      </c>
      <c r="H13" s="54" t="s">
        <v>206</v>
      </c>
    </row>
    <row r="14" spans="2:11">
      <c r="B14" s="53"/>
      <c r="C14" s="53"/>
      <c r="D14" s="54"/>
      <c r="E14" s="54"/>
      <c r="F14" s="54"/>
      <c r="G14" s="54" t="s">
        <v>190</v>
      </c>
      <c r="H14" s="54" t="s">
        <v>207</v>
      </c>
    </row>
    <row r="15" spans="2:11">
      <c r="B15" s="53"/>
      <c r="C15" s="53"/>
      <c r="D15" s="54"/>
      <c r="E15" s="54"/>
      <c r="F15" s="54"/>
      <c r="G15" s="54" t="s">
        <v>191</v>
      </c>
      <c r="H15" s="54" t="s">
        <v>208</v>
      </c>
    </row>
    <row r="16" spans="2:11">
      <c r="B16" s="53"/>
      <c r="C16" s="53"/>
      <c r="D16" s="54"/>
      <c r="E16" s="54"/>
      <c r="F16" s="54"/>
      <c r="G16" s="54" t="s">
        <v>192</v>
      </c>
      <c r="H16" s="54" t="s">
        <v>209</v>
      </c>
    </row>
    <row r="17" spans="2:8">
      <c r="B17" s="53"/>
      <c r="C17" s="53"/>
      <c r="D17" s="54"/>
      <c r="E17" s="54"/>
      <c r="F17" s="54"/>
      <c r="G17" s="54" t="s">
        <v>193</v>
      </c>
      <c r="H17" s="54" t="s">
        <v>210</v>
      </c>
    </row>
    <row r="18" spans="2:8">
      <c r="B18" s="53"/>
      <c r="C18" s="53"/>
      <c r="D18" s="54"/>
      <c r="E18" s="54"/>
      <c r="F18" s="54"/>
      <c r="G18" s="54" t="s">
        <v>194</v>
      </c>
      <c r="H18" s="54" t="s">
        <v>211</v>
      </c>
    </row>
    <row r="24" spans="2:8">
      <c r="C24" t="s">
        <v>158</v>
      </c>
    </row>
    <row r="25" spans="2:8">
      <c r="C25" t="s">
        <v>213</v>
      </c>
    </row>
    <row r="26" spans="2:8">
      <c r="C26" t="s">
        <v>214</v>
      </c>
    </row>
    <row r="27" spans="2:8">
      <c r="C27" t="s">
        <v>215</v>
      </c>
    </row>
    <row r="28" spans="2:8">
      <c r="C28" t="s">
        <v>216</v>
      </c>
    </row>
    <row r="29" spans="2:8">
      <c r="C29" t="s">
        <v>217</v>
      </c>
    </row>
    <row r="30" spans="2:8">
      <c r="C30" t="s">
        <v>158</v>
      </c>
    </row>
    <row r="33" spans="3:11">
      <c r="J33">
        <v>1</v>
      </c>
      <c r="K33">
        <v>2</v>
      </c>
    </row>
    <row r="34" spans="3:11">
      <c r="C34" s="56" t="s">
        <v>222</v>
      </c>
      <c r="D34" s="54" t="s">
        <v>220</v>
      </c>
      <c r="E34" s="54" t="s">
        <v>225</v>
      </c>
      <c r="F34" s="54" t="s">
        <v>223</v>
      </c>
      <c r="G34" s="54" t="s">
        <v>224</v>
      </c>
      <c r="H34" s="54" t="s">
        <v>226</v>
      </c>
      <c r="J34" t="s">
        <v>180</v>
      </c>
      <c r="K34" t="s">
        <v>196</v>
      </c>
    </row>
    <row r="35" spans="3:11">
      <c r="C35" s="53" t="s">
        <v>221</v>
      </c>
      <c r="D35" s="54" t="s">
        <v>159</v>
      </c>
      <c r="E35" s="54" t="s">
        <v>230</v>
      </c>
      <c r="F35" s="54" t="s">
        <v>232</v>
      </c>
      <c r="G35" s="54" t="s">
        <v>234</v>
      </c>
      <c r="H35" s="54"/>
    </row>
    <row r="36" spans="3:11">
      <c r="C36" s="53"/>
      <c r="D36" s="54" t="s">
        <v>227</v>
      </c>
      <c r="E36" s="54" t="s">
        <v>231</v>
      </c>
      <c r="F36" s="54" t="s">
        <v>233</v>
      </c>
      <c r="G36" s="54" t="s">
        <v>235</v>
      </c>
      <c r="H36" s="54"/>
    </row>
    <row r="37" spans="3:11">
      <c r="C37" s="53"/>
      <c r="D37" s="54" t="s">
        <v>228</v>
      </c>
      <c r="E37" s="54"/>
      <c r="F37" s="54"/>
      <c r="G37" s="54" t="s">
        <v>236</v>
      </c>
      <c r="H37" s="54"/>
    </row>
    <row r="38" spans="3:11">
      <c r="C38" s="53"/>
      <c r="D38" s="54" t="s">
        <v>229</v>
      </c>
      <c r="E38" s="54"/>
      <c r="F38" s="54"/>
      <c r="G38" s="54" t="s">
        <v>236</v>
      </c>
      <c r="H38" s="54"/>
    </row>
    <row r="39" spans="3:11">
      <c r="C39" s="53"/>
      <c r="D39" s="54"/>
      <c r="E39" s="54"/>
      <c r="F39" s="54"/>
      <c r="G39" s="54" t="s">
        <v>237</v>
      </c>
      <c r="H39" s="54"/>
    </row>
    <row r="40" spans="3:11">
      <c r="C40" s="53"/>
      <c r="D40" s="54"/>
      <c r="E40" s="54"/>
      <c r="F40" s="54"/>
      <c r="G40" s="54" t="s">
        <v>238</v>
      </c>
      <c r="H40" s="54"/>
    </row>
    <row r="41" spans="3:11">
      <c r="C41" s="53"/>
      <c r="D41" s="54"/>
      <c r="E41" s="54"/>
      <c r="F41" s="54"/>
      <c r="G41" s="54"/>
      <c r="H41" s="54"/>
    </row>
    <row r="43" spans="3:11">
      <c r="C43" t="s">
        <v>239</v>
      </c>
    </row>
    <row r="44" spans="3:11">
      <c r="C44" t="s">
        <v>161</v>
      </c>
      <c r="D44" t="s">
        <v>240</v>
      </c>
    </row>
    <row r="45" spans="3:11">
      <c r="D45" t="s">
        <v>241</v>
      </c>
    </row>
    <row r="46" spans="3:11">
      <c r="D46" t="s">
        <v>242</v>
      </c>
    </row>
    <row r="47" spans="3:11">
      <c r="D47" t="s">
        <v>243</v>
      </c>
    </row>
    <row r="48" spans="3:11">
      <c r="D48" t="s">
        <v>244</v>
      </c>
    </row>
    <row r="49" spans="3:4">
      <c r="C49" t="s">
        <v>165</v>
      </c>
      <c r="D49" t="s">
        <v>245</v>
      </c>
    </row>
    <row r="50" spans="3:4">
      <c r="D50" t="s">
        <v>246</v>
      </c>
    </row>
    <row r="51" spans="3:4">
      <c r="D51" t="s">
        <v>247</v>
      </c>
    </row>
    <row r="52" spans="3:4">
      <c r="D52" t="s">
        <v>250</v>
      </c>
    </row>
    <row r="53" spans="3:4">
      <c r="D53" t="s">
        <v>248</v>
      </c>
    </row>
    <row r="54" spans="3:4">
      <c r="D54" t="s">
        <v>249</v>
      </c>
    </row>
    <row r="55" spans="3:4">
      <c r="D55" t="s">
        <v>251</v>
      </c>
    </row>
    <row r="56" spans="3:4">
      <c r="D56" t="s">
        <v>252</v>
      </c>
    </row>
    <row r="57" spans="3:4">
      <c r="D57" t="s">
        <v>253</v>
      </c>
    </row>
    <row r="58" spans="3:4">
      <c r="D58" t="s">
        <v>255</v>
      </c>
    </row>
    <row r="59" spans="3:4">
      <c r="D59" t="s">
        <v>264</v>
      </c>
    </row>
    <row r="60" spans="3:4">
      <c r="C60" t="s">
        <v>180</v>
      </c>
      <c r="D60" t="s">
        <v>256</v>
      </c>
    </row>
    <row r="61" spans="3:4">
      <c r="D61" t="s">
        <v>254</v>
      </c>
    </row>
    <row r="62" spans="3:4">
      <c r="D62" t="s">
        <v>244</v>
      </c>
    </row>
    <row r="63" spans="3:4">
      <c r="D63" t="s">
        <v>257</v>
      </c>
    </row>
    <row r="64" spans="3:4">
      <c r="D64" t="s">
        <v>258</v>
      </c>
    </row>
    <row r="65" spans="3:4">
      <c r="D65" t="s">
        <v>259</v>
      </c>
    </row>
    <row r="66" spans="3:4">
      <c r="D66" t="s">
        <v>260</v>
      </c>
    </row>
    <row r="67" spans="3:4">
      <c r="C67" t="s">
        <v>175</v>
      </c>
      <c r="D67" t="s">
        <v>261</v>
      </c>
    </row>
    <row r="68" spans="3:4">
      <c r="D68" t="s">
        <v>262</v>
      </c>
    </row>
    <row r="69" spans="3:4">
      <c r="D69" t="s">
        <v>263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cols>
    <col min="2" max="2" width="3" bestFit="1" customWidth="1"/>
    <col min="3" max="3" width="130" customWidth="1"/>
  </cols>
  <sheetData>
    <row r="2" spans="2:3" ht="15" customHeight="1">
      <c r="B2" s="57">
        <v>1</v>
      </c>
      <c r="C2" s="60" t="s">
        <v>268</v>
      </c>
    </row>
    <row r="3" spans="2:3">
      <c r="B3" s="57">
        <v>2</v>
      </c>
      <c r="C3" s="58" t="s">
        <v>269</v>
      </c>
    </row>
    <row r="4" spans="2:3">
      <c r="B4" s="57">
        <v>3</v>
      </c>
      <c r="C4" s="59" t="s">
        <v>270</v>
      </c>
    </row>
    <row r="5" spans="2:3" ht="30">
      <c r="B5" s="57">
        <v>4</v>
      </c>
      <c r="C5" s="58" t="s">
        <v>271</v>
      </c>
    </row>
    <row r="6" spans="2:3">
      <c r="B6" s="57">
        <v>5</v>
      </c>
      <c r="C6" s="59" t="s">
        <v>272</v>
      </c>
    </row>
    <row r="7" spans="2:3" ht="30">
      <c r="B7" s="57">
        <v>6</v>
      </c>
      <c r="C7" s="58" t="s">
        <v>273</v>
      </c>
    </row>
    <row r="8" spans="2:3" ht="90">
      <c r="B8" s="57">
        <v>7</v>
      </c>
      <c r="C8" s="58" t="s">
        <v>274</v>
      </c>
    </row>
    <row r="9" spans="2:3">
      <c r="B9" s="57">
        <v>8</v>
      </c>
      <c r="C9" s="59" t="s">
        <v>275</v>
      </c>
    </row>
    <row r="10" spans="2:3">
      <c r="B10" s="57">
        <v>9</v>
      </c>
      <c r="C10" s="59" t="s">
        <v>276</v>
      </c>
    </row>
    <row r="11" spans="2:3">
      <c r="B11" s="57">
        <v>10</v>
      </c>
      <c r="C11" s="59" t="s">
        <v>277</v>
      </c>
    </row>
    <row r="12" spans="2:3">
      <c r="B12" s="57">
        <v>11</v>
      </c>
      <c r="C12" s="59" t="s">
        <v>278</v>
      </c>
    </row>
    <row r="13" spans="2:3">
      <c r="B13" s="57">
        <v>12</v>
      </c>
      <c r="C13" s="59" t="s">
        <v>279</v>
      </c>
    </row>
    <row r="14" spans="2:3">
      <c r="B14" s="57">
        <v>13</v>
      </c>
      <c r="C14" s="59" t="s">
        <v>280</v>
      </c>
    </row>
    <row r="15" spans="2:3">
      <c r="B15" s="57">
        <v>14</v>
      </c>
      <c r="C15" s="59" t="s">
        <v>270</v>
      </c>
    </row>
    <row r="16" spans="2:3">
      <c r="B16" s="57">
        <v>15</v>
      </c>
      <c r="C16" s="59" t="s">
        <v>282</v>
      </c>
    </row>
    <row r="17" spans="2:3" ht="31.5" customHeight="1">
      <c r="B17" s="63">
        <v>16</v>
      </c>
      <c r="C17" s="65" t="s">
        <v>283</v>
      </c>
    </row>
    <row r="18" spans="2:3">
      <c r="B18" s="64">
        <v>17</v>
      </c>
      <c r="C18" s="65" t="s">
        <v>284</v>
      </c>
    </row>
    <row r="19" spans="2:3">
      <c r="B19" s="63">
        <v>18</v>
      </c>
      <c r="C19" s="57" t="s">
        <v>285</v>
      </c>
    </row>
    <row r="20" spans="2:3">
      <c r="B20" s="64">
        <v>19</v>
      </c>
      <c r="C20" s="57"/>
    </row>
    <row r="21" spans="2:3">
      <c r="B21" s="66">
        <v>20</v>
      </c>
      <c r="C21" s="57"/>
    </row>
    <row r="22" spans="2:3">
      <c r="B22" s="57"/>
      <c r="C22" s="57"/>
    </row>
    <row r="23" spans="2:3">
      <c r="B23" s="57"/>
      <c r="C23" s="57"/>
    </row>
    <row r="24" spans="2:3">
      <c r="B24" s="57"/>
      <c r="C24" s="57"/>
    </row>
    <row r="25" spans="2:3">
      <c r="B25" s="57"/>
      <c r="C25" s="57"/>
    </row>
    <row r="26" spans="2:3">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2025-06-16T11:48:01Z</cp:lastPrinted>
  <dcterms:created xsi:type="dcterms:W3CDTF">2019-07-16T09:29:46Z</dcterms:created>
  <dcterms:modified xsi:type="dcterms:W3CDTF">2025-09-06T11:26:11Z</dcterms:modified>
</cp:coreProperties>
</file>