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05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8" i="1" l="1"/>
  <c r="D275" i="1"/>
  <c r="F275" i="1" s="1"/>
  <c r="H275" i="1" s="1"/>
  <c r="D274" i="1"/>
  <c r="F274" i="1" s="1"/>
  <c r="H274" i="1" s="1"/>
  <c r="D273" i="1"/>
  <c r="F273" i="1" s="1"/>
  <c r="H273" i="1" s="1"/>
  <c r="D272" i="1"/>
  <c r="F272" i="1" s="1"/>
  <c r="H272" i="1" s="1"/>
  <c r="A272" i="1"/>
  <c r="A273" i="1" s="1"/>
  <c r="A274" i="1" s="1"/>
  <c r="D271" i="1"/>
  <c r="F271" i="1" s="1"/>
  <c r="H271" i="1" s="1"/>
  <c r="D269" i="1"/>
  <c r="F269" i="1" s="1"/>
  <c r="H269" i="1" s="1"/>
  <c r="D268" i="1"/>
  <c r="F268" i="1" s="1"/>
  <c r="H268" i="1" s="1"/>
  <c r="D267" i="1"/>
  <c r="F267" i="1" s="1"/>
  <c r="H267" i="1" s="1"/>
  <c r="A267" i="1"/>
  <c r="D266" i="1"/>
  <c r="F266" i="1" s="1"/>
  <c r="H266" i="1" s="1"/>
  <c r="D208" i="1"/>
  <c r="D210" i="1" l="1"/>
  <c r="F210" i="1" s="1"/>
  <c r="H210" i="1" s="1"/>
  <c r="D209" i="1"/>
  <c r="F209" i="1" s="1"/>
  <c r="H209" i="1" s="1"/>
  <c r="F208" i="1"/>
  <c r="H208" i="1" s="1"/>
  <c r="A210" i="1"/>
  <c r="D207" i="1"/>
  <c r="F207" i="1" s="1"/>
  <c r="H207" i="1" s="1"/>
  <c r="A207" i="1"/>
  <c r="D206" i="1"/>
  <c r="F206" i="1" s="1"/>
  <c r="H206" i="1" s="1"/>
  <c r="D203" i="1"/>
  <c r="F203" i="1" s="1"/>
  <c r="H203" i="1" s="1"/>
  <c r="D204" i="1"/>
  <c r="F204" i="1" s="1"/>
  <c r="H204" i="1" s="1"/>
  <c r="D202" i="1"/>
  <c r="F202" i="1" s="1"/>
  <c r="H202" i="1" s="1"/>
  <c r="A202" i="1"/>
  <c r="D201" i="1"/>
  <c r="F201" i="1" s="1"/>
  <c r="H201" i="1" s="1"/>
  <c r="D264" i="1"/>
  <c r="F264" i="1" s="1"/>
  <c r="H264" i="1" s="1"/>
  <c r="D263" i="1"/>
  <c r="F263" i="1" s="1"/>
  <c r="H263" i="1" s="1"/>
  <c r="D262" i="1"/>
  <c r="F262" i="1" s="1"/>
  <c r="H262" i="1" s="1"/>
  <c r="A262" i="1"/>
  <c r="D261" i="1"/>
  <c r="F261" i="1" s="1"/>
  <c r="H261" i="1" s="1"/>
  <c r="D199" i="1"/>
  <c r="F199" i="1" s="1"/>
  <c r="H199" i="1" s="1"/>
  <c r="D198" i="1"/>
  <c r="F198" i="1" s="1"/>
  <c r="H198" i="1" s="1"/>
  <c r="D197" i="1"/>
  <c r="F197" i="1" s="1"/>
  <c r="H197" i="1" s="1"/>
  <c r="A197" i="1"/>
  <c r="D196" i="1"/>
  <c r="F196" i="1" s="1"/>
  <c r="H196" i="1" s="1"/>
  <c r="D259" i="1"/>
  <c r="F259" i="1" s="1"/>
  <c r="H259" i="1" s="1"/>
  <c r="D258" i="1"/>
  <c r="F258" i="1" s="1"/>
  <c r="H258" i="1" s="1"/>
  <c r="D257" i="1"/>
  <c r="F257" i="1" s="1"/>
  <c r="H257" i="1" s="1"/>
  <c r="A257" i="1"/>
  <c r="D256" i="1"/>
  <c r="F256" i="1" s="1"/>
  <c r="H256" i="1" s="1"/>
  <c r="D194" i="1"/>
  <c r="F194" i="1" s="1"/>
  <c r="H194" i="1" s="1"/>
  <c r="D193" i="1"/>
  <c r="F193" i="1" s="1"/>
  <c r="H193" i="1" s="1"/>
  <c r="D192" i="1"/>
  <c r="F192" i="1" s="1"/>
  <c r="H192" i="1" s="1"/>
  <c r="D191" i="1"/>
  <c r="F191" i="1" s="1"/>
  <c r="H191" i="1" s="1"/>
  <c r="A191" i="1"/>
  <c r="A192" i="1" s="1"/>
  <c r="A193" i="1" s="1"/>
  <c r="D190" i="1"/>
  <c r="F190" i="1" s="1"/>
  <c r="H190" i="1" s="1"/>
  <c r="D254" i="1"/>
  <c r="F254" i="1" s="1"/>
  <c r="H254" i="1" s="1"/>
  <c r="D253" i="1"/>
  <c r="F253" i="1" s="1"/>
  <c r="H253" i="1" s="1"/>
  <c r="D252" i="1"/>
  <c r="F252" i="1" s="1"/>
  <c r="H252" i="1" s="1"/>
  <c r="D251" i="1"/>
  <c r="F251" i="1" s="1"/>
  <c r="H251" i="1" s="1"/>
  <c r="D250" i="1"/>
  <c r="F250" i="1" s="1"/>
  <c r="H250" i="1" s="1"/>
  <c r="A250" i="1"/>
  <c r="A251" i="1" s="1"/>
  <c r="A252" i="1" s="1"/>
  <c r="A253" i="1" s="1"/>
  <c r="A254" i="1" s="1"/>
  <c r="D249" i="1"/>
  <c r="F249" i="1" s="1"/>
  <c r="H249" i="1" s="1"/>
  <c r="D188" i="1"/>
  <c r="F188" i="1" s="1"/>
  <c r="H188" i="1" s="1"/>
  <c r="D187" i="1"/>
  <c r="F187" i="1" s="1"/>
  <c r="H187" i="1" s="1"/>
  <c r="D186" i="1"/>
  <c r="F186" i="1" s="1"/>
  <c r="H186" i="1" s="1"/>
  <c r="A186" i="1"/>
  <c r="D185" i="1"/>
  <c r="F185" i="1" s="1"/>
  <c r="H185" i="1" s="1"/>
  <c r="D238" i="1"/>
  <c r="F238" i="1" s="1"/>
  <c r="H238" i="1" s="1"/>
  <c r="D183" i="1"/>
  <c r="F183" i="1" s="1"/>
  <c r="H183" i="1" s="1"/>
  <c r="D247" i="1"/>
  <c r="F247" i="1" s="1"/>
  <c r="H247" i="1" s="1"/>
  <c r="D246" i="1"/>
  <c r="F246" i="1" s="1"/>
  <c r="H246" i="1" s="1"/>
  <c r="D245" i="1"/>
  <c r="F245" i="1" s="1"/>
  <c r="H245" i="1" s="1"/>
  <c r="D244" i="1"/>
  <c r="F244" i="1" s="1"/>
  <c r="H244" i="1" s="1"/>
  <c r="D243" i="1"/>
  <c r="F243" i="1" s="1"/>
  <c r="H243" i="1" s="1"/>
  <c r="A243" i="1"/>
  <c r="A244" i="1" s="1"/>
  <c r="A245" i="1" s="1"/>
  <c r="A246" i="1" s="1"/>
  <c r="A247" i="1" s="1"/>
  <c r="D242" i="1"/>
  <c r="F242" i="1" s="1"/>
  <c r="H242" i="1" s="1"/>
  <c r="D240" i="1"/>
  <c r="F240" i="1" s="1"/>
  <c r="H240" i="1" s="1"/>
  <c r="D239" i="1"/>
  <c r="F239" i="1" s="1"/>
  <c r="H239" i="1" s="1"/>
  <c r="D237" i="1"/>
  <c r="F237" i="1" s="1"/>
  <c r="H237" i="1" s="1"/>
  <c r="A237" i="1"/>
  <c r="A240" i="1" s="1"/>
  <c r="D236" i="1"/>
  <c r="F236" i="1" s="1"/>
  <c r="H236" i="1" s="1"/>
  <c r="D182" i="1"/>
  <c r="F182" i="1" s="1"/>
  <c r="H182" i="1" s="1"/>
  <c r="D181" i="1"/>
  <c r="F181" i="1" s="1"/>
  <c r="H181" i="1" s="1"/>
  <c r="D180" i="1"/>
  <c r="F180" i="1" s="1"/>
  <c r="H180" i="1" s="1"/>
  <c r="A180" i="1"/>
  <c r="A181" i="1" s="1"/>
  <c r="A182" i="1" s="1"/>
  <c r="D179" i="1"/>
  <c r="F179" i="1" s="1"/>
  <c r="H179" i="1" s="1"/>
  <c r="D177" i="1"/>
  <c r="F177" i="1" s="1"/>
  <c r="H177" i="1" s="1"/>
  <c r="D176" i="1"/>
  <c r="F176" i="1" s="1"/>
  <c r="H176" i="1" s="1"/>
  <c r="D175" i="1"/>
  <c r="F175" i="1" s="1"/>
  <c r="H175" i="1" s="1"/>
  <c r="D174" i="1"/>
  <c r="F174" i="1" s="1"/>
  <c r="H174" i="1" s="1"/>
  <c r="D173" i="1"/>
  <c r="F173" i="1" s="1"/>
  <c r="H173" i="1" s="1"/>
  <c r="A173" i="1"/>
  <c r="A174" i="1" s="1"/>
  <c r="A175" i="1" s="1"/>
  <c r="A176" i="1" s="1"/>
  <c r="A177" i="1" s="1"/>
  <c r="D172" i="1"/>
  <c r="F172" i="1" s="1"/>
  <c r="H172" i="1" s="1"/>
  <c r="D234" i="1"/>
  <c r="F234" i="1" s="1"/>
  <c r="H234" i="1" s="1"/>
  <c r="D233" i="1"/>
  <c r="F233" i="1" s="1"/>
  <c r="H233" i="1" s="1"/>
  <c r="D232" i="1"/>
  <c r="F232" i="1" s="1"/>
  <c r="H232" i="1" s="1"/>
  <c r="D231" i="1"/>
  <c r="F231" i="1" s="1"/>
  <c r="H231" i="1" s="1"/>
  <c r="D230" i="1"/>
  <c r="F230" i="1" s="1"/>
  <c r="H230" i="1" s="1"/>
  <c r="A230" i="1"/>
  <c r="A231" i="1" s="1"/>
  <c r="A232" i="1" s="1"/>
  <c r="A233" i="1" s="1"/>
  <c r="A234" i="1" s="1"/>
  <c r="D229" i="1"/>
  <c r="F229" i="1" s="1"/>
  <c r="H229" i="1" s="1"/>
  <c r="D170" i="1"/>
  <c r="F170" i="1" s="1"/>
  <c r="H170" i="1" s="1"/>
  <c r="D169" i="1"/>
  <c r="F169" i="1" s="1"/>
  <c r="H169" i="1" s="1"/>
  <c r="D168" i="1"/>
  <c r="F168" i="1" s="1"/>
  <c r="H168" i="1" s="1"/>
  <c r="D167" i="1"/>
  <c r="F167" i="1" s="1"/>
  <c r="H167" i="1" s="1"/>
  <c r="D166" i="1"/>
  <c r="F166" i="1" s="1"/>
  <c r="H166" i="1" s="1"/>
  <c r="A166" i="1"/>
  <c r="A167" i="1" s="1"/>
  <c r="A168" i="1" s="1"/>
  <c r="A169" i="1" s="1"/>
  <c r="A170" i="1" s="1"/>
  <c r="D165" i="1"/>
  <c r="F165" i="1" s="1"/>
  <c r="H165" i="1" s="1"/>
  <c r="D227" i="1"/>
  <c r="F227" i="1" s="1"/>
  <c r="H227" i="1" s="1"/>
  <c r="D226" i="1"/>
  <c r="F226" i="1" s="1"/>
  <c r="H226" i="1" s="1"/>
  <c r="D225" i="1"/>
  <c r="F225" i="1" s="1"/>
  <c r="H225" i="1" s="1"/>
  <c r="D224" i="1"/>
  <c r="F224" i="1" s="1"/>
  <c r="H224" i="1" s="1"/>
  <c r="D223" i="1"/>
  <c r="F223" i="1" s="1"/>
  <c r="H223" i="1" s="1"/>
  <c r="D222" i="1"/>
  <c r="F222" i="1" s="1"/>
  <c r="H222" i="1" s="1"/>
  <c r="D163" i="1"/>
  <c r="F163" i="1" s="1"/>
  <c r="H163" i="1" s="1"/>
  <c r="D162" i="1"/>
  <c r="F162" i="1" s="1"/>
  <c r="H162" i="1" s="1"/>
  <c r="D158" i="1"/>
  <c r="F158" i="1" s="1"/>
  <c r="H158" i="1" s="1"/>
  <c r="A223" i="1"/>
  <c r="A224" i="1" s="1"/>
  <c r="A225" i="1" s="1"/>
  <c r="A226" i="1" s="1"/>
  <c r="A227" i="1" s="1"/>
  <c r="D161" i="1"/>
  <c r="F161" i="1" s="1"/>
  <c r="H161" i="1" s="1"/>
  <c r="D160" i="1"/>
  <c r="F160" i="1" s="1"/>
  <c r="H160" i="1" s="1"/>
  <c r="D159" i="1"/>
  <c r="F159" i="1" s="1"/>
  <c r="H159" i="1" s="1"/>
  <c r="A159" i="1"/>
  <c r="A160" i="1" s="1"/>
  <c r="A161" i="1" s="1"/>
  <c r="A162" i="1" s="1"/>
  <c r="A163" i="1" s="1"/>
  <c r="D220" i="1"/>
  <c r="F220" i="1" s="1"/>
  <c r="H220" i="1" s="1"/>
  <c r="D219" i="1"/>
  <c r="F219" i="1" s="1"/>
  <c r="H219" i="1" s="1"/>
  <c r="D215" i="1"/>
  <c r="A216" i="1"/>
  <c r="A217" i="1" s="1"/>
  <c r="A218" i="1" s="1"/>
  <c r="A219" i="1" s="1"/>
  <c r="A220" i="1" s="1"/>
  <c r="D154" i="1"/>
  <c r="F154" i="1" s="1"/>
  <c r="H154" i="1" s="1"/>
  <c r="D153" i="1"/>
  <c r="F153" i="1" s="1"/>
  <c r="H153" i="1" s="1"/>
  <c r="D152" i="1"/>
  <c r="A152" i="1"/>
  <c r="A153" i="1" s="1"/>
  <c r="A154" i="1" s="1"/>
  <c r="A155" i="1" s="1"/>
  <c r="A156" i="1" s="1"/>
  <c r="D144" i="1"/>
  <c r="F144" i="1" s="1"/>
  <c r="H144" i="1" s="1"/>
  <c r="D143" i="1"/>
  <c r="F143" i="1" s="1"/>
  <c r="H143" i="1" s="1"/>
  <c r="A144" i="1"/>
  <c r="C135" i="1" l="1"/>
  <c r="C134" i="1"/>
  <c r="F215" i="1"/>
  <c r="F152" i="1"/>
  <c r="C49" i="1"/>
  <c r="H215" i="1" l="1"/>
  <c r="G135" i="1" s="1"/>
  <c r="E135" i="1"/>
  <c r="H152" i="1"/>
  <c r="G134" i="1" s="1"/>
  <c r="E134" i="1"/>
  <c r="C14" i="1"/>
  <c r="E136" i="1" l="1"/>
  <c r="C136" i="1"/>
  <c r="E29" i="1"/>
  <c r="G136" i="1" l="1"/>
  <c r="F12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9" i="1"/>
  <c r="J110" i="1"/>
  <c r="J109" i="1"/>
  <c r="J108" i="1"/>
  <c r="J107" i="1"/>
  <c r="C99" i="1"/>
  <c r="J96" i="1"/>
  <c r="J95" i="1"/>
  <c r="J94" i="1"/>
  <c r="J93" i="1"/>
  <c r="C85" i="1"/>
  <c r="J82" i="1"/>
  <c r="J81" i="1"/>
  <c r="J80" i="1"/>
  <c r="J79" i="1"/>
  <c r="C71" i="1"/>
  <c r="D58" i="1"/>
  <c r="E42" i="1"/>
  <c r="E43" i="1" s="1"/>
  <c r="E26" i="1"/>
  <c r="E24" i="1"/>
  <c r="E7" i="1"/>
  <c r="E3" i="1"/>
  <c r="H100" i="1"/>
  <c r="H86" i="1"/>
  <c r="H72" i="1"/>
  <c r="D65" i="1" l="1"/>
  <c r="D96" i="1"/>
  <c r="D97" i="1"/>
  <c r="D98" i="1"/>
  <c r="D92" i="1"/>
  <c r="D93" i="1"/>
  <c r="D94" i="1"/>
  <c r="D95" i="1"/>
  <c r="J85" i="1"/>
  <c r="J87" i="1" s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78" i="1" s="1"/>
  <c r="J83" i="1" s="1"/>
  <c r="J84" i="1" s="1"/>
  <c r="C76" i="1" s="1"/>
  <c r="C105" i="1"/>
  <c r="J99" i="1" s="1"/>
  <c r="J101" i="1" s="1"/>
  <c r="J103" i="1"/>
  <c r="D112" i="1"/>
  <c r="D110" i="1"/>
  <c r="D108" i="1"/>
  <c r="D106" i="1"/>
  <c r="J104" i="1"/>
  <c r="C103" i="1" s="1"/>
  <c r="J102" i="1"/>
  <c r="J105" i="1"/>
  <c r="J106" i="1" s="1"/>
  <c r="J111" i="1" s="1"/>
  <c r="J112" i="1" s="1"/>
  <c r="C104" i="1" s="1"/>
  <c r="D111" i="1"/>
  <c r="D109" i="1"/>
  <c r="D107" i="1"/>
  <c r="J91" i="1"/>
  <c r="J92" i="1" s="1"/>
  <c r="J97" i="1" s="1"/>
  <c r="J98" i="1" s="1"/>
  <c r="C90" i="1" s="1"/>
  <c r="J89" i="1"/>
  <c r="J90" i="1"/>
  <c r="C89" i="1" s="1"/>
  <c r="J88" i="1"/>
  <c r="D105" i="1" l="1"/>
  <c r="D103" i="1"/>
  <c r="D91" i="1"/>
  <c r="D77" i="1"/>
  <c r="J73" i="1"/>
  <c r="E75" i="1"/>
  <c r="D76" i="1"/>
  <c r="G75" i="1"/>
  <c r="D69" i="1" s="1"/>
  <c r="D70" i="1" s="1"/>
  <c r="D75" i="1"/>
  <c r="E89" i="1"/>
  <c r="D90" i="1"/>
  <c r="G89" i="1"/>
  <c r="D89" i="1"/>
  <c r="J86" i="1" s="1"/>
  <c r="E103" i="1"/>
  <c r="D104" i="1"/>
  <c r="G103" i="1"/>
  <c r="I72" i="1" l="1"/>
  <c r="J72" i="1"/>
  <c r="I100" i="1"/>
  <c r="J100" i="1"/>
  <c r="I86" i="1"/>
  <c r="F70" i="1"/>
  <c r="I73" i="1" l="1"/>
  <c r="I71" i="1" s="1"/>
  <c r="C73" i="1" s="1"/>
  <c r="I101" i="1"/>
  <c r="I99" i="1" s="1"/>
  <c r="C101" i="1" s="1"/>
  <c r="I87" i="1"/>
  <c r="I85" i="1" s="1"/>
  <c r="C87" i="1" s="1"/>
</calcChain>
</file>

<file path=xl/comments1.xml><?xml version="1.0" encoding="utf-8"?>
<comments xmlns="http://schemas.openxmlformats.org/spreadsheetml/2006/main">
  <authors>
    <author>SACHIN</author>
  </authors>
  <commentList>
    <comment ref="H147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<sst xmlns="http://schemas.openxmlformats.org/spreadsheetml/2006/main" count="491" uniqueCount="244">
  <si>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</si>
  <si>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</si>
  <si>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</si>
  <si>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</si>
  <si>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</si>
  <si>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</si>
  <si>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</si>
  <si>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</si>
  <si>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</si>
  <si>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</si>
  <si>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</si>
  <si>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</si>
  <si>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</si>
  <si>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</si>
  <si>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</si>
  <si>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</si>
  <si>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</si>
  <si>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</si>
  <si>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</si>
  <si>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</si>
  <si>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</si>
  <si>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</si>
  <si>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</si>
  <si>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</si>
  <si>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</si>
  <si>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</si>
  <si>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</si>
  <si>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</si>
  <si>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</si>
  <si>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</si>
  <si>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</si>
  <si>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</si>
  <si>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</si>
  <si>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</si>
  <si>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</si>
  <si>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</si>
  <si>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</si>
  <si>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</si>
  <si>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</si>
  <si>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</si>
  <si>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</si>
  <si>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</si>
  <si>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</si>
  <si>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</si>
  <si>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</si>
  <si>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</si>
  <si>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</si>
  <si>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</si>
  <si>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</si>
  <si>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</si>
  <si>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</si>
  <si>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</si>
  <si>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</si>
  <si>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</si>
  <si>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</si>
  <si>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</si>
  <si>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</si>
  <si>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</si>
  <si>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</si>
  <si>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</si>
  <si>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</si>
  <si>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</si>
  <si>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</si>
  <si>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</si>
  <si>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</si>
  <si>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</si>
  <si>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</si>
  <si>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</si>
  <si>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</si>
  <si>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</si>
  <si>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</si>
  <si>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</si>
  <si>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</si>
  <si>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</si>
  <si>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</si>
  <si>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</si>
  <si>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</si>
  <si>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</si>
  <si>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</si>
  <si>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</si>
  <si>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</si>
  <si>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</si>
  <si>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</si>
  <si>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</si>
  <si>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</si>
  <si>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</si>
  <si>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</si>
  <si>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</si>
  <si>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</si>
  <si>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</si>
  <si>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</si>
  <si>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</si>
  <si>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</si>
  <si>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</si>
  <si>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</si>
  <si>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</si>
  <si>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</si>
  <si>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</si>
  <si>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</si>
  <si>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</si>
  <si>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</si>
  <si>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</si>
  <si>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</si>
  <si>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</si>
  <si>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</si>
  <si>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</si>
  <si>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</si>
  <si>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</si>
  <si>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</si>
  <si>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</si>
  <si>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</si>
  <si>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</si>
  <si>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</si>
  <si>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</si>
  <si>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</si>
  <si>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</si>
  <si>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</si>
  <si>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</si>
  <si>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</si>
  <si>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</si>
  <si>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</si>
  <si>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</si>
  <si>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</si>
  <si>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</si>
  <si>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</si>
  <si>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</si>
  <si>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</si>
  <si>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</si>
  <si>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</si>
  <si>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</si>
  <si>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</si>
  <si>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</si>
  <si>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</si>
  <si>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</si>
  <si>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</si>
  <si>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</si>
  <si>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</si>
  <si>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</si>
  <si>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</si>
  <si>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</si>
  <si>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</si>
  <si>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</si>
  <si>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</si>
  <si>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</si>
  <si>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</si>
  <si>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</si>
  <si>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</si>
  <si>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</si>
  <si>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</si>
  <si>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</si>
  <si>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</si>
  <si>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</si>
  <si>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</si>
  <si>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</si>
  <si>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</si>
  <si>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</si>
  <si>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</si>
  <si>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</si>
  <si>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</si>
  <si>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</si>
  <si>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</si>
  <si>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</si>
  <si>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</si>
  <si>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</si>
  <si>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</si>
  <si>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</si>
  <si>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</si>
  <si>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</si>
  <si>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</si>
  <si>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</si>
  <si>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</si>
  <si>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</si>
  <si>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Gurukripa</t>
  </si>
  <si>
    <t>Wing A &amp; Wing B</t>
  </si>
  <si>
    <t xml:space="preserve">P51800047648
</t>
  </si>
  <si>
    <t>CTS No</t>
  </si>
  <si>
    <t>Chembur</t>
  </si>
  <si>
    <t>Mumbai</t>
  </si>
  <si>
    <t>https://goo.gl/maps/zstAytFvb8cogsge6</t>
  </si>
  <si>
    <t>Viceroy Building</t>
  </si>
  <si>
    <t>Rd/BMC School</t>
  </si>
  <si>
    <t>Rd No. 2/Gurukrupa Apartments</t>
  </si>
  <si>
    <t>Om Vaikunth Building</t>
  </si>
  <si>
    <t>Brihanmumbai Municipal Corporation School</t>
  </si>
  <si>
    <t>Sindhi Society</t>
  </si>
  <si>
    <t>Rd No. 2</t>
  </si>
  <si>
    <t>Kurla</t>
  </si>
  <si>
    <t>3KM from Chembur Railway Station Railway Station</t>
  </si>
  <si>
    <t>MCGM</t>
  </si>
  <si>
    <t>As per RERA - 30/09/2026</t>
  </si>
  <si>
    <t>Ground Floor For Parking &amp; Meter Room</t>
  </si>
  <si>
    <t>A Wing</t>
  </si>
  <si>
    <t>1BHK</t>
  </si>
  <si>
    <t>2BHK</t>
  </si>
  <si>
    <t>B Wing</t>
  </si>
  <si>
    <t>We considered Gross carpet area = Net carpet.</t>
  </si>
  <si>
    <t>Approved Plans, CC.</t>
  </si>
  <si>
    <t>Inspira Realty And Infra Private Limited</t>
  </si>
  <si>
    <t>9820038581/9833405230/
9920975838/8655258030</t>
  </si>
  <si>
    <t>Chembur West</t>
  </si>
  <si>
    <t>Office No. 1031, Wing J, Akshar Business Park, Plot No. 03 Sector 25, Near APMC Market,
Vashi, Navi Mumbai, Maharashtra 400703 TEL: 022-46090378/79/8
E mail : vsjcapf@gmail.com. Web site : www.vsjadon.com</t>
  </si>
  <si>
    <t>Full C.C for wing A and C.C upto 16th floor level for wing B (by restricting C.C. of Flat No.01 of 16th Floor and 17th floor for wing B , for availed installment facility as per policy) as per approved amended plans dated 28/06/2024 .</t>
  </si>
  <si>
    <t>CHE/ES/0339/M/337(NEW)/FCC/2/Amend</t>
  </si>
  <si>
    <t xml:space="preserve">Commencement-CC No
Valid Up to: </t>
  </si>
  <si>
    <t>CHE/ES/0339/M/337(NEW)</t>
  </si>
  <si>
    <t>02 Buildings</t>
  </si>
  <si>
    <t>Latitude,Longitude</t>
  </si>
  <si>
    <t>19.0492583,72.8882327</t>
  </si>
  <si>
    <t>Shop</t>
  </si>
  <si>
    <t>Ground Floor For Electric room, Comercial, Parking &amp; Meter Room</t>
  </si>
  <si>
    <t>1st to 3rd Podium Floor For Parking</t>
  </si>
  <si>
    <t>Shop No. (Sale Plan)</t>
  </si>
  <si>
    <t>Flat No. (Sale Plan)</t>
  </si>
  <si>
    <t>Fungible area</t>
  </si>
  <si>
    <t>RERA Carpet area</t>
  </si>
  <si>
    <t>4th Floor For Residential (Part Fitness Centre Area)</t>
  </si>
  <si>
    <t>Fitness Centre Area</t>
  </si>
  <si>
    <t>fitness Centre Area &amp; Society Office</t>
  </si>
  <si>
    <t>5th Floor</t>
  </si>
  <si>
    <r>
      <t xml:space="preserve">Flat No.
</t>
    </r>
    <r>
      <rPr>
        <b/>
        <sz val="11"/>
        <rFont val="Times New Roman"/>
        <family val="1"/>
      </rPr>
      <t>(Approved Plan)</t>
    </r>
  </si>
  <si>
    <r>
      <t xml:space="preserve">Shop No.
</t>
    </r>
    <r>
      <rPr>
        <b/>
        <sz val="11"/>
        <rFont val="Times New Roman"/>
        <family val="1"/>
      </rPr>
      <t>(Approved Plan)</t>
    </r>
  </si>
  <si>
    <t>6th to 10th &amp; 13th Floor</t>
  </si>
  <si>
    <t>11th Floor</t>
  </si>
  <si>
    <t>12th Floor</t>
  </si>
  <si>
    <t>5 + 6</t>
  </si>
  <si>
    <t>3 + 4</t>
  </si>
  <si>
    <t>2.5BHK</t>
  </si>
  <si>
    <t>14th Floor</t>
  </si>
  <si>
    <t>15th Floor</t>
  </si>
  <si>
    <t>16th Floor</t>
  </si>
  <si>
    <t>18th Floor</t>
  </si>
  <si>
    <t>17th &amp; 19th Floor</t>
  </si>
  <si>
    <t>A Wing = Gr + P1 to P3 + 4th to 19th Floor</t>
  </si>
  <si>
    <t>Flats - 165, Shop = 2</t>
  </si>
  <si>
    <t>B Wing = Gr + P1 to P3 + 4th to 19th Floor</t>
  </si>
  <si>
    <t>We have updated latest CC &amp; Plans from MCGM site (On 27/09/2024).</t>
  </si>
  <si>
    <t xml:space="preserve">CHE/ES/0339/M/337(NEW)/FCC/3/Amend
</t>
  </si>
  <si>
    <t>Full C.C for wing A and C.C upto 18 th floor level for wing B (by restricting C.C. of Flat No.03 of 18th Floor and entire 19th floor for wing B , for availed installment facility as per policy) as per approved amended plans dated 20/09/2024 .</t>
  </si>
  <si>
    <t xml:space="preserve">CHE/ES/0339/M/337(NEW)/FCC/4/Amend
</t>
  </si>
  <si>
    <t>Full C.C for wing A and Wing B as per approved amended plans dated 13/09/2024.</t>
  </si>
  <si>
    <t>We have updated revised approved CC from MCGM site on 18/12/2024.</t>
  </si>
  <si>
    <t>Construction work is in process at the time of Visit.(Internal visit not allowed).</t>
  </si>
  <si>
    <t>Akash Kadam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</si>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</sst>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7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4" fillId="0" borderId="1" xfId="1" applyFont="1" applyBorder="1" applyAlignment="1" applyProtection="1">
      <alignment horizontal="center" vertical="top"/>
      <protection locked="0"/>
    </xf>
    <xf numFmtId="0" fontId="16" fillId="0" borderId="11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2" fillId="2" borderId="30" xfId="0" applyFont="1" applyFill="1" applyBorder="1"/>
    <xf numFmtId="0" fontId="23" fillId="0" borderId="31" xfId="0" applyFont="1" applyBorder="1"/>
    <xf numFmtId="0" fontId="23" fillId="0" borderId="1" xfId="0" applyFont="1" applyBorder="1"/>
    <xf numFmtId="0" fontId="23" fillId="0" borderId="5" xfId="0" applyFont="1" applyBorder="1"/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11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9" fontId="11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 applyBorder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1" fontId="27" fillId="0" borderId="3" xfId="1" applyNumberFormat="1" applyFont="1" applyBorder="1" applyAlignment="1" applyProtection="1">
      <alignment horizontal="center" vertical="top" wrapText="1"/>
      <protection locked="0"/>
    </xf>
    <xf numFmtId="1" fontId="27" fillId="0" borderId="16" xfId="1" applyNumberFormat="1" applyFont="1" applyBorder="1" applyAlignment="1" applyProtection="1">
      <alignment horizontal="center" vertical="top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10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12" xfId="8" applyFont="1" applyFill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9" fontId="11" fillId="0" borderId="18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29" xfId="8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165" fontId="5" fillId="0" borderId="1" xfId="1" applyNumberFormat="1" applyFont="1" applyBorder="1" applyAlignment="1" applyProtection="1">
      <alignment horizontal="left" vertical="top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21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top" wrapText="1"/>
      <protection locked="0"/>
    </xf>
    <xf numFmtId="1" fontId="12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24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21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  <xf numFmtId="0" fontId="22" fillId="2" borderId="15" xfId="0" applyFont="1" applyFill="1" applyBorder="1"/>
    <xf numFmtId="0" fontId="23" fillId="0" borderId="9" xfId="0" applyFont="1" applyBorder="1"/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9" fontId="6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828675</xdr:colOff>
      <xdr:row>402</xdr:row>
      <xdr:rowOff>47625</xdr:rowOff>
    </xdr:from>
    <xdr:to>
      <xdr:col>10</xdr:col>
      <xdr:colOff>171450</xdr:colOff>
      <xdr:row>405</xdr:row>
      <xdr:rowOff>152400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29550" y="62931675"/>
          <a:ext cx="1409700" cy="704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2060"/>
              </a:solidFill>
            </a:rPr>
            <a:t>A Wing</a:t>
          </a:r>
        </a:p>
      </xdr:txBody>
    </xdr:sp>
    <xdr:clientData/>
  </xdr:twoCellAnchor>
  <xdr:twoCellAnchor>
    <xdr:from>
      <xdr:col>9</xdr:col>
      <xdr:colOff>300182</xdr:colOff>
      <xdr:row>310</xdr:row>
      <xdr:rowOff>180687</xdr:rowOff>
    </xdr:from>
    <xdr:to>
      <xdr:col>10</xdr:col>
      <xdr:colOff>473364</xdr:colOff>
      <xdr:row>313</xdr:row>
      <xdr:rowOff>34637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370455" y="40099096"/>
          <a:ext cx="975591" cy="4427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2060"/>
              </a:solidFill>
            </a:rPr>
            <a:t>A Wing</a:t>
          </a:r>
        </a:p>
      </xdr:txBody>
    </xdr:sp>
    <xdr:clientData/>
  </xdr:twoCellAnchor>
  <xdr:twoCellAnchor editAs="oneCell">
    <xdr:from>
      <xdr:col>0</xdr:col>
      <xdr:colOff>619125</xdr:colOff>
      <xdr:row>377</xdr:row>
      <xdr:rowOff>19050</xdr:rowOff>
    </xdr:from>
    <xdr:to>
      <xdr:col>7</xdr:col>
      <xdr:colOff>313101</xdr:colOff>
      <xdr:row>396</xdr:row>
      <xdr:rowOff>178574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25" y="57902475"/>
          <a:ext cx="5809026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619125</xdr:colOff>
      <xdr:row>397</xdr:row>
      <xdr:rowOff>79436</xdr:rowOff>
    </xdr:from>
    <xdr:to>
      <xdr:col>7</xdr:col>
      <xdr:colOff>313101</xdr:colOff>
      <xdr:row>417</xdr:row>
      <xdr:rowOff>38937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25" y="61963361"/>
          <a:ext cx="5809026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808488</xdr:colOff>
      <xdr:row>406</xdr:row>
      <xdr:rowOff>87455</xdr:rowOff>
    </xdr:from>
    <xdr:to>
      <xdr:col>4</xdr:col>
      <xdr:colOff>391663</xdr:colOff>
      <xdr:row>408</xdr:row>
      <xdr:rowOff>74469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0790762">
          <a:off x="3399288" y="63771605"/>
          <a:ext cx="592825" cy="38706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3</xdr:col>
      <xdr:colOff>180975</xdr:colOff>
      <xdr:row>408</xdr:row>
      <xdr:rowOff>114300</xdr:rowOff>
    </xdr:from>
    <xdr:to>
      <xdr:col>4</xdr:col>
      <xdr:colOff>581025</xdr:colOff>
      <xdr:row>412</xdr:row>
      <xdr:rowOff>19050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771775" y="64198500"/>
          <a:ext cx="1409700" cy="704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Gurukripa</a:t>
          </a:r>
        </a:p>
      </xdr:txBody>
    </xdr:sp>
    <xdr:clientData/>
  </xdr:twoCellAnchor>
  <xdr:twoCellAnchor>
    <xdr:from>
      <xdr:col>3</xdr:col>
      <xdr:colOff>762000</xdr:colOff>
      <xdr:row>407</xdr:row>
      <xdr:rowOff>133350</xdr:rowOff>
    </xdr:from>
    <xdr:to>
      <xdr:col>4</xdr:col>
      <xdr:colOff>28575</xdr:colOff>
      <xdr:row>409</xdr:row>
      <xdr:rowOff>104775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3352800" y="64017525"/>
          <a:ext cx="276225" cy="3714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409575</xdr:colOff>
      <xdr:row>344</xdr:row>
      <xdr:rowOff>0</xdr:rowOff>
    </xdr:from>
    <xdr:to>
      <xdr:col>7</xdr:col>
      <xdr:colOff>434825</xdr:colOff>
      <xdr:row>367</xdr:row>
      <xdr:rowOff>79425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911" t="22641" r="29812" b="14622"/>
        <a:stretch/>
      </xdr:blipFill>
      <xdr:spPr>
        <a:xfrm>
          <a:off x="409575" y="49282350"/>
          <a:ext cx="6140300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84989</xdr:colOff>
      <xdr:row>173</xdr:row>
      <xdr:rowOff>57150</xdr:rowOff>
    </xdr:from>
    <xdr:to>
      <xdr:col>23</xdr:col>
      <xdr:colOff>71803</xdr:colOff>
      <xdr:row>200</xdr:row>
      <xdr:rowOff>56475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95CEB4C-4911-496D-B571-0746C9929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3664" y="32061150"/>
          <a:ext cx="8730764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552449</xdr:colOff>
      <xdr:row>234</xdr:row>
      <xdr:rowOff>0</xdr:rowOff>
    </xdr:from>
    <xdr:to>
      <xdr:col>22</xdr:col>
      <xdr:colOff>4562</xdr:colOff>
      <xdr:row>261</xdr:row>
      <xdr:rowOff>2500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7295F34-5CC3-437C-8614-CCC9FDEFB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39124" y="44759440"/>
          <a:ext cx="8348463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527050</xdr:colOff>
      <xdr:row>299</xdr:row>
      <xdr:rowOff>76200</xdr:rowOff>
    </xdr:from>
    <xdr:to>
      <xdr:col>14</xdr:col>
      <xdr:colOff>270077</xdr:colOff>
      <xdr:row>339</xdr:row>
      <xdr:rowOff>73416</xdr:rowOff>
    </xdr:to>
    <xdr:grpSp>
      <xdr:nvGrpSpPr>
        <xdr:cNvPr id="4" name="Group 3"/>
        <xdr:cNvGrpSpPr/>
      </xdr:nvGrpSpPr>
      <xdr:grpSpPr>
        <a:xfrm>
          <a:off x="7372350" y="59899550"/>
          <a:ext cx="4937327" cy="7864866"/>
          <a:chOff x="927100" y="59512200"/>
          <a:chExt cx="4908752" cy="7864866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6852" y="59512200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6852" y="62364633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7100" y="59512200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1976" y="62364633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3976" y="65217066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1976" y="59512200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7100" y="62364633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9</xdr:col>
      <xdr:colOff>0</xdr:colOff>
      <xdr:row>295</xdr:row>
      <xdr:rowOff>168928</xdr:rowOff>
    </xdr:from>
    <xdr:to>
      <xdr:col>9</xdr:col>
      <xdr:colOff>458201</xdr:colOff>
      <xdr:row>297</xdr:row>
      <xdr:rowOff>150385</xdr:rowOff>
    </xdr:to>
    <xdr:sp macro="" textlink="">
      <xdr:nvSpPr>
        <xdr:cNvPr id="48" name="TextBox 47"/>
        <xdr:cNvSpPr txBox="1"/>
      </xdr:nvSpPr>
      <xdr:spPr>
        <a:xfrm>
          <a:off x="8064500" y="59204878"/>
          <a:ext cx="458201" cy="375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000" b="1"/>
            <a:t>B</a:t>
          </a:r>
        </a:p>
      </xdr:txBody>
    </xdr:sp>
    <xdr:clientData/>
  </xdr:twoCellAnchor>
  <xdr:twoCellAnchor>
    <xdr:from>
      <xdr:col>10</xdr:col>
      <xdr:colOff>355362</xdr:colOff>
      <xdr:row>294</xdr:row>
      <xdr:rowOff>0</xdr:rowOff>
    </xdr:from>
    <xdr:to>
      <xdr:col>11</xdr:col>
      <xdr:colOff>76963</xdr:colOff>
      <xdr:row>295</xdr:row>
      <xdr:rowOff>178307</xdr:rowOff>
    </xdr:to>
    <xdr:sp macro="" textlink="">
      <xdr:nvSpPr>
        <xdr:cNvPr id="49" name="TextBox 48"/>
        <xdr:cNvSpPr txBox="1"/>
      </xdr:nvSpPr>
      <xdr:spPr>
        <a:xfrm>
          <a:off x="9219962" y="58839100"/>
          <a:ext cx="458201" cy="375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000" b="1"/>
            <a:t>A</a:t>
          </a:r>
        </a:p>
      </xdr:txBody>
    </xdr:sp>
    <xdr:clientData/>
  </xdr:twoCellAnchor>
  <xdr:twoCellAnchor>
    <xdr:from>
      <xdr:col>0</xdr:col>
      <xdr:colOff>387350</xdr:colOff>
      <xdr:row>299</xdr:row>
      <xdr:rowOff>120650</xdr:rowOff>
    </xdr:from>
    <xdr:to>
      <xdr:col>7</xdr:col>
      <xdr:colOff>417644</xdr:colOff>
      <xdr:row>336</xdr:row>
      <xdr:rowOff>126138</xdr:rowOff>
    </xdr:to>
    <xdr:grpSp>
      <xdr:nvGrpSpPr>
        <xdr:cNvPr id="2" name="Group 1"/>
        <xdr:cNvGrpSpPr/>
      </xdr:nvGrpSpPr>
      <xdr:grpSpPr>
        <a:xfrm>
          <a:off x="387350" y="59944000"/>
          <a:ext cx="6005644" cy="7282588"/>
          <a:chOff x="387350" y="59944000"/>
          <a:chExt cx="6005644" cy="7282588"/>
        </a:xfrm>
      </xdr:grpSpPr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62793294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7672" y="62793294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8461" y="5994400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980" y="59944000"/>
            <a:ext cx="1539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7672" y="65066588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5942" y="59944000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2994" y="62793294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7" name="TextBox 56"/>
          <xdr:cNvSpPr txBox="1"/>
        </xdr:nvSpPr>
        <xdr:spPr>
          <a:xfrm>
            <a:off x="1416330" y="60153550"/>
            <a:ext cx="458201" cy="3751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000" b="1"/>
              <a:t>A</a:t>
            </a:r>
          </a:p>
        </xdr:txBody>
      </xdr:sp>
      <xdr:sp macro="" textlink="">
        <xdr:nvSpPr>
          <xdr:cNvPr id="58" name="TextBox 57"/>
          <xdr:cNvSpPr txBox="1"/>
        </xdr:nvSpPr>
        <xdr:spPr>
          <a:xfrm>
            <a:off x="597180" y="60540900"/>
            <a:ext cx="458201" cy="3751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000" b="1"/>
              <a:t>B</a:t>
            </a:r>
          </a:p>
        </xdr:txBody>
      </xdr:sp>
      <xdr:sp macro="" textlink="">
        <xdr:nvSpPr>
          <xdr:cNvPr id="59" name="TextBox 58"/>
          <xdr:cNvSpPr txBox="1"/>
        </xdr:nvSpPr>
        <xdr:spPr>
          <a:xfrm>
            <a:off x="2962061" y="59982100"/>
            <a:ext cx="458201" cy="3751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000" b="1"/>
              <a:t>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stAytFvb8cogsge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7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35" t="s">
        <v>200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35">
      <c r="A2" s="93" t="s">
        <v>0</v>
      </c>
      <c r="B2" s="93"/>
      <c r="C2" s="93"/>
      <c r="D2" s="93"/>
      <c r="E2" s="93"/>
      <c r="F2" s="93"/>
      <c r="G2" s="93"/>
      <c r="H2" s="93"/>
    </row>
    <row r="3" spans="1:8" x14ac:dyDescent="0.35">
      <c r="A3" s="109" t="s">
        <v>1</v>
      </c>
      <c r="B3" s="109"/>
      <c r="C3" s="109"/>
      <c r="D3" s="109"/>
      <c r="E3" s="109" t="str">
        <f ca="1">TEXT(TODAY(),"DD/MM/YYYY")</f>
        <v>05/09/2025</v>
      </c>
      <c r="F3" s="109"/>
      <c r="G3" s="109"/>
      <c r="H3" s="109"/>
    </row>
    <row r="4" spans="1:8" ht="15" customHeight="1" x14ac:dyDescent="0.35">
      <c r="A4" s="109" t="s">
        <v>2</v>
      </c>
      <c r="B4" s="109"/>
      <c r="C4" s="109"/>
      <c r="D4" s="109"/>
      <c r="E4" s="109" t="s">
        <v>171</v>
      </c>
      <c r="F4" s="109"/>
      <c r="G4" s="109"/>
      <c r="H4" s="109"/>
    </row>
    <row r="5" spans="1:8" x14ac:dyDescent="0.35">
      <c r="A5" s="109" t="s">
        <v>3</v>
      </c>
      <c r="B5" s="109"/>
      <c r="C5" s="109"/>
      <c r="D5" s="109"/>
      <c r="E5" s="136">
        <v>45905</v>
      </c>
      <c r="F5" s="109"/>
      <c r="G5" s="109"/>
      <c r="H5" s="109"/>
    </row>
    <row r="6" spans="1:8" ht="16.5" customHeight="1" x14ac:dyDescent="0.35">
      <c r="A6" s="109" t="s">
        <v>4</v>
      </c>
      <c r="B6" s="109"/>
      <c r="C6" s="109"/>
      <c r="D6" s="109"/>
      <c r="E6" s="109" t="s">
        <v>197</v>
      </c>
      <c r="F6" s="109"/>
      <c r="G6" s="109"/>
      <c r="H6" s="109"/>
    </row>
    <row r="7" spans="1:8" ht="15" customHeight="1" x14ac:dyDescent="0.35">
      <c r="A7" s="109" t="s">
        <v>5</v>
      </c>
      <c r="B7" s="109"/>
      <c r="C7" s="109"/>
      <c r="D7" s="109"/>
      <c r="E7" s="109" t="str">
        <f>E6</f>
        <v>Inspira Realty And Infra Private Limited</v>
      </c>
      <c r="F7" s="109"/>
      <c r="G7" s="109"/>
      <c r="H7" s="109"/>
    </row>
    <row r="8" spans="1:8" x14ac:dyDescent="0.35">
      <c r="A8" s="109" t="s">
        <v>6</v>
      </c>
      <c r="B8" s="109"/>
      <c r="C8" s="109"/>
      <c r="D8" s="109"/>
      <c r="E8" s="70" t="s">
        <v>172</v>
      </c>
      <c r="F8" s="70"/>
      <c r="G8" s="70"/>
      <c r="H8" s="70"/>
    </row>
    <row r="9" spans="1:8" ht="35.25" customHeight="1" x14ac:dyDescent="0.35">
      <c r="A9" s="109" t="s">
        <v>167</v>
      </c>
      <c r="B9" s="109"/>
      <c r="C9" s="109"/>
      <c r="D9" s="109"/>
      <c r="E9" s="110" t="s">
        <v>198</v>
      </c>
      <c r="F9" s="109"/>
      <c r="G9" s="109"/>
      <c r="H9" s="109"/>
    </row>
    <row r="10" spans="1:8" x14ac:dyDescent="0.35">
      <c r="A10" s="109" t="s">
        <v>168</v>
      </c>
      <c r="B10" s="109"/>
      <c r="C10" s="109"/>
      <c r="D10" s="109"/>
      <c r="E10" s="109" t="s">
        <v>30</v>
      </c>
      <c r="F10" s="109"/>
      <c r="G10" s="109"/>
      <c r="H10" s="109"/>
    </row>
    <row r="11" spans="1:8" x14ac:dyDescent="0.35">
      <c r="A11" s="109" t="s">
        <v>7</v>
      </c>
      <c r="B11" s="109"/>
      <c r="C11" s="109"/>
      <c r="D11" s="109"/>
      <c r="E11" s="109" t="s">
        <v>173</v>
      </c>
      <c r="F11" s="109"/>
      <c r="G11" s="109"/>
      <c r="H11" s="109"/>
    </row>
    <row r="12" spans="1:8" x14ac:dyDescent="0.35">
      <c r="A12" s="109" t="s">
        <v>8</v>
      </c>
      <c r="B12" s="109"/>
      <c r="C12" s="109"/>
      <c r="D12" s="109"/>
      <c r="E12" s="110" t="s">
        <v>196</v>
      </c>
      <c r="F12" s="110"/>
      <c r="G12" s="110"/>
      <c r="H12" s="110"/>
    </row>
    <row r="13" spans="1:8" x14ac:dyDescent="0.35">
      <c r="A13" s="109" t="s">
        <v>9</v>
      </c>
      <c r="B13" s="109"/>
      <c r="C13" s="109"/>
      <c r="D13" s="109"/>
      <c r="E13" s="110" t="s">
        <v>174</v>
      </c>
      <c r="F13" s="109"/>
      <c r="G13" s="109"/>
      <c r="H13" s="109"/>
    </row>
    <row r="14" spans="1:8" ht="33" customHeight="1" x14ac:dyDescent="0.35">
      <c r="A14" s="110" t="s">
        <v>10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Gurukripa, CTS No.199, near Brihanmumbai Municipal Corporation School, Rd No. 2, Sindhi Society, Chembur, Chembur West, Kurla, Mumbai - 400071.</v>
      </c>
      <c r="D14" s="110"/>
      <c r="E14" s="110"/>
      <c r="F14" s="110"/>
      <c r="G14" s="110"/>
      <c r="H14" s="110"/>
    </row>
    <row r="15" spans="1:8" x14ac:dyDescent="0.35">
      <c r="A15" s="110" t="s">
        <v>175</v>
      </c>
      <c r="B15" s="110"/>
      <c r="C15" s="110">
        <v>199</v>
      </c>
      <c r="D15" s="110"/>
      <c r="E15" s="110"/>
      <c r="F15" s="110"/>
      <c r="G15" s="110"/>
      <c r="H15" s="110"/>
    </row>
    <row r="16" spans="1:8" ht="15.75" customHeight="1" x14ac:dyDescent="0.35">
      <c r="A16" s="110" t="s">
        <v>166</v>
      </c>
      <c r="B16" s="110"/>
      <c r="C16" s="110" t="s">
        <v>184</v>
      </c>
      <c r="D16" s="110"/>
      <c r="E16" s="110"/>
      <c r="F16" s="110"/>
      <c r="G16" s="110"/>
      <c r="H16" s="110"/>
    </row>
    <row r="17" spans="1:8" ht="15.75" customHeight="1" x14ac:dyDescent="0.35">
      <c r="A17" s="110" t="s">
        <v>11</v>
      </c>
      <c r="B17" s="110"/>
      <c r="C17" s="109" t="s">
        <v>185</v>
      </c>
      <c r="D17" s="109"/>
      <c r="E17" s="110" t="s">
        <v>74</v>
      </c>
      <c r="F17" s="110"/>
      <c r="G17" s="110" t="s">
        <v>176</v>
      </c>
      <c r="H17" s="110"/>
    </row>
    <row r="18" spans="1:8" x14ac:dyDescent="0.35">
      <c r="A18" s="109" t="s">
        <v>13</v>
      </c>
      <c r="B18" s="109"/>
      <c r="C18" s="110" t="s">
        <v>199</v>
      </c>
      <c r="D18" s="110"/>
      <c r="E18" s="110" t="s">
        <v>12</v>
      </c>
      <c r="F18" s="110"/>
      <c r="G18" s="134" t="s">
        <v>177</v>
      </c>
      <c r="H18" s="134"/>
    </row>
    <row r="19" spans="1:8" x14ac:dyDescent="0.35">
      <c r="A19" s="109" t="s">
        <v>75</v>
      </c>
      <c r="B19" s="109"/>
      <c r="C19" s="110" t="s">
        <v>186</v>
      </c>
      <c r="D19" s="110"/>
      <c r="E19" s="110" t="s">
        <v>14</v>
      </c>
      <c r="F19" s="110"/>
      <c r="G19" s="110">
        <v>400071</v>
      </c>
      <c r="H19" s="110"/>
    </row>
    <row r="20" spans="1:8" ht="32.25" customHeight="1" x14ac:dyDescent="0.35">
      <c r="A20" s="75" t="s">
        <v>123</v>
      </c>
      <c r="B20" s="75"/>
      <c r="C20" s="110" t="s">
        <v>183</v>
      </c>
      <c r="D20" s="110"/>
      <c r="E20" s="133" t="s">
        <v>15</v>
      </c>
      <c r="F20" s="133"/>
      <c r="G20" s="110" t="s">
        <v>187</v>
      </c>
      <c r="H20" s="110"/>
    </row>
    <row r="21" spans="1:8" ht="15" customHeight="1" x14ac:dyDescent="0.35">
      <c r="A21" s="133" t="s">
        <v>78</v>
      </c>
      <c r="B21" s="133"/>
      <c r="C21" s="133"/>
      <c r="D21" s="133"/>
      <c r="E21" s="109" t="s">
        <v>16</v>
      </c>
      <c r="F21" s="109"/>
      <c r="G21" s="109"/>
      <c r="H21" s="109"/>
    </row>
    <row r="22" spans="1:8" ht="18.75" customHeight="1" x14ac:dyDescent="0.35">
      <c r="A22" s="133"/>
      <c r="B22" s="133"/>
      <c r="C22" s="133"/>
      <c r="D22" s="133"/>
      <c r="E22" s="109"/>
      <c r="F22" s="109"/>
      <c r="G22" s="109"/>
      <c r="H22" s="109"/>
    </row>
    <row r="23" spans="1:8" ht="15" customHeight="1" x14ac:dyDescent="0.35">
      <c r="A23" s="133" t="s">
        <v>17</v>
      </c>
      <c r="B23" s="133"/>
      <c r="C23" s="133"/>
      <c r="D23" s="133"/>
      <c r="E23" s="110" t="s">
        <v>18</v>
      </c>
      <c r="F23" s="110"/>
      <c r="G23" s="110"/>
      <c r="H23" s="110"/>
    </row>
    <row r="24" spans="1:8" ht="15" customHeight="1" x14ac:dyDescent="0.35">
      <c r="A24" s="75" t="s">
        <v>19</v>
      </c>
      <c r="B24" s="75"/>
      <c r="C24" s="75"/>
      <c r="D24" s="75"/>
      <c r="E24" s="110" t="str">
        <f>IF(AND(G18="Mumbai"),"Upper Class","Middle Class")</f>
        <v>Upper Class</v>
      </c>
      <c r="F24" s="110"/>
      <c r="G24" s="110"/>
      <c r="H24" s="110"/>
    </row>
    <row r="25" spans="1:8" x14ac:dyDescent="0.35">
      <c r="A25" s="75" t="s">
        <v>20</v>
      </c>
      <c r="B25" s="75"/>
      <c r="C25" s="75"/>
      <c r="D25" s="75"/>
      <c r="E25" s="110" t="s">
        <v>21</v>
      </c>
      <c r="F25" s="110"/>
      <c r="G25" s="110"/>
      <c r="H25" s="110"/>
    </row>
    <row r="26" spans="1:8" ht="15.75" customHeight="1" x14ac:dyDescent="0.35">
      <c r="A26" s="75" t="s">
        <v>22</v>
      </c>
      <c r="B26" s="75"/>
      <c r="C26" s="75"/>
      <c r="D26" s="75"/>
      <c r="E26" s="110" t="str">
        <f>IF(AND(G18="Mumbai"),"Developed","Developing")</f>
        <v>Developed</v>
      </c>
      <c r="F26" s="110"/>
      <c r="G26" s="110"/>
      <c r="H26" s="110"/>
    </row>
    <row r="27" spans="1:8" x14ac:dyDescent="0.35">
      <c r="A27" s="75" t="s">
        <v>23</v>
      </c>
      <c r="B27" s="75"/>
      <c r="C27" s="75"/>
      <c r="D27" s="75"/>
      <c r="E27" s="110" t="s">
        <v>24</v>
      </c>
      <c r="F27" s="110"/>
      <c r="G27" s="110"/>
      <c r="H27" s="110"/>
    </row>
    <row r="28" spans="1:8" ht="15.75" customHeight="1" x14ac:dyDescent="0.35">
      <c r="A28" s="75" t="s">
        <v>83</v>
      </c>
      <c r="B28" s="75"/>
      <c r="C28" s="75"/>
      <c r="D28" s="75"/>
      <c r="E28" s="110" t="s">
        <v>84</v>
      </c>
      <c r="F28" s="110"/>
      <c r="G28" s="110"/>
      <c r="H28" s="110"/>
    </row>
    <row r="29" spans="1:8" ht="15" customHeight="1" x14ac:dyDescent="0.35">
      <c r="A29" s="75" t="s">
        <v>33</v>
      </c>
      <c r="B29" s="75"/>
      <c r="C29" s="75"/>
      <c r="D29" s="75"/>
      <c r="E29" s="110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9" s="110"/>
      <c r="G29" s="110"/>
      <c r="H29" s="110"/>
    </row>
    <row r="30" spans="1:8" ht="15.75" customHeight="1" x14ac:dyDescent="0.35">
      <c r="A30" s="75" t="s">
        <v>95</v>
      </c>
      <c r="B30" s="75"/>
      <c r="C30" s="75"/>
      <c r="D30" s="75"/>
      <c r="E30" s="110" t="s">
        <v>34</v>
      </c>
      <c r="F30" s="110"/>
      <c r="G30" s="110"/>
      <c r="H30" s="110"/>
    </row>
    <row r="31" spans="1:8" s="21" customFormat="1" x14ac:dyDescent="0.35">
      <c r="A31" s="132" t="s">
        <v>96</v>
      </c>
      <c r="B31" s="132"/>
      <c r="C31" s="131" t="s">
        <v>29</v>
      </c>
      <c r="D31" s="131"/>
      <c r="E31" s="131"/>
      <c r="F31" s="131" t="s">
        <v>31</v>
      </c>
      <c r="G31" s="131"/>
      <c r="H31" s="131"/>
    </row>
    <row r="32" spans="1:8" s="21" customFormat="1" x14ac:dyDescent="0.35">
      <c r="A32" s="126" t="s">
        <v>25</v>
      </c>
      <c r="B32" s="126" t="s">
        <v>30</v>
      </c>
      <c r="C32" s="127" t="s">
        <v>30</v>
      </c>
      <c r="D32" s="127"/>
      <c r="E32" s="127"/>
      <c r="F32" s="127" t="s">
        <v>179</v>
      </c>
      <c r="G32" s="127"/>
      <c r="H32" s="127"/>
    </row>
    <row r="33" spans="1:8" x14ac:dyDescent="0.35">
      <c r="A33" s="126" t="s">
        <v>26</v>
      </c>
      <c r="B33" s="126" t="s">
        <v>30</v>
      </c>
      <c r="C33" s="127" t="s">
        <v>30</v>
      </c>
      <c r="D33" s="127"/>
      <c r="E33" s="127"/>
      <c r="F33" s="127" t="s">
        <v>180</v>
      </c>
      <c r="G33" s="127"/>
      <c r="H33" s="127"/>
    </row>
    <row r="34" spans="1:8" s="21" customFormat="1" x14ac:dyDescent="0.35">
      <c r="A34" s="126" t="s">
        <v>28</v>
      </c>
      <c r="B34" s="126" t="s">
        <v>30</v>
      </c>
      <c r="C34" s="127" t="s">
        <v>30</v>
      </c>
      <c r="D34" s="127"/>
      <c r="E34" s="127"/>
      <c r="F34" s="127" t="s">
        <v>181</v>
      </c>
      <c r="G34" s="127"/>
      <c r="H34" s="127"/>
    </row>
    <row r="35" spans="1:8" x14ac:dyDescent="0.35">
      <c r="A35" s="126" t="s">
        <v>27</v>
      </c>
      <c r="B35" s="126" t="s">
        <v>30</v>
      </c>
      <c r="C35" s="127" t="s">
        <v>30</v>
      </c>
      <c r="D35" s="127"/>
      <c r="E35" s="127"/>
      <c r="F35" s="127" t="s">
        <v>182</v>
      </c>
      <c r="G35" s="127"/>
      <c r="H35" s="127"/>
    </row>
    <row r="36" spans="1:8" x14ac:dyDescent="0.35">
      <c r="A36" s="75" t="s">
        <v>32</v>
      </c>
      <c r="B36" s="75"/>
      <c r="C36" s="75"/>
      <c r="D36" s="75"/>
      <c r="E36" s="75"/>
      <c r="F36" s="75"/>
      <c r="G36" s="75"/>
      <c r="H36" s="75"/>
    </row>
    <row r="37" spans="1:8" ht="15.75" customHeight="1" x14ac:dyDescent="0.35">
      <c r="A37" s="93" t="s">
        <v>206</v>
      </c>
      <c r="B37" s="93"/>
      <c r="C37" s="129" t="s">
        <v>207</v>
      </c>
      <c r="D37" s="129"/>
      <c r="E37" s="129"/>
      <c r="F37" s="129"/>
      <c r="G37" s="129"/>
      <c r="H37" s="129"/>
    </row>
    <row r="38" spans="1:8" x14ac:dyDescent="0.35">
      <c r="A38" s="93" t="s">
        <v>165</v>
      </c>
      <c r="B38" s="93"/>
      <c r="C38" s="130" t="s">
        <v>178</v>
      </c>
      <c r="D38" s="110"/>
      <c r="E38" s="110"/>
      <c r="F38" s="110"/>
      <c r="G38" s="110"/>
      <c r="H38" s="110"/>
    </row>
    <row r="39" spans="1:8" x14ac:dyDescent="0.35">
      <c r="A39" s="76" t="s">
        <v>35</v>
      </c>
      <c r="B39" s="76"/>
      <c r="C39" s="76"/>
      <c r="D39" s="76"/>
      <c r="E39" s="76"/>
      <c r="F39" s="76"/>
      <c r="G39" s="76"/>
      <c r="H39" s="76"/>
    </row>
    <row r="40" spans="1:8" x14ac:dyDescent="0.35">
      <c r="A40" s="75" t="s">
        <v>36</v>
      </c>
      <c r="B40" s="75"/>
      <c r="C40" s="75"/>
      <c r="D40" s="75"/>
      <c r="E40" s="128">
        <v>3445.9</v>
      </c>
      <c r="F40" s="128"/>
      <c r="G40" s="128"/>
      <c r="H40" s="128"/>
    </row>
    <row r="41" spans="1:8" x14ac:dyDescent="0.35">
      <c r="A41" s="75" t="s">
        <v>37</v>
      </c>
      <c r="B41" s="75"/>
      <c r="C41" s="75"/>
      <c r="D41" s="75"/>
      <c r="E41" s="112">
        <v>1</v>
      </c>
      <c r="F41" s="112"/>
      <c r="G41" s="112"/>
      <c r="H41" s="112"/>
    </row>
    <row r="42" spans="1:8" x14ac:dyDescent="0.35">
      <c r="A42" s="75" t="s">
        <v>38</v>
      </c>
      <c r="B42" s="75"/>
      <c r="C42" s="75"/>
      <c r="D42" s="75"/>
      <c r="E42" s="112">
        <f>E44/E40-E41</f>
        <v>1.9667140659914679</v>
      </c>
      <c r="F42" s="112"/>
      <c r="G42" s="112"/>
      <c r="H42" s="112"/>
    </row>
    <row r="43" spans="1:8" x14ac:dyDescent="0.35">
      <c r="A43" s="75" t="s">
        <v>39</v>
      </c>
      <c r="B43" s="75"/>
      <c r="C43" s="75"/>
      <c r="D43" s="75"/>
      <c r="E43" s="112">
        <f>E41+E42</f>
        <v>2.9667140659914679</v>
      </c>
      <c r="F43" s="112"/>
      <c r="G43" s="112"/>
      <c r="H43" s="112"/>
    </row>
    <row r="44" spans="1:8" x14ac:dyDescent="0.35">
      <c r="A44" s="109" t="s">
        <v>94</v>
      </c>
      <c r="B44" s="109"/>
      <c r="C44" s="109"/>
      <c r="D44" s="109"/>
      <c r="E44" s="113">
        <v>10223</v>
      </c>
      <c r="F44" s="113"/>
      <c r="G44" s="113"/>
      <c r="H44" s="113"/>
    </row>
    <row r="45" spans="1:8" x14ac:dyDescent="0.35">
      <c r="A45" s="109" t="s">
        <v>40</v>
      </c>
      <c r="B45" s="109"/>
      <c r="C45" s="109"/>
      <c r="D45" s="109"/>
      <c r="E45" s="109" t="s">
        <v>205</v>
      </c>
      <c r="F45" s="109"/>
      <c r="G45" s="109"/>
      <c r="H45" s="109"/>
    </row>
    <row r="46" spans="1:8" x14ac:dyDescent="0.35">
      <c r="A46" s="70" t="s">
        <v>41</v>
      </c>
      <c r="B46" s="70"/>
      <c r="C46" s="70"/>
      <c r="D46" s="70"/>
      <c r="E46" s="70"/>
      <c r="F46" s="70"/>
      <c r="G46" s="70"/>
      <c r="H46" s="70"/>
    </row>
    <row r="47" spans="1:8" ht="33.75" customHeight="1" x14ac:dyDescent="0.35">
      <c r="A47" s="115" t="s">
        <v>153</v>
      </c>
      <c r="B47" s="116"/>
      <c r="C47" s="117" t="s">
        <v>188</v>
      </c>
      <c r="D47" s="118"/>
      <c r="E47" s="118"/>
      <c r="F47" s="118"/>
      <c r="G47" s="118"/>
      <c r="H47" s="119"/>
    </row>
    <row r="48" spans="1:8" ht="15.75" customHeight="1" x14ac:dyDescent="0.35">
      <c r="A48" s="171" t="s">
        <v>42</v>
      </c>
      <c r="B48" s="121"/>
      <c r="C48" s="171" t="s">
        <v>204</v>
      </c>
      <c r="D48" s="172"/>
      <c r="E48" s="121"/>
      <c r="F48" s="18" t="s">
        <v>43</v>
      </c>
      <c r="G48" s="120">
        <v>45548</v>
      </c>
      <c r="H48" s="121"/>
    </row>
    <row r="49" spans="1:14" x14ac:dyDescent="0.35">
      <c r="A49" s="171" t="s">
        <v>44</v>
      </c>
      <c r="B49" s="121"/>
      <c r="C49" s="171" t="str">
        <f>C48</f>
        <v>CHE/ES/0339/M/337(NEW)</v>
      </c>
      <c r="D49" s="172"/>
      <c r="E49" s="121"/>
      <c r="F49" s="18" t="s">
        <v>43</v>
      </c>
      <c r="G49" s="120">
        <v>45548</v>
      </c>
      <c r="H49" s="121"/>
    </row>
    <row r="50" spans="1:14" s="22" customFormat="1" ht="35.25" customHeight="1" x14ac:dyDescent="0.35">
      <c r="A50" s="122" t="s">
        <v>203</v>
      </c>
      <c r="B50" s="123"/>
      <c r="C50" s="171" t="s">
        <v>202</v>
      </c>
      <c r="D50" s="172"/>
      <c r="E50" s="121"/>
      <c r="F50" s="18" t="s">
        <v>43</v>
      </c>
      <c r="G50" s="120">
        <v>45482</v>
      </c>
      <c r="H50" s="121"/>
    </row>
    <row r="51" spans="1:14" s="22" customFormat="1" ht="98.25" customHeight="1" x14ac:dyDescent="0.35">
      <c r="A51" s="124"/>
      <c r="B51" s="125"/>
      <c r="C51" s="171" t="s">
        <v>201</v>
      </c>
      <c r="D51" s="172"/>
      <c r="E51" s="121"/>
      <c r="F51" s="18" t="s">
        <v>122</v>
      </c>
      <c r="G51" s="120">
        <v>45737</v>
      </c>
      <c r="H51" s="121"/>
    </row>
    <row r="52" spans="1:14" s="22" customFormat="1" ht="35.25" customHeight="1" x14ac:dyDescent="0.35">
      <c r="A52" s="122" t="s">
        <v>203</v>
      </c>
      <c r="B52" s="123"/>
      <c r="C52" s="171" t="s">
        <v>236</v>
      </c>
      <c r="D52" s="172"/>
      <c r="E52" s="121"/>
      <c r="F52" s="18" t="s">
        <v>43</v>
      </c>
      <c r="G52" s="120">
        <v>45566</v>
      </c>
      <c r="H52" s="121"/>
    </row>
    <row r="53" spans="1:14" s="22" customFormat="1" ht="98.25" customHeight="1" x14ac:dyDescent="0.35">
      <c r="A53" s="124"/>
      <c r="B53" s="125"/>
      <c r="C53" s="171" t="s">
        <v>237</v>
      </c>
      <c r="D53" s="172"/>
      <c r="E53" s="121"/>
      <c r="F53" s="18" t="s">
        <v>122</v>
      </c>
      <c r="G53" s="120">
        <v>45930</v>
      </c>
      <c r="H53" s="121"/>
    </row>
    <row r="54" spans="1:14" s="22" customFormat="1" ht="35.25" customHeight="1" x14ac:dyDescent="0.35">
      <c r="A54" s="122" t="s">
        <v>203</v>
      </c>
      <c r="B54" s="123"/>
      <c r="C54" s="171" t="s">
        <v>238</v>
      </c>
      <c r="D54" s="172"/>
      <c r="E54" s="121"/>
      <c r="F54" s="18" t="s">
        <v>43</v>
      </c>
      <c r="G54" s="120">
        <v>45638</v>
      </c>
      <c r="H54" s="121"/>
    </row>
    <row r="55" spans="1:14" s="22" customFormat="1" ht="49.5" customHeight="1" x14ac:dyDescent="0.35">
      <c r="A55" s="124"/>
      <c r="B55" s="125"/>
      <c r="C55" s="171" t="s">
        <v>239</v>
      </c>
      <c r="D55" s="172"/>
      <c r="E55" s="121"/>
      <c r="F55" s="18" t="s">
        <v>122</v>
      </c>
      <c r="G55" s="120">
        <v>46102</v>
      </c>
      <c r="H55" s="121"/>
    </row>
    <row r="56" spans="1:14" x14ac:dyDescent="0.35">
      <c r="A56" s="173" t="s">
        <v>45</v>
      </c>
      <c r="B56" s="174"/>
      <c r="C56" s="173" t="s">
        <v>108</v>
      </c>
      <c r="D56" s="175"/>
      <c r="E56" s="174"/>
      <c r="F56" s="41" t="s">
        <v>43</v>
      </c>
      <c r="G56" s="176" t="s">
        <v>30</v>
      </c>
      <c r="H56" s="177"/>
    </row>
    <row r="57" spans="1:14" x14ac:dyDescent="0.35">
      <c r="A57" s="147" t="s">
        <v>47</v>
      </c>
      <c r="B57" s="147"/>
      <c r="C57" s="147"/>
      <c r="D57" s="147"/>
      <c r="E57" s="147"/>
      <c r="F57" s="147"/>
      <c r="G57" s="147"/>
      <c r="H57" s="147"/>
    </row>
    <row r="58" spans="1:14" x14ac:dyDescent="0.35">
      <c r="A58" s="133" t="s">
        <v>93</v>
      </c>
      <c r="B58" s="133"/>
      <c r="C58" s="133"/>
      <c r="D58" s="75">
        <f>E44</f>
        <v>10223</v>
      </c>
      <c r="E58" s="75"/>
      <c r="F58" s="75"/>
      <c r="G58" s="75"/>
      <c r="H58" s="75"/>
    </row>
    <row r="59" spans="1:14" x14ac:dyDescent="0.35">
      <c r="A59" s="110" t="s">
        <v>48</v>
      </c>
      <c r="B59" s="109"/>
      <c r="C59" s="109"/>
      <c r="D59" s="109" t="s">
        <v>233</v>
      </c>
      <c r="E59" s="109"/>
      <c r="F59" s="109"/>
      <c r="G59" s="109"/>
      <c r="H59" s="109"/>
      <c r="I59" s="23"/>
    </row>
    <row r="60" spans="1:14" x14ac:dyDescent="0.35">
      <c r="A60" s="110" t="s">
        <v>49</v>
      </c>
      <c r="B60" s="110"/>
      <c r="C60" s="110"/>
      <c r="D60" s="110" t="s">
        <v>232</v>
      </c>
      <c r="E60" s="109"/>
      <c r="F60" s="109"/>
      <c r="G60" s="109"/>
      <c r="H60" s="109"/>
    </row>
    <row r="61" spans="1:14" ht="15.75" customHeight="1" x14ac:dyDescent="0.35">
      <c r="A61" s="110" t="s">
        <v>91</v>
      </c>
      <c r="B61" s="110"/>
      <c r="C61" s="110"/>
      <c r="D61" s="109" t="s">
        <v>232</v>
      </c>
      <c r="E61" s="109"/>
      <c r="F61" s="109"/>
      <c r="G61" s="109"/>
      <c r="H61" s="109"/>
    </row>
    <row r="62" spans="1:14" ht="15.75" customHeight="1" x14ac:dyDescent="0.35">
      <c r="A62" s="110"/>
      <c r="B62" s="110"/>
      <c r="C62" s="110"/>
      <c r="D62" s="109" t="s">
        <v>234</v>
      </c>
      <c r="E62" s="109"/>
      <c r="F62" s="109"/>
      <c r="G62" s="109"/>
      <c r="H62" s="109"/>
    </row>
    <row r="63" spans="1:14" ht="15.75" hidden="1" customHeight="1" x14ac:dyDescent="0.35">
      <c r="A63" s="110"/>
      <c r="B63" s="110"/>
      <c r="C63" s="110"/>
      <c r="D63" s="109" t="s">
        <v>149</v>
      </c>
      <c r="E63" s="109"/>
      <c r="F63" s="109"/>
      <c r="G63" s="109"/>
      <c r="H63" s="109"/>
    </row>
    <row r="64" spans="1:14" ht="15.75" customHeight="1" x14ac:dyDescent="0.35">
      <c r="A64" s="109" t="s">
        <v>46</v>
      </c>
      <c r="B64" s="109"/>
      <c r="C64" s="109"/>
      <c r="D64" s="110" t="s">
        <v>189</v>
      </c>
      <c r="E64" s="110"/>
      <c r="F64" s="110"/>
      <c r="G64" s="110"/>
      <c r="H64" s="110"/>
      <c r="J64" s="24"/>
      <c r="K64" s="23"/>
      <c r="N64" s="23"/>
    </row>
    <row r="65" spans="1:14" ht="15.75" customHeight="1" x14ac:dyDescent="0.35">
      <c r="A65" s="109" t="s">
        <v>89</v>
      </c>
      <c r="B65" s="109"/>
      <c r="C65" s="109"/>
      <c r="D65" s="111" t="str">
        <f>(IF(G56="NA","60 Years After Completion",IF(G56&lt;&gt;"NA",""&amp;60-ROUNDDOWN((E3-G56)/360,0)&amp;" Years"," ")))</f>
        <v>60 Years After Completion</v>
      </c>
      <c r="E65" s="111"/>
      <c r="F65" s="111"/>
      <c r="G65" s="111"/>
      <c r="H65" s="111"/>
      <c r="N65" s="23"/>
    </row>
    <row r="66" spans="1:14" ht="15.75" customHeight="1" x14ac:dyDescent="0.35">
      <c r="A66" s="109" t="s">
        <v>90</v>
      </c>
      <c r="B66" s="109"/>
      <c r="C66" s="109"/>
      <c r="D66" s="110" t="s">
        <v>24</v>
      </c>
      <c r="E66" s="110"/>
      <c r="F66" s="110"/>
      <c r="G66" s="110"/>
      <c r="H66" s="110"/>
      <c r="J66" s="25"/>
      <c r="K66" s="25"/>
    </row>
    <row r="67" spans="1:14" ht="30" customHeight="1" x14ac:dyDescent="0.35">
      <c r="A67" s="75" t="s">
        <v>76</v>
      </c>
      <c r="B67" s="75"/>
      <c r="C67" s="75"/>
      <c r="D67" s="110" t="s">
        <v>170</v>
      </c>
      <c r="E67" s="133"/>
      <c r="F67" s="133"/>
      <c r="G67" s="133"/>
      <c r="H67" s="133"/>
    </row>
    <row r="68" spans="1:14" x14ac:dyDescent="0.35">
      <c r="A68" s="133" t="s">
        <v>150</v>
      </c>
      <c r="B68" s="133"/>
      <c r="C68" s="133"/>
      <c r="D68" s="133" t="s">
        <v>30</v>
      </c>
      <c r="E68" s="133"/>
      <c r="F68" s="133"/>
      <c r="G68" s="133"/>
      <c r="H68" s="133"/>
      <c r="I68" s="26"/>
      <c r="J68" s="26"/>
      <c r="K68" s="26"/>
      <c r="L68" s="26"/>
      <c r="M68" s="26"/>
      <c r="N68" s="26"/>
    </row>
    <row r="69" spans="1:14" ht="15.75" customHeight="1" x14ac:dyDescent="0.35">
      <c r="A69" s="143" t="s">
        <v>88</v>
      </c>
      <c r="B69" s="143"/>
      <c r="C69" s="143"/>
      <c r="D69" s="114" t="str">
        <f ca="1">(IF(G75&gt;95%,"Nothing",IF(G75&gt;0%,"Cement, Aggregate, Steel, etc",IF(G75=0%,"Work not yet Started"))))</f>
        <v>Cement, Aggregate, Steel, etc</v>
      </c>
      <c r="E69" s="114"/>
      <c r="F69" s="114"/>
      <c r="G69" s="114"/>
      <c r="H69" s="114"/>
      <c r="J69" s="25"/>
    </row>
    <row r="70" spans="1:14" ht="33.75" customHeight="1" thickBot="1" x14ac:dyDescent="0.4">
      <c r="A70" s="142" t="s">
        <v>121</v>
      </c>
      <c r="B70" s="142"/>
      <c r="C70" s="142"/>
      <c r="D70" s="114" t="str">
        <f ca="1">(IF(D69="Nothing","Yes",IF(D69="Cement, Aggregate, Steel, etc","Under Construction",IF(D69="Work not yet Started","Work not yet Started"))))</f>
        <v>Under Construction</v>
      </c>
      <c r="E70" s="114"/>
      <c r="F70" s="114" t="str">
        <f ca="1">(IF(D69="Nothing","Yes",IF(D69="Cement, Aggregate, Steel, etc","Under Construction",IF(D69="Work not yet Started","Work not yet Started"))))</f>
        <v>Under Construction</v>
      </c>
      <c r="G70" s="114"/>
      <c r="H70" s="114"/>
    </row>
    <row r="71" spans="1:14" ht="15.75" customHeight="1" x14ac:dyDescent="0.35">
      <c r="A71" s="137" t="s">
        <v>141</v>
      </c>
      <c r="B71" s="138"/>
      <c r="C71" s="139" t="str">
        <f>D61</f>
        <v>A Wing = Gr + P1 to P3 + 4th to 19th Floor</v>
      </c>
      <c r="D71" s="140"/>
      <c r="E71" s="140"/>
      <c r="F71" s="140"/>
      <c r="G71" s="140"/>
      <c r="H71" s="141"/>
      <c r="I71" s="44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 Completed, External Plaster upto 17 Floor, Flooring upto 12 Floor, Painting upto 10 Floor Completed</v>
      </c>
      <c r="J71" s="45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External Plaster upto 17 Floor, Flooring upto 12 Floor, Painting upto 10 Floor</v>
      </c>
    </row>
    <row r="72" spans="1:14" x14ac:dyDescent="0.35">
      <c r="A72" s="16" t="s">
        <v>143</v>
      </c>
      <c r="B72" s="50">
        <v>0</v>
      </c>
      <c r="C72" s="50" t="s">
        <v>73</v>
      </c>
      <c r="D72" s="50">
        <v>1</v>
      </c>
      <c r="E72" s="50" t="s">
        <v>72</v>
      </c>
      <c r="F72" s="50">
        <v>0</v>
      </c>
      <c r="G72" s="50" t="s">
        <v>82</v>
      </c>
      <c r="H72" s="17">
        <f ca="1">--TRIM(RIGHT(SUBSTITUTE(LEFT(C71,_xlfn.AGGREGATE(16,6,FIND({0,1,2,3,4,5,6,7,8,9},C71,ROW(INDIRECT("1:"&amp;LEN(C71)))),1))," ",REPT(" ",LEN(C71))),LEN(C71)))</f>
        <v>19</v>
      </c>
      <c r="I72" s="46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</v>
      </c>
      <c r="J72" s="47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47.25" customHeight="1" x14ac:dyDescent="0.35">
      <c r="A73" s="69" t="s">
        <v>92</v>
      </c>
      <c r="B73" s="70"/>
      <c r="C73" s="71" t="str">
        <f ca="1">I71</f>
        <v>Excavation, Plinth, RCC Slab, Brickwork, Internal Plaster Completed, External Plaster upto 17 Floor, Flooring upto 12 Floor, Painting upto 10 Floor Completed</v>
      </c>
      <c r="D73" s="71"/>
      <c r="E73" s="71"/>
      <c r="F73" s="71"/>
      <c r="G73" s="71"/>
      <c r="H73" s="72"/>
      <c r="I73" s="46" t="str">
        <f ca="1">IF(I72&lt;&gt;""," Completed","")</f>
        <v xml:space="preserve"> Completed</v>
      </c>
      <c r="J73" s="47" t="str">
        <f ca="1">IF(J71&lt;&gt;"","Completed","")</f>
        <v>Completed</v>
      </c>
    </row>
    <row r="74" spans="1:14" ht="15.75" customHeight="1" x14ac:dyDescent="0.35">
      <c r="A74" s="77" t="s">
        <v>50</v>
      </c>
      <c r="B74" s="78"/>
      <c r="C74" s="53" t="s">
        <v>140</v>
      </c>
      <c r="D74" s="53" t="s">
        <v>85</v>
      </c>
      <c r="E74" s="78" t="s">
        <v>87</v>
      </c>
      <c r="F74" s="78"/>
      <c r="G74" s="78" t="s">
        <v>86</v>
      </c>
      <c r="H74" s="79"/>
      <c r="I74" s="13" t="s">
        <v>142</v>
      </c>
      <c r="J74" s="27">
        <f ca="1">H72*25%</f>
        <v>4.75</v>
      </c>
    </row>
    <row r="75" spans="1:14" x14ac:dyDescent="0.35">
      <c r="A75" s="77" t="s">
        <v>129</v>
      </c>
      <c r="B75" s="78"/>
      <c r="C75" s="53">
        <f ca="1">J76</f>
        <v>19</v>
      </c>
      <c r="D75" s="54">
        <f ca="1">((100/H72)*C75)/100</f>
        <v>1</v>
      </c>
      <c r="E75" s="84">
        <f ca="1">(((C76/H72*10)+(40/(D72+F72+H72)*C77)+(7.5/(H72)*C78)+(7.5/(H72)*C79)+(10/H72*C80)+(10/H72*C81)+(5/H72*C82)+(5/H72*C83)+(5/H72*C84))/100)</f>
        <v>0.82894736842105265</v>
      </c>
      <c r="F75" s="102"/>
      <c r="G75" s="84">
        <f ca="1">((((C75/H72)*20)+((C76/H72)*25)+(30/(H72+F72+D72)*C77)+(5/H72*C78)+(5/H72*C79)+(5/H72*C80)+(5/H72*C81)+(0/H72*C82)+(0/H72*C83)+(5/H72*C84))/100)</f>
        <v>0.9263157894736842</v>
      </c>
      <c r="H75" s="85"/>
      <c r="I75" s="13" t="s">
        <v>103</v>
      </c>
      <c r="J75" s="28">
        <f ca="1">H72*50%</f>
        <v>9.5</v>
      </c>
    </row>
    <row r="76" spans="1:14" x14ac:dyDescent="0.35">
      <c r="A76" s="77" t="s">
        <v>51</v>
      </c>
      <c r="B76" s="78"/>
      <c r="C76" s="53">
        <f ca="1">J84</f>
        <v>19</v>
      </c>
      <c r="D76" s="54">
        <f ca="1">((100/H72)*C76)/100</f>
        <v>1</v>
      </c>
      <c r="E76" s="86"/>
      <c r="F76" s="103"/>
      <c r="G76" s="86"/>
      <c r="H76" s="87"/>
      <c r="I76" s="13" t="s">
        <v>104</v>
      </c>
      <c r="J76" s="28">
        <f ca="1">H72</f>
        <v>19</v>
      </c>
    </row>
    <row r="77" spans="1:14" ht="15.75" customHeight="1" x14ac:dyDescent="0.35">
      <c r="A77" s="77" t="s">
        <v>130</v>
      </c>
      <c r="B77" s="78"/>
      <c r="C77" s="53">
        <v>20</v>
      </c>
      <c r="D77" s="54">
        <f ca="1">((100/(D72+F72+H72))*C77)/100</f>
        <v>1</v>
      </c>
      <c r="E77" s="86"/>
      <c r="F77" s="103"/>
      <c r="G77" s="86"/>
      <c r="H77" s="87"/>
      <c r="I77" s="13" t="s">
        <v>105</v>
      </c>
      <c r="J77" s="29">
        <f ca="1">(IF(B72&gt;1,(H72/(B72+2)),H72/4))</f>
        <v>4.75</v>
      </c>
    </row>
    <row r="78" spans="1:14" ht="15.75" customHeight="1" x14ac:dyDescent="0.35">
      <c r="A78" s="77" t="s">
        <v>137</v>
      </c>
      <c r="B78" s="78" t="s">
        <v>131</v>
      </c>
      <c r="C78" s="53">
        <v>19</v>
      </c>
      <c r="D78" s="54">
        <f ca="1">((100/H72)*C78)/100</f>
        <v>1</v>
      </c>
      <c r="E78" s="86"/>
      <c r="F78" s="103"/>
      <c r="G78" s="86"/>
      <c r="H78" s="87"/>
      <c r="I78" s="13" t="s">
        <v>106</v>
      </c>
      <c r="J78" s="29">
        <f ca="1">(IF(B72&gt;1,(H72/(B72+2)+J77),H72/4+J77))</f>
        <v>9.5</v>
      </c>
    </row>
    <row r="79" spans="1:14" ht="15.75" customHeight="1" x14ac:dyDescent="0.35">
      <c r="A79" s="77" t="s">
        <v>138</v>
      </c>
      <c r="B79" s="78" t="s">
        <v>131</v>
      </c>
      <c r="C79" s="53">
        <v>19</v>
      </c>
      <c r="D79" s="54">
        <f ca="1">((100/H72)*C79)/100</f>
        <v>1</v>
      </c>
      <c r="E79" s="86"/>
      <c r="F79" s="103"/>
      <c r="G79" s="86"/>
      <c r="H79" s="87"/>
      <c r="I79" s="13" t="s">
        <v>147</v>
      </c>
      <c r="J79" s="29">
        <f>(IF(B72&gt;1,(H72/(B72+2)+J78),0))</f>
        <v>0</v>
      </c>
    </row>
    <row r="80" spans="1:14" ht="15" customHeight="1" x14ac:dyDescent="0.35">
      <c r="A80" s="77" t="s">
        <v>136</v>
      </c>
      <c r="B80" s="78" t="s">
        <v>133</v>
      </c>
      <c r="C80" s="53">
        <v>17</v>
      </c>
      <c r="D80" s="54">
        <f ca="1">((100/(H72))*C80)/100</f>
        <v>0.89473684210526327</v>
      </c>
      <c r="E80" s="86"/>
      <c r="F80" s="103"/>
      <c r="G80" s="86"/>
      <c r="H80" s="87"/>
      <c r="I80" s="13" t="s">
        <v>144</v>
      </c>
      <c r="J80" s="29">
        <f>(IF(B72&gt;2,(H72/(B72+2)+J79),0))</f>
        <v>0</v>
      </c>
    </row>
    <row r="81" spans="1:10" ht="15.75" customHeight="1" x14ac:dyDescent="0.35">
      <c r="A81" s="77" t="s">
        <v>132</v>
      </c>
      <c r="B81" s="78" t="s">
        <v>132</v>
      </c>
      <c r="C81" s="53">
        <v>12</v>
      </c>
      <c r="D81" s="54">
        <f ca="1">((100/H72)*C81)/100</f>
        <v>0.63157894736842113</v>
      </c>
      <c r="E81" s="86"/>
      <c r="F81" s="103"/>
      <c r="G81" s="86"/>
      <c r="H81" s="87"/>
      <c r="I81" s="13" t="s">
        <v>145</v>
      </c>
      <c r="J81" s="30">
        <f>(IF(B72&gt;3,(H72/(B72+2)+J80),0))</f>
        <v>0</v>
      </c>
    </row>
    <row r="82" spans="1:10" ht="15.75" customHeight="1" x14ac:dyDescent="0.35">
      <c r="A82" s="77" t="s">
        <v>139</v>
      </c>
      <c r="B82" s="78"/>
      <c r="C82" s="53">
        <v>10</v>
      </c>
      <c r="D82" s="54">
        <f ca="1">((100/H72)*C82)/100</f>
        <v>0.52631578947368429</v>
      </c>
      <c r="E82" s="86"/>
      <c r="F82" s="103"/>
      <c r="G82" s="86"/>
      <c r="H82" s="87"/>
      <c r="I82" s="13" t="s">
        <v>146</v>
      </c>
      <c r="J82" s="29">
        <f>(IF(B72&gt;4,(H72/(B72+2)+J81),0))</f>
        <v>0</v>
      </c>
    </row>
    <row r="83" spans="1:10" ht="15.75" customHeight="1" x14ac:dyDescent="0.35">
      <c r="A83" s="77" t="s">
        <v>134</v>
      </c>
      <c r="B83" s="78" t="s">
        <v>134</v>
      </c>
      <c r="C83" s="53">
        <v>0</v>
      </c>
      <c r="D83" s="54">
        <f ca="1">((100/(H72))*C83)/100</f>
        <v>0</v>
      </c>
      <c r="E83" s="86"/>
      <c r="F83" s="103"/>
      <c r="G83" s="86"/>
      <c r="H83" s="87"/>
      <c r="I83" s="13" t="s">
        <v>148</v>
      </c>
      <c r="J83" s="29">
        <f ca="1">(IF(B72=1,(H72/(B72+3)+J78),IF(B72=0,(H72/4+J78),IF(B72&gt;1,0))))</f>
        <v>14.25</v>
      </c>
    </row>
    <row r="84" spans="1:10" ht="16" thickBot="1" x14ac:dyDescent="0.4">
      <c r="A84" s="105" t="s">
        <v>135</v>
      </c>
      <c r="B84" s="106"/>
      <c r="C84" s="55">
        <v>0</v>
      </c>
      <c r="D84" s="56">
        <f ca="1">((100/(H72))*C84)/100</f>
        <v>0</v>
      </c>
      <c r="E84" s="88"/>
      <c r="F84" s="104"/>
      <c r="G84" s="88"/>
      <c r="H84" s="89"/>
      <c r="I84" s="15" t="s">
        <v>107</v>
      </c>
      <c r="J84" s="31">
        <f ca="1">(IF(B72&gt;1.5,(H72/(B72+2)+J78+MAX(0,J79-J78)+MAX(0,J80-J79)+MAX(0,J81-J80)+MAX(0,J82-J81)+MAX(0,J83-J82)),IF(B72=1,(H72/(B72+3)+J83),IF(B72=0,H72/4+J83))))</f>
        <v>19</v>
      </c>
    </row>
    <row r="85" spans="1:10" ht="15.75" customHeight="1" x14ac:dyDescent="0.35">
      <c r="A85" s="137" t="s">
        <v>141</v>
      </c>
      <c r="B85" s="138"/>
      <c r="C85" s="139" t="str">
        <f>D62</f>
        <v>B Wing = Gr + P1 to P3 + 4th to 19th Floor</v>
      </c>
      <c r="D85" s="140"/>
      <c r="E85" s="140"/>
      <c r="F85" s="140"/>
      <c r="G85" s="140"/>
      <c r="H85" s="141"/>
      <c r="I85" s="44" t="str">
        <f ca="1">IF(D98=100%,"All work Completed. Possession granted to the Building.",IF(D97=100%,"All work Completed, Waiting for OC",I86&amp;""&amp;I87&amp;""&amp;J86&amp;""&amp;J85&amp;" "&amp;J87))</f>
        <v>Excavation, Plinth, RCC Slab, Brickwork, Internal Plaster Completed, External Plaster upto 13 Floor, Flooring upto 4 Floor, Painting upto 3 Floor Completed</v>
      </c>
      <c r="J85" s="45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External Plaster upto 13 Floor, Flooring upto 4 Floor, Painting upto 3 Floor</v>
      </c>
    </row>
    <row r="86" spans="1:10" x14ac:dyDescent="0.35">
      <c r="A86" s="16" t="s">
        <v>143</v>
      </c>
      <c r="B86" s="50">
        <v>0</v>
      </c>
      <c r="C86" s="50" t="s">
        <v>73</v>
      </c>
      <c r="D86" s="50">
        <v>1</v>
      </c>
      <c r="E86" s="50" t="s">
        <v>72</v>
      </c>
      <c r="F86" s="50">
        <v>0</v>
      </c>
      <c r="G86" s="50" t="s">
        <v>82</v>
      </c>
      <c r="H86" s="17">
        <f ca="1">--TRIM(RIGHT(SUBSTITUTE(LEFT(C85,_xlfn.AGGREGATE(16,6,FIND({0,1,2,3,4,5,6,7,8,9},C85,ROW(INDIRECT("1:"&amp;LEN(C85)))),1))," ",REPT(" ",LEN(C85))),LEN(C85)))</f>
        <v>19</v>
      </c>
      <c r="I86" s="46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Brickwork, Internal Plaster</v>
      </c>
      <c r="J86" s="47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48.5" customHeight="1" x14ac:dyDescent="0.35">
      <c r="A87" s="69" t="s">
        <v>92</v>
      </c>
      <c r="B87" s="70"/>
      <c r="C87" s="71" t="str">
        <f ca="1">(IF($G$56="NA",I85,"All work Completed. OC Received."))</f>
        <v>Excavation, Plinth, RCC Slab, Brickwork, Internal Plaster Completed, External Plaster upto 13 Floor, Flooring upto 4 Floor, Painting upto 3 Floor Completed</v>
      </c>
      <c r="D87" s="71"/>
      <c r="E87" s="71"/>
      <c r="F87" s="71"/>
      <c r="G87" s="71"/>
      <c r="H87" s="72"/>
      <c r="I87" s="46" t="str">
        <f ca="1">IF(I86&lt;&gt;""," Completed","")</f>
        <v xml:space="preserve"> Completed</v>
      </c>
      <c r="J87" s="47" t="str">
        <f ca="1">IF(J85&lt;&gt;"","Completed","")</f>
        <v>Completed</v>
      </c>
    </row>
    <row r="88" spans="1:10" ht="15.75" customHeight="1" x14ac:dyDescent="0.35">
      <c r="A88" s="77" t="s">
        <v>50</v>
      </c>
      <c r="B88" s="78"/>
      <c r="C88" s="53" t="s">
        <v>140</v>
      </c>
      <c r="D88" s="53" t="s">
        <v>85</v>
      </c>
      <c r="E88" s="78" t="s">
        <v>87</v>
      </c>
      <c r="F88" s="78"/>
      <c r="G88" s="78" t="s">
        <v>86</v>
      </c>
      <c r="H88" s="79"/>
      <c r="I88" s="13" t="s">
        <v>142</v>
      </c>
      <c r="J88" s="27">
        <f ca="1">H86*25%</f>
        <v>4.75</v>
      </c>
    </row>
    <row r="89" spans="1:10" x14ac:dyDescent="0.35">
      <c r="A89" s="78" t="s">
        <v>129</v>
      </c>
      <c r="B89" s="78"/>
      <c r="C89" s="66">
        <f ca="1">J90</f>
        <v>19</v>
      </c>
      <c r="D89" s="54">
        <f ca="1">((100/H86)*C89)/100</f>
        <v>1</v>
      </c>
      <c r="E89" s="184">
        <f ca="1">(((C90/H86*10)+(40/(D86+F86+H86)*C91)+(7.5/(H86)*C92)+(7.5/(H86)*C93)+(10/H86*C94)+(10/H86*C95)+(5/H86*C96)+(5/H86*C97)+(5/H86*C98))/100)</f>
        <v>0.74736842105263146</v>
      </c>
      <c r="F89" s="184"/>
      <c r="G89" s="184">
        <f ca="1">((((C89/H86)*20)+((C90/H86)*25)+(30/(H86+F86+D86)*C91)+(5/H86*C92)+(5/H86*C93)+(5/H86*C94)+(5/H86*C95)+(0/H86*C96)+(0/H86*C97)+(5/H86*C98))/100)</f>
        <v>0.89473684210526316</v>
      </c>
      <c r="H89" s="184"/>
      <c r="I89" s="13" t="s">
        <v>103</v>
      </c>
      <c r="J89" s="28">
        <f ca="1">H86*50%</f>
        <v>9.5</v>
      </c>
    </row>
    <row r="90" spans="1:10" x14ac:dyDescent="0.35">
      <c r="A90" s="78" t="s">
        <v>51</v>
      </c>
      <c r="B90" s="78"/>
      <c r="C90" s="66">
        <f ca="1">J98</f>
        <v>19</v>
      </c>
      <c r="D90" s="54">
        <f ca="1">((100/H86)*C90)/100</f>
        <v>1</v>
      </c>
      <c r="E90" s="184"/>
      <c r="F90" s="184"/>
      <c r="G90" s="184"/>
      <c r="H90" s="184"/>
      <c r="I90" s="13" t="s">
        <v>104</v>
      </c>
      <c r="J90" s="28">
        <f ca="1">H86</f>
        <v>19</v>
      </c>
    </row>
    <row r="91" spans="1:10" ht="15.75" customHeight="1" x14ac:dyDescent="0.35">
      <c r="A91" s="78" t="s">
        <v>130</v>
      </c>
      <c r="B91" s="78"/>
      <c r="C91" s="66">
        <v>20</v>
      </c>
      <c r="D91" s="54">
        <f ca="1">((100/(D86+F86+H86))*C91)/100</f>
        <v>1</v>
      </c>
      <c r="E91" s="184"/>
      <c r="F91" s="184"/>
      <c r="G91" s="184"/>
      <c r="H91" s="184"/>
      <c r="I91" s="13" t="s">
        <v>105</v>
      </c>
      <c r="J91" s="29">
        <f ca="1">(IF(B86&gt;1,(H86/(B86+2)),H86/4))</f>
        <v>4.75</v>
      </c>
    </row>
    <row r="92" spans="1:10" ht="15.75" customHeight="1" x14ac:dyDescent="0.35">
      <c r="A92" s="78" t="s">
        <v>137</v>
      </c>
      <c r="B92" s="78" t="s">
        <v>131</v>
      </c>
      <c r="C92" s="66">
        <v>19</v>
      </c>
      <c r="D92" s="54">
        <f ca="1">((100/H86)*C92)/100</f>
        <v>1</v>
      </c>
      <c r="E92" s="184"/>
      <c r="F92" s="184"/>
      <c r="G92" s="184"/>
      <c r="H92" s="184"/>
      <c r="I92" s="13" t="s">
        <v>106</v>
      </c>
      <c r="J92" s="29">
        <f ca="1">(IF(B86&gt;1,(H86/(B86+2)+J91),H86/4+J91))</f>
        <v>9.5</v>
      </c>
    </row>
    <row r="93" spans="1:10" ht="15.75" customHeight="1" x14ac:dyDescent="0.35">
      <c r="A93" s="78" t="s">
        <v>138</v>
      </c>
      <c r="B93" s="78" t="s">
        <v>131</v>
      </c>
      <c r="C93" s="66">
        <v>19</v>
      </c>
      <c r="D93" s="54">
        <f ca="1">((100/H86)*C93)/100</f>
        <v>1</v>
      </c>
      <c r="E93" s="184"/>
      <c r="F93" s="184"/>
      <c r="G93" s="184"/>
      <c r="H93" s="184"/>
      <c r="I93" s="13" t="s">
        <v>147</v>
      </c>
      <c r="J93" s="29">
        <f>(IF(B86&gt;1,(H86/(B86+2)+J92),0))</f>
        <v>0</v>
      </c>
    </row>
    <row r="94" spans="1:10" ht="15" customHeight="1" x14ac:dyDescent="0.35">
      <c r="A94" s="78" t="s">
        <v>136</v>
      </c>
      <c r="B94" s="78" t="s">
        <v>133</v>
      </c>
      <c r="C94" s="66">
        <v>13</v>
      </c>
      <c r="D94" s="54">
        <f ca="1">((100/(H86))*C94)/100</f>
        <v>0.6842105263157896</v>
      </c>
      <c r="E94" s="184"/>
      <c r="F94" s="184"/>
      <c r="G94" s="184"/>
      <c r="H94" s="184"/>
      <c r="I94" s="13" t="s">
        <v>144</v>
      </c>
      <c r="J94" s="29">
        <f>(IF(B86&gt;2,(H86/(B86+2)+J93),0))</f>
        <v>0</v>
      </c>
    </row>
    <row r="95" spans="1:10" ht="15.75" customHeight="1" x14ac:dyDescent="0.35">
      <c r="A95" s="78" t="s">
        <v>132</v>
      </c>
      <c r="B95" s="78" t="s">
        <v>132</v>
      </c>
      <c r="C95" s="66">
        <v>4</v>
      </c>
      <c r="D95" s="54">
        <f ca="1">((100/H86)*C95)/100</f>
        <v>0.2105263157894737</v>
      </c>
      <c r="E95" s="184"/>
      <c r="F95" s="184"/>
      <c r="G95" s="184"/>
      <c r="H95" s="184"/>
      <c r="I95" s="13" t="s">
        <v>145</v>
      </c>
      <c r="J95" s="30">
        <f>(IF(B86&gt;3,(H86/(B86+2)+J94),0))</f>
        <v>0</v>
      </c>
    </row>
    <row r="96" spans="1:10" ht="15.75" customHeight="1" x14ac:dyDescent="0.35">
      <c r="A96" s="78" t="s">
        <v>139</v>
      </c>
      <c r="B96" s="78"/>
      <c r="C96" s="66">
        <v>3</v>
      </c>
      <c r="D96" s="54">
        <f ca="1">((100/H86)*C96)/100</f>
        <v>0.15789473684210528</v>
      </c>
      <c r="E96" s="184"/>
      <c r="F96" s="184"/>
      <c r="G96" s="184"/>
      <c r="H96" s="184"/>
      <c r="I96" s="13" t="s">
        <v>146</v>
      </c>
      <c r="J96" s="29">
        <f>(IF(B86&gt;4,(H86/(B86+2)+J95),0))</f>
        <v>0</v>
      </c>
    </row>
    <row r="97" spans="1:10" ht="15.75" customHeight="1" x14ac:dyDescent="0.35">
      <c r="A97" s="78" t="s">
        <v>134</v>
      </c>
      <c r="B97" s="78" t="s">
        <v>134</v>
      </c>
      <c r="C97" s="66">
        <v>0</v>
      </c>
      <c r="D97" s="54">
        <f ca="1">((100/(H86))*C97)/100</f>
        <v>0</v>
      </c>
      <c r="E97" s="184"/>
      <c r="F97" s="184"/>
      <c r="G97" s="184"/>
      <c r="H97" s="184"/>
      <c r="I97" s="13" t="s">
        <v>148</v>
      </c>
      <c r="J97" s="29">
        <f ca="1">(IF(B86=1,(H86/(B86+3)+J92),IF(B86=0,(H86/4+J92),IF(B86&gt;1,0))))</f>
        <v>14.25</v>
      </c>
    </row>
    <row r="98" spans="1:10" ht="16" thickBot="1" x14ac:dyDescent="0.4">
      <c r="A98" s="78" t="s">
        <v>135</v>
      </c>
      <c r="B98" s="78"/>
      <c r="C98" s="66">
        <v>0</v>
      </c>
      <c r="D98" s="54">
        <f ca="1">((100/(H86))*C98)/100</f>
        <v>0</v>
      </c>
      <c r="E98" s="184"/>
      <c r="F98" s="184"/>
      <c r="G98" s="184"/>
      <c r="H98" s="184"/>
      <c r="I98" s="15" t="s">
        <v>107</v>
      </c>
      <c r="J98" s="31">
        <f ca="1">(IF(B86&gt;1.5,(H86/(B86+2)+J92+MAX(0,J93-J92)+MAX(0,J94-J93)+MAX(0,J95-J94)+MAX(0,J96-J95)+MAX(0,J97-J96)),IF(B86=1,(H86/(B86+3)+J97),IF(B86=0,H86/4+J97))))</f>
        <v>19</v>
      </c>
    </row>
    <row r="99" spans="1:10" ht="15.75" hidden="1" customHeight="1" x14ac:dyDescent="0.35">
      <c r="A99" s="185" t="s">
        <v>141</v>
      </c>
      <c r="B99" s="185"/>
      <c r="C99" s="185" t="str">
        <f>D63</f>
        <v>C Wing = G + 1st to 20th Floor</v>
      </c>
      <c r="D99" s="185"/>
      <c r="E99" s="185"/>
      <c r="F99" s="185"/>
      <c r="G99" s="185"/>
      <c r="H99" s="185"/>
      <c r="I99" s="182" t="str">
        <f ca="1">IF(D112=100%,"All work Completed. Possession granted to the Building.",IF(D111=100%,"All work Completed, Waiting for OC",I100&amp;""&amp;I101&amp;""&amp;J100&amp;""&amp;J99&amp;" "&amp;J101))</f>
        <v xml:space="preserve">Excavation, Plinth, RCC Slab Completed </v>
      </c>
      <c r="J99" s="45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hidden="1" x14ac:dyDescent="0.35">
      <c r="A100" s="68" t="s">
        <v>143</v>
      </c>
      <c r="B100" s="14">
        <v>0</v>
      </c>
      <c r="C100" s="68" t="s">
        <v>73</v>
      </c>
      <c r="D100" s="68">
        <v>1</v>
      </c>
      <c r="E100" s="68" t="s">
        <v>72</v>
      </c>
      <c r="F100" s="14">
        <v>0</v>
      </c>
      <c r="G100" s="43" t="s">
        <v>82</v>
      </c>
      <c r="H100" s="68">
        <f ca="1">--TRIM(RIGHT(SUBSTITUTE(LEFT(C99,_xlfn.AGGREGATE(16,6,FIND({0,1,2,3,4,5,6,7,8,9},C99,ROW(INDIRECT("1:"&amp;LEN(C99)))),1))," ",REPT(" ",LEN(C99))),LEN(C99)))</f>
        <v>20</v>
      </c>
      <c r="I100" s="183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</v>
      </c>
      <c r="J100" s="47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33" hidden="1" customHeight="1" x14ac:dyDescent="0.35">
      <c r="A101" s="70" t="s">
        <v>92</v>
      </c>
      <c r="B101" s="70"/>
      <c r="C101" s="71" t="str">
        <f ca="1">(IF($G$56="NA",I99,"All work Completed. OC Received."))</f>
        <v xml:space="preserve">Excavation, Plinth, RCC Slab Completed </v>
      </c>
      <c r="D101" s="71"/>
      <c r="E101" s="71"/>
      <c r="F101" s="71"/>
      <c r="G101" s="71"/>
      <c r="H101" s="71"/>
      <c r="I101" s="183" t="str">
        <f ca="1">IF(I100&lt;&gt;""," Completed","")</f>
        <v xml:space="preserve"> Completed</v>
      </c>
      <c r="J101" s="47" t="str">
        <f ca="1">IF(J99&lt;&gt;"","Completed","")</f>
        <v/>
      </c>
    </row>
    <row r="102" spans="1:10" ht="15.75" hidden="1" customHeight="1" x14ac:dyDescent="0.35">
      <c r="A102" s="73" t="s">
        <v>50</v>
      </c>
      <c r="B102" s="73"/>
      <c r="C102" s="67" t="s">
        <v>140</v>
      </c>
      <c r="D102" s="67" t="s">
        <v>85</v>
      </c>
      <c r="E102" s="73" t="s">
        <v>87</v>
      </c>
      <c r="F102" s="73"/>
      <c r="G102" s="73" t="s">
        <v>86</v>
      </c>
      <c r="H102" s="73"/>
      <c r="I102" s="13" t="s">
        <v>142</v>
      </c>
      <c r="J102" s="27">
        <f ca="1">H100*25%</f>
        <v>5</v>
      </c>
    </row>
    <row r="103" spans="1:10" hidden="1" x14ac:dyDescent="0.35">
      <c r="A103" s="73" t="s">
        <v>129</v>
      </c>
      <c r="B103" s="73"/>
      <c r="C103" s="67">
        <f ca="1">J104</f>
        <v>20</v>
      </c>
      <c r="D103" s="19">
        <f ca="1">((100/H100)*C103)/100</f>
        <v>1</v>
      </c>
      <c r="E103" s="186">
        <f ca="1">(((C104/H100*10)+(40/(D100+F100+H100)*C105)+(7.5/(H100)*C106)+(7.5/(H100)*C107)+(10/H100*C108)+(10/H100*C109)+(5/H100*C110)+(5/H100*C111)+(5/H100*C112))/100)</f>
        <v>0.5</v>
      </c>
      <c r="F103" s="186"/>
      <c r="G103" s="186">
        <f ca="1">((((C103/H100)*20)+((C104/H100)*25)+(30/(H100+F100+D100)*C105)+(5/H100*C106)+(5/H100*C107)+(5/H100*C108)+(5/H100*C109)+(0/H100*C110)+(0/H100*C111)+(5/H100*C112))/100)</f>
        <v>0.75</v>
      </c>
      <c r="H103" s="186"/>
      <c r="I103" s="13" t="s">
        <v>103</v>
      </c>
      <c r="J103" s="28">
        <f ca="1">H100*50%</f>
        <v>10</v>
      </c>
    </row>
    <row r="104" spans="1:10" hidden="1" x14ac:dyDescent="0.35">
      <c r="A104" s="73" t="s">
        <v>51</v>
      </c>
      <c r="B104" s="73"/>
      <c r="C104" s="67">
        <f ca="1">J112</f>
        <v>20</v>
      </c>
      <c r="D104" s="19">
        <f ca="1">((100/H100)*C104)/100</f>
        <v>1</v>
      </c>
      <c r="E104" s="186"/>
      <c r="F104" s="186"/>
      <c r="G104" s="186"/>
      <c r="H104" s="186"/>
      <c r="I104" s="13" t="s">
        <v>104</v>
      </c>
      <c r="J104" s="28">
        <f ca="1">H100</f>
        <v>20</v>
      </c>
    </row>
    <row r="105" spans="1:10" ht="15.75" hidden="1" customHeight="1" x14ac:dyDescent="0.35">
      <c r="A105" s="73" t="s">
        <v>130</v>
      </c>
      <c r="B105" s="73"/>
      <c r="C105" s="67">
        <f ca="1">D100+H100</f>
        <v>21</v>
      </c>
      <c r="D105" s="19">
        <f ca="1">((100/(D100+F100+H100))*C105)/100</f>
        <v>1</v>
      </c>
      <c r="E105" s="186"/>
      <c r="F105" s="186"/>
      <c r="G105" s="186"/>
      <c r="H105" s="186"/>
      <c r="I105" s="13" t="s">
        <v>105</v>
      </c>
      <c r="J105" s="29">
        <f ca="1">(IF(B100&gt;1,(H100/(B100+2)),H100/4))</f>
        <v>5</v>
      </c>
    </row>
    <row r="106" spans="1:10" ht="15.75" hidden="1" customHeight="1" x14ac:dyDescent="0.35">
      <c r="A106" s="73" t="s">
        <v>137</v>
      </c>
      <c r="B106" s="73" t="s">
        <v>131</v>
      </c>
      <c r="C106" s="67">
        <v>0</v>
      </c>
      <c r="D106" s="19">
        <f ca="1">((100/H100)*C106)/100</f>
        <v>0</v>
      </c>
      <c r="E106" s="186"/>
      <c r="F106" s="186"/>
      <c r="G106" s="186"/>
      <c r="H106" s="186"/>
      <c r="I106" s="13" t="s">
        <v>106</v>
      </c>
      <c r="J106" s="29">
        <f ca="1">(IF(B100&gt;1,(H100/(B100+2)+J105),H100/4+J105))</f>
        <v>10</v>
      </c>
    </row>
    <row r="107" spans="1:10" ht="15.75" hidden="1" customHeight="1" x14ac:dyDescent="0.35">
      <c r="A107" s="73" t="s">
        <v>138</v>
      </c>
      <c r="B107" s="73" t="s">
        <v>131</v>
      </c>
      <c r="C107" s="67">
        <v>0</v>
      </c>
      <c r="D107" s="19">
        <f ca="1">((100/H100)*C107)/100</f>
        <v>0</v>
      </c>
      <c r="E107" s="186"/>
      <c r="F107" s="186"/>
      <c r="G107" s="186"/>
      <c r="H107" s="186"/>
      <c r="I107" s="13" t="s">
        <v>147</v>
      </c>
      <c r="J107" s="29">
        <f>(IF(B100&gt;1,(H100/(B100+2)+J106),0))</f>
        <v>0</v>
      </c>
    </row>
    <row r="108" spans="1:10" ht="15" hidden="1" customHeight="1" x14ac:dyDescent="0.35">
      <c r="A108" s="73" t="s">
        <v>136</v>
      </c>
      <c r="B108" s="73" t="s">
        <v>133</v>
      </c>
      <c r="C108" s="67">
        <v>0</v>
      </c>
      <c r="D108" s="19">
        <f ca="1">((100/(H100))*C108)/100</f>
        <v>0</v>
      </c>
      <c r="E108" s="186"/>
      <c r="F108" s="186"/>
      <c r="G108" s="186"/>
      <c r="H108" s="186"/>
      <c r="I108" s="13" t="s">
        <v>144</v>
      </c>
      <c r="J108" s="29">
        <f>(IF(B100&gt;2,(H100/(B100+2)+J107),0))</f>
        <v>0</v>
      </c>
    </row>
    <row r="109" spans="1:10" ht="15.75" hidden="1" customHeight="1" x14ac:dyDescent="0.35">
      <c r="A109" s="73" t="s">
        <v>132</v>
      </c>
      <c r="B109" s="73" t="s">
        <v>132</v>
      </c>
      <c r="C109" s="67">
        <v>0</v>
      </c>
      <c r="D109" s="19">
        <f ca="1">((100/H100)*C109)/100</f>
        <v>0</v>
      </c>
      <c r="E109" s="186"/>
      <c r="F109" s="186"/>
      <c r="G109" s="186"/>
      <c r="H109" s="186"/>
      <c r="I109" s="13" t="s">
        <v>145</v>
      </c>
      <c r="J109" s="30">
        <f>(IF(B100&gt;3,(H100/(B100+2)+J108),0))</f>
        <v>0</v>
      </c>
    </row>
    <row r="110" spans="1:10" ht="15.75" hidden="1" customHeight="1" x14ac:dyDescent="0.35">
      <c r="A110" s="73" t="s">
        <v>139</v>
      </c>
      <c r="B110" s="73"/>
      <c r="C110" s="67">
        <v>0</v>
      </c>
      <c r="D110" s="19">
        <f ca="1">((100/H100)*C110)/100</f>
        <v>0</v>
      </c>
      <c r="E110" s="186"/>
      <c r="F110" s="186"/>
      <c r="G110" s="186"/>
      <c r="H110" s="186"/>
      <c r="I110" s="13" t="s">
        <v>146</v>
      </c>
      <c r="J110" s="29">
        <f>(IF(B100&gt;4,(H100/(B100+2)+J109),0))</f>
        <v>0</v>
      </c>
    </row>
    <row r="111" spans="1:10" ht="15.75" hidden="1" customHeight="1" x14ac:dyDescent="0.35">
      <c r="A111" s="73" t="s">
        <v>134</v>
      </c>
      <c r="B111" s="73" t="s">
        <v>134</v>
      </c>
      <c r="C111" s="67">
        <v>0</v>
      </c>
      <c r="D111" s="19">
        <f ca="1">((100/(H100))*C111)/100</f>
        <v>0</v>
      </c>
      <c r="E111" s="186"/>
      <c r="F111" s="186"/>
      <c r="G111" s="186"/>
      <c r="H111" s="186"/>
      <c r="I111" s="13" t="s">
        <v>148</v>
      </c>
      <c r="J111" s="29">
        <f ca="1">(IF(B100=1,(H100/(B100+3)+J106),IF(B100=0,(H100/4+J106),IF(B100&gt;1,0))))</f>
        <v>15</v>
      </c>
    </row>
    <row r="112" spans="1:10" ht="16" hidden="1" thickBot="1" x14ac:dyDescent="0.4">
      <c r="A112" s="73" t="s">
        <v>135</v>
      </c>
      <c r="B112" s="73"/>
      <c r="C112" s="67">
        <v>0</v>
      </c>
      <c r="D112" s="19">
        <f ca="1">((100/(H100))*C112)/100</f>
        <v>0</v>
      </c>
      <c r="E112" s="186"/>
      <c r="F112" s="186"/>
      <c r="G112" s="186"/>
      <c r="H112" s="186"/>
      <c r="I112" s="15" t="s">
        <v>107</v>
      </c>
      <c r="J112" s="31">
        <f ca="1">(IF(B100&gt;1.5,(H100/(B100+2)+J106+MAX(0,J107-J106)+MAX(0,J108-J107)+MAX(0,J109-J108)+MAX(0,J110-J109)+MAX(0,J111-J110)),IF(B100=1,(H100/(B100+3)+J111),IF(B100=0,H100/4+J111))))</f>
        <v>20</v>
      </c>
    </row>
    <row r="113" spans="1:8" x14ac:dyDescent="0.35">
      <c r="A113" s="76" t="s">
        <v>158</v>
      </c>
      <c r="B113" s="76"/>
      <c r="C113" s="76"/>
      <c r="D113" s="76"/>
      <c r="E113" s="76"/>
      <c r="F113" s="93" t="s">
        <v>163</v>
      </c>
      <c r="G113" s="93"/>
      <c r="H113" s="93"/>
    </row>
    <row r="114" spans="1:8" x14ac:dyDescent="0.35">
      <c r="A114" s="75" t="s">
        <v>161</v>
      </c>
      <c r="B114" s="75"/>
      <c r="C114" s="75"/>
      <c r="D114" s="75"/>
      <c r="E114" s="75"/>
      <c r="F114" s="74">
        <v>20000</v>
      </c>
      <c r="G114" s="74"/>
      <c r="H114" s="74"/>
    </row>
    <row r="115" spans="1:8" hidden="1" x14ac:dyDescent="0.35">
      <c r="A115" s="75" t="s">
        <v>160</v>
      </c>
      <c r="B115" s="75"/>
      <c r="C115" s="75"/>
      <c r="D115" s="75"/>
      <c r="E115" s="75"/>
      <c r="F115" s="74"/>
      <c r="G115" s="74"/>
      <c r="H115" s="74"/>
    </row>
    <row r="116" spans="1:8" hidden="1" x14ac:dyDescent="0.35">
      <c r="A116" s="75" t="s">
        <v>162</v>
      </c>
      <c r="B116" s="75"/>
      <c r="C116" s="75"/>
      <c r="D116" s="75"/>
      <c r="E116" s="75"/>
      <c r="F116" s="74"/>
      <c r="G116" s="74"/>
      <c r="H116" s="74"/>
    </row>
    <row r="117" spans="1:8" s="32" customFormat="1" hidden="1" x14ac:dyDescent="0.3">
      <c r="A117" s="75" t="s">
        <v>159</v>
      </c>
      <c r="B117" s="75"/>
      <c r="C117" s="75"/>
      <c r="D117" s="75"/>
      <c r="E117" s="75"/>
      <c r="F117" s="74"/>
      <c r="G117" s="74"/>
      <c r="H117" s="74"/>
    </row>
    <row r="118" spans="1:8" s="32" customFormat="1" hidden="1" x14ac:dyDescent="0.3">
      <c r="A118" s="75" t="s">
        <v>97</v>
      </c>
      <c r="B118" s="75"/>
      <c r="C118" s="75"/>
      <c r="D118" s="75"/>
      <c r="E118" s="75"/>
      <c r="F118" s="74"/>
      <c r="G118" s="74"/>
      <c r="H118" s="74"/>
    </row>
    <row r="119" spans="1:8" s="32" customFormat="1" hidden="1" x14ac:dyDescent="0.3">
      <c r="A119" s="75" t="s">
        <v>98</v>
      </c>
      <c r="B119" s="75"/>
      <c r="C119" s="75"/>
      <c r="D119" s="75"/>
      <c r="E119" s="75"/>
      <c r="F119" s="74"/>
      <c r="G119" s="74"/>
      <c r="H119" s="74"/>
    </row>
    <row r="120" spans="1:8" s="32" customFormat="1" hidden="1" x14ac:dyDescent="0.3">
      <c r="A120" s="75" t="s">
        <v>164</v>
      </c>
      <c r="B120" s="75"/>
      <c r="C120" s="75"/>
      <c r="D120" s="75"/>
      <c r="E120" s="75"/>
      <c r="F120" s="74"/>
      <c r="G120" s="74"/>
      <c r="H120" s="74"/>
    </row>
    <row r="121" spans="1:8" s="32" customFormat="1" hidden="1" x14ac:dyDescent="0.3">
      <c r="A121" s="75" t="s">
        <v>99</v>
      </c>
      <c r="B121" s="75"/>
      <c r="C121" s="75"/>
      <c r="D121" s="75"/>
      <c r="E121" s="75"/>
      <c r="F121" s="74"/>
      <c r="G121" s="74"/>
      <c r="H121" s="74"/>
    </row>
    <row r="122" spans="1:8" s="32" customFormat="1" hidden="1" x14ac:dyDescent="0.3">
      <c r="A122" s="75" t="s">
        <v>100</v>
      </c>
      <c r="B122" s="75"/>
      <c r="C122" s="75"/>
      <c r="D122" s="75"/>
      <c r="E122" s="75"/>
      <c r="F122" s="74"/>
      <c r="G122" s="74"/>
      <c r="H122" s="74"/>
    </row>
    <row r="123" spans="1:8" s="32" customFormat="1" hidden="1" x14ac:dyDescent="0.3">
      <c r="A123" s="75" t="s">
        <v>101</v>
      </c>
      <c r="B123" s="75"/>
      <c r="C123" s="75"/>
      <c r="D123" s="75"/>
      <c r="E123" s="75"/>
      <c r="F123" s="74"/>
      <c r="G123" s="74"/>
      <c r="H123" s="74"/>
    </row>
    <row r="124" spans="1:8" s="32" customFormat="1" hidden="1" x14ac:dyDescent="0.3">
      <c r="A124" s="75" t="s">
        <v>102</v>
      </c>
      <c r="B124" s="75"/>
      <c r="C124" s="75"/>
      <c r="D124" s="75"/>
      <c r="E124" s="75"/>
      <c r="F124" s="74"/>
      <c r="G124" s="74"/>
      <c r="H124" s="74"/>
    </row>
    <row r="125" spans="1:8" x14ac:dyDescent="0.35">
      <c r="A125" s="75" t="s">
        <v>52</v>
      </c>
      <c r="B125" s="75"/>
      <c r="C125" s="75"/>
      <c r="D125" s="75"/>
      <c r="E125" s="75"/>
      <c r="F125" s="74">
        <v>800000</v>
      </c>
      <c r="G125" s="74"/>
      <c r="H125" s="74"/>
    </row>
    <row r="126" spans="1:8" s="33" customFormat="1" x14ac:dyDescent="0.35">
      <c r="A126" s="76" t="s">
        <v>53</v>
      </c>
      <c r="B126" s="76"/>
      <c r="C126" s="76"/>
      <c r="D126" s="76"/>
      <c r="E126" s="76"/>
      <c r="F126" s="74">
        <f>F114*0.8</f>
        <v>16000</v>
      </c>
      <c r="G126" s="74"/>
      <c r="H126" s="74"/>
    </row>
    <row r="127" spans="1:8" s="34" customFormat="1" ht="15.75" hidden="1" customHeight="1" x14ac:dyDescent="0.35">
      <c r="A127" s="146" t="s">
        <v>77</v>
      </c>
      <c r="B127" s="146"/>
      <c r="C127" s="146"/>
      <c r="D127" s="146"/>
      <c r="E127" s="146"/>
      <c r="F127" s="146"/>
      <c r="G127" s="146"/>
      <c r="H127" s="146"/>
    </row>
    <row r="128" spans="1:8" s="34" customFormat="1" ht="15.75" hidden="1" customHeight="1" x14ac:dyDescent="0.35">
      <c r="A128" s="95" t="s">
        <v>54</v>
      </c>
      <c r="B128" s="95"/>
      <c r="C128" s="94" t="s">
        <v>80</v>
      </c>
      <c r="D128" s="94"/>
      <c r="E128" s="107" t="s">
        <v>55</v>
      </c>
      <c r="F128" s="107"/>
      <c r="G128" s="95" t="s">
        <v>56</v>
      </c>
      <c r="H128" s="95"/>
    </row>
    <row r="129" spans="1:14" s="34" customFormat="1" hidden="1" x14ac:dyDescent="0.35">
      <c r="A129" s="108"/>
      <c r="B129" s="108"/>
      <c r="C129" s="96"/>
      <c r="D129" s="96"/>
      <c r="E129" s="97"/>
      <c r="F129" s="97"/>
      <c r="G129" s="169"/>
      <c r="H129" s="169"/>
    </row>
    <row r="130" spans="1:14" s="34" customFormat="1" hidden="1" x14ac:dyDescent="0.35">
      <c r="A130" s="108"/>
      <c r="B130" s="108"/>
      <c r="C130" s="96"/>
      <c r="D130" s="96"/>
      <c r="E130" s="97"/>
      <c r="F130" s="97"/>
      <c r="G130" s="169"/>
      <c r="H130" s="169"/>
    </row>
    <row r="131" spans="1:14" s="34" customFormat="1" hidden="1" x14ac:dyDescent="0.35">
      <c r="A131" s="146" t="s">
        <v>152</v>
      </c>
      <c r="B131" s="146"/>
      <c r="C131" s="94"/>
      <c r="D131" s="94"/>
      <c r="E131" s="107"/>
      <c r="F131" s="107"/>
      <c r="G131" s="95"/>
      <c r="H131" s="95"/>
    </row>
    <row r="132" spans="1:14" s="34" customFormat="1" x14ac:dyDescent="0.35">
      <c r="A132" s="146" t="s">
        <v>71</v>
      </c>
      <c r="B132" s="146"/>
      <c r="C132" s="146"/>
      <c r="D132" s="146"/>
      <c r="E132" s="146"/>
      <c r="F132" s="146"/>
      <c r="G132" s="146"/>
      <c r="H132" s="146"/>
    </row>
    <row r="133" spans="1:14" s="34" customFormat="1" ht="15.75" customHeight="1" x14ac:dyDescent="0.35">
      <c r="A133" s="95" t="s">
        <v>54</v>
      </c>
      <c r="B133" s="95"/>
      <c r="C133" s="94" t="s">
        <v>80</v>
      </c>
      <c r="D133" s="94"/>
      <c r="E133" s="107" t="s">
        <v>55</v>
      </c>
      <c r="F133" s="107"/>
      <c r="G133" s="95" t="s">
        <v>56</v>
      </c>
      <c r="H133" s="95"/>
    </row>
    <row r="134" spans="1:14" s="34" customFormat="1" x14ac:dyDescent="0.35">
      <c r="A134" s="108" t="s">
        <v>191</v>
      </c>
      <c r="B134" s="108"/>
      <c r="C134" s="101">
        <f>COUNT(D152:D154,D158:D163,D172:D177,D179:D183,D185:D188,D190:D194,D196:D199,D206:D210)+COUNT(D165:D170)*6+COUNT(D201:D204)*2</f>
        <v>82</v>
      </c>
      <c r="D134" s="101"/>
      <c r="E134" s="101">
        <f>SUM(F152:F154,F158:F163,F172:F177,F179:F183,F185:F188,F190:F194,F196:F199,F206:F210)+SUM(F165:F170)*6+SUM(F201:F204)*2</f>
        <v>46916.400960000006</v>
      </c>
      <c r="F134" s="101"/>
      <c r="G134" s="101">
        <f>SUM(H152:H154,H158:H163,H172:H177,H179:H183,H185:H188,H190:H194,H196:H199,H206:H210)+SUM(H165:H170)*6+SUM(H201:H204)*2</f>
        <v>72720.421488000007</v>
      </c>
      <c r="H134" s="101"/>
    </row>
    <row r="135" spans="1:14" s="34" customFormat="1" x14ac:dyDescent="0.35">
      <c r="A135" s="108" t="s">
        <v>194</v>
      </c>
      <c r="B135" s="108"/>
      <c r="C135" s="101">
        <f>COUNT(D215,D219:D220,D222:D227,D236:D240,D242:D247,D249:D254,D256:D259,D261:D264,D271:D275)+COUNT(D229:D234)*6+COUNT(D266:D269)*2</f>
        <v>83</v>
      </c>
      <c r="D135" s="101"/>
      <c r="E135" s="101">
        <f t="shared" ref="E135" si="0">SUM(F215,F219:F220,F222:F227,F236:F240,F242:F247,F249:F254,F256:F259,F261:F264,F271:F275)+SUM(F229:F234)*6+SUM(F266:F269)*2</f>
        <v>52749.627840000001</v>
      </c>
      <c r="F135" s="101"/>
      <c r="G135" s="101">
        <f t="shared" ref="G135" si="1">SUM(H215,H219:H220,H222:H227,H236:H240,H242:H247,H249:H254,H256:H259,H261:H264,H271:H275)+SUM(H229:H234)*6+SUM(H266:H269)*2</f>
        <v>81761.923152000003</v>
      </c>
      <c r="H135" s="101"/>
    </row>
    <row r="136" spans="1:14" s="34" customFormat="1" x14ac:dyDescent="0.35">
      <c r="A136" s="146" t="s">
        <v>152</v>
      </c>
      <c r="B136" s="146"/>
      <c r="C136" s="159">
        <f>SUM(C134:C135)</f>
        <v>165</v>
      </c>
      <c r="D136" s="94"/>
      <c r="E136" s="158">
        <f>SUM(E134:E135)</f>
        <v>99666.0288</v>
      </c>
      <c r="F136" s="107"/>
      <c r="G136" s="95">
        <f>SUM(G134:G135)</f>
        <v>154482.34464000002</v>
      </c>
      <c r="H136" s="95"/>
    </row>
    <row r="137" spans="1:14" s="33" customFormat="1" x14ac:dyDescent="0.35">
      <c r="A137" s="93" t="s">
        <v>57</v>
      </c>
      <c r="B137" s="93"/>
      <c r="C137" s="93"/>
      <c r="D137" s="93"/>
      <c r="E137" s="93"/>
      <c r="F137" s="93"/>
      <c r="G137" s="93"/>
      <c r="H137" s="93"/>
    </row>
    <row r="138" spans="1:14" x14ac:dyDescent="0.35">
      <c r="A138" s="93" t="s">
        <v>58</v>
      </c>
      <c r="B138" s="93"/>
      <c r="C138" s="93"/>
      <c r="D138" s="93"/>
      <c r="E138" s="93"/>
      <c r="F138" s="93"/>
      <c r="G138" s="93"/>
      <c r="H138" s="93"/>
    </row>
    <row r="139" spans="1:14" ht="47.25" customHeight="1" x14ac:dyDescent="0.35">
      <c r="A139" s="80" t="s">
        <v>220</v>
      </c>
      <c r="B139" s="80" t="s">
        <v>211</v>
      </c>
      <c r="C139" s="80" t="s">
        <v>59</v>
      </c>
      <c r="D139" s="80" t="s">
        <v>214</v>
      </c>
      <c r="E139" s="82" t="s">
        <v>157</v>
      </c>
      <c r="F139" s="80" t="s">
        <v>60</v>
      </c>
      <c r="G139" s="82" t="s">
        <v>61</v>
      </c>
      <c r="H139" s="60" t="s">
        <v>151</v>
      </c>
    </row>
    <row r="140" spans="1:14" s="36" customFormat="1" x14ac:dyDescent="0.35">
      <c r="A140" s="81"/>
      <c r="B140" s="81"/>
      <c r="C140" s="81"/>
      <c r="D140" s="81"/>
      <c r="E140" s="83"/>
      <c r="F140" s="81"/>
      <c r="G140" s="83"/>
      <c r="H140" s="61">
        <v>0.55000000000000004</v>
      </c>
    </row>
    <row r="141" spans="1:14" s="57" customFormat="1" x14ac:dyDescent="0.35">
      <c r="A141" s="90" t="s">
        <v>191</v>
      </c>
      <c r="B141" s="91"/>
      <c r="C141" s="91"/>
      <c r="D141" s="91"/>
      <c r="E141" s="91"/>
      <c r="F141" s="91"/>
      <c r="G141" s="91"/>
      <c r="H141" s="92"/>
      <c r="J141" s="35"/>
    </row>
    <row r="142" spans="1:14" s="57" customFormat="1" x14ac:dyDescent="0.35">
      <c r="A142" s="90" t="s">
        <v>209</v>
      </c>
      <c r="B142" s="91"/>
      <c r="C142" s="91"/>
      <c r="D142" s="91"/>
      <c r="E142" s="91"/>
      <c r="F142" s="91"/>
      <c r="G142" s="91"/>
      <c r="H142" s="92"/>
      <c r="J142" s="35"/>
    </row>
    <row r="143" spans="1:14" s="36" customFormat="1" ht="15.75" customHeight="1" x14ac:dyDescent="0.35">
      <c r="A143" s="98">
        <v>1</v>
      </c>
      <c r="B143" s="99"/>
      <c r="C143" s="48" t="s">
        <v>208</v>
      </c>
      <c r="D143" s="51">
        <f>(54.25)*10.764</f>
        <v>583.947</v>
      </c>
      <c r="E143" s="48">
        <v>0</v>
      </c>
      <c r="F143" s="48">
        <f>D143+(IF(E143&lt;201,E143,IF(E143&lt;301,E143/2,E143/3)))</f>
        <v>583.947</v>
      </c>
      <c r="G143" s="48">
        <v>0</v>
      </c>
      <c r="H143" s="48">
        <f>(F143+(IF(G143&lt;101,G143,IF(G143&lt;201,G143/2,IF(G143&lt;=301,G143/3,G143/4)))))*(($H$140)+1)</f>
        <v>905.11784999999998</v>
      </c>
      <c r="I143" s="35"/>
      <c r="L143" s="100"/>
      <c r="M143" s="100"/>
      <c r="N143" s="35"/>
    </row>
    <row r="144" spans="1:14" s="36" customFormat="1" x14ac:dyDescent="0.35">
      <c r="A144" s="98">
        <f>A143+1</f>
        <v>2</v>
      </c>
      <c r="B144" s="99"/>
      <c r="C144" s="48" t="s">
        <v>208</v>
      </c>
      <c r="D144" s="51">
        <f>(31.43)*10.764</f>
        <v>338.31251999999995</v>
      </c>
      <c r="E144" s="48">
        <v>0</v>
      </c>
      <c r="F144" s="48">
        <f>D144+(IF(E144&lt;201,E144,IF(E144&lt;301,E144/2,E144/3)))</f>
        <v>338.31251999999995</v>
      </c>
      <c r="G144" s="48">
        <v>0</v>
      </c>
      <c r="H144" s="48">
        <f>(F144+(IF(G144&lt;101,G144,IF(G144&lt;201,G144/2,IF(G144&lt;=301,G144/3,G144/4)))))*(($H$140)+1)</f>
        <v>524.3844059999999</v>
      </c>
      <c r="I144" s="35"/>
      <c r="L144" s="100"/>
      <c r="M144" s="100"/>
      <c r="N144" s="35"/>
    </row>
    <row r="145" spans="1:14" s="36" customFormat="1" x14ac:dyDescent="0.35">
      <c r="A145" s="98"/>
      <c r="B145" s="154"/>
      <c r="C145" s="154"/>
      <c r="D145" s="154"/>
      <c r="E145" s="154"/>
      <c r="F145" s="154"/>
      <c r="G145" s="154"/>
      <c r="H145" s="99"/>
      <c r="I145" s="35"/>
      <c r="N145" s="35"/>
    </row>
    <row r="146" spans="1:14" ht="47.25" customHeight="1" x14ac:dyDescent="0.35">
      <c r="A146" s="155" t="s">
        <v>219</v>
      </c>
      <c r="B146" s="80" t="s">
        <v>212</v>
      </c>
      <c r="C146" s="80" t="s">
        <v>59</v>
      </c>
      <c r="D146" s="80" t="s">
        <v>214</v>
      </c>
      <c r="E146" s="80" t="s">
        <v>213</v>
      </c>
      <c r="F146" s="80" t="s">
        <v>60</v>
      </c>
      <c r="G146" s="82" t="s">
        <v>61</v>
      </c>
      <c r="H146" s="60" t="s">
        <v>151</v>
      </c>
      <c r="I146" s="35"/>
    </row>
    <row r="147" spans="1:14" s="36" customFormat="1" x14ac:dyDescent="0.35">
      <c r="A147" s="156"/>
      <c r="B147" s="81"/>
      <c r="C147" s="81"/>
      <c r="D147" s="81"/>
      <c r="E147" s="81"/>
      <c r="F147" s="81"/>
      <c r="G147" s="83"/>
      <c r="H147" s="61">
        <v>0.55000000000000004</v>
      </c>
      <c r="I147" s="35"/>
    </row>
    <row r="148" spans="1:14" s="49" customFormat="1" x14ac:dyDescent="0.35">
      <c r="A148" s="90" t="s">
        <v>191</v>
      </c>
      <c r="B148" s="91"/>
      <c r="C148" s="91"/>
      <c r="D148" s="91"/>
      <c r="E148" s="91"/>
      <c r="F148" s="91"/>
      <c r="G148" s="91"/>
      <c r="H148" s="92"/>
      <c r="J148" s="35"/>
    </row>
    <row r="149" spans="1:14" s="49" customFormat="1" x14ac:dyDescent="0.35">
      <c r="A149" s="90" t="s">
        <v>210</v>
      </c>
      <c r="B149" s="91"/>
      <c r="C149" s="91"/>
      <c r="D149" s="91"/>
      <c r="E149" s="91"/>
      <c r="F149" s="91"/>
      <c r="G149" s="91"/>
      <c r="H149" s="92"/>
      <c r="J149" s="35"/>
    </row>
    <row r="150" spans="1:14" s="36" customFormat="1" x14ac:dyDescent="0.35">
      <c r="A150" s="90" t="s">
        <v>215</v>
      </c>
      <c r="B150" s="91"/>
      <c r="C150" s="91"/>
      <c r="D150" s="91"/>
      <c r="E150" s="91"/>
      <c r="F150" s="91"/>
      <c r="G150" s="91"/>
      <c r="H150" s="92"/>
      <c r="J150" s="51">
        <v>10.763999999999999</v>
      </c>
    </row>
    <row r="151" spans="1:14" s="57" customFormat="1" x14ac:dyDescent="0.35">
      <c r="A151" s="157">
        <v>1</v>
      </c>
      <c r="B151" s="157"/>
      <c r="C151" s="98" t="s">
        <v>216</v>
      </c>
      <c r="D151" s="154"/>
      <c r="E151" s="154"/>
      <c r="F151" s="154"/>
      <c r="G151" s="154"/>
      <c r="H151" s="99"/>
      <c r="I151" s="35"/>
      <c r="N151" s="35"/>
    </row>
    <row r="152" spans="1:14" s="57" customFormat="1" x14ac:dyDescent="0.35">
      <c r="A152" s="157">
        <f>A151+1</f>
        <v>2</v>
      </c>
      <c r="B152" s="157"/>
      <c r="C152" s="48" t="s">
        <v>193</v>
      </c>
      <c r="D152" s="51">
        <f>(74.75)*10.764</f>
        <v>804.60899999999992</v>
      </c>
      <c r="E152" s="48">
        <v>0</v>
      </c>
      <c r="F152" s="48">
        <f>D152+E152</f>
        <v>804.60899999999992</v>
      </c>
      <c r="G152" s="48">
        <v>0</v>
      </c>
      <c r="H152" s="48">
        <f t="shared" ref="H152:H154" si="2">F152*(($H$147)+1)+(IF(G152&lt;101,G152,IF(G152&lt;201,G152/2,IF(G152&lt;=301,G152/3,G152/4))))</f>
        <v>1247.1439499999999</v>
      </c>
      <c r="I152" s="35"/>
      <c r="N152" s="35"/>
    </row>
    <row r="153" spans="1:14" s="57" customFormat="1" x14ac:dyDescent="0.35">
      <c r="A153" s="157">
        <f>A152+1</f>
        <v>3</v>
      </c>
      <c r="B153" s="157"/>
      <c r="C153" s="48" t="s">
        <v>192</v>
      </c>
      <c r="D153" s="51">
        <f>(39.63)*10.764</f>
        <v>426.57731999999999</v>
      </c>
      <c r="E153" s="48">
        <v>0</v>
      </c>
      <c r="F153" s="48">
        <f>D153+E153</f>
        <v>426.57731999999999</v>
      </c>
      <c r="G153" s="48">
        <v>0</v>
      </c>
      <c r="H153" s="48">
        <f t="shared" si="2"/>
        <v>661.19484599999998</v>
      </c>
      <c r="I153" s="35"/>
      <c r="N153" s="35"/>
    </row>
    <row r="154" spans="1:14" s="57" customFormat="1" x14ac:dyDescent="0.35">
      <c r="A154" s="157">
        <f>A153+1</f>
        <v>4</v>
      </c>
      <c r="B154" s="157"/>
      <c r="C154" s="48" t="s">
        <v>192</v>
      </c>
      <c r="D154" s="51">
        <f>(42.81)*10.764</f>
        <v>460.80684000000002</v>
      </c>
      <c r="E154" s="48">
        <v>0</v>
      </c>
      <c r="F154" s="48">
        <f>D154+E154</f>
        <v>460.80684000000002</v>
      </c>
      <c r="G154" s="48">
        <v>0</v>
      </c>
      <c r="H154" s="48">
        <f t="shared" si="2"/>
        <v>714.25060200000007</v>
      </c>
      <c r="I154" s="35"/>
      <c r="N154" s="35"/>
    </row>
    <row r="155" spans="1:14" s="57" customFormat="1" x14ac:dyDescent="0.35">
      <c r="A155" s="157">
        <f>A154+1</f>
        <v>5</v>
      </c>
      <c r="B155" s="157"/>
      <c r="C155" s="163" t="s">
        <v>216</v>
      </c>
      <c r="D155" s="164"/>
      <c r="E155" s="164"/>
      <c r="F155" s="164"/>
      <c r="G155" s="164"/>
      <c r="H155" s="165"/>
      <c r="I155" s="35"/>
      <c r="J155" s="62"/>
      <c r="N155" s="35"/>
    </row>
    <row r="156" spans="1:14" s="57" customFormat="1" x14ac:dyDescent="0.35">
      <c r="A156" s="157">
        <f>A155+1</f>
        <v>6</v>
      </c>
      <c r="B156" s="157"/>
      <c r="C156" s="166"/>
      <c r="D156" s="167"/>
      <c r="E156" s="167"/>
      <c r="F156" s="167"/>
      <c r="G156" s="167"/>
      <c r="H156" s="168"/>
      <c r="I156" s="35"/>
      <c r="J156" s="62"/>
      <c r="N156" s="35"/>
    </row>
    <row r="157" spans="1:14" s="57" customFormat="1" x14ac:dyDescent="0.35">
      <c r="A157" s="160" t="s">
        <v>218</v>
      </c>
      <c r="B157" s="161"/>
      <c r="C157" s="161"/>
      <c r="D157" s="161"/>
      <c r="E157" s="161"/>
      <c r="F157" s="161"/>
      <c r="G157" s="161"/>
      <c r="H157" s="162"/>
      <c r="J157" s="63"/>
    </row>
    <row r="158" spans="1:14" s="57" customFormat="1" ht="15.75" customHeight="1" x14ac:dyDescent="0.35">
      <c r="A158" s="157">
        <v>1</v>
      </c>
      <c r="B158" s="157"/>
      <c r="C158" s="59" t="s">
        <v>192</v>
      </c>
      <c r="D158" s="51">
        <f>(39.61)*10.764</f>
        <v>426.36203999999998</v>
      </c>
      <c r="E158" s="59">
        <v>0</v>
      </c>
      <c r="F158" s="59">
        <f>D158+E158</f>
        <v>426.36203999999998</v>
      </c>
      <c r="G158" s="59">
        <v>0</v>
      </c>
      <c r="H158" s="59">
        <f t="shared" ref="H158" si="3">F158*(($H$147)+1)+(IF(G158&lt;101,G158,IF(G158&lt;201,G158/2,IF(G158&lt;=301,G158/3,G158/4))))</f>
        <v>660.86116200000004</v>
      </c>
      <c r="I158" s="35"/>
      <c r="J158" s="62"/>
      <c r="N158" s="35"/>
    </row>
    <row r="159" spans="1:14" s="57" customFormat="1" x14ac:dyDescent="0.35">
      <c r="A159" s="157">
        <f>A158+1</f>
        <v>2</v>
      </c>
      <c r="B159" s="157"/>
      <c r="C159" s="48" t="s">
        <v>193</v>
      </c>
      <c r="D159" s="51">
        <f>(74.75)*10.764</f>
        <v>804.60899999999992</v>
      </c>
      <c r="E159" s="48">
        <v>0</v>
      </c>
      <c r="F159" s="48">
        <f>D159+E159</f>
        <v>804.60899999999992</v>
      </c>
      <c r="G159" s="48">
        <v>0</v>
      </c>
      <c r="H159" s="48">
        <f t="shared" ref="H159:H161" si="4">F159*(($H$147)+1)+(IF(G159&lt;101,G159,IF(G159&lt;201,G159/2,IF(G159&lt;=301,G159/3,G159/4))))</f>
        <v>1247.1439499999999</v>
      </c>
      <c r="I159" s="35"/>
      <c r="J159" s="62"/>
      <c r="N159" s="35"/>
    </row>
    <row r="160" spans="1:14" s="57" customFormat="1" x14ac:dyDescent="0.35">
      <c r="A160" s="157">
        <f>A159+1</f>
        <v>3</v>
      </c>
      <c r="B160" s="157"/>
      <c r="C160" s="48" t="s">
        <v>192</v>
      </c>
      <c r="D160" s="51">
        <f>(39.63)*10.764</f>
        <v>426.57731999999999</v>
      </c>
      <c r="E160" s="48">
        <v>0</v>
      </c>
      <c r="F160" s="48">
        <f>D160+E160</f>
        <v>426.57731999999999</v>
      </c>
      <c r="G160" s="48">
        <v>0</v>
      </c>
      <c r="H160" s="48">
        <f t="shared" si="4"/>
        <v>661.19484599999998</v>
      </c>
      <c r="I160" s="35"/>
      <c r="J160" s="62"/>
      <c r="N160" s="35"/>
    </row>
    <row r="161" spans="1:14" s="57" customFormat="1" x14ac:dyDescent="0.35">
      <c r="A161" s="157">
        <f>A160+1</f>
        <v>4</v>
      </c>
      <c r="B161" s="157"/>
      <c r="C161" s="48" t="s">
        <v>192</v>
      </c>
      <c r="D161" s="51">
        <f>(42.81)*10.764</f>
        <v>460.80684000000002</v>
      </c>
      <c r="E161" s="48">
        <v>0</v>
      </c>
      <c r="F161" s="48">
        <f>D161+E161</f>
        <v>460.80684000000002</v>
      </c>
      <c r="G161" s="48">
        <v>0</v>
      </c>
      <c r="H161" s="48">
        <f t="shared" si="4"/>
        <v>714.25060200000007</v>
      </c>
      <c r="I161" s="35"/>
      <c r="J161" s="62"/>
      <c r="N161" s="35"/>
    </row>
    <row r="162" spans="1:14" s="57" customFormat="1" ht="15.75" customHeight="1" x14ac:dyDescent="0.35">
      <c r="A162" s="157">
        <f>A161+1</f>
        <v>5</v>
      </c>
      <c r="B162" s="157"/>
      <c r="C162" s="59" t="s">
        <v>192</v>
      </c>
      <c r="D162" s="51">
        <f t="shared" ref="D162" si="5">(42.81)*10.764</f>
        <v>460.80684000000002</v>
      </c>
      <c r="E162" s="59">
        <v>0</v>
      </c>
      <c r="F162" s="59">
        <f t="shared" ref="F162:F163" si="6">D162+E162</f>
        <v>460.80684000000002</v>
      </c>
      <c r="G162" s="59">
        <v>0</v>
      </c>
      <c r="H162" s="59">
        <f t="shared" ref="H162:H163" si="7">F162*(($H$147)+1)+(IF(G162&lt;101,G162,IF(G162&lt;201,G162/2,IF(G162&lt;=301,G162/3,G162/4))))</f>
        <v>714.25060200000007</v>
      </c>
      <c r="I162" s="35"/>
      <c r="J162" s="62"/>
      <c r="N162" s="35"/>
    </row>
    <row r="163" spans="1:14" s="57" customFormat="1" x14ac:dyDescent="0.35">
      <c r="A163" s="157">
        <f>A162+1</f>
        <v>6</v>
      </c>
      <c r="B163" s="157"/>
      <c r="C163" s="59" t="s">
        <v>192</v>
      </c>
      <c r="D163" s="51">
        <f>(39.63)*10.764</f>
        <v>426.57731999999999</v>
      </c>
      <c r="E163" s="59">
        <v>0</v>
      </c>
      <c r="F163" s="59">
        <f t="shared" si="6"/>
        <v>426.57731999999999</v>
      </c>
      <c r="G163" s="59">
        <v>0</v>
      </c>
      <c r="H163" s="59">
        <f t="shared" si="7"/>
        <v>661.19484599999998</v>
      </c>
      <c r="I163" s="35"/>
      <c r="J163" s="62"/>
      <c r="N163" s="35"/>
    </row>
    <row r="164" spans="1:14" s="58" customFormat="1" x14ac:dyDescent="0.35">
      <c r="A164" s="170" t="s">
        <v>221</v>
      </c>
      <c r="B164" s="170"/>
      <c r="C164" s="170"/>
      <c r="D164" s="170"/>
      <c r="E164" s="170"/>
      <c r="F164" s="170"/>
      <c r="G164" s="170"/>
      <c r="H164" s="170"/>
      <c r="J164" s="63"/>
    </row>
    <row r="165" spans="1:14" s="58" customFormat="1" ht="15.75" customHeight="1" x14ac:dyDescent="0.35">
      <c r="A165" s="157">
        <v>1</v>
      </c>
      <c r="B165" s="157"/>
      <c r="C165" s="65" t="s">
        <v>192</v>
      </c>
      <c r="D165" s="51">
        <f>(39.61)*10.764</f>
        <v>426.36203999999998</v>
      </c>
      <c r="E165" s="65">
        <v>0</v>
      </c>
      <c r="F165" s="65">
        <f>D165+E165</f>
        <v>426.36203999999998</v>
      </c>
      <c r="G165" s="65">
        <v>0</v>
      </c>
      <c r="H165" s="65">
        <f t="shared" ref="H165:H170" si="8">F165*(($H$147)+1)+(IF(G165&lt;101,G165,IF(G165&lt;201,G165/2,IF(G165&lt;=301,G165/3,G165/4))))</f>
        <v>660.86116200000004</v>
      </c>
      <c r="I165" s="35"/>
      <c r="J165" s="62"/>
      <c r="N165" s="35"/>
    </row>
    <row r="166" spans="1:14" s="58" customFormat="1" x14ac:dyDescent="0.35">
      <c r="A166" s="157">
        <f>A165+1</f>
        <v>2</v>
      </c>
      <c r="B166" s="157"/>
      <c r="C166" s="65" t="s">
        <v>193</v>
      </c>
      <c r="D166" s="51">
        <f>(74.75)*10.764</f>
        <v>804.60899999999992</v>
      </c>
      <c r="E166" s="65">
        <v>0</v>
      </c>
      <c r="F166" s="65">
        <f>D166+E166</f>
        <v>804.60899999999992</v>
      </c>
      <c r="G166" s="65">
        <v>0</v>
      </c>
      <c r="H166" s="65">
        <f t="shared" si="8"/>
        <v>1247.1439499999999</v>
      </c>
      <c r="I166" s="35"/>
      <c r="J166" s="62"/>
      <c r="N166" s="35"/>
    </row>
    <row r="167" spans="1:14" s="58" customFormat="1" x14ac:dyDescent="0.35">
      <c r="A167" s="157">
        <f>A166+1</f>
        <v>3</v>
      </c>
      <c r="B167" s="157"/>
      <c r="C167" s="65" t="s">
        <v>192</v>
      </c>
      <c r="D167" s="51">
        <f>(39.63)*10.764</f>
        <v>426.57731999999999</v>
      </c>
      <c r="E167" s="65">
        <v>0</v>
      </c>
      <c r="F167" s="65">
        <f>D167+E167</f>
        <v>426.57731999999999</v>
      </c>
      <c r="G167" s="65">
        <v>0</v>
      </c>
      <c r="H167" s="65">
        <f t="shared" si="8"/>
        <v>661.19484599999998</v>
      </c>
      <c r="I167" s="35"/>
      <c r="J167" s="62"/>
      <c r="N167" s="35"/>
    </row>
    <row r="168" spans="1:14" s="58" customFormat="1" x14ac:dyDescent="0.35">
      <c r="A168" s="157">
        <f>A167+1</f>
        <v>4</v>
      </c>
      <c r="B168" s="157"/>
      <c r="C168" s="65" t="s">
        <v>192</v>
      </c>
      <c r="D168" s="51">
        <f>(42.81)*10.764</f>
        <v>460.80684000000002</v>
      </c>
      <c r="E168" s="65">
        <v>0</v>
      </c>
      <c r="F168" s="65">
        <f>D168+E168</f>
        <v>460.80684000000002</v>
      </c>
      <c r="G168" s="65">
        <v>0</v>
      </c>
      <c r="H168" s="65">
        <f t="shared" si="8"/>
        <v>714.25060200000007</v>
      </c>
      <c r="I168" s="35"/>
      <c r="J168" s="62"/>
      <c r="N168" s="35"/>
    </row>
    <row r="169" spans="1:14" s="58" customFormat="1" ht="15.75" customHeight="1" x14ac:dyDescent="0.35">
      <c r="A169" s="157">
        <f>A168+1</f>
        <v>5</v>
      </c>
      <c r="B169" s="157"/>
      <c r="C169" s="65" t="s">
        <v>192</v>
      </c>
      <c r="D169" s="51">
        <f t="shared" ref="D169" si="9">(42.81)*10.764</f>
        <v>460.80684000000002</v>
      </c>
      <c r="E169" s="65">
        <v>0</v>
      </c>
      <c r="F169" s="65">
        <f t="shared" ref="F169:F170" si="10">D169+E169</f>
        <v>460.80684000000002</v>
      </c>
      <c r="G169" s="65">
        <v>0</v>
      </c>
      <c r="H169" s="65">
        <f t="shared" si="8"/>
        <v>714.25060200000007</v>
      </c>
      <c r="I169" s="35"/>
      <c r="J169" s="62"/>
      <c r="N169" s="35"/>
    </row>
    <row r="170" spans="1:14" s="58" customFormat="1" x14ac:dyDescent="0.35">
      <c r="A170" s="157">
        <f>A169+1</f>
        <v>6</v>
      </c>
      <c r="B170" s="157"/>
      <c r="C170" s="65" t="s">
        <v>192</v>
      </c>
      <c r="D170" s="51">
        <f>(39.63)*10.764</f>
        <v>426.57731999999999</v>
      </c>
      <c r="E170" s="65">
        <v>0</v>
      </c>
      <c r="F170" s="65">
        <f t="shared" si="10"/>
        <v>426.57731999999999</v>
      </c>
      <c r="G170" s="65">
        <v>0</v>
      </c>
      <c r="H170" s="65">
        <f t="shared" si="8"/>
        <v>661.19484599999998</v>
      </c>
      <c r="I170" s="35"/>
      <c r="J170" s="62"/>
      <c r="N170" s="35"/>
    </row>
    <row r="171" spans="1:14" s="58" customFormat="1" x14ac:dyDescent="0.35">
      <c r="A171" s="170" t="s">
        <v>222</v>
      </c>
      <c r="B171" s="170"/>
      <c r="C171" s="170"/>
      <c r="D171" s="170"/>
      <c r="E171" s="170"/>
      <c r="F171" s="170"/>
      <c r="G171" s="170"/>
      <c r="H171" s="170"/>
      <c r="J171" s="63"/>
    </row>
    <row r="172" spans="1:14" s="58" customFormat="1" ht="15.75" customHeight="1" x14ac:dyDescent="0.35">
      <c r="A172" s="157">
        <v>1</v>
      </c>
      <c r="B172" s="157"/>
      <c r="C172" s="65" t="s">
        <v>192</v>
      </c>
      <c r="D172" s="51">
        <f>(39.61)*10.764</f>
        <v>426.36203999999998</v>
      </c>
      <c r="E172" s="65">
        <v>0</v>
      </c>
      <c r="F172" s="65">
        <f>D172+E172</f>
        <v>426.36203999999998</v>
      </c>
      <c r="G172" s="65">
        <v>0</v>
      </c>
      <c r="H172" s="65">
        <f t="shared" ref="H172:H177" si="11">F172*(($H$147)+1)+(IF(G172&lt;101,G172,IF(G172&lt;201,G172/2,IF(G172&lt;=301,G172/3,G172/4))))</f>
        <v>660.86116200000004</v>
      </c>
      <c r="I172" s="35"/>
      <c r="J172" s="62"/>
      <c r="N172" s="35"/>
    </row>
    <row r="173" spans="1:14" s="58" customFormat="1" x14ac:dyDescent="0.35">
      <c r="A173" s="157">
        <f>A172+1</f>
        <v>2</v>
      </c>
      <c r="B173" s="157"/>
      <c r="C173" s="65" t="s">
        <v>193</v>
      </c>
      <c r="D173" s="51">
        <f>(74.75)*10.764</f>
        <v>804.60899999999992</v>
      </c>
      <c r="E173" s="65">
        <v>0</v>
      </c>
      <c r="F173" s="65">
        <f>D173+E173</f>
        <v>804.60899999999992</v>
      </c>
      <c r="G173" s="65">
        <v>0</v>
      </c>
      <c r="H173" s="65">
        <f t="shared" si="11"/>
        <v>1247.1439499999999</v>
      </c>
      <c r="I173" s="35"/>
      <c r="J173" s="62"/>
      <c r="N173" s="35"/>
    </row>
    <row r="174" spans="1:14" s="58" customFormat="1" x14ac:dyDescent="0.35">
      <c r="A174" s="157">
        <f>A173+1</f>
        <v>3</v>
      </c>
      <c r="B174" s="157"/>
      <c r="C174" s="65" t="s">
        <v>192</v>
      </c>
      <c r="D174" s="51">
        <f>(39.63)*10.764</f>
        <v>426.57731999999999</v>
      </c>
      <c r="E174" s="65">
        <v>0</v>
      </c>
      <c r="F174" s="65">
        <f>D174+E174</f>
        <v>426.57731999999999</v>
      </c>
      <c r="G174" s="65">
        <v>0</v>
      </c>
      <c r="H174" s="65">
        <f t="shared" si="11"/>
        <v>661.19484599999998</v>
      </c>
      <c r="I174" s="35"/>
      <c r="J174" s="62"/>
      <c r="N174" s="35"/>
    </row>
    <row r="175" spans="1:14" s="58" customFormat="1" x14ac:dyDescent="0.35">
      <c r="A175" s="157">
        <f>A174+1</f>
        <v>4</v>
      </c>
      <c r="B175" s="157"/>
      <c r="C175" s="59" t="s">
        <v>192</v>
      </c>
      <c r="D175" s="51">
        <f>(42.81)*10.764</f>
        <v>460.80684000000002</v>
      </c>
      <c r="E175" s="59">
        <v>0</v>
      </c>
      <c r="F175" s="59">
        <f>D175+E175</f>
        <v>460.80684000000002</v>
      </c>
      <c r="G175" s="59">
        <v>0</v>
      </c>
      <c r="H175" s="59">
        <f t="shared" si="11"/>
        <v>714.25060200000007</v>
      </c>
      <c r="I175" s="35"/>
      <c r="J175" s="62"/>
      <c r="N175" s="35"/>
    </row>
    <row r="176" spans="1:14" s="58" customFormat="1" ht="15.75" customHeight="1" x14ac:dyDescent="0.35">
      <c r="A176" s="157">
        <f>A175+1</f>
        <v>5</v>
      </c>
      <c r="B176" s="157"/>
      <c r="C176" s="59" t="s">
        <v>192</v>
      </c>
      <c r="D176" s="51">
        <f t="shared" ref="D176" si="12">(42.81)*10.764</f>
        <v>460.80684000000002</v>
      </c>
      <c r="E176" s="59">
        <v>0</v>
      </c>
      <c r="F176" s="59">
        <f t="shared" ref="F176:F177" si="13">D176+E176</f>
        <v>460.80684000000002</v>
      </c>
      <c r="G176" s="59">
        <v>0</v>
      </c>
      <c r="H176" s="59">
        <f t="shared" si="11"/>
        <v>714.25060200000007</v>
      </c>
      <c r="I176" s="35"/>
      <c r="J176" s="62"/>
      <c r="N176" s="35"/>
    </row>
    <row r="177" spans="1:14" s="58" customFormat="1" x14ac:dyDescent="0.35">
      <c r="A177" s="157">
        <f>A176+1</f>
        <v>6</v>
      </c>
      <c r="B177" s="157"/>
      <c r="C177" s="59" t="s">
        <v>192</v>
      </c>
      <c r="D177" s="51">
        <f>(39.63)*10.764</f>
        <v>426.57731999999999</v>
      </c>
      <c r="E177" s="59">
        <v>0</v>
      </c>
      <c r="F177" s="59">
        <f t="shared" si="13"/>
        <v>426.57731999999999</v>
      </c>
      <c r="G177" s="59">
        <v>0</v>
      </c>
      <c r="H177" s="59">
        <f t="shared" si="11"/>
        <v>661.19484599999998</v>
      </c>
      <c r="I177" s="35"/>
      <c r="J177" s="62"/>
      <c r="N177" s="35"/>
    </row>
    <row r="178" spans="1:14" s="58" customFormat="1" x14ac:dyDescent="0.35">
      <c r="A178" s="160" t="s">
        <v>223</v>
      </c>
      <c r="B178" s="161"/>
      <c r="C178" s="161"/>
      <c r="D178" s="161"/>
      <c r="E178" s="161"/>
      <c r="F178" s="161"/>
      <c r="G178" s="161"/>
      <c r="H178" s="162"/>
      <c r="J178" s="63"/>
    </row>
    <row r="179" spans="1:14" s="58" customFormat="1" ht="15.75" customHeight="1" x14ac:dyDescent="0.35">
      <c r="A179" s="157">
        <v>1</v>
      </c>
      <c r="B179" s="157"/>
      <c r="C179" s="59" t="s">
        <v>192</v>
      </c>
      <c r="D179" s="51">
        <f>(39.61)*10.764</f>
        <v>426.36203999999998</v>
      </c>
      <c r="E179" s="59">
        <v>0</v>
      </c>
      <c r="F179" s="59">
        <f>D179+E179</f>
        <v>426.36203999999998</v>
      </c>
      <c r="G179" s="59">
        <v>0</v>
      </c>
      <c r="H179" s="59">
        <f t="shared" ref="H179:H183" si="14">F179*(($H$147)+1)+(IF(G179&lt;101,G179,IF(G179&lt;201,G179/2,IF(G179&lt;=301,G179/3,G179/4))))</f>
        <v>660.86116200000004</v>
      </c>
      <c r="I179" s="35"/>
      <c r="J179" s="62"/>
      <c r="N179" s="35"/>
    </row>
    <row r="180" spans="1:14" s="58" customFormat="1" x14ac:dyDescent="0.35">
      <c r="A180" s="157">
        <f>A179+1</f>
        <v>2</v>
      </c>
      <c r="B180" s="157"/>
      <c r="C180" s="59" t="s">
        <v>193</v>
      </c>
      <c r="D180" s="51">
        <f>(74.75)*10.764</f>
        <v>804.60899999999992</v>
      </c>
      <c r="E180" s="59">
        <v>0</v>
      </c>
      <c r="F180" s="59">
        <f>D180+E180</f>
        <v>804.60899999999992</v>
      </c>
      <c r="G180" s="59">
        <v>0</v>
      </c>
      <c r="H180" s="59">
        <f t="shared" si="14"/>
        <v>1247.1439499999999</v>
      </c>
      <c r="I180" s="35"/>
      <c r="J180" s="62"/>
      <c r="N180" s="35"/>
    </row>
    <row r="181" spans="1:14" s="58" customFormat="1" x14ac:dyDescent="0.35">
      <c r="A181" s="157">
        <f>A180+1</f>
        <v>3</v>
      </c>
      <c r="B181" s="157"/>
      <c r="C181" s="59" t="s">
        <v>192</v>
      </c>
      <c r="D181" s="51">
        <f>(39.63)*10.764</f>
        <v>426.57731999999999</v>
      </c>
      <c r="E181" s="59">
        <v>0</v>
      </c>
      <c r="F181" s="59">
        <f>D181+E181</f>
        <v>426.57731999999999</v>
      </c>
      <c r="G181" s="59">
        <v>0</v>
      </c>
      <c r="H181" s="59">
        <f t="shared" si="14"/>
        <v>661.19484599999998</v>
      </c>
      <c r="I181" s="35"/>
      <c r="J181" s="62"/>
      <c r="N181" s="35"/>
    </row>
    <row r="182" spans="1:14" s="58" customFormat="1" x14ac:dyDescent="0.35">
      <c r="A182" s="157">
        <f>A181+1</f>
        <v>4</v>
      </c>
      <c r="B182" s="157"/>
      <c r="C182" s="59" t="s">
        <v>192</v>
      </c>
      <c r="D182" s="51">
        <f>(42.81)*10.764</f>
        <v>460.80684000000002</v>
      </c>
      <c r="E182" s="59">
        <v>0</v>
      </c>
      <c r="F182" s="59">
        <f>D182+E182</f>
        <v>460.80684000000002</v>
      </c>
      <c r="G182" s="59">
        <v>0</v>
      </c>
      <c r="H182" s="59">
        <f t="shared" si="14"/>
        <v>714.25060200000007</v>
      </c>
      <c r="I182" s="35"/>
      <c r="J182" s="62"/>
      <c r="N182" s="35"/>
    </row>
    <row r="183" spans="1:14" s="58" customFormat="1" ht="15.75" customHeight="1" x14ac:dyDescent="0.35">
      <c r="A183" s="157" t="s">
        <v>224</v>
      </c>
      <c r="B183" s="157"/>
      <c r="C183" s="59" t="s">
        <v>226</v>
      </c>
      <c r="D183" s="51">
        <f>(82.97)*10.764</f>
        <v>893.08907999999997</v>
      </c>
      <c r="E183" s="59">
        <v>0</v>
      </c>
      <c r="F183" s="59">
        <f t="shared" ref="F183" si="15">D183+E183</f>
        <v>893.08907999999997</v>
      </c>
      <c r="G183" s="59">
        <v>0</v>
      </c>
      <c r="H183" s="59">
        <f t="shared" si="14"/>
        <v>1384.2880740000001</v>
      </c>
      <c r="I183" s="35"/>
      <c r="J183" s="62"/>
      <c r="N183" s="35"/>
    </row>
    <row r="184" spans="1:14" s="58" customFormat="1" x14ac:dyDescent="0.35">
      <c r="A184" s="160" t="s">
        <v>227</v>
      </c>
      <c r="B184" s="161"/>
      <c r="C184" s="161"/>
      <c r="D184" s="161"/>
      <c r="E184" s="161"/>
      <c r="F184" s="161"/>
      <c r="G184" s="161"/>
      <c r="H184" s="162"/>
      <c r="J184" s="63"/>
    </row>
    <row r="185" spans="1:14" s="58" customFormat="1" ht="15.75" customHeight="1" x14ac:dyDescent="0.35">
      <c r="A185" s="157">
        <v>1</v>
      </c>
      <c r="B185" s="157"/>
      <c r="C185" s="59" t="s">
        <v>192</v>
      </c>
      <c r="D185" s="51">
        <f>(39.61)*10.764</f>
        <v>426.36203999999998</v>
      </c>
      <c r="E185" s="59">
        <v>0</v>
      </c>
      <c r="F185" s="59">
        <f>D185+E185</f>
        <v>426.36203999999998</v>
      </c>
      <c r="G185" s="59">
        <v>0</v>
      </c>
      <c r="H185" s="59">
        <f t="shared" ref="H185:H188" si="16">F185*(($H$147)+1)+(IF(G185&lt;101,G185,IF(G185&lt;201,G185/2,IF(G185&lt;=301,G185/3,G185/4))))</f>
        <v>660.86116200000004</v>
      </c>
      <c r="I185" s="35"/>
      <c r="J185" s="62"/>
      <c r="N185" s="35"/>
    </row>
    <row r="186" spans="1:14" s="58" customFormat="1" x14ac:dyDescent="0.35">
      <c r="A186" s="157">
        <f>A185+1</f>
        <v>2</v>
      </c>
      <c r="B186" s="157"/>
      <c r="C186" s="59" t="s">
        <v>193</v>
      </c>
      <c r="D186" s="51">
        <f>(74.75)*10.764</f>
        <v>804.60899999999992</v>
      </c>
      <c r="E186" s="59">
        <v>0</v>
      </c>
      <c r="F186" s="59">
        <f>D186+E186</f>
        <v>804.60899999999992</v>
      </c>
      <c r="G186" s="59">
        <v>0</v>
      </c>
      <c r="H186" s="59">
        <f t="shared" si="16"/>
        <v>1247.1439499999999</v>
      </c>
      <c r="I186" s="35"/>
      <c r="J186" s="62"/>
      <c r="N186" s="35"/>
    </row>
    <row r="187" spans="1:14" s="58" customFormat="1" x14ac:dyDescent="0.35">
      <c r="A187" s="157" t="s">
        <v>225</v>
      </c>
      <c r="B187" s="157"/>
      <c r="C187" s="59" t="s">
        <v>226</v>
      </c>
      <c r="D187" s="51">
        <f t="shared" ref="D187:D188" si="17">(82.97)*10.764</f>
        <v>893.08907999999997</v>
      </c>
      <c r="E187" s="59">
        <v>0</v>
      </c>
      <c r="F187" s="59">
        <f>D187+E187</f>
        <v>893.08907999999997</v>
      </c>
      <c r="G187" s="59">
        <v>0</v>
      </c>
      <c r="H187" s="59">
        <f t="shared" si="16"/>
        <v>1384.2880740000001</v>
      </c>
      <c r="I187" s="35"/>
      <c r="J187" s="62"/>
      <c r="N187" s="35"/>
    </row>
    <row r="188" spans="1:14" s="58" customFormat="1" ht="15.75" customHeight="1" x14ac:dyDescent="0.35">
      <c r="A188" s="157" t="s">
        <v>224</v>
      </c>
      <c r="B188" s="157"/>
      <c r="C188" s="59" t="s">
        <v>226</v>
      </c>
      <c r="D188" s="51">
        <f t="shared" si="17"/>
        <v>893.08907999999997</v>
      </c>
      <c r="E188" s="59">
        <v>0</v>
      </c>
      <c r="F188" s="59">
        <f t="shared" ref="F188" si="18">D188+E188</f>
        <v>893.08907999999997</v>
      </c>
      <c r="G188" s="59">
        <v>0</v>
      </c>
      <c r="H188" s="59">
        <f t="shared" si="16"/>
        <v>1384.2880740000001</v>
      </c>
      <c r="I188" s="35"/>
      <c r="J188" s="62"/>
      <c r="N188" s="35"/>
    </row>
    <row r="189" spans="1:14" s="58" customFormat="1" x14ac:dyDescent="0.35">
      <c r="A189" s="160" t="s">
        <v>228</v>
      </c>
      <c r="B189" s="161"/>
      <c r="C189" s="161"/>
      <c r="D189" s="161"/>
      <c r="E189" s="161"/>
      <c r="F189" s="161"/>
      <c r="G189" s="161"/>
      <c r="H189" s="162"/>
      <c r="J189" s="63"/>
    </row>
    <row r="190" spans="1:14" s="58" customFormat="1" ht="15.75" customHeight="1" x14ac:dyDescent="0.35">
      <c r="A190" s="157">
        <v>1</v>
      </c>
      <c r="B190" s="157"/>
      <c r="C190" s="59" t="s">
        <v>192</v>
      </c>
      <c r="D190" s="51">
        <f>(39.61)*10.764</f>
        <v>426.36203999999998</v>
      </c>
      <c r="E190" s="59">
        <v>0</v>
      </c>
      <c r="F190" s="59">
        <f>D190+E190</f>
        <v>426.36203999999998</v>
      </c>
      <c r="G190" s="59">
        <v>0</v>
      </c>
      <c r="H190" s="59">
        <f t="shared" ref="H190:H194" si="19">F190*(($H$147)+1)+(IF(G190&lt;101,G190,IF(G190&lt;201,G190/2,IF(G190&lt;=301,G190/3,G190/4))))</f>
        <v>660.86116200000004</v>
      </c>
      <c r="I190" s="35"/>
      <c r="J190" s="62"/>
      <c r="N190" s="35"/>
    </row>
    <row r="191" spans="1:14" s="58" customFormat="1" x14ac:dyDescent="0.35">
      <c r="A191" s="157">
        <f>A190+1</f>
        <v>2</v>
      </c>
      <c r="B191" s="157"/>
      <c r="C191" s="59" t="s">
        <v>193</v>
      </c>
      <c r="D191" s="51">
        <f>(74.75)*10.764</f>
        <v>804.60899999999992</v>
      </c>
      <c r="E191" s="59">
        <v>0</v>
      </c>
      <c r="F191" s="59">
        <f>D191+E191</f>
        <v>804.60899999999992</v>
      </c>
      <c r="G191" s="59">
        <v>0</v>
      </c>
      <c r="H191" s="59">
        <f t="shared" si="19"/>
        <v>1247.1439499999999</v>
      </c>
      <c r="I191" s="35"/>
      <c r="J191" s="62"/>
      <c r="N191" s="35"/>
    </row>
    <row r="192" spans="1:14" s="58" customFormat="1" x14ac:dyDescent="0.35">
      <c r="A192" s="157">
        <f>A191+1</f>
        <v>3</v>
      </c>
      <c r="B192" s="157"/>
      <c r="C192" s="59" t="s">
        <v>192</v>
      </c>
      <c r="D192" s="51">
        <f>(39.63)*10.764</f>
        <v>426.57731999999999</v>
      </c>
      <c r="E192" s="59">
        <v>0</v>
      </c>
      <c r="F192" s="59">
        <f>D192+E192</f>
        <v>426.57731999999999</v>
      </c>
      <c r="G192" s="59">
        <v>0</v>
      </c>
      <c r="H192" s="59">
        <f t="shared" si="19"/>
        <v>661.19484599999998</v>
      </c>
      <c r="I192" s="35"/>
      <c r="J192" s="62"/>
      <c r="N192" s="35"/>
    </row>
    <row r="193" spans="1:14" s="58" customFormat="1" x14ac:dyDescent="0.35">
      <c r="A193" s="157">
        <f>A192+1</f>
        <v>4</v>
      </c>
      <c r="B193" s="157"/>
      <c r="C193" s="59" t="s">
        <v>192</v>
      </c>
      <c r="D193" s="51">
        <f>(42.81)*10.764</f>
        <v>460.80684000000002</v>
      </c>
      <c r="E193" s="59">
        <v>0</v>
      </c>
      <c r="F193" s="59">
        <f>D193+E193</f>
        <v>460.80684000000002</v>
      </c>
      <c r="G193" s="59">
        <v>0</v>
      </c>
      <c r="H193" s="59">
        <f t="shared" si="19"/>
        <v>714.25060200000007</v>
      </c>
      <c r="I193" s="35"/>
      <c r="J193" s="62"/>
      <c r="N193" s="35"/>
    </row>
    <row r="194" spans="1:14" s="58" customFormat="1" ht="15.75" customHeight="1" x14ac:dyDescent="0.35">
      <c r="A194" s="157" t="s">
        <v>224</v>
      </c>
      <c r="B194" s="157"/>
      <c r="C194" s="59" t="s">
        <v>226</v>
      </c>
      <c r="D194" s="51">
        <f>(82.97)*10.764</f>
        <v>893.08907999999997</v>
      </c>
      <c r="E194" s="59">
        <v>0</v>
      </c>
      <c r="F194" s="59">
        <f t="shared" ref="F194" si="20">D194+E194</f>
        <v>893.08907999999997</v>
      </c>
      <c r="G194" s="59">
        <v>0</v>
      </c>
      <c r="H194" s="59">
        <f t="shared" si="19"/>
        <v>1384.2880740000001</v>
      </c>
      <c r="I194" s="35"/>
      <c r="J194" s="62"/>
      <c r="N194" s="35"/>
    </row>
    <row r="195" spans="1:14" s="58" customFormat="1" x14ac:dyDescent="0.35">
      <c r="A195" s="160" t="s">
        <v>229</v>
      </c>
      <c r="B195" s="161"/>
      <c r="C195" s="161"/>
      <c r="D195" s="161"/>
      <c r="E195" s="161"/>
      <c r="F195" s="161"/>
      <c r="G195" s="161"/>
      <c r="H195" s="162"/>
      <c r="J195" s="63"/>
    </row>
    <row r="196" spans="1:14" s="58" customFormat="1" ht="15.75" customHeight="1" x14ac:dyDescent="0.35">
      <c r="A196" s="157">
        <v>1</v>
      </c>
      <c r="B196" s="157"/>
      <c r="C196" s="59" t="s">
        <v>192</v>
      </c>
      <c r="D196" s="51">
        <f>(39.61)*10.764</f>
        <v>426.36203999999998</v>
      </c>
      <c r="E196" s="59">
        <v>0</v>
      </c>
      <c r="F196" s="59">
        <f>D196+E196</f>
        <v>426.36203999999998</v>
      </c>
      <c r="G196" s="59">
        <v>0</v>
      </c>
      <c r="H196" s="59">
        <f t="shared" ref="H196:H199" si="21">F196*(($H$147)+1)+(IF(G196&lt;101,G196,IF(G196&lt;201,G196/2,IF(G196&lt;=301,G196/3,G196/4))))</f>
        <v>660.86116200000004</v>
      </c>
      <c r="I196" s="35"/>
      <c r="J196" s="62"/>
      <c r="N196" s="35"/>
    </row>
    <row r="197" spans="1:14" s="58" customFormat="1" x14ac:dyDescent="0.35">
      <c r="A197" s="157">
        <f>A196+1</f>
        <v>2</v>
      </c>
      <c r="B197" s="157"/>
      <c r="C197" s="59" t="s">
        <v>193</v>
      </c>
      <c r="D197" s="51">
        <f>(74.75)*10.764</f>
        <v>804.60899999999992</v>
      </c>
      <c r="E197" s="59">
        <v>0</v>
      </c>
      <c r="F197" s="59">
        <f>D197+E197</f>
        <v>804.60899999999992</v>
      </c>
      <c r="G197" s="59">
        <v>0</v>
      </c>
      <c r="H197" s="59">
        <f t="shared" si="21"/>
        <v>1247.1439499999999</v>
      </c>
      <c r="I197" s="35"/>
      <c r="J197" s="62"/>
      <c r="N197" s="35"/>
    </row>
    <row r="198" spans="1:14" s="58" customFormat="1" x14ac:dyDescent="0.35">
      <c r="A198" s="157" t="s">
        <v>225</v>
      </c>
      <c r="B198" s="157"/>
      <c r="C198" s="59" t="s">
        <v>226</v>
      </c>
      <c r="D198" s="51">
        <f t="shared" ref="D198:D199" si="22">(82.97)*10.764</f>
        <v>893.08907999999997</v>
      </c>
      <c r="E198" s="59">
        <v>0</v>
      </c>
      <c r="F198" s="59">
        <f>D198+E198</f>
        <v>893.08907999999997</v>
      </c>
      <c r="G198" s="59">
        <v>0</v>
      </c>
      <c r="H198" s="59">
        <f t="shared" si="21"/>
        <v>1384.2880740000001</v>
      </c>
      <c r="I198" s="35"/>
      <c r="J198" s="62"/>
      <c r="N198" s="35"/>
    </row>
    <row r="199" spans="1:14" s="58" customFormat="1" ht="15.75" customHeight="1" x14ac:dyDescent="0.35">
      <c r="A199" s="157" t="s">
        <v>224</v>
      </c>
      <c r="B199" s="157"/>
      <c r="C199" s="59" t="s">
        <v>226</v>
      </c>
      <c r="D199" s="51">
        <f t="shared" si="22"/>
        <v>893.08907999999997</v>
      </c>
      <c r="E199" s="59">
        <v>0</v>
      </c>
      <c r="F199" s="59">
        <f t="shared" ref="F199" si="23">D199+E199</f>
        <v>893.08907999999997</v>
      </c>
      <c r="G199" s="59">
        <v>0</v>
      </c>
      <c r="H199" s="59">
        <f t="shared" si="21"/>
        <v>1384.2880740000001</v>
      </c>
      <c r="I199" s="35"/>
      <c r="J199" s="62"/>
      <c r="N199" s="35"/>
    </row>
    <row r="200" spans="1:14" s="58" customFormat="1" x14ac:dyDescent="0.35">
      <c r="A200" s="160" t="s">
        <v>231</v>
      </c>
      <c r="B200" s="161"/>
      <c r="C200" s="161"/>
      <c r="D200" s="161"/>
      <c r="E200" s="161"/>
      <c r="F200" s="161"/>
      <c r="G200" s="161"/>
      <c r="H200" s="162"/>
      <c r="J200" s="63"/>
    </row>
    <row r="201" spans="1:14" s="58" customFormat="1" ht="15.75" customHeight="1" x14ac:dyDescent="0.35">
      <c r="A201" s="157">
        <v>1</v>
      </c>
      <c r="B201" s="157"/>
      <c r="C201" s="59" t="s">
        <v>192</v>
      </c>
      <c r="D201" s="51">
        <f>(39.61)*10.764</f>
        <v>426.36203999999998</v>
      </c>
      <c r="E201" s="59">
        <v>0</v>
      </c>
      <c r="F201" s="59">
        <f>D201+E201</f>
        <v>426.36203999999998</v>
      </c>
      <c r="G201" s="59">
        <v>0</v>
      </c>
      <c r="H201" s="59">
        <f t="shared" ref="H201:H204" si="24">F201*(($H$147)+1)+(IF(G201&lt;101,G201,IF(G201&lt;201,G201/2,IF(G201&lt;=301,G201/3,G201/4))))</f>
        <v>660.86116200000004</v>
      </c>
      <c r="I201" s="35"/>
      <c r="J201" s="62"/>
      <c r="N201" s="35"/>
    </row>
    <row r="202" spans="1:14" s="58" customFormat="1" x14ac:dyDescent="0.35">
      <c r="A202" s="157">
        <f>A201+1</f>
        <v>2</v>
      </c>
      <c r="B202" s="157"/>
      <c r="C202" s="59" t="s">
        <v>193</v>
      </c>
      <c r="D202" s="51">
        <f>(74.75)*10.764</f>
        <v>804.60899999999992</v>
      </c>
      <c r="E202" s="59">
        <v>0</v>
      </c>
      <c r="F202" s="59">
        <f>D202+E202</f>
        <v>804.60899999999992</v>
      </c>
      <c r="G202" s="59">
        <v>0</v>
      </c>
      <c r="H202" s="59">
        <f t="shared" si="24"/>
        <v>1247.1439499999999</v>
      </c>
      <c r="I202" s="35"/>
      <c r="J202" s="62"/>
      <c r="N202" s="35"/>
    </row>
    <row r="203" spans="1:14" s="58" customFormat="1" x14ac:dyDescent="0.35">
      <c r="A203" s="157" t="s">
        <v>225</v>
      </c>
      <c r="B203" s="157"/>
      <c r="C203" s="59" t="s">
        <v>226</v>
      </c>
      <c r="D203" s="51">
        <f>(85.31)*10.764</f>
        <v>918.27683999999999</v>
      </c>
      <c r="E203" s="59">
        <v>0</v>
      </c>
      <c r="F203" s="59">
        <f>D203+E203</f>
        <v>918.27683999999999</v>
      </c>
      <c r="G203" s="59">
        <v>0</v>
      </c>
      <c r="H203" s="59">
        <f t="shared" si="24"/>
        <v>1423.3291019999999</v>
      </c>
      <c r="I203" s="35"/>
      <c r="J203" s="62"/>
      <c r="N203" s="35"/>
    </row>
    <row r="204" spans="1:14" s="58" customFormat="1" ht="15.75" customHeight="1" x14ac:dyDescent="0.35">
      <c r="A204" s="157" t="s">
        <v>224</v>
      </c>
      <c r="B204" s="157"/>
      <c r="C204" s="59" t="s">
        <v>226</v>
      </c>
      <c r="D204" s="51">
        <f t="shared" ref="D204" si="25">(82.97)*10.764</f>
        <v>893.08907999999997</v>
      </c>
      <c r="E204" s="59">
        <v>0</v>
      </c>
      <c r="F204" s="59">
        <f t="shared" ref="F204" si="26">D204+E204</f>
        <v>893.08907999999997</v>
      </c>
      <c r="G204" s="59">
        <v>0</v>
      </c>
      <c r="H204" s="59">
        <f t="shared" si="24"/>
        <v>1384.2880740000001</v>
      </c>
      <c r="I204" s="35"/>
      <c r="J204" s="62"/>
      <c r="N204" s="35"/>
    </row>
    <row r="205" spans="1:14" s="58" customFormat="1" x14ac:dyDescent="0.35">
      <c r="A205" s="170" t="s">
        <v>230</v>
      </c>
      <c r="B205" s="170"/>
      <c r="C205" s="170"/>
      <c r="D205" s="170"/>
      <c r="E205" s="170"/>
      <c r="F205" s="170"/>
      <c r="G205" s="170"/>
      <c r="H205" s="170"/>
      <c r="J205" s="63"/>
    </row>
    <row r="206" spans="1:14" s="58" customFormat="1" ht="15.75" customHeight="1" x14ac:dyDescent="0.35">
      <c r="A206" s="157">
        <v>1</v>
      </c>
      <c r="B206" s="157"/>
      <c r="C206" s="65" t="s">
        <v>192</v>
      </c>
      <c r="D206" s="51">
        <f>(39.61)*10.764</f>
        <v>426.36203999999998</v>
      </c>
      <c r="E206" s="65">
        <v>0</v>
      </c>
      <c r="F206" s="65">
        <f>D206+E206</f>
        <v>426.36203999999998</v>
      </c>
      <c r="G206" s="65">
        <v>0</v>
      </c>
      <c r="H206" s="65">
        <f t="shared" ref="H206:H210" si="27">F206*(($H$147)+1)+(IF(G206&lt;101,G206,IF(G206&lt;201,G206/2,IF(G206&lt;=301,G206/3,G206/4))))</f>
        <v>660.86116200000004</v>
      </c>
      <c r="I206" s="35"/>
      <c r="J206" s="62"/>
      <c r="N206" s="35"/>
    </row>
    <row r="207" spans="1:14" s="58" customFormat="1" x14ac:dyDescent="0.35">
      <c r="A207" s="157">
        <f>A206+1</f>
        <v>2</v>
      </c>
      <c r="B207" s="157"/>
      <c r="C207" s="65" t="s">
        <v>193</v>
      </c>
      <c r="D207" s="51">
        <f>(74.75)*10.764</f>
        <v>804.60899999999992</v>
      </c>
      <c r="E207" s="65">
        <v>0</v>
      </c>
      <c r="F207" s="65">
        <f>D207+E207</f>
        <v>804.60899999999992</v>
      </c>
      <c r="G207" s="65">
        <v>0</v>
      </c>
      <c r="H207" s="65">
        <f t="shared" si="27"/>
        <v>1247.1439499999999</v>
      </c>
      <c r="I207" s="35"/>
      <c r="J207" s="62"/>
      <c r="N207" s="35"/>
    </row>
    <row r="208" spans="1:14" s="58" customFormat="1" x14ac:dyDescent="0.35">
      <c r="A208" s="157" t="s">
        <v>225</v>
      </c>
      <c r="B208" s="157"/>
      <c r="C208" s="65" t="s">
        <v>226</v>
      </c>
      <c r="D208" s="51">
        <f>(85.31)*10.764</f>
        <v>918.27683999999999</v>
      </c>
      <c r="E208" s="65">
        <v>0</v>
      </c>
      <c r="F208" s="65">
        <f>D208+E208</f>
        <v>918.27683999999999</v>
      </c>
      <c r="G208" s="65">
        <v>0</v>
      </c>
      <c r="H208" s="65">
        <f t="shared" si="27"/>
        <v>1423.3291019999999</v>
      </c>
      <c r="I208" s="35"/>
      <c r="J208" s="62"/>
      <c r="N208" s="35"/>
    </row>
    <row r="209" spans="1:14" s="58" customFormat="1" ht="15.75" customHeight="1" x14ac:dyDescent="0.35">
      <c r="A209" s="157">
        <v>5</v>
      </c>
      <c r="B209" s="157"/>
      <c r="C209" s="65" t="s">
        <v>192</v>
      </c>
      <c r="D209" s="51">
        <f t="shared" ref="D209" si="28">(42.81)*10.764</f>
        <v>460.80684000000002</v>
      </c>
      <c r="E209" s="65">
        <v>0</v>
      </c>
      <c r="F209" s="65">
        <f t="shared" ref="F209:F210" si="29">D209+E209</f>
        <v>460.80684000000002</v>
      </c>
      <c r="G209" s="65">
        <v>0</v>
      </c>
      <c r="H209" s="65">
        <f t="shared" si="27"/>
        <v>714.25060200000007</v>
      </c>
      <c r="I209" s="35"/>
      <c r="J209" s="62"/>
      <c r="N209" s="35"/>
    </row>
    <row r="210" spans="1:14" s="58" customFormat="1" x14ac:dyDescent="0.35">
      <c r="A210" s="157">
        <f>A209+1</f>
        <v>6</v>
      </c>
      <c r="B210" s="157"/>
      <c r="C210" s="65" t="s">
        <v>192</v>
      </c>
      <c r="D210" s="51">
        <f>(39.63)*10.764</f>
        <v>426.57731999999999</v>
      </c>
      <c r="E210" s="65">
        <v>0</v>
      </c>
      <c r="F210" s="65">
        <f t="shared" si="29"/>
        <v>426.57731999999999</v>
      </c>
      <c r="G210" s="65">
        <v>0</v>
      </c>
      <c r="H210" s="65">
        <f t="shared" si="27"/>
        <v>661.19484599999998</v>
      </c>
      <c r="I210" s="35"/>
      <c r="J210" s="62"/>
      <c r="N210" s="35"/>
    </row>
    <row r="211" spans="1:14" s="49" customFormat="1" x14ac:dyDescent="0.35">
      <c r="A211" s="180" t="s">
        <v>194</v>
      </c>
      <c r="B211" s="180"/>
      <c r="C211" s="180"/>
      <c r="D211" s="180"/>
      <c r="E211" s="180"/>
      <c r="F211" s="180"/>
      <c r="G211" s="180"/>
      <c r="H211" s="180"/>
      <c r="J211" s="63"/>
    </row>
    <row r="212" spans="1:14" s="49" customFormat="1" x14ac:dyDescent="0.35">
      <c r="A212" s="180" t="s">
        <v>190</v>
      </c>
      <c r="B212" s="180"/>
      <c r="C212" s="180"/>
      <c r="D212" s="180"/>
      <c r="E212" s="180"/>
      <c r="F212" s="180"/>
      <c r="G212" s="180"/>
      <c r="H212" s="180"/>
      <c r="J212" s="63"/>
    </row>
    <row r="213" spans="1:14" s="49" customFormat="1" ht="15.75" customHeight="1" x14ac:dyDescent="0.35">
      <c r="A213" s="180" t="s">
        <v>210</v>
      </c>
      <c r="B213" s="180"/>
      <c r="C213" s="180"/>
      <c r="D213" s="180"/>
      <c r="E213" s="180"/>
      <c r="F213" s="180"/>
      <c r="G213" s="180"/>
      <c r="H213" s="180"/>
      <c r="J213" s="63"/>
    </row>
    <row r="214" spans="1:14" s="57" customFormat="1" x14ac:dyDescent="0.35">
      <c r="A214" s="180" t="s">
        <v>215</v>
      </c>
      <c r="B214" s="180"/>
      <c r="C214" s="180"/>
      <c r="D214" s="180"/>
      <c r="E214" s="180"/>
      <c r="F214" s="180"/>
      <c r="G214" s="180"/>
      <c r="H214" s="180"/>
      <c r="J214" s="63"/>
    </row>
    <row r="215" spans="1:14" s="57" customFormat="1" ht="15.75" customHeight="1" x14ac:dyDescent="0.35">
      <c r="A215" s="157">
        <v>1</v>
      </c>
      <c r="B215" s="157"/>
      <c r="C215" s="65" t="s">
        <v>193</v>
      </c>
      <c r="D215" s="51">
        <f>(96.31)*10.764</f>
        <v>1036.68084</v>
      </c>
      <c r="E215" s="65">
        <v>0</v>
      </c>
      <c r="F215" s="65">
        <f>D215+E215</f>
        <v>1036.68084</v>
      </c>
      <c r="G215" s="65">
        <v>0</v>
      </c>
      <c r="H215" s="65">
        <f t="shared" ref="H215" si="30">F215*(($H$147)+1)+(IF(G215&lt;101,G215,IF(G215&lt;201,G215/2,IF(G215&lt;=301,G215/3,G215/4))))</f>
        <v>1606.8553019999999</v>
      </c>
      <c r="I215" s="35"/>
      <c r="J215" s="62"/>
      <c r="N215" s="35"/>
    </row>
    <row r="216" spans="1:14" s="57" customFormat="1" x14ac:dyDescent="0.35">
      <c r="A216" s="157">
        <f>A215+1</f>
        <v>2</v>
      </c>
      <c r="B216" s="157"/>
      <c r="C216" s="157" t="s">
        <v>217</v>
      </c>
      <c r="D216" s="157"/>
      <c r="E216" s="157"/>
      <c r="F216" s="157"/>
      <c r="G216" s="157"/>
      <c r="H216" s="157"/>
      <c r="I216" s="35"/>
      <c r="J216" s="62"/>
      <c r="N216" s="35"/>
    </row>
    <row r="217" spans="1:14" s="57" customFormat="1" x14ac:dyDescent="0.35">
      <c r="A217" s="157">
        <f>A216+1</f>
        <v>3</v>
      </c>
      <c r="B217" s="157"/>
      <c r="C217" s="157"/>
      <c r="D217" s="157"/>
      <c r="E217" s="157"/>
      <c r="F217" s="157"/>
      <c r="G217" s="157"/>
      <c r="H217" s="157"/>
      <c r="I217" s="35"/>
      <c r="J217" s="62"/>
      <c r="N217" s="35"/>
    </row>
    <row r="218" spans="1:14" s="57" customFormat="1" x14ac:dyDescent="0.35">
      <c r="A218" s="157">
        <f>A217+1</f>
        <v>4</v>
      </c>
      <c r="B218" s="157"/>
      <c r="C218" s="157"/>
      <c r="D218" s="157"/>
      <c r="E218" s="157"/>
      <c r="F218" s="157"/>
      <c r="G218" s="157"/>
      <c r="H218" s="157"/>
      <c r="I218" s="35"/>
      <c r="J218" s="62"/>
      <c r="N218" s="35"/>
    </row>
    <row r="219" spans="1:14" s="57" customFormat="1" ht="15.75" customHeight="1" x14ac:dyDescent="0.35">
      <c r="A219" s="157">
        <f>A218+1</f>
        <v>5</v>
      </c>
      <c r="B219" s="157"/>
      <c r="C219" s="48" t="s">
        <v>192</v>
      </c>
      <c r="D219" s="51">
        <f>(42.81)*10.764</f>
        <v>460.80684000000002</v>
      </c>
      <c r="E219" s="48">
        <v>0</v>
      </c>
      <c r="F219" s="48">
        <f t="shared" ref="F219:F220" si="31">D219+E219</f>
        <v>460.80684000000002</v>
      </c>
      <c r="G219" s="48">
        <v>0</v>
      </c>
      <c r="H219" s="48">
        <f t="shared" ref="H219:H220" si="32">F219*(($H$147)+1)+(IF(G219&lt;101,G219,IF(G219&lt;201,G219/2,IF(G219&lt;=301,G219/3,G219/4))))</f>
        <v>714.25060200000007</v>
      </c>
      <c r="I219" s="35"/>
      <c r="J219" s="62"/>
      <c r="N219" s="35"/>
    </row>
    <row r="220" spans="1:14" s="57" customFormat="1" x14ac:dyDescent="0.35">
      <c r="A220" s="157">
        <f>A219+1</f>
        <v>6</v>
      </c>
      <c r="B220" s="157"/>
      <c r="C220" s="48" t="s">
        <v>192</v>
      </c>
      <c r="D220" s="51">
        <f>(39.63)*10.764</f>
        <v>426.57731999999999</v>
      </c>
      <c r="E220" s="48">
        <v>0</v>
      </c>
      <c r="F220" s="48">
        <f t="shared" si="31"/>
        <v>426.57731999999999</v>
      </c>
      <c r="G220" s="48">
        <v>0</v>
      </c>
      <c r="H220" s="48">
        <f t="shared" si="32"/>
        <v>661.19484599999998</v>
      </c>
      <c r="I220" s="35"/>
      <c r="J220" s="62"/>
      <c r="N220" s="35"/>
    </row>
    <row r="221" spans="1:14" s="57" customFormat="1" x14ac:dyDescent="0.35">
      <c r="A221" s="90" t="s">
        <v>218</v>
      </c>
      <c r="B221" s="91"/>
      <c r="C221" s="91"/>
      <c r="D221" s="91"/>
      <c r="E221" s="91"/>
      <c r="F221" s="91"/>
      <c r="G221" s="91"/>
      <c r="H221" s="92"/>
      <c r="J221" s="63"/>
    </row>
    <row r="222" spans="1:14" s="57" customFormat="1" ht="15.75" customHeight="1" x14ac:dyDescent="0.35">
      <c r="A222" s="157">
        <v>1</v>
      </c>
      <c r="B222" s="157"/>
      <c r="C222" s="48" t="s">
        <v>193</v>
      </c>
      <c r="D222" s="51">
        <f>(74.6)*10.764</f>
        <v>802.99439999999993</v>
      </c>
      <c r="E222" s="48">
        <v>0</v>
      </c>
      <c r="F222" s="48">
        <f>D222+E222</f>
        <v>802.99439999999993</v>
      </c>
      <c r="G222" s="48">
        <v>0</v>
      </c>
      <c r="H222" s="48">
        <f t="shared" ref="H222" si="33">F222*(($H$147)+1)+(IF(G222&lt;101,G222,IF(G222&lt;201,G222/2,IF(G222&lt;=301,G222/3,G222/4))))</f>
        <v>1244.64132</v>
      </c>
      <c r="I222" s="35"/>
      <c r="J222" s="62"/>
      <c r="N222" s="35"/>
    </row>
    <row r="223" spans="1:14" s="57" customFormat="1" ht="15.75" customHeight="1" x14ac:dyDescent="0.35">
      <c r="A223" s="157">
        <f>A222+1</f>
        <v>2</v>
      </c>
      <c r="B223" s="157"/>
      <c r="C223" s="59" t="s">
        <v>193</v>
      </c>
      <c r="D223" s="51">
        <f>(74.33)*10.764</f>
        <v>800.08811999999989</v>
      </c>
      <c r="E223" s="59">
        <v>0</v>
      </c>
      <c r="F223" s="59">
        <f t="shared" ref="F223:F225" si="34">D223+E223</f>
        <v>800.08811999999989</v>
      </c>
      <c r="G223" s="59">
        <v>0</v>
      </c>
      <c r="H223" s="59">
        <f t="shared" ref="H223:H225" si="35">F223*(($H$147)+1)+(IF(G223&lt;101,G223,IF(G223&lt;201,G223/2,IF(G223&lt;=301,G223/3,G223/4))))</f>
        <v>1240.1365859999999</v>
      </c>
      <c r="I223" s="35"/>
      <c r="J223" s="62"/>
      <c r="N223" s="35"/>
    </row>
    <row r="224" spans="1:14" s="57" customFormat="1" x14ac:dyDescent="0.35">
      <c r="A224" s="157">
        <f>A223+1</f>
        <v>3</v>
      </c>
      <c r="B224" s="157"/>
      <c r="C224" s="59" t="s">
        <v>192</v>
      </c>
      <c r="D224" s="51">
        <f>(39.63)*10.764</f>
        <v>426.57731999999999</v>
      </c>
      <c r="E224" s="59">
        <v>0</v>
      </c>
      <c r="F224" s="59">
        <f t="shared" si="34"/>
        <v>426.57731999999999</v>
      </c>
      <c r="G224" s="59">
        <v>0</v>
      </c>
      <c r="H224" s="59">
        <f t="shared" si="35"/>
        <v>661.19484599999998</v>
      </c>
      <c r="I224" s="35"/>
      <c r="J224" s="62"/>
      <c r="N224" s="35"/>
    </row>
    <row r="225" spans="1:14" s="57" customFormat="1" x14ac:dyDescent="0.35">
      <c r="A225" s="157">
        <f>A224+1</f>
        <v>4</v>
      </c>
      <c r="B225" s="157"/>
      <c r="C225" s="59" t="s">
        <v>192</v>
      </c>
      <c r="D225" s="51">
        <f t="shared" ref="D225:D226" si="36">(42.81)*10.764</f>
        <v>460.80684000000002</v>
      </c>
      <c r="E225" s="59">
        <v>0</v>
      </c>
      <c r="F225" s="59">
        <f t="shared" si="34"/>
        <v>460.80684000000002</v>
      </c>
      <c r="G225" s="59">
        <v>0</v>
      </c>
      <c r="H225" s="59">
        <f t="shared" si="35"/>
        <v>714.25060200000007</v>
      </c>
      <c r="I225" s="35"/>
      <c r="J225" s="62"/>
      <c r="N225" s="35"/>
    </row>
    <row r="226" spans="1:14" s="57" customFormat="1" ht="15.75" customHeight="1" x14ac:dyDescent="0.35">
      <c r="A226" s="157">
        <f>A225+1</f>
        <v>5</v>
      </c>
      <c r="B226" s="157"/>
      <c r="C226" s="59" t="s">
        <v>192</v>
      </c>
      <c r="D226" s="51">
        <f t="shared" si="36"/>
        <v>460.80684000000002</v>
      </c>
      <c r="E226" s="48">
        <v>0</v>
      </c>
      <c r="F226" s="48">
        <f t="shared" ref="F226:F227" si="37">D226+E226</f>
        <v>460.80684000000002</v>
      </c>
      <c r="G226" s="48">
        <v>0</v>
      </c>
      <c r="H226" s="48">
        <f t="shared" ref="H226:H227" si="38">F226*(($H$147)+1)+(IF(G226&lt;101,G226,IF(G226&lt;201,G226/2,IF(G226&lt;=301,G226/3,G226/4))))</f>
        <v>714.25060200000007</v>
      </c>
      <c r="I226" s="35"/>
      <c r="J226" s="62"/>
      <c r="N226" s="35"/>
    </row>
    <row r="227" spans="1:14" s="57" customFormat="1" x14ac:dyDescent="0.35">
      <c r="A227" s="157">
        <f>A226+1</f>
        <v>6</v>
      </c>
      <c r="B227" s="157"/>
      <c r="C227" s="59" t="s">
        <v>192</v>
      </c>
      <c r="D227" s="51">
        <f>(39.63)*10.764</f>
        <v>426.57731999999999</v>
      </c>
      <c r="E227" s="48">
        <v>0</v>
      </c>
      <c r="F227" s="48">
        <f t="shared" si="37"/>
        <v>426.57731999999999</v>
      </c>
      <c r="G227" s="48">
        <v>0</v>
      </c>
      <c r="H227" s="48">
        <f t="shared" si="38"/>
        <v>661.19484599999998</v>
      </c>
      <c r="I227" s="35"/>
      <c r="J227" s="62"/>
      <c r="N227" s="35"/>
    </row>
    <row r="228" spans="1:14" s="58" customFormat="1" x14ac:dyDescent="0.35">
      <c r="A228" s="90" t="s">
        <v>221</v>
      </c>
      <c r="B228" s="91"/>
      <c r="C228" s="91"/>
      <c r="D228" s="91"/>
      <c r="E228" s="91"/>
      <c r="F228" s="91"/>
      <c r="G228" s="91"/>
      <c r="H228" s="92"/>
      <c r="J228" s="63"/>
    </row>
    <row r="229" spans="1:14" s="58" customFormat="1" ht="15.75" customHeight="1" x14ac:dyDescent="0.35">
      <c r="A229" s="157">
        <v>1</v>
      </c>
      <c r="B229" s="157"/>
      <c r="C229" s="59" t="s">
        <v>193</v>
      </c>
      <c r="D229" s="51">
        <f>(74.6)*10.764</f>
        <v>802.99439999999993</v>
      </c>
      <c r="E229" s="59">
        <v>0</v>
      </c>
      <c r="F229" s="59">
        <f>D229+E229</f>
        <v>802.99439999999993</v>
      </c>
      <c r="G229" s="59">
        <v>0</v>
      </c>
      <c r="H229" s="59">
        <f t="shared" ref="H229:H234" si="39">F229*(($H$147)+1)+(IF(G229&lt;101,G229,IF(G229&lt;201,G229/2,IF(G229&lt;=301,G229/3,G229/4))))</f>
        <v>1244.64132</v>
      </c>
      <c r="I229" s="35"/>
      <c r="J229" s="62"/>
      <c r="N229" s="35"/>
    </row>
    <row r="230" spans="1:14" s="58" customFormat="1" ht="15.75" customHeight="1" x14ac:dyDescent="0.35">
      <c r="A230" s="157">
        <f>A229+1</f>
        <v>2</v>
      </c>
      <c r="B230" s="157"/>
      <c r="C230" s="59" t="s">
        <v>193</v>
      </c>
      <c r="D230" s="51">
        <f>(74.33)*10.764</f>
        <v>800.08811999999989</v>
      </c>
      <c r="E230" s="59">
        <v>0</v>
      </c>
      <c r="F230" s="59">
        <f t="shared" ref="F230:F234" si="40">D230+E230</f>
        <v>800.08811999999989</v>
      </c>
      <c r="G230" s="59">
        <v>0</v>
      </c>
      <c r="H230" s="59">
        <f t="shared" si="39"/>
        <v>1240.1365859999999</v>
      </c>
      <c r="I230" s="35"/>
      <c r="J230" s="62"/>
      <c r="N230" s="35"/>
    </row>
    <row r="231" spans="1:14" s="58" customFormat="1" x14ac:dyDescent="0.35">
      <c r="A231" s="157">
        <f>A230+1</f>
        <v>3</v>
      </c>
      <c r="B231" s="157"/>
      <c r="C231" s="59" t="s">
        <v>192</v>
      </c>
      <c r="D231" s="51">
        <f>(39.63)*10.764</f>
        <v>426.57731999999999</v>
      </c>
      <c r="E231" s="59">
        <v>0</v>
      </c>
      <c r="F231" s="59">
        <f t="shared" si="40"/>
        <v>426.57731999999999</v>
      </c>
      <c r="G231" s="59">
        <v>0</v>
      </c>
      <c r="H231" s="59">
        <f t="shared" si="39"/>
        <v>661.19484599999998</v>
      </c>
      <c r="I231" s="35"/>
      <c r="J231" s="62"/>
      <c r="N231" s="35"/>
    </row>
    <row r="232" spans="1:14" s="58" customFormat="1" x14ac:dyDescent="0.35">
      <c r="A232" s="157">
        <f>A231+1</f>
        <v>4</v>
      </c>
      <c r="B232" s="157"/>
      <c r="C232" s="59" t="s">
        <v>192</v>
      </c>
      <c r="D232" s="51">
        <f t="shared" ref="D232:D233" si="41">(42.81)*10.764</f>
        <v>460.80684000000002</v>
      </c>
      <c r="E232" s="59">
        <v>0</v>
      </c>
      <c r="F232" s="59">
        <f t="shared" si="40"/>
        <v>460.80684000000002</v>
      </c>
      <c r="G232" s="59">
        <v>0</v>
      </c>
      <c r="H232" s="59">
        <f t="shared" si="39"/>
        <v>714.25060200000007</v>
      </c>
      <c r="I232" s="35"/>
      <c r="J232" s="62"/>
      <c r="N232" s="35"/>
    </row>
    <row r="233" spans="1:14" s="58" customFormat="1" ht="15.75" customHeight="1" x14ac:dyDescent="0.35">
      <c r="A233" s="157">
        <f>A232+1</f>
        <v>5</v>
      </c>
      <c r="B233" s="157"/>
      <c r="C233" s="59" t="s">
        <v>192</v>
      </c>
      <c r="D233" s="51">
        <f t="shared" si="41"/>
        <v>460.80684000000002</v>
      </c>
      <c r="E233" s="59">
        <v>0</v>
      </c>
      <c r="F233" s="59">
        <f t="shared" si="40"/>
        <v>460.80684000000002</v>
      </c>
      <c r="G233" s="59">
        <v>0</v>
      </c>
      <c r="H233" s="59">
        <f t="shared" si="39"/>
        <v>714.25060200000007</v>
      </c>
      <c r="I233" s="35"/>
      <c r="J233" s="62"/>
      <c r="N233" s="35"/>
    </row>
    <row r="234" spans="1:14" s="58" customFormat="1" x14ac:dyDescent="0.35">
      <c r="A234" s="157">
        <f>A233+1</f>
        <v>6</v>
      </c>
      <c r="B234" s="157"/>
      <c r="C234" s="59" t="s">
        <v>192</v>
      </c>
      <c r="D234" s="51">
        <f>(39.63)*10.764</f>
        <v>426.57731999999999</v>
      </c>
      <c r="E234" s="59">
        <v>0</v>
      </c>
      <c r="F234" s="59">
        <f t="shared" si="40"/>
        <v>426.57731999999999</v>
      </c>
      <c r="G234" s="59">
        <v>0</v>
      </c>
      <c r="H234" s="59">
        <f t="shared" si="39"/>
        <v>661.19484599999998</v>
      </c>
      <c r="I234" s="35"/>
      <c r="J234" s="62"/>
      <c r="N234" s="35"/>
    </row>
    <row r="235" spans="1:14" s="58" customFormat="1" x14ac:dyDescent="0.35">
      <c r="A235" s="90" t="s">
        <v>222</v>
      </c>
      <c r="B235" s="91"/>
      <c r="C235" s="91"/>
      <c r="D235" s="91"/>
      <c r="E235" s="91"/>
      <c r="F235" s="91"/>
      <c r="G235" s="91"/>
      <c r="H235" s="92"/>
      <c r="J235" s="63"/>
    </row>
    <row r="236" spans="1:14" s="58" customFormat="1" ht="15.75" customHeight="1" x14ac:dyDescent="0.35">
      <c r="A236" s="157">
        <v>1</v>
      </c>
      <c r="B236" s="157"/>
      <c r="C236" s="59" t="s">
        <v>193</v>
      </c>
      <c r="D236" s="51">
        <f>(74.6)*10.764</f>
        <v>802.99439999999993</v>
      </c>
      <c r="E236" s="59">
        <v>0</v>
      </c>
      <c r="F236" s="59">
        <f>D236+E236</f>
        <v>802.99439999999993</v>
      </c>
      <c r="G236" s="59">
        <v>0</v>
      </c>
      <c r="H236" s="59">
        <f t="shared" ref="H236:H240" si="42">F236*(($H$147)+1)+(IF(G236&lt;101,G236,IF(G236&lt;201,G236/2,IF(G236&lt;=301,G236/3,G236/4))))</f>
        <v>1244.64132</v>
      </c>
      <c r="I236" s="35"/>
      <c r="N236" s="35"/>
    </row>
    <row r="237" spans="1:14" s="58" customFormat="1" ht="15.75" customHeight="1" x14ac:dyDescent="0.35">
      <c r="A237" s="157">
        <f>A236+1</f>
        <v>2</v>
      </c>
      <c r="B237" s="157"/>
      <c r="C237" s="59" t="s">
        <v>193</v>
      </c>
      <c r="D237" s="51">
        <f>(74.33)*10.764</f>
        <v>800.08811999999989</v>
      </c>
      <c r="E237" s="59">
        <v>0</v>
      </c>
      <c r="F237" s="59">
        <f t="shared" ref="F237:F240" si="43">D237+E237</f>
        <v>800.08811999999989</v>
      </c>
      <c r="G237" s="59">
        <v>0</v>
      </c>
      <c r="H237" s="59">
        <f t="shared" si="42"/>
        <v>1240.1365859999999</v>
      </c>
      <c r="I237" s="35"/>
      <c r="N237" s="35"/>
    </row>
    <row r="238" spans="1:14" s="58" customFormat="1" x14ac:dyDescent="0.35">
      <c r="A238" s="157" t="s">
        <v>225</v>
      </c>
      <c r="B238" s="157"/>
      <c r="C238" s="59" t="s">
        <v>226</v>
      </c>
      <c r="D238" s="51">
        <f>(82.97)*10.764</f>
        <v>893.08907999999997</v>
      </c>
      <c r="E238" s="59">
        <v>0</v>
      </c>
      <c r="F238" s="59">
        <f t="shared" si="43"/>
        <v>893.08907999999997</v>
      </c>
      <c r="G238" s="59">
        <v>0</v>
      </c>
      <c r="H238" s="59">
        <f t="shared" si="42"/>
        <v>1384.2880740000001</v>
      </c>
      <c r="I238" s="35"/>
      <c r="N238" s="35"/>
    </row>
    <row r="239" spans="1:14" s="58" customFormat="1" ht="15.75" customHeight="1" x14ac:dyDescent="0.35">
      <c r="A239" s="157">
        <v>5</v>
      </c>
      <c r="B239" s="157"/>
      <c r="C239" s="59" t="s">
        <v>192</v>
      </c>
      <c r="D239" s="51">
        <f t="shared" ref="D239" si="44">(42.81)*10.764</f>
        <v>460.80684000000002</v>
      </c>
      <c r="E239" s="59">
        <v>0</v>
      </c>
      <c r="F239" s="59">
        <f t="shared" si="43"/>
        <v>460.80684000000002</v>
      </c>
      <c r="G239" s="59">
        <v>0</v>
      </c>
      <c r="H239" s="59">
        <f t="shared" si="42"/>
        <v>714.25060200000007</v>
      </c>
      <c r="I239" s="35"/>
      <c r="J239" s="62"/>
      <c r="N239" s="35"/>
    </row>
    <row r="240" spans="1:14" s="58" customFormat="1" x14ac:dyDescent="0.35">
      <c r="A240" s="157">
        <f>A239+1</f>
        <v>6</v>
      </c>
      <c r="B240" s="157"/>
      <c r="C240" s="59" t="s">
        <v>192</v>
      </c>
      <c r="D240" s="51">
        <f>(39.63)*10.764</f>
        <v>426.57731999999999</v>
      </c>
      <c r="E240" s="59">
        <v>0</v>
      </c>
      <c r="F240" s="59">
        <f t="shared" si="43"/>
        <v>426.57731999999999</v>
      </c>
      <c r="G240" s="59">
        <v>0</v>
      </c>
      <c r="H240" s="59">
        <f t="shared" si="42"/>
        <v>661.19484599999998</v>
      </c>
      <c r="I240" s="35"/>
      <c r="J240" s="62"/>
      <c r="N240" s="35"/>
    </row>
    <row r="241" spans="1:14" s="58" customFormat="1" x14ac:dyDescent="0.35">
      <c r="A241" s="90" t="s">
        <v>223</v>
      </c>
      <c r="B241" s="91"/>
      <c r="C241" s="91"/>
      <c r="D241" s="91"/>
      <c r="E241" s="91"/>
      <c r="F241" s="91"/>
      <c r="G241" s="91"/>
      <c r="H241" s="92"/>
      <c r="J241" s="63"/>
    </row>
    <row r="242" spans="1:14" s="58" customFormat="1" ht="15.75" customHeight="1" x14ac:dyDescent="0.35">
      <c r="A242" s="157">
        <v>1</v>
      </c>
      <c r="B242" s="157"/>
      <c r="C242" s="59" t="s">
        <v>193</v>
      </c>
      <c r="D242" s="51">
        <f>(74.6)*10.764</f>
        <v>802.99439999999993</v>
      </c>
      <c r="E242" s="59">
        <v>0</v>
      </c>
      <c r="F242" s="59">
        <f>D242+E242</f>
        <v>802.99439999999993</v>
      </c>
      <c r="G242" s="59">
        <v>0</v>
      </c>
      <c r="H242" s="59">
        <f t="shared" ref="H242:H247" si="45">F242*(($H$147)+1)+(IF(G242&lt;101,G242,IF(G242&lt;201,G242/2,IF(G242&lt;=301,G242/3,G242/4))))</f>
        <v>1244.64132</v>
      </c>
      <c r="I242" s="35"/>
      <c r="J242" s="62"/>
      <c r="N242" s="35"/>
    </row>
    <row r="243" spans="1:14" s="58" customFormat="1" ht="15.75" customHeight="1" x14ac:dyDescent="0.35">
      <c r="A243" s="157">
        <f>A242+1</f>
        <v>2</v>
      </c>
      <c r="B243" s="157"/>
      <c r="C243" s="59" t="s">
        <v>193</v>
      </c>
      <c r="D243" s="51">
        <f>(74.33)*10.764</f>
        <v>800.08811999999989</v>
      </c>
      <c r="E243" s="59">
        <v>0</v>
      </c>
      <c r="F243" s="59">
        <f t="shared" ref="F243:F247" si="46">D243+E243</f>
        <v>800.08811999999989</v>
      </c>
      <c r="G243" s="59">
        <v>0</v>
      </c>
      <c r="H243" s="59">
        <f t="shared" si="45"/>
        <v>1240.1365859999999</v>
      </c>
      <c r="I243" s="35"/>
      <c r="J243" s="62"/>
      <c r="N243" s="35"/>
    </row>
    <row r="244" spans="1:14" s="58" customFormat="1" x14ac:dyDescent="0.35">
      <c r="A244" s="157">
        <f>A243+1</f>
        <v>3</v>
      </c>
      <c r="B244" s="157"/>
      <c r="C244" s="59" t="s">
        <v>192</v>
      </c>
      <c r="D244" s="51">
        <f>(39.63)*10.764</f>
        <v>426.57731999999999</v>
      </c>
      <c r="E244" s="59">
        <v>0</v>
      </c>
      <c r="F244" s="59">
        <f t="shared" si="46"/>
        <v>426.57731999999999</v>
      </c>
      <c r="G244" s="59">
        <v>0</v>
      </c>
      <c r="H244" s="59">
        <f t="shared" si="45"/>
        <v>661.19484599999998</v>
      </c>
      <c r="I244" s="35"/>
      <c r="J244" s="62"/>
      <c r="N244" s="35"/>
    </row>
    <row r="245" spans="1:14" s="58" customFormat="1" x14ac:dyDescent="0.35">
      <c r="A245" s="157">
        <f>A244+1</f>
        <v>4</v>
      </c>
      <c r="B245" s="157"/>
      <c r="C245" s="59" t="s">
        <v>192</v>
      </c>
      <c r="D245" s="51">
        <f t="shared" ref="D245:D246" si="47">(42.81)*10.764</f>
        <v>460.80684000000002</v>
      </c>
      <c r="E245" s="59">
        <v>0</v>
      </c>
      <c r="F245" s="59">
        <f t="shared" si="46"/>
        <v>460.80684000000002</v>
      </c>
      <c r="G245" s="59">
        <v>0</v>
      </c>
      <c r="H245" s="59">
        <f t="shared" si="45"/>
        <v>714.25060200000007</v>
      </c>
      <c r="I245" s="35"/>
      <c r="J245" s="62"/>
      <c r="N245" s="35"/>
    </row>
    <row r="246" spans="1:14" s="58" customFormat="1" ht="15.75" customHeight="1" x14ac:dyDescent="0.35">
      <c r="A246" s="157">
        <f>A245+1</f>
        <v>5</v>
      </c>
      <c r="B246" s="157"/>
      <c r="C246" s="59" t="s">
        <v>192</v>
      </c>
      <c r="D246" s="51">
        <f t="shared" si="47"/>
        <v>460.80684000000002</v>
      </c>
      <c r="E246" s="59">
        <v>0</v>
      </c>
      <c r="F246" s="59">
        <f t="shared" si="46"/>
        <v>460.80684000000002</v>
      </c>
      <c r="G246" s="59">
        <v>0</v>
      </c>
      <c r="H246" s="59">
        <f t="shared" si="45"/>
        <v>714.25060200000007</v>
      </c>
      <c r="I246" s="35"/>
      <c r="J246" s="62"/>
      <c r="N246" s="35"/>
    </row>
    <row r="247" spans="1:14" s="58" customFormat="1" x14ac:dyDescent="0.35">
      <c r="A247" s="157">
        <f>A246+1</f>
        <v>6</v>
      </c>
      <c r="B247" s="157"/>
      <c r="C247" s="59" t="s">
        <v>192</v>
      </c>
      <c r="D247" s="51">
        <f>(39.63)*10.764</f>
        <v>426.57731999999999</v>
      </c>
      <c r="E247" s="59">
        <v>0</v>
      </c>
      <c r="F247" s="59">
        <f t="shared" si="46"/>
        <v>426.57731999999999</v>
      </c>
      <c r="G247" s="59">
        <v>0</v>
      </c>
      <c r="H247" s="59">
        <f t="shared" si="45"/>
        <v>661.19484599999998</v>
      </c>
      <c r="I247" s="35"/>
      <c r="J247" s="62"/>
      <c r="N247" s="35"/>
    </row>
    <row r="248" spans="1:14" s="58" customFormat="1" x14ac:dyDescent="0.35">
      <c r="A248" s="180" t="s">
        <v>227</v>
      </c>
      <c r="B248" s="180"/>
      <c r="C248" s="180"/>
      <c r="D248" s="180"/>
      <c r="E248" s="180"/>
      <c r="F248" s="180"/>
      <c r="G248" s="180"/>
      <c r="H248" s="180"/>
      <c r="J248" s="63"/>
    </row>
    <row r="249" spans="1:14" s="58" customFormat="1" ht="15.75" customHeight="1" x14ac:dyDescent="0.35">
      <c r="A249" s="157">
        <v>1</v>
      </c>
      <c r="B249" s="157"/>
      <c r="C249" s="65" t="s">
        <v>193</v>
      </c>
      <c r="D249" s="51">
        <f>(74.6)*10.764</f>
        <v>802.99439999999993</v>
      </c>
      <c r="E249" s="65">
        <v>0</v>
      </c>
      <c r="F249" s="65">
        <f>D249+E249</f>
        <v>802.99439999999993</v>
      </c>
      <c r="G249" s="65">
        <v>0</v>
      </c>
      <c r="H249" s="65">
        <f t="shared" ref="H249:H254" si="48">F249*(($H$147)+1)+(IF(G249&lt;101,G249,IF(G249&lt;201,G249/2,IF(G249&lt;=301,G249/3,G249/4))))</f>
        <v>1244.64132</v>
      </c>
      <c r="I249" s="35"/>
      <c r="J249" s="62"/>
      <c r="N249" s="35"/>
    </row>
    <row r="250" spans="1:14" s="58" customFormat="1" ht="15.75" customHeight="1" x14ac:dyDescent="0.35">
      <c r="A250" s="157">
        <f>A249+1</f>
        <v>2</v>
      </c>
      <c r="B250" s="157"/>
      <c r="C250" s="65" t="s">
        <v>193</v>
      </c>
      <c r="D250" s="51">
        <f>(74.33)*10.764</f>
        <v>800.08811999999989</v>
      </c>
      <c r="E250" s="65">
        <v>0</v>
      </c>
      <c r="F250" s="65">
        <f t="shared" ref="F250:F254" si="49">D250+E250</f>
        <v>800.08811999999989</v>
      </c>
      <c r="G250" s="65">
        <v>0</v>
      </c>
      <c r="H250" s="65">
        <f t="shared" si="48"/>
        <v>1240.1365859999999</v>
      </c>
      <c r="I250" s="35"/>
      <c r="J250" s="62"/>
      <c r="N250" s="35"/>
    </row>
    <row r="251" spans="1:14" s="58" customFormat="1" x14ac:dyDescent="0.35">
      <c r="A251" s="157">
        <f>A250+1</f>
        <v>3</v>
      </c>
      <c r="B251" s="157"/>
      <c r="C251" s="65" t="s">
        <v>192</v>
      </c>
      <c r="D251" s="51">
        <f>(39.63)*10.764</f>
        <v>426.57731999999999</v>
      </c>
      <c r="E251" s="65">
        <v>0</v>
      </c>
      <c r="F251" s="65">
        <f t="shared" si="49"/>
        <v>426.57731999999999</v>
      </c>
      <c r="G251" s="65">
        <v>0</v>
      </c>
      <c r="H251" s="65">
        <f t="shared" si="48"/>
        <v>661.19484599999998</v>
      </c>
      <c r="I251" s="35"/>
      <c r="J251" s="62"/>
      <c r="N251" s="35"/>
    </row>
    <row r="252" spans="1:14" s="58" customFormat="1" x14ac:dyDescent="0.35">
      <c r="A252" s="157">
        <f>A251+1</f>
        <v>4</v>
      </c>
      <c r="B252" s="157"/>
      <c r="C252" s="65" t="s">
        <v>192</v>
      </c>
      <c r="D252" s="51">
        <f t="shared" ref="D252:D253" si="50">(42.81)*10.764</f>
        <v>460.80684000000002</v>
      </c>
      <c r="E252" s="65">
        <v>0</v>
      </c>
      <c r="F252" s="65">
        <f t="shared" si="49"/>
        <v>460.80684000000002</v>
      </c>
      <c r="G252" s="65">
        <v>0</v>
      </c>
      <c r="H252" s="65">
        <f t="shared" si="48"/>
        <v>714.25060200000007</v>
      </c>
      <c r="I252" s="35"/>
      <c r="J252" s="62"/>
      <c r="N252" s="35"/>
    </row>
    <row r="253" spans="1:14" s="58" customFormat="1" ht="15.75" customHeight="1" x14ac:dyDescent="0.35">
      <c r="A253" s="157">
        <f>A252+1</f>
        <v>5</v>
      </c>
      <c r="B253" s="157"/>
      <c r="C253" s="65" t="s">
        <v>192</v>
      </c>
      <c r="D253" s="51">
        <f t="shared" si="50"/>
        <v>460.80684000000002</v>
      </c>
      <c r="E253" s="65">
        <v>0</v>
      </c>
      <c r="F253" s="65">
        <f t="shared" si="49"/>
        <v>460.80684000000002</v>
      </c>
      <c r="G253" s="65">
        <v>0</v>
      </c>
      <c r="H253" s="65">
        <f t="shared" si="48"/>
        <v>714.25060200000007</v>
      </c>
      <c r="I253" s="35"/>
      <c r="J253" s="62"/>
      <c r="N253" s="35"/>
    </row>
    <row r="254" spans="1:14" s="58" customFormat="1" x14ac:dyDescent="0.35">
      <c r="A254" s="157">
        <f>A253+1</f>
        <v>6</v>
      </c>
      <c r="B254" s="157"/>
      <c r="C254" s="65" t="s">
        <v>192</v>
      </c>
      <c r="D254" s="51">
        <f>(39.63)*10.764</f>
        <v>426.57731999999999</v>
      </c>
      <c r="E254" s="65">
        <v>0</v>
      </c>
      <c r="F254" s="65">
        <f t="shared" si="49"/>
        <v>426.57731999999999</v>
      </c>
      <c r="G254" s="65">
        <v>0</v>
      </c>
      <c r="H254" s="65">
        <f t="shared" si="48"/>
        <v>661.19484599999998</v>
      </c>
      <c r="I254" s="35"/>
      <c r="J254" s="62"/>
      <c r="N254" s="35"/>
    </row>
    <row r="255" spans="1:14" s="58" customFormat="1" x14ac:dyDescent="0.35">
      <c r="A255" s="180" t="s">
        <v>228</v>
      </c>
      <c r="B255" s="180"/>
      <c r="C255" s="180"/>
      <c r="D255" s="180"/>
      <c r="E255" s="180"/>
      <c r="F255" s="180"/>
      <c r="G255" s="180"/>
      <c r="H255" s="180"/>
      <c r="J255" s="63"/>
    </row>
    <row r="256" spans="1:14" s="58" customFormat="1" ht="15.75" customHeight="1" x14ac:dyDescent="0.35">
      <c r="A256" s="157">
        <v>1</v>
      </c>
      <c r="B256" s="157"/>
      <c r="C256" s="65" t="s">
        <v>193</v>
      </c>
      <c r="D256" s="51">
        <f>(74.6)*10.764</f>
        <v>802.99439999999993</v>
      </c>
      <c r="E256" s="65">
        <v>0</v>
      </c>
      <c r="F256" s="65">
        <f>D256+E256</f>
        <v>802.99439999999993</v>
      </c>
      <c r="G256" s="65">
        <v>0</v>
      </c>
      <c r="H256" s="65">
        <f t="shared" ref="H256:H259" si="51">F256*(($H$147)+1)+(IF(G256&lt;101,G256,IF(G256&lt;201,G256/2,IF(G256&lt;=301,G256/3,G256/4))))</f>
        <v>1244.64132</v>
      </c>
      <c r="I256" s="35"/>
      <c r="J256" s="62"/>
      <c r="N256" s="35"/>
    </row>
    <row r="257" spans="1:14" s="58" customFormat="1" ht="15.75" customHeight="1" x14ac:dyDescent="0.35">
      <c r="A257" s="157">
        <f>A256+1</f>
        <v>2</v>
      </c>
      <c r="B257" s="157"/>
      <c r="C257" s="65" t="s">
        <v>193</v>
      </c>
      <c r="D257" s="51">
        <f>(74.33)*10.764</f>
        <v>800.08811999999989</v>
      </c>
      <c r="E257" s="65">
        <v>0</v>
      </c>
      <c r="F257" s="65">
        <f t="shared" ref="F257:F259" si="52">D257+E257</f>
        <v>800.08811999999989</v>
      </c>
      <c r="G257" s="65">
        <v>0</v>
      </c>
      <c r="H257" s="65">
        <f t="shared" si="51"/>
        <v>1240.1365859999999</v>
      </c>
      <c r="I257" s="35"/>
      <c r="J257" s="62"/>
      <c r="N257" s="35"/>
    </row>
    <row r="258" spans="1:14" s="58" customFormat="1" x14ac:dyDescent="0.35">
      <c r="A258" s="157" t="s">
        <v>225</v>
      </c>
      <c r="B258" s="157"/>
      <c r="C258" s="65" t="s">
        <v>226</v>
      </c>
      <c r="D258" s="51">
        <f>(82.97)*10.764</f>
        <v>893.08907999999997</v>
      </c>
      <c r="E258" s="65">
        <v>0</v>
      </c>
      <c r="F258" s="65">
        <f t="shared" si="52"/>
        <v>893.08907999999997</v>
      </c>
      <c r="G258" s="65">
        <v>0</v>
      </c>
      <c r="H258" s="65">
        <f t="shared" si="51"/>
        <v>1384.2880740000001</v>
      </c>
      <c r="I258" s="35"/>
      <c r="J258" s="62"/>
      <c r="N258" s="35"/>
    </row>
    <row r="259" spans="1:14" s="58" customFormat="1" ht="15.75" customHeight="1" x14ac:dyDescent="0.35">
      <c r="A259" s="157" t="s">
        <v>224</v>
      </c>
      <c r="B259" s="157"/>
      <c r="C259" s="65" t="s">
        <v>226</v>
      </c>
      <c r="D259" s="51">
        <f>(82.97)*10.764</f>
        <v>893.08907999999997</v>
      </c>
      <c r="E259" s="65">
        <v>0</v>
      </c>
      <c r="F259" s="65">
        <f t="shared" si="52"/>
        <v>893.08907999999997</v>
      </c>
      <c r="G259" s="65">
        <v>0</v>
      </c>
      <c r="H259" s="65">
        <f t="shared" si="51"/>
        <v>1384.2880740000001</v>
      </c>
      <c r="I259" s="35"/>
      <c r="J259" s="62"/>
      <c r="N259" s="35"/>
    </row>
    <row r="260" spans="1:14" s="58" customFormat="1" x14ac:dyDescent="0.35">
      <c r="A260" s="90" t="s">
        <v>229</v>
      </c>
      <c r="B260" s="91"/>
      <c r="C260" s="91"/>
      <c r="D260" s="91"/>
      <c r="E260" s="91"/>
      <c r="F260" s="91"/>
      <c r="G260" s="91"/>
      <c r="H260" s="92"/>
      <c r="J260" s="63"/>
    </row>
    <row r="261" spans="1:14" s="58" customFormat="1" ht="15.75" customHeight="1" x14ac:dyDescent="0.35">
      <c r="A261" s="157">
        <v>1</v>
      </c>
      <c r="B261" s="157"/>
      <c r="C261" s="59" t="s">
        <v>193</v>
      </c>
      <c r="D261" s="51">
        <f>(74.6)*10.764</f>
        <v>802.99439999999993</v>
      </c>
      <c r="E261" s="59">
        <v>0</v>
      </c>
      <c r="F261" s="59">
        <f>D261+E261</f>
        <v>802.99439999999993</v>
      </c>
      <c r="G261" s="59">
        <v>0</v>
      </c>
      <c r="H261" s="59">
        <f t="shared" ref="H261:H264" si="53">F261*(($H$147)+1)+(IF(G261&lt;101,G261,IF(G261&lt;201,G261/2,IF(G261&lt;=301,G261/3,G261/4))))</f>
        <v>1244.64132</v>
      </c>
      <c r="I261" s="35"/>
      <c r="J261" s="62"/>
      <c r="N261" s="35"/>
    </row>
    <row r="262" spans="1:14" s="58" customFormat="1" ht="15.75" customHeight="1" x14ac:dyDescent="0.35">
      <c r="A262" s="157">
        <f>A261+1</f>
        <v>2</v>
      </c>
      <c r="B262" s="157"/>
      <c r="C262" s="59" t="s">
        <v>193</v>
      </c>
      <c r="D262" s="51">
        <f>(74.33)*10.764</f>
        <v>800.08811999999989</v>
      </c>
      <c r="E262" s="59">
        <v>0</v>
      </c>
      <c r="F262" s="59">
        <f t="shared" ref="F262:F264" si="54">D262+E262</f>
        <v>800.08811999999989</v>
      </c>
      <c r="G262" s="59">
        <v>0</v>
      </c>
      <c r="H262" s="59">
        <f t="shared" si="53"/>
        <v>1240.1365859999999</v>
      </c>
      <c r="I262" s="35"/>
      <c r="J262" s="62"/>
      <c r="N262" s="35"/>
    </row>
    <row r="263" spans="1:14" s="58" customFormat="1" x14ac:dyDescent="0.35">
      <c r="A263" s="157" t="s">
        <v>225</v>
      </c>
      <c r="B263" s="157"/>
      <c r="C263" s="59" t="s">
        <v>226</v>
      </c>
      <c r="D263" s="51">
        <f>(82.97)*10.764</f>
        <v>893.08907999999997</v>
      </c>
      <c r="E263" s="59">
        <v>0</v>
      </c>
      <c r="F263" s="59">
        <f t="shared" si="54"/>
        <v>893.08907999999997</v>
      </c>
      <c r="G263" s="59">
        <v>0</v>
      </c>
      <c r="H263" s="59">
        <f t="shared" si="53"/>
        <v>1384.2880740000001</v>
      </c>
      <c r="I263" s="35"/>
      <c r="J263" s="62"/>
      <c r="N263" s="35"/>
    </row>
    <row r="264" spans="1:14" s="58" customFormat="1" ht="15.75" customHeight="1" x14ac:dyDescent="0.35">
      <c r="A264" s="157" t="s">
        <v>224</v>
      </c>
      <c r="B264" s="157"/>
      <c r="C264" s="59" t="s">
        <v>226</v>
      </c>
      <c r="D264" s="51">
        <f>(85.31)*10.764</f>
        <v>918.27683999999999</v>
      </c>
      <c r="E264" s="59">
        <v>0</v>
      </c>
      <c r="F264" s="59">
        <f t="shared" si="54"/>
        <v>918.27683999999999</v>
      </c>
      <c r="G264" s="59">
        <v>0</v>
      </c>
      <c r="H264" s="59">
        <f t="shared" si="53"/>
        <v>1423.3291019999999</v>
      </c>
      <c r="I264" s="35"/>
      <c r="N264" s="35"/>
    </row>
    <row r="265" spans="1:14" s="58" customFormat="1" x14ac:dyDescent="0.35">
      <c r="A265" s="90" t="s">
        <v>231</v>
      </c>
      <c r="B265" s="91"/>
      <c r="C265" s="91"/>
      <c r="D265" s="91"/>
      <c r="E265" s="91"/>
      <c r="F265" s="91"/>
      <c r="G265" s="91"/>
      <c r="H265" s="92"/>
      <c r="J265" s="63"/>
    </row>
    <row r="266" spans="1:14" s="58" customFormat="1" ht="15.75" customHeight="1" x14ac:dyDescent="0.35">
      <c r="A266" s="157">
        <v>1</v>
      </c>
      <c r="B266" s="157"/>
      <c r="C266" s="59" t="s">
        <v>193</v>
      </c>
      <c r="D266" s="51">
        <f>(74.6)*10.764</f>
        <v>802.99439999999993</v>
      </c>
      <c r="E266" s="59">
        <v>0</v>
      </c>
      <c r="F266" s="59">
        <f>D266+E266</f>
        <v>802.99439999999993</v>
      </c>
      <c r="G266" s="59">
        <v>0</v>
      </c>
      <c r="H266" s="59">
        <f t="shared" ref="H266:H269" si="55">F266*(($H$147)+1)+(IF(G266&lt;101,G266,IF(G266&lt;201,G266/2,IF(G266&lt;=301,G266/3,G266/4))))</f>
        <v>1244.64132</v>
      </c>
      <c r="I266" s="35"/>
      <c r="J266" s="62"/>
      <c r="N266" s="35"/>
    </row>
    <row r="267" spans="1:14" s="58" customFormat="1" ht="15.75" customHeight="1" x14ac:dyDescent="0.35">
      <c r="A267" s="157">
        <f>A266+1</f>
        <v>2</v>
      </c>
      <c r="B267" s="157"/>
      <c r="C267" s="59" t="s">
        <v>193</v>
      </c>
      <c r="D267" s="51">
        <f>(74.33)*10.764</f>
        <v>800.08811999999989</v>
      </c>
      <c r="E267" s="59">
        <v>0</v>
      </c>
      <c r="F267" s="59">
        <f t="shared" ref="F267:F269" si="56">D267+E267</f>
        <v>800.08811999999989</v>
      </c>
      <c r="G267" s="59">
        <v>0</v>
      </c>
      <c r="H267" s="59">
        <f t="shared" si="55"/>
        <v>1240.1365859999999</v>
      </c>
      <c r="I267" s="35"/>
      <c r="J267" s="62"/>
      <c r="N267" s="35"/>
    </row>
    <row r="268" spans="1:14" s="58" customFormat="1" x14ac:dyDescent="0.35">
      <c r="A268" s="157" t="s">
        <v>225</v>
      </c>
      <c r="B268" s="157"/>
      <c r="C268" s="59" t="s">
        <v>226</v>
      </c>
      <c r="D268" s="51">
        <f>(82.97)*10.764</f>
        <v>893.08907999999997</v>
      </c>
      <c r="E268" s="59">
        <v>0</v>
      </c>
      <c r="F268" s="59">
        <f t="shared" si="56"/>
        <v>893.08907999999997</v>
      </c>
      <c r="G268" s="59">
        <v>0</v>
      </c>
      <c r="H268" s="59">
        <f t="shared" si="55"/>
        <v>1384.2880740000001</v>
      </c>
      <c r="I268" s="35"/>
      <c r="J268" s="62"/>
      <c r="N268" s="35"/>
    </row>
    <row r="269" spans="1:14" s="58" customFormat="1" ht="15.75" customHeight="1" x14ac:dyDescent="0.35">
      <c r="A269" s="157" t="s">
        <v>224</v>
      </c>
      <c r="B269" s="157"/>
      <c r="C269" s="59" t="s">
        <v>226</v>
      </c>
      <c r="D269" s="51">
        <f>(85.31)*10.764</f>
        <v>918.27683999999999</v>
      </c>
      <c r="E269" s="59">
        <v>0</v>
      </c>
      <c r="F269" s="59">
        <f t="shared" si="56"/>
        <v>918.27683999999999</v>
      </c>
      <c r="G269" s="59">
        <v>0</v>
      </c>
      <c r="H269" s="59">
        <f t="shared" si="55"/>
        <v>1423.3291019999999</v>
      </c>
      <c r="I269" s="35"/>
      <c r="N269" s="35"/>
    </row>
    <row r="270" spans="1:14" s="58" customFormat="1" x14ac:dyDescent="0.35">
      <c r="A270" s="90" t="s">
        <v>230</v>
      </c>
      <c r="B270" s="91"/>
      <c r="C270" s="91"/>
      <c r="D270" s="91"/>
      <c r="E270" s="91"/>
      <c r="F270" s="91"/>
      <c r="G270" s="91"/>
      <c r="H270" s="92"/>
      <c r="J270" s="63"/>
    </row>
    <row r="271" spans="1:14" s="58" customFormat="1" ht="15.75" customHeight="1" x14ac:dyDescent="0.35">
      <c r="A271" s="157">
        <v>1</v>
      </c>
      <c r="B271" s="157"/>
      <c r="C271" s="59" t="s">
        <v>193</v>
      </c>
      <c r="D271" s="51">
        <f>(74.6)*10.764</f>
        <v>802.99439999999993</v>
      </c>
      <c r="E271" s="59">
        <v>0</v>
      </c>
      <c r="F271" s="59">
        <f>D271+E271</f>
        <v>802.99439999999993</v>
      </c>
      <c r="G271" s="59">
        <v>0</v>
      </c>
      <c r="H271" s="59">
        <f t="shared" ref="H271:H275" si="57">F271*(($H$147)+1)+(IF(G271&lt;101,G271,IF(G271&lt;201,G271/2,IF(G271&lt;=301,G271/3,G271/4))))</f>
        <v>1244.64132</v>
      </c>
      <c r="I271" s="35"/>
      <c r="J271" s="62"/>
      <c r="N271" s="35"/>
    </row>
    <row r="272" spans="1:14" s="58" customFormat="1" ht="15.75" customHeight="1" x14ac:dyDescent="0.35">
      <c r="A272" s="157">
        <f>A271+1</f>
        <v>2</v>
      </c>
      <c r="B272" s="157"/>
      <c r="C272" s="59" t="s">
        <v>193</v>
      </c>
      <c r="D272" s="51">
        <f>(74.33)*10.764</f>
        <v>800.08811999999989</v>
      </c>
      <c r="E272" s="59">
        <v>0</v>
      </c>
      <c r="F272" s="59">
        <f t="shared" ref="F272:F275" si="58">D272+E272</f>
        <v>800.08811999999989</v>
      </c>
      <c r="G272" s="59">
        <v>0</v>
      </c>
      <c r="H272" s="59">
        <f t="shared" si="57"/>
        <v>1240.1365859999999</v>
      </c>
      <c r="I272" s="35"/>
      <c r="J272" s="62"/>
      <c r="N272" s="35"/>
    </row>
    <row r="273" spans="1:14" s="58" customFormat="1" x14ac:dyDescent="0.35">
      <c r="A273" s="157">
        <f>A272+1</f>
        <v>3</v>
      </c>
      <c r="B273" s="157"/>
      <c r="C273" s="59" t="s">
        <v>192</v>
      </c>
      <c r="D273" s="51">
        <f>(39.63)*10.764</f>
        <v>426.57731999999999</v>
      </c>
      <c r="E273" s="59">
        <v>0</v>
      </c>
      <c r="F273" s="59">
        <f t="shared" si="58"/>
        <v>426.57731999999999</v>
      </c>
      <c r="G273" s="59">
        <v>0</v>
      </c>
      <c r="H273" s="59">
        <f t="shared" si="57"/>
        <v>661.19484599999998</v>
      </c>
      <c r="I273" s="35"/>
      <c r="J273" s="62"/>
      <c r="N273" s="35"/>
    </row>
    <row r="274" spans="1:14" s="58" customFormat="1" x14ac:dyDescent="0.35">
      <c r="A274" s="157">
        <f>A273+1</f>
        <v>4</v>
      </c>
      <c r="B274" s="157"/>
      <c r="C274" s="59" t="s">
        <v>192</v>
      </c>
      <c r="D274" s="51">
        <f t="shared" ref="D274" si="59">(42.81)*10.764</f>
        <v>460.80684000000002</v>
      </c>
      <c r="E274" s="59">
        <v>0</v>
      </c>
      <c r="F274" s="59">
        <f t="shared" si="58"/>
        <v>460.80684000000002</v>
      </c>
      <c r="G274" s="59">
        <v>0</v>
      </c>
      <c r="H274" s="59">
        <f t="shared" si="57"/>
        <v>714.25060200000007</v>
      </c>
      <c r="I274" s="35"/>
      <c r="J274" s="62"/>
      <c r="N274" s="35"/>
    </row>
    <row r="275" spans="1:14" s="58" customFormat="1" ht="15.75" customHeight="1" x14ac:dyDescent="0.35">
      <c r="A275" s="157" t="s">
        <v>224</v>
      </c>
      <c r="B275" s="157"/>
      <c r="C275" s="59" t="s">
        <v>226</v>
      </c>
      <c r="D275" s="51">
        <f>(85.31)*10.764</f>
        <v>918.27683999999999</v>
      </c>
      <c r="E275" s="59">
        <v>0</v>
      </c>
      <c r="F275" s="59">
        <f t="shared" si="58"/>
        <v>918.27683999999999</v>
      </c>
      <c r="G275" s="59">
        <v>0</v>
      </c>
      <c r="H275" s="59">
        <f t="shared" si="57"/>
        <v>1423.3291019999999</v>
      </c>
      <c r="I275" s="35"/>
      <c r="J275" s="62"/>
      <c r="N275" s="35"/>
    </row>
    <row r="276" spans="1:14" s="34" customFormat="1" x14ac:dyDescent="0.35">
      <c r="A276" s="179" t="s">
        <v>69</v>
      </c>
      <c r="B276" s="179"/>
      <c r="C276" s="179"/>
      <c r="D276" s="179"/>
      <c r="E276" s="179"/>
      <c r="F276" s="179"/>
      <c r="G276" s="179"/>
      <c r="H276" s="179"/>
    </row>
    <row r="277" spans="1:14" s="34" customFormat="1" x14ac:dyDescent="0.35">
      <c r="A277" s="42" t="s">
        <v>155</v>
      </c>
      <c r="B277" s="151" t="s">
        <v>241</v>
      </c>
      <c r="C277" s="152"/>
      <c r="D277" s="152"/>
      <c r="E277" s="152"/>
      <c r="F277" s="152"/>
      <c r="G277" s="152"/>
      <c r="H277" s="153"/>
    </row>
    <row r="278" spans="1:14" s="34" customFormat="1" x14ac:dyDescent="0.35">
      <c r="A278" s="42" t="s">
        <v>155</v>
      </c>
      <c r="B278" s="151" t="str">
        <f>(IF(H146="Saleable area Loading :","We have considered Saleable area of Flats as per our Calculation.","We considered Saleable area of Flat as per Builder area Sheet."))</f>
        <v>We have considered Saleable area of Flats as per our Calculation.</v>
      </c>
      <c r="C278" s="152"/>
      <c r="D278" s="152"/>
      <c r="E278" s="152"/>
      <c r="F278" s="152"/>
      <c r="G278" s="152"/>
      <c r="H278" s="153"/>
    </row>
    <row r="279" spans="1:14" s="34" customFormat="1" x14ac:dyDescent="0.35">
      <c r="A279" s="42" t="s">
        <v>155</v>
      </c>
      <c r="B279" s="148" t="s">
        <v>124</v>
      </c>
      <c r="C279" s="149"/>
      <c r="D279" s="149"/>
      <c r="E279" s="149"/>
      <c r="F279" s="149"/>
      <c r="G279" s="149"/>
      <c r="H279" s="150"/>
    </row>
    <row r="280" spans="1:14" s="34" customFormat="1" x14ac:dyDescent="0.35">
      <c r="A280" s="42" t="s">
        <v>155</v>
      </c>
      <c r="B280" s="148" t="s">
        <v>195</v>
      </c>
      <c r="C280" s="149"/>
      <c r="D280" s="149"/>
      <c r="E280" s="149"/>
      <c r="F280" s="149"/>
      <c r="G280" s="149"/>
      <c r="H280" s="150"/>
    </row>
    <row r="281" spans="1:14" s="34" customFormat="1" x14ac:dyDescent="0.35">
      <c r="A281" s="42" t="s">
        <v>155</v>
      </c>
      <c r="B281" s="148" t="s">
        <v>154</v>
      </c>
      <c r="C281" s="149"/>
      <c r="D281" s="149"/>
      <c r="E281" s="149"/>
      <c r="F281" s="149"/>
      <c r="G281" s="149"/>
      <c r="H281" s="150"/>
    </row>
    <row r="282" spans="1:14" s="34" customFormat="1" x14ac:dyDescent="0.35">
      <c r="A282" s="42" t="s">
        <v>155</v>
      </c>
      <c r="B282" s="148" t="s">
        <v>125</v>
      </c>
      <c r="C282" s="149"/>
      <c r="D282" s="149"/>
      <c r="E282" s="149"/>
      <c r="F282" s="149"/>
      <c r="G282" s="149"/>
      <c r="H282" s="150"/>
    </row>
    <row r="283" spans="1:14" s="34" customFormat="1" ht="34.5" customHeight="1" x14ac:dyDescent="0.35">
      <c r="A283" s="42" t="s">
        <v>155</v>
      </c>
      <c r="B283" s="148" t="s">
        <v>156</v>
      </c>
      <c r="C283" s="149"/>
      <c r="D283" s="149"/>
      <c r="E283" s="149"/>
      <c r="F283" s="149"/>
      <c r="G283" s="149"/>
      <c r="H283" s="150"/>
    </row>
    <row r="284" spans="1:14" s="34" customFormat="1" x14ac:dyDescent="0.35">
      <c r="A284" s="42" t="s">
        <v>155</v>
      </c>
      <c r="B284" s="148" t="s">
        <v>126</v>
      </c>
      <c r="C284" s="149"/>
      <c r="D284" s="149"/>
      <c r="E284" s="149"/>
      <c r="F284" s="149"/>
      <c r="G284" s="149"/>
      <c r="H284" s="150"/>
    </row>
    <row r="285" spans="1:14" s="34" customFormat="1" x14ac:dyDescent="0.35">
      <c r="A285" s="52" t="s">
        <v>155</v>
      </c>
      <c r="B285" s="148" t="s">
        <v>235</v>
      </c>
      <c r="C285" s="149"/>
      <c r="D285" s="149"/>
      <c r="E285" s="149"/>
      <c r="F285" s="149"/>
      <c r="G285" s="149"/>
      <c r="H285" s="150"/>
    </row>
    <row r="286" spans="1:14" s="34" customFormat="1" x14ac:dyDescent="0.35">
      <c r="A286" s="64" t="s">
        <v>155</v>
      </c>
      <c r="B286" s="148" t="s">
        <v>240</v>
      </c>
      <c r="C286" s="149"/>
      <c r="D286" s="149"/>
      <c r="E286" s="149"/>
      <c r="F286" s="149"/>
      <c r="G286" s="149"/>
      <c r="H286" s="150"/>
    </row>
    <row r="287" spans="1:14" x14ac:dyDescent="0.35">
      <c r="A287" s="147" t="s">
        <v>62</v>
      </c>
      <c r="B287" s="147"/>
      <c r="C287" s="147"/>
      <c r="D287" s="147"/>
      <c r="E287" s="147"/>
      <c r="F287" s="147"/>
      <c r="G287" s="147"/>
      <c r="H287" s="147"/>
    </row>
    <row r="288" spans="1:14" x14ac:dyDescent="0.35">
      <c r="A288" s="75" t="s">
        <v>63</v>
      </c>
      <c r="B288" s="75"/>
      <c r="C288" s="75"/>
      <c r="D288" s="75"/>
      <c r="E288" s="75"/>
      <c r="F288" s="75"/>
      <c r="G288" s="75"/>
      <c r="H288" s="75"/>
    </row>
    <row r="289" spans="1:8" ht="15.75" customHeight="1" x14ac:dyDescent="0.35">
      <c r="A289" s="178" t="s">
        <v>64</v>
      </c>
      <c r="B289" s="178"/>
      <c r="C289" s="178"/>
      <c r="D289" s="178"/>
      <c r="E289" s="178"/>
      <c r="F289" s="178"/>
      <c r="G289" s="178"/>
      <c r="H289" s="178"/>
    </row>
    <row r="290" spans="1:8" x14ac:dyDescent="0.35">
      <c r="A290" s="75" t="s">
        <v>65</v>
      </c>
      <c r="B290" s="75"/>
      <c r="C290" s="75"/>
      <c r="D290" s="75"/>
      <c r="E290" s="75"/>
      <c r="F290" s="75"/>
      <c r="G290" s="75"/>
      <c r="H290" s="75"/>
    </row>
    <row r="291" spans="1:8" x14ac:dyDescent="0.35">
      <c r="A291" s="75" t="s">
        <v>66</v>
      </c>
      <c r="B291" s="75"/>
      <c r="C291" s="75"/>
      <c r="D291" s="75"/>
      <c r="E291" s="75"/>
      <c r="F291" s="75"/>
      <c r="G291" s="75"/>
      <c r="H291" s="75"/>
    </row>
    <row r="292" spans="1:8" x14ac:dyDescent="0.35">
      <c r="A292" s="75" t="s">
        <v>127</v>
      </c>
      <c r="B292" s="75"/>
      <c r="C292" s="75"/>
      <c r="D292" s="75"/>
      <c r="E292" s="75"/>
      <c r="F292" s="75"/>
      <c r="G292" s="75"/>
      <c r="H292" s="75"/>
    </row>
    <row r="293" spans="1:8" x14ac:dyDescent="0.35">
      <c r="A293" s="133" t="s">
        <v>128</v>
      </c>
      <c r="B293" s="133"/>
      <c r="C293" s="133"/>
      <c r="D293" s="133"/>
      <c r="E293" s="133"/>
      <c r="F293" s="133"/>
      <c r="G293" s="133"/>
      <c r="H293" s="133"/>
    </row>
    <row r="294" spans="1:8" x14ac:dyDescent="0.35">
      <c r="A294" s="145" t="s">
        <v>79</v>
      </c>
      <c r="B294" s="145"/>
      <c r="C294" s="145" t="s">
        <v>242</v>
      </c>
      <c r="D294" s="145"/>
      <c r="E294" s="145" t="s">
        <v>109</v>
      </c>
      <c r="F294" s="145"/>
      <c r="G294" s="145" t="s">
        <v>243</v>
      </c>
      <c r="H294" s="145"/>
    </row>
    <row r="295" spans="1:8" x14ac:dyDescent="0.35">
      <c r="A295" s="144" t="s">
        <v>81</v>
      </c>
      <c r="B295" s="144"/>
      <c r="C295" s="144"/>
      <c r="D295" s="144"/>
      <c r="E295" s="144"/>
      <c r="F295" s="144"/>
      <c r="G295" s="144"/>
      <c r="H295" s="144"/>
    </row>
    <row r="296" spans="1:8" x14ac:dyDescent="0.35">
      <c r="A296" s="144"/>
      <c r="B296" s="144"/>
      <c r="C296" s="144"/>
      <c r="D296" s="144"/>
      <c r="E296" s="144"/>
      <c r="F296" s="144"/>
      <c r="G296" s="144"/>
      <c r="H296" s="144"/>
    </row>
    <row r="297" spans="1:8" x14ac:dyDescent="0.35">
      <c r="A297" s="144"/>
      <c r="B297" s="144"/>
      <c r="C297" s="144"/>
      <c r="D297" s="144"/>
      <c r="E297" s="144"/>
      <c r="F297" s="144"/>
      <c r="G297" s="144"/>
      <c r="H297" s="144"/>
    </row>
    <row r="298" spans="1:8" x14ac:dyDescent="0.35">
      <c r="A298" s="144"/>
      <c r="B298" s="144"/>
      <c r="C298" s="144"/>
      <c r="D298" s="144"/>
      <c r="E298" s="144"/>
      <c r="F298" s="144"/>
      <c r="G298" s="144"/>
      <c r="H298" s="144"/>
    </row>
    <row r="299" spans="1:8" x14ac:dyDescent="0.35">
      <c r="A299" s="37" t="s">
        <v>67</v>
      </c>
      <c r="B299" s="38"/>
      <c r="C299" s="38"/>
      <c r="D299" s="37" t="str">
        <f>E8</f>
        <v>Gurukripa</v>
      </c>
      <c r="F299" s="38"/>
      <c r="G299" s="38"/>
      <c r="H299" s="38"/>
    </row>
    <row r="300" spans="1:8" x14ac:dyDescent="0.35">
      <c r="A300" s="38"/>
      <c r="B300" s="38"/>
      <c r="C300" s="38"/>
      <c r="D300" s="38"/>
      <c r="E300" s="38"/>
      <c r="F300" s="38"/>
      <c r="G300" s="38"/>
      <c r="H300" s="38"/>
    </row>
    <row r="301" spans="1:8" x14ac:dyDescent="0.35">
      <c r="A301" s="38"/>
      <c r="B301" s="38"/>
      <c r="C301" s="38"/>
      <c r="D301" s="38"/>
      <c r="E301" s="38"/>
      <c r="F301" s="38"/>
      <c r="G301" s="38"/>
      <c r="H301" s="38"/>
    </row>
    <row r="302" spans="1:8" ht="15" customHeight="1" x14ac:dyDescent="0.35"/>
    <row r="342" spans="1:1" x14ac:dyDescent="0.35">
      <c r="A342" s="40" t="s">
        <v>169</v>
      </c>
    </row>
    <row r="376" spans="1:1" x14ac:dyDescent="0.35">
      <c r="A376" s="40" t="s">
        <v>68</v>
      </c>
    </row>
  </sheetData>
  <mergeCells count="445">
    <mergeCell ref="C54:E54"/>
    <mergeCell ref="G54:H54"/>
    <mergeCell ref="C55:E55"/>
    <mergeCell ref="G55:H55"/>
    <mergeCell ref="B286:H286"/>
    <mergeCell ref="A274:B274"/>
    <mergeCell ref="A275:B275"/>
    <mergeCell ref="A265:H265"/>
    <mergeCell ref="A266:B266"/>
    <mergeCell ref="A267:B267"/>
    <mergeCell ref="A268:B268"/>
    <mergeCell ref="A269:B269"/>
    <mergeCell ref="A270:H270"/>
    <mergeCell ref="A271:B271"/>
    <mergeCell ref="A272:B272"/>
    <mergeCell ref="A273:B273"/>
    <mergeCell ref="A257:B257"/>
    <mergeCell ref="A258:B258"/>
    <mergeCell ref="A259:B259"/>
    <mergeCell ref="A195:H195"/>
    <mergeCell ref="A196:B196"/>
    <mergeCell ref="A197:B197"/>
    <mergeCell ref="A198:B198"/>
    <mergeCell ref="A199:B199"/>
    <mergeCell ref="A248:H248"/>
    <mergeCell ref="A249:B249"/>
    <mergeCell ref="A250:B250"/>
    <mergeCell ref="A251:B251"/>
    <mergeCell ref="A252:B252"/>
    <mergeCell ref="A253:B253"/>
    <mergeCell ref="A254:B254"/>
    <mergeCell ref="A255:H255"/>
    <mergeCell ref="A256:B256"/>
    <mergeCell ref="A243:B243"/>
    <mergeCell ref="A244:B244"/>
    <mergeCell ref="A245:B245"/>
    <mergeCell ref="A246:B246"/>
    <mergeCell ref="A247:B247"/>
    <mergeCell ref="A184:H184"/>
    <mergeCell ref="A185:B185"/>
    <mergeCell ref="A186:B186"/>
    <mergeCell ref="A187:B187"/>
    <mergeCell ref="A188:B188"/>
    <mergeCell ref="A209:B209"/>
    <mergeCell ref="A210:B210"/>
    <mergeCell ref="A235:H235"/>
    <mergeCell ref="A236:B236"/>
    <mergeCell ref="A237:B237"/>
    <mergeCell ref="A238:B238"/>
    <mergeCell ref="A239:B239"/>
    <mergeCell ref="A240:B240"/>
    <mergeCell ref="A241:H241"/>
    <mergeCell ref="A242:B242"/>
    <mergeCell ref="A233:B233"/>
    <mergeCell ref="A234:B234"/>
    <mergeCell ref="A200:H200"/>
    <mergeCell ref="A201:B201"/>
    <mergeCell ref="A171:H171"/>
    <mergeCell ref="A172:B172"/>
    <mergeCell ref="A173:B173"/>
    <mergeCell ref="A174:B174"/>
    <mergeCell ref="A175:B175"/>
    <mergeCell ref="A176:B176"/>
    <mergeCell ref="A177:B177"/>
    <mergeCell ref="A178:H178"/>
    <mergeCell ref="A179:B179"/>
    <mergeCell ref="A183:B183"/>
    <mergeCell ref="A228:H228"/>
    <mergeCell ref="A229:B229"/>
    <mergeCell ref="A230:B230"/>
    <mergeCell ref="A231:B231"/>
    <mergeCell ref="A232:B232"/>
    <mergeCell ref="A218:B218"/>
    <mergeCell ref="A219:B219"/>
    <mergeCell ref="A220:B220"/>
    <mergeCell ref="C216:H218"/>
    <mergeCell ref="A202:B202"/>
    <mergeCell ref="A203:B203"/>
    <mergeCell ref="A204:B204"/>
    <mergeCell ref="A205:H205"/>
    <mergeCell ref="A206:B206"/>
    <mergeCell ref="A207:B207"/>
    <mergeCell ref="A208:B208"/>
    <mergeCell ref="B285:H285"/>
    <mergeCell ref="A261:B261"/>
    <mergeCell ref="B279:H279"/>
    <mergeCell ref="B280:H280"/>
    <mergeCell ref="A276:H276"/>
    <mergeCell ref="A260:H260"/>
    <mergeCell ref="A262:B262"/>
    <mergeCell ref="A194:B194"/>
    <mergeCell ref="A191:B191"/>
    <mergeCell ref="A211:H211"/>
    <mergeCell ref="A214:H214"/>
    <mergeCell ref="A215:B215"/>
    <mergeCell ref="A193:B193"/>
    <mergeCell ref="A212:H212"/>
    <mergeCell ref="A213:H213"/>
    <mergeCell ref="A221:H221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E41:H41"/>
    <mergeCell ref="A41:D41"/>
    <mergeCell ref="A292:H292"/>
    <mergeCell ref="A289:H289"/>
    <mergeCell ref="A263:B263"/>
    <mergeCell ref="A133:B133"/>
    <mergeCell ref="D146:D147"/>
    <mergeCell ref="E146:E147"/>
    <mergeCell ref="A93:B93"/>
    <mergeCell ref="A94:B94"/>
    <mergeCell ref="A95:B95"/>
    <mergeCell ref="A85:B85"/>
    <mergeCell ref="C85:H85"/>
    <mergeCell ref="A109:B109"/>
    <mergeCell ref="A80:B80"/>
    <mergeCell ref="F114:H114"/>
    <mergeCell ref="G129:H129"/>
    <mergeCell ref="A112:B112"/>
    <mergeCell ref="A48:B48"/>
    <mergeCell ref="C48:E48"/>
    <mergeCell ref="C51:E51"/>
    <mergeCell ref="A150:H150"/>
    <mergeCell ref="A158:B158"/>
    <mergeCell ref="A160:B160"/>
    <mergeCell ref="G51:H51"/>
    <mergeCell ref="G48:H48"/>
    <mergeCell ref="G50:H50"/>
    <mergeCell ref="D58:H58"/>
    <mergeCell ref="C50:E50"/>
    <mergeCell ref="A61:C63"/>
    <mergeCell ref="D61:H61"/>
    <mergeCell ref="D62:H62"/>
    <mergeCell ref="C49:E49"/>
    <mergeCell ref="A56:B56"/>
    <mergeCell ref="C56:E56"/>
    <mergeCell ref="A49:B49"/>
    <mergeCell ref="A57:H57"/>
    <mergeCell ref="A58:C58"/>
    <mergeCell ref="A59:C59"/>
    <mergeCell ref="D59:H59"/>
    <mergeCell ref="G56:H56"/>
    <mergeCell ref="D63:H63"/>
    <mergeCell ref="A52:B53"/>
    <mergeCell ref="C52:E52"/>
    <mergeCell ref="G52:H52"/>
    <mergeCell ref="C53:E53"/>
    <mergeCell ref="G53:H53"/>
    <mergeCell ref="A54:B55"/>
    <mergeCell ref="B283:H283"/>
    <mergeCell ref="B281:H281"/>
    <mergeCell ref="A143:B143"/>
    <mergeCell ref="C151:H151"/>
    <mergeCell ref="E130:F130"/>
    <mergeCell ref="G130:H130"/>
    <mergeCell ref="A131:B131"/>
    <mergeCell ref="C131:D131"/>
    <mergeCell ref="E131:F131"/>
    <mergeCell ref="G131:H131"/>
    <mergeCell ref="A135:B135"/>
    <mergeCell ref="A151:B151"/>
    <mergeCell ref="A152:B152"/>
    <mergeCell ref="A192:B192"/>
    <mergeCell ref="A164:H164"/>
    <mergeCell ref="A165:B165"/>
    <mergeCell ref="A166:B166"/>
    <mergeCell ref="A167:B167"/>
    <mergeCell ref="A168:B168"/>
    <mergeCell ref="A169:B169"/>
    <mergeCell ref="A170:B170"/>
    <mergeCell ref="A157:H157"/>
    <mergeCell ref="A159:B159"/>
    <mergeCell ref="A162:B162"/>
    <mergeCell ref="B277:H277"/>
    <mergeCell ref="B278:H278"/>
    <mergeCell ref="A145:H145"/>
    <mergeCell ref="A146:A147"/>
    <mergeCell ref="A264:B264"/>
    <mergeCell ref="G135:H135"/>
    <mergeCell ref="C133:D133"/>
    <mergeCell ref="G133:H133"/>
    <mergeCell ref="A136:B136"/>
    <mergeCell ref="E136:F136"/>
    <mergeCell ref="C136:D136"/>
    <mergeCell ref="G136:H136"/>
    <mergeCell ref="A161:B161"/>
    <mergeCell ref="A189:H189"/>
    <mergeCell ref="A163:B163"/>
    <mergeCell ref="A190:B190"/>
    <mergeCell ref="A153:B153"/>
    <mergeCell ref="A154:B154"/>
    <mergeCell ref="A155:B155"/>
    <mergeCell ref="A156:B156"/>
    <mergeCell ref="C155:H156"/>
    <mergeCell ref="A180:B180"/>
    <mergeCell ref="A181:B181"/>
    <mergeCell ref="A182:B182"/>
    <mergeCell ref="A295:H298"/>
    <mergeCell ref="A294:B294"/>
    <mergeCell ref="E294:F294"/>
    <mergeCell ref="C294:D294"/>
    <mergeCell ref="G294:H294"/>
    <mergeCell ref="A127:H127"/>
    <mergeCell ref="A125:E125"/>
    <mergeCell ref="F125:H125"/>
    <mergeCell ref="A126:E126"/>
    <mergeCell ref="F126:H126"/>
    <mergeCell ref="A134:B134"/>
    <mergeCell ref="A129:B129"/>
    <mergeCell ref="A290:H290"/>
    <mergeCell ref="A132:H132"/>
    <mergeCell ref="A293:H293"/>
    <mergeCell ref="A291:H291"/>
    <mergeCell ref="C135:D135"/>
    <mergeCell ref="E135:F135"/>
    <mergeCell ref="A287:H287"/>
    <mergeCell ref="A288:H288"/>
    <mergeCell ref="E133:F133"/>
    <mergeCell ref="B284:H284"/>
    <mergeCell ref="B282:H282"/>
    <mergeCell ref="A137:H137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A78:B78"/>
    <mergeCell ref="E74:F74"/>
    <mergeCell ref="A67:C67"/>
    <mergeCell ref="D67:H67"/>
    <mergeCell ref="A70:C70"/>
    <mergeCell ref="A68:C68"/>
    <mergeCell ref="D68:H68"/>
    <mergeCell ref="A69:C69"/>
    <mergeCell ref="D69:H69"/>
    <mergeCell ref="A75:B75"/>
    <mergeCell ref="G74:H7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16:B16"/>
    <mergeCell ref="C16:H16"/>
    <mergeCell ref="A29:D29"/>
    <mergeCell ref="E29:H29"/>
    <mergeCell ref="A30:D30"/>
    <mergeCell ref="E30:H30"/>
    <mergeCell ref="A26:D26"/>
    <mergeCell ref="E26:H26"/>
    <mergeCell ref="C31:E31"/>
    <mergeCell ref="F34:H34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F31:H31"/>
    <mergeCell ref="A32:B32"/>
    <mergeCell ref="A31:B31"/>
    <mergeCell ref="C32:E32"/>
    <mergeCell ref="A33:B33"/>
    <mergeCell ref="C33:E33"/>
    <mergeCell ref="A21:D22"/>
    <mergeCell ref="A36:H36"/>
    <mergeCell ref="A35:B35"/>
    <mergeCell ref="C35:E35"/>
    <mergeCell ref="A34:B34"/>
    <mergeCell ref="C34:E34"/>
    <mergeCell ref="A40:D40"/>
    <mergeCell ref="E40:H40"/>
    <mergeCell ref="F32:H32"/>
    <mergeCell ref="F33:H33"/>
    <mergeCell ref="A39:H39"/>
    <mergeCell ref="F35:H35"/>
    <mergeCell ref="A37:B37"/>
    <mergeCell ref="A38:B38"/>
    <mergeCell ref="C37:H37"/>
    <mergeCell ref="C38:H38"/>
    <mergeCell ref="A64:C64"/>
    <mergeCell ref="A65:C65"/>
    <mergeCell ref="D64:H64"/>
    <mergeCell ref="E75:F84"/>
    <mergeCell ref="G75:H84"/>
    <mergeCell ref="A83:B83"/>
    <mergeCell ref="A84:B84"/>
    <mergeCell ref="D65:H65"/>
    <mergeCell ref="A42:D42"/>
    <mergeCell ref="E42:H42"/>
    <mergeCell ref="E43:H43"/>
    <mergeCell ref="E44:H44"/>
    <mergeCell ref="E45:H45"/>
    <mergeCell ref="A43:D43"/>
    <mergeCell ref="D70:H70"/>
    <mergeCell ref="A47:B47"/>
    <mergeCell ref="C47:H47"/>
    <mergeCell ref="A44:D44"/>
    <mergeCell ref="A45:D45"/>
    <mergeCell ref="A46:H46"/>
    <mergeCell ref="D60:H60"/>
    <mergeCell ref="A60:C60"/>
    <mergeCell ref="G49:H49"/>
    <mergeCell ref="A50:B51"/>
    <mergeCell ref="L144:M144"/>
    <mergeCell ref="L143:M143"/>
    <mergeCell ref="A82:B82"/>
    <mergeCell ref="C134:D134"/>
    <mergeCell ref="E134:F134"/>
    <mergeCell ref="G134:H134"/>
    <mergeCell ref="F120:H120"/>
    <mergeCell ref="A114:E114"/>
    <mergeCell ref="A99:B99"/>
    <mergeCell ref="C99:H99"/>
    <mergeCell ref="E139:E140"/>
    <mergeCell ref="A89:B89"/>
    <mergeCell ref="E89:F98"/>
    <mergeCell ref="A96:B96"/>
    <mergeCell ref="A97:B97"/>
    <mergeCell ref="A98:B98"/>
    <mergeCell ref="A101:B101"/>
    <mergeCell ref="C101:H101"/>
    <mergeCell ref="F123:H123"/>
    <mergeCell ref="E128:F128"/>
    <mergeCell ref="A128:B128"/>
    <mergeCell ref="A130:B130"/>
    <mergeCell ref="A124:E124"/>
    <mergeCell ref="C130:D130"/>
    <mergeCell ref="A148:H148"/>
    <mergeCell ref="A149:H149"/>
    <mergeCell ref="A103:B103"/>
    <mergeCell ref="E103:F112"/>
    <mergeCell ref="F113:H113"/>
    <mergeCell ref="F118:H118"/>
    <mergeCell ref="G103:H112"/>
    <mergeCell ref="B139:B140"/>
    <mergeCell ref="C128:D128"/>
    <mergeCell ref="F124:H124"/>
    <mergeCell ref="A138:H138"/>
    <mergeCell ref="G128:H128"/>
    <mergeCell ref="A123:E123"/>
    <mergeCell ref="C129:D129"/>
    <mergeCell ref="E129:F129"/>
    <mergeCell ref="A144:B144"/>
    <mergeCell ref="A139:A140"/>
    <mergeCell ref="C146:C147"/>
    <mergeCell ref="A104:B104"/>
    <mergeCell ref="F117:H117"/>
    <mergeCell ref="F139:F140"/>
    <mergeCell ref="G139:G140"/>
    <mergeCell ref="A141:H141"/>
    <mergeCell ref="A142:H142"/>
    <mergeCell ref="F146:F147"/>
    <mergeCell ref="G146:G147"/>
    <mergeCell ref="A105:B105"/>
    <mergeCell ref="G89:H98"/>
    <mergeCell ref="A90:B90"/>
    <mergeCell ref="A91:B91"/>
    <mergeCell ref="A92:B92"/>
    <mergeCell ref="F115:H115"/>
    <mergeCell ref="A115:E115"/>
    <mergeCell ref="D139:D140"/>
    <mergeCell ref="A117:E117"/>
    <mergeCell ref="G102:H102"/>
    <mergeCell ref="A118:E118"/>
    <mergeCell ref="A102:B102"/>
    <mergeCell ref="C139:C140"/>
    <mergeCell ref="B146:B147"/>
    <mergeCell ref="A87:B87"/>
    <mergeCell ref="C87:H87"/>
    <mergeCell ref="E102:F102"/>
    <mergeCell ref="F121:H121"/>
    <mergeCell ref="F122:H122"/>
    <mergeCell ref="A119:E119"/>
    <mergeCell ref="F119:H119"/>
    <mergeCell ref="A120:E120"/>
    <mergeCell ref="A122:E122"/>
    <mergeCell ref="F116:H116"/>
    <mergeCell ref="A121:E121"/>
    <mergeCell ref="A106:B106"/>
    <mergeCell ref="A107:B107"/>
    <mergeCell ref="A108:B108"/>
    <mergeCell ref="A110:B110"/>
    <mergeCell ref="A111:B111"/>
    <mergeCell ref="A116:E116"/>
    <mergeCell ref="A113:E113"/>
    <mergeCell ref="A88:B88"/>
    <mergeCell ref="E88:F88"/>
    <mergeCell ref="G88:H88"/>
  </mergeCells>
  <dataValidations count="7">
    <dataValidation type="list" allowBlank="1" showInputMessage="1" showErrorMessage="1" sqref="D139:D140 D146:D147">
      <formula1>"Carpet area,RERA Carpet area"</formula1>
    </dataValidation>
    <dataValidation type="list" allowBlank="1" showInputMessage="1" showErrorMessage="1" sqref="H139 H146">
      <formula1>"Saleable area Loading :,Builder Saleable Area"</formula1>
    </dataValidation>
    <dataValidation type="list" allowBlank="1" showInputMessage="1" showErrorMessage="1" sqref="H140 H147">
      <formula1>".45,.50,.55,.60"</formula1>
    </dataValidation>
    <dataValidation type="list" allowBlank="1" showInputMessage="1" showErrorMessage="1" sqref="B139:B140">
      <formula1>"Shop No. (Sale Plan),Sale / Rehab,Sale / Mhada"</formula1>
    </dataValidation>
    <dataValidation type="list" allowBlank="1" showInputMessage="1" showErrorMessage="1" sqref="E139:E140">
      <formula1>"Attached Loft area,Attached Otla area,Attached Mezzanine area"</formula1>
    </dataValidation>
    <dataValidation type="list" allowBlank="1" showInputMessage="1" showErrorMessage="1" sqref="E146:E147">
      <formula1>"Fungible area,Balcony Area,Chajja Area,Cornice Area,AP Area,WS Area"</formula1>
    </dataValidation>
    <dataValidation type="list" allowBlank="1" showInputMessage="1" showErrorMessage="1" sqref="B146:B147">
      <formula1>"Flat No. (Sale Plan),Sale / Rehab,Sale / Mhada"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12" max="16383" man="1"/>
    <brk id="298" max="16383" man="1"/>
    <brk id="341" max="16383" man="1"/>
    <brk id="37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1" t="s">
        <v>110</v>
      </c>
      <c r="C3" s="181"/>
      <c r="D3" s="181"/>
      <c r="E3" s="181"/>
      <c r="F3" s="181"/>
      <c r="G3" s="181"/>
      <c r="H3" s="181"/>
    </row>
    <row r="4" spans="1:9" x14ac:dyDescent="0.3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2025-06-07T06:47:10Z</cp:lastPrinted>
  <dcterms:created xsi:type="dcterms:W3CDTF">2019-07-16T09:29:46Z</dcterms:created>
  <dcterms:modified xsi:type="dcterms:W3CDTF">2025-09-05T09:57:02Z</dcterms:modified>
</cp:coreProperties>
</file>