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K:\VSJ Work\Sept 25\1\"/>
    </mc:Choice>
  </mc:AlternateContent>
  <xr:revisionPtr revIDLastSave="0" documentId="13_ncr:1_{6757BD3D-7977-4470-B375-E491F753CCEF}"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Report!$A$1:$H$555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0" i="1" l="1"/>
  <c r="O125" i="1"/>
  <c r="P125" i="1" s="1"/>
  <c r="Q125" i="1" s="1"/>
  <c r="O132" i="1"/>
  <c r="P132" i="1" s="1"/>
  <c r="Q132" i="1" s="1"/>
  <c r="O133" i="1"/>
  <c r="P133" i="1" s="1"/>
  <c r="Q133" i="1" s="1"/>
  <c r="O134" i="1"/>
  <c r="P134" i="1" s="1"/>
  <c r="P135" i="1" s="1"/>
  <c r="N139" i="1"/>
  <c r="D362" i="1"/>
  <c r="F362" i="1" s="1"/>
  <c r="H362" i="1" s="1"/>
  <c r="D361" i="1"/>
  <c r="F361" i="1" s="1"/>
  <c r="H361" i="1" s="1"/>
  <c r="D359" i="1"/>
  <c r="F359" i="1" s="1"/>
  <c r="H359" i="1" s="1"/>
  <c r="D358" i="1"/>
  <c r="F358" i="1" s="1"/>
  <c r="H358" i="1" s="1"/>
  <c r="D357" i="1"/>
  <c r="F357" i="1" s="1"/>
  <c r="H357" i="1" s="1"/>
  <c r="D356" i="1"/>
  <c r="F356" i="1" s="1"/>
  <c r="H356" i="1" s="1"/>
  <c r="D354" i="1"/>
  <c r="F354" i="1" s="1"/>
  <c r="H354" i="1" s="1"/>
  <c r="D353" i="1"/>
  <c r="F353" i="1" s="1"/>
  <c r="H353" i="1" s="1"/>
  <c r="D352" i="1"/>
  <c r="F352" i="1" s="1"/>
  <c r="H352" i="1" s="1"/>
  <c r="D351" i="1"/>
  <c r="F351" i="1" s="1"/>
  <c r="H351" i="1" s="1"/>
  <c r="D350" i="1"/>
  <c r="F350" i="1" s="1"/>
  <c r="H350" i="1" s="1"/>
  <c r="D348" i="1"/>
  <c r="D347" i="1"/>
  <c r="F347" i="1" s="1"/>
  <c r="H347" i="1" s="1"/>
  <c r="D346" i="1"/>
  <c r="F346" i="1" s="1"/>
  <c r="H346" i="1" s="1"/>
  <c r="D345" i="1"/>
  <c r="F345" i="1" s="1"/>
  <c r="H345" i="1" s="1"/>
  <c r="D344" i="1"/>
  <c r="F344" i="1" s="1"/>
  <c r="H344" i="1" s="1"/>
  <c r="D343" i="1"/>
  <c r="F343" i="1" s="1"/>
  <c r="H343" i="1" s="1"/>
  <c r="D342" i="1"/>
  <c r="F342" i="1" s="1"/>
  <c r="H342" i="1" s="1"/>
  <c r="D341" i="1"/>
  <c r="F341" i="1" s="1"/>
  <c r="H341" i="1" s="1"/>
  <c r="D340" i="1"/>
  <c r="F340" i="1" s="1"/>
  <c r="H340" i="1" s="1"/>
  <c r="D339" i="1"/>
  <c r="F339" i="1" s="1"/>
  <c r="H339" i="1" s="1"/>
  <c r="D337" i="1"/>
  <c r="F337" i="1" s="1"/>
  <c r="H337" i="1" s="1"/>
  <c r="D336" i="1"/>
  <c r="F336" i="1" s="1"/>
  <c r="H336" i="1" s="1"/>
  <c r="D335" i="1"/>
  <c r="F335" i="1" s="1"/>
  <c r="H335" i="1" s="1"/>
  <c r="D334" i="1"/>
  <c r="F334" i="1" s="1"/>
  <c r="H334" i="1" s="1"/>
  <c r="D333" i="1"/>
  <c r="F333" i="1" s="1"/>
  <c r="H333" i="1" s="1"/>
  <c r="D332" i="1"/>
  <c r="F332" i="1" s="1"/>
  <c r="H332" i="1" s="1"/>
  <c r="D331" i="1"/>
  <c r="F331" i="1" s="1"/>
  <c r="H331" i="1" s="1"/>
  <c r="D330" i="1"/>
  <c r="F330" i="1" s="1"/>
  <c r="H330" i="1" s="1"/>
  <c r="D329" i="1"/>
  <c r="F329" i="1" s="1"/>
  <c r="H329" i="1" s="1"/>
  <c r="D328" i="1"/>
  <c r="F328" i="1" s="1"/>
  <c r="H328" i="1" s="1"/>
  <c r="D326" i="1"/>
  <c r="F326" i="1" s="1"/>
  <c r="H326" i="1" s="1"/>
  <c r="D325" i="1"/>
  <c r="F325" i="1" s="1"/>
  <c r="H325" i="1" s="1"/>
  <c r="D324" i="1"/>
  <c r="F324" i="1" s="1"/>
  <c r="H324" i="1" s="1"/>
  <c r="D323" i="1"/>
  <c r="F323" i="1" s="1"/>
  <c r="H323" i="1" s="1"/>
  <c r="D322" i="1"/>
  <c r="F322" i="1" s="1"/>
  <c r="H322" i="1" s="1"/>
  <c r="D321" i="1"/>
  <c r="F321" i="1" s="1"/>
  <c r="H321" i="1" s="1"/>
  <c r="D320" i="1"/>
  <c r="F320" i="1" s="1"/>
  <c r="H320" i="1" s="1"/>
  <c r="D319" i="1"/>
  <c r="F319" i="1" s="1"/>
  <c r="H319" i="1" s="1"/>
  <c r="D318" i="1"/>
  <c r="D317" i="1"/>
  <c r="D315" i="1"/>
  <c r="F315" i="1" s="1"/>
  <c r="H315" i="1" s="1"/>
  <c r="D314" i="1"/>
  <c r="F314" i="1" s="1"/>
  <c r="H314" i="1" s="1"/>
  <c r="D313" i="1"/>
  <c r="F313" i="1" s="1"/>
  <c r="H313" i="1" s="1"/>
  <c r="D312" i="1"/>
  <c r="F312" i="1" s="1"/>
  <c r="H312" i="1" s="1"/>
  <c r="D311" i="1"/>
  <c r="F311" i="1" s="1"/>
  <c r="H311" i="1" s="1"/>
  <c r="D310" i="1"/>
  <c r="F310" i="1" s="1"/>
  <c r="H310" i="1" s="1"/>
  <c r="D309" i="1"/>
  <c r="F309" i="1" s="1"/>
  <c r="H309" i="1" s="1"/>
  <c r="D308" i="1"/>
  <c r="F308" i="1" s="1"/>
  <c r="H308" i="1" s="1"/>
  <c r="D307" i="1"/>
  <c r="F307" i="1" s="1"/>
  <c r="H307" i="1" s="1"/>
  <c r="D306" i="1"/>
  <c r="F306" i="1" s="1"/>
  <c r="H306" i="1" s="1"/>
  <c r="D304" i="1"/>
  <c r="D303" i="1"/>
  <c r="F303" i="1" s="1"/>
  <c r="H303" i="1" s="1"/>
  <c r="D302" i="1"/>
  <c r="F302" i="1" s="1"/>
  <c r="H302" i="1" s="1"/>
  <c r="D301" i="1"/>
  <c r="F301" i="1" s="1"/>
  <c r="H301" i="1" s="1"/>
  <c r="D299" i="1"/>
  <c r="F299" i="1" s="1"/>
  <c r="H299" i="1" s="1"/>
  <c r="D298" i="1"/>
  <c r="F298" i="1" s="1"/>
  <c r="H298" i="1" s="1"/>
  <c r="D297" i="1"/>
  <c r="F297" i="1" s="1"/>
  <c r="H297" i="1" s="1"/>
  <c r="D296" i="1"/>
  <c r="F296" i="1" s="1"/>
  <c r="H296" i="1" s="1"/>
  <c r="D295" i="1"/>
  <c r="F295" i="1" s="1"/>
  <c r="H295" i="1" s="1"/>
  <c r="D293" i="1"/>
  <c r="F293" i="1" s="1"/>
  <c r="H293" i="1" s="1"/>
  <c r="D292" i="1"/>
  <c r="F292" i="1" s="1"/>
  <c r="H292" i="1" s="1"/>
  <c r="D291" i="1"/>
  <c r="F291" i="1" s="1"/>
  <c r="H291" i="1" s="1"/>
  <c r="D290" i="1"/>
  <c r="F290" i="1" s="1"/>
  <c r="H290" i="1" s="1"/>
  <c r="D289" i="1"/>
  <c r="F289" i="1" s="1"/>
  <c r="H289" i="1" s="1"/>
  <c r="D288" i="1"/>
  <c r="F288" i="1" s="1"/>
  <c r="H288" i="1" s="1"/>
  <c r="D287" i="1"/>
  <c r="F287" i="1" s="1"/>
  <c r="H287" i="1" s="1"/>
  <c r="D286" i="1"/>
  <c r="F286" i="1" s="1"/>
  <c r="H286" i="1" s="1"/>
  <c r="D285" i="1"/>
  <c r="F285" i="1" s="1"/>
  <c r="H285" i="1" s="1"/>
  <c r="D284" i="1"/>
  <c r="F284" i="1" s="1"/>
  <c r="H284" i="1" s="1"/>
  <c r="D282" i="1"/>
  <c r="F282" i="1" s="1"/>
  <c r="H282" i="1" s="1"/>
  <c r="D281" i="1"/>
  <c r="F281" i="1" s="1"/>
  <c r="H281" i="1" s="1"/>
  <c r="D280" i="1"/>
  <c r="F280" i="1" s="1"/>
  <c r="H280" i="1" s="1"/>
  <c r="D279" i="1"/>
  <c r="F279" i="1" s="1"/>
  <c r="H279" i="1" s="1"/>
  <c r="D278" i="1"/>
  <c r="F278" i="1" s="1"/>
  <c r="H278" i="1" s="1"/>
  <c r="D277" i="1"/>
  <c r="F277" i="1" s="1"/>
  <c r="H277" i="1" s="1"/>
  <c r="D276" i="1"/>
  <c r="F276" i="1" s="1"/>
  <c r="H276" i="1" s="1"/>
  <c r="D275" i="1"/>
  <c r="F275" i="1" s="1"/>
  <c r="H275" i="1" s="1"/>
  <c r="D274" i="1"/>
  <c r="F274" i="1" s="1"/>
  <c r="H274" i="1" s="1"/>
  <c r="D273" i="1"/>
  <c r="F273" i="1" s="1"/>
  <c r="H273" i="1" s="1"/>
  <c r="D271" i="1"/>
  <c r="F271" i="1" s="1"/>
  <c r="H271" i="1" s="1"/>
  <c r="D270" i="1"/>
  <c r="F270" i="1" s="1"/>
  <c r="H270" i="1" s="1"/>
  <c r="D269" i="1"/>
  <c r="F269" i="1" s="1"/>
  <c r="H269" i="1" s="1"/>
  <c r="D268" i="1"/>
  <c r="F268" i="1" s="1"/>
  <c r="H268" i="1" s="1"/>
  <c r="D266" i="1"/>
  <c r="F266" i="1" s="1"/>
  <c r="H266" i="1" s="1"/>
  <c r="D265" i="1"/>
  <c r="F265" i="1" s="1"/>
  <c r="H265" i="1" s="1"/>
  <c r="D264" i="1"/>
  <c r="F264" i="1" s="1"/>
  <c r="H264" i="1" s="1"/>
  <c r="D263" i="1"/>
  <c r="F263" i="1" s="1"/>
  <c r="H263" i="1" s="1"/>
  <c r="D262" i="1"/>
  <c r="F262" i="1" s="1"/>
  <c r="H262" i="1" s="1"/>
  <c r="D260" i="1"/>
  <c r="F260" i="1" s="1"/>
  <c r="H260" i="1" s="1"/>
  <c r="D250" i="1"/>
  <c r="F250" i="1" s="1"/>
  <c r="H250" i="1" s="1"/>
  <c r="D248" i="1"/>
  <c r="D247" i="1"/>
  <c r="F247" i="1" s="1"/>
  <c r="H247" i="1" s="1"/>
  <c r="D246" i="1"/>
  <c r="F246" i="1" s="1"/>
  <c r="H246" i="1" s="1"/>
  <c r="D245" i="1"/>
  <c r="F245" i="1" s="1"/>
  <c r="H245" i="1" s="1"/>
  <c r="D244" i="1"/>
  <c r="F244" i="1" s="1"/>
  <c r="H244" i="1" s="1"/>
  <c r="D243" i="1"/>
  <c r="F243" i="1" s="1"/>
  <c r="H243" i="1" s="1"/>
  <c r="D242" i="1"/>
  <c r="F242" i="1" s="1"/>
  <c r="H242" i="1" s="1"/>
  <c r="D241" i="1"/>
  <c r="F241" i="1" s="1"/>
  <c r="H241" i="1" s="1"/>
  <c r="D240" i="1"/>
  <c r="F240" i="1" s="1"/>
  <c r="H240" i="1" s="1"/>
  <c r="D239" i="1"/>
  <c r="F239" i="1" s="1"/>
  <c r="H239" i="1" s="1"/>
  <c r="D238" i="1"/>
  <c r="F238" i="1" s="1"/>
  <c r="H238" i="1" s="1"/>
  <c r="D236" i="1"/>
  <c r="F236" i="1" s="1"/>
  <c r="H236" i="1" s="1"/>
  <c r="D235" i="1"/>
  <c r="F235" i="1" s="1"/>
  <c r="H235" i="1" s="1"/>
  <c r="D234" i="1"/>
  <c r="F234" i="1" s="1"/>
  <c r="H234" i="1" s="1"/>
  <c r="D233" i="1"/>
  <c r="F233" i="1" s="1"/>
  <c r="H233" i="1" s="1"/>
  <c r="D232" i="1"/>
  <c r="F232" i="1" s="1"/>
  <c r="H232" i="1" s="1"/>
  <c r="D231" i="1"/>
  <c r="D230" i="1"/>
  <c r="D229" i="1"/>
  <c r="F229" i="1" s="1"/>
  <c r="H229" i="1" s="1"/>
  <c r="D228" i="1"/>
  <c r="F228" i="1" s="1"/>
  <c r="H228" i="1" s="1"/>
  <c r="D227" i="1"/>
  <c r="F227" i="1" s="1"/>
  <c r="H227" i="1" s="1"/>
  <c r="D226" i="1"/>
  <c r="F226" i="1" s="1"/>
  <c r="H226" i="1" s="1"/>
  <c r="D224" i="1"/>
  <c r="F224" i="1" s="1"/>
  <c r="H224" i="1" s="1"/>
  <c r="D223" i="1"/>
  <c r="F223" i="1" s="1"/>
  <c r="H223" i="1" s="1"/>
  <c r="D222" i="1"/>
  <c r="F222" i="1" s="1"/>
  <c r="H222" i="1" s="1"/>
  <c r="D221" i="1"/>
  <c r="F221" i="1" s="1"/>
  <c r="H221" i="1" s="1"/>
  <c r="D220" i="1"/>
  <c r="F220" i="1" s="1"/>
  <c r="H220" i="1" s="1"/>
  <c r="D219" i="1"/>
  <c r="F219" i="1" s="1"/>
  <c r="H219" i="1" s="1"/>
  <c r="D218" i="1"/>
  <c r="F218" i="1" s="1"/>
  <c r="H218" i="1" s="1"/>
  <c r="D217" i="1"/>
  <c r="F217" i="1" s="1"/>
  <c r="H217" i="1" s="1"/>
  <c r="D216" i="1"/>
  <c r="F216" i="1" s="1"/>
  <c r="H216" i="1" s="1"/>
  <c r="D215" i="1"/>
  <c r="F215" i="1" s="1"/>
  <c r="H215" i="1" s="1"/>
  <c r="D214" i="1"/>
  <c r="D212" i="1"/>
  <c r="F212" i="1" s="1"/>
  <c r="H212" i="1" s="1"/>
  <c r="D211" i="1"/>
  <c r="F211" i="1" s="1"/>
  <c r="H211" i="1" s="1"/>
  <c r="D210" i="1"/>
  <c r="F210" i="1" s="1"/>
  <c r="H210" i="1" s="1"/>
  <c r="D209" i="1"/>
  <c r="F209" i="1" s="1"/>
  <c r="H209" i="1" s="1"/>
  <c r="D208" i="1"/>
  <c r="F208" i="1" s="1"/>
  <c r="H208" i="1" s="1"/>
  <c r="D206" i="1"/>
  <c r="F206" i="1" s="1"/>
  <c r="H206" i="1" s="1"/>
  <c r="D205" i="1"/>
  <c r="F205" i="1" s="1"/>
  <c r="H205" i="1" s="1"/>
  <c r="D204" i="1"/>
  <c r="F204" i="1" s="1"/>
  <c r="H204" i="1" s="1"/>
  <c r="D203" i="1"/>
  <c r="F203" i="1" s="1"/>
  <c r="H203" i="1" s="1"/>
  <c r="D202" i="1"/>
  <c r="F202" i="1" s="1"/>
  <c r="H202" i="1" s="1"/>
  <c r="D201" i="1"/>
  <c r="F201" i="1" s="1"/>
  <c r="H201" i="1" s="1"/>
  <c r="D199" i="1"/>
  <c r="F199" i="1" s="1"/>
  <c r="H199" i="1" s="1"/>
  <c r="D198" i="1"/>
  <c r="F198" i="1" s="1"/>
  <c r="H198" i="1" s="1"/>
  <c r="D197" i="1"/>
  <c r="F197" i="1" s="1"/>
  <c r="H197" i="1" s="1"/>
  <c r="D196" i="1"/>
  <c r="F196" i="1" s="1"/>
  <c r="H196" i="1" s="1"/>
  <c r="D195" i="1"/>
  <c r="D194" i="1"/>
  <c r="F194" i="1" s="1"/>
  <c r="H194" i="1" s="1"/>
  <c r="D193" i="1"/>
  <c r="F193" i="1" s="1"/>
  <c r="H193" i="1" s="1"/>
  <c r="D192" i="1"/>
  <c r="F192" i="1" s="1"/>
  <c r="H192" i="1" s="1"/>
  <c r="D191" i="1"/>
  <c r="F191" i="1" s="1"/>
  <c r="H191" i="1" s="1"/>
  <c r="D190" i="1"/>
  <c r="F190" i="1" s="1"/>
  <c r="H190" i="1" s="1"/>
  <c r="D189" i="1"/>
  <c r="F189" i="1" s="1"/>
  <c r="H189" i="1" s="1"/>
  <c r="D188" i="1"/>
  <c r="F188" i="1" s="1"/>
  <c r="H188" i="1" s="1"/>
  <c r="D186" i="1"/>
  <c r="F186" i="1" s="1"/>
  <c r="H186" i="1" s="1"/>
  <c r="D185" i="1"/>
  <c r="D184" i="1"/>
  <c r="F184" i="1" s="1"/>
  <c r="H184" i="1" s="1"/>
  <c r="D183" i="1"/>
  <c r="F183" i="1" s="1"/>
  <c r="H183" i="1" s="1"/>
  <c r="D182" i="1"/>
  <c r="F182" i="1" s="1"/>
  <c r="H182" i="1" s="1"/>
  <c r="D181" i="1"/>
  <c r="F181" i="1" s="1"/>
  <c r="H181" i="1" s="1"/>
  <c r="D180" i="1"/>
  <c r="F180" i="1" s="1"/>
  <c r="H180" i="1" s="1"/>
  <c r="D179" i="1"/>
  <c r="F179" i="1" s="1"/>
  <c r="H179" i="1" s="1"/>
  <c r="D178" i="1"/>
  <c r="F178" i="1" s="1"/>
  <c r="H178" i="1" s="1"/>
  <c r="D177" i="1"/>
  <c r="F177" i="1" s="1"/>
  <c r="H177" i="1" s="1"/>
  <c r="D176" i="1"/>
  <c r="F176" i="1" s="1"/>
  <c r="H176" i="1" s="1"/>
  <c r="D175" i="1"/>
  <c r="F175" i="1" s="1"/>
  <c r="H175" i="1" s="1"/>
  <c r="G169" i="1"/>
  <c r="G168" i="1"/>
  <c r="D173" i="1"/>
  <c r="F173" i="1" s="1"/>
  <c r="H173" i="1" s="1"/>
  <c r="D172" i="1"/>
  <c r="F172" i="1" s="1"/>
  <c r="H172" i="1" s="1"/>
  <c r="D171" i="1"/>
  <c r="F171" i="1" s="1"/>
  <c r="H171" i="1" s="1"/>
  <c r="D170" i="1"/>
  <c r="F170" i="1" s="1"/>
  <c r="D169" i="1"/>
  <c r="F169" i="1" s="1"/>
  <c r="D168" i="1"/>
  <c r="F168" i="1" s="1"/>
  <c r="D167" i="1"/>
  <c r="F167" i="1" s="1"/>
  <c r="H167" i="1" s="1"/>
  <c r="D166" i="1"/>
  <c r="F166" i="1" s="1"/>
  <c r="H166" i="1" s="1"/>
  <c r="D165" i="1"/>
  <c r="F165" i="1" s="1"/>
  <c r="H165" i="1" s="1"/>
  <c r="D164" i="1"/>
  <c r="F164" i="1" s="1"/>
  <c r="H164" i="1" s="1"/>
  <c r="D163" i="1"/>
  <c r="D162" i="1"/>
  <c r="F162" i="1" s="1"/>
  <c r="H162" i="1" s="1"/>
  <c r="G160" i="1"/>
  <c r="G159" i="1"/>
  <c r="G158" i="1"/>
  <c r="D160" i="1"/>
  <c r="F160" i="1" s="1"/>
  <c r="D159" i="1"/>
  <c r="F159" i="1" s="1"/>
  <c r="D158" i="1"/>
  <c r="F158" i="1" s="1"/>
  <c r="D157" i="1"/>
  <c r="D156" i="1"/>
  <c r="F156" i="1" s="1"/>
  <c r="H156" i="1" s="1"/>
  <c r="D155" i="1"/>
  <c r="F155" i="1" s="1"/>
  <c r="H155" i="1" s="1"/>
  <c r="D154" i="1"/>
  <c r="F154" i="1" s="1"/>
  <c r="H154" i="1" s="1"/>
  <c r="D153" i="1"/>
  <c r="D152" i="1"/>
  <c r="F152" i="1" s="1"/>
  <c r="H152" i="1" s="1"/>
  <c r="D150" i="1"/>
  <c r="F150" i="1" s="1"/>
  <c r="H150" i="1" s="1"/>
  <c r="D149" i="1"/>
  <c r="F149" i="1" s="1"/>
  <c r="H149" i="1" s="1"/>
  <c r="D148" i="1"/>
  <c r="D147" i="1"/>
  <c r="F147" i="1" s="1"/>
  <c r="H147" i="1" s="1"/>
  <c r="D146" i="1"/>
  <c r="F146" i="1" s="1"/>
  <c r="H146" i="1" s="1"/>
  <c r="D142" i="1"/>
  <c r="F142" i="1" s="1"/>
  <c r="H142" i="1" s="1"/>
  <c r="D141" i="1"/>
  <c r="D140" i="1"/>
  <c r="D139" i="1"/>
  <c r="D138" i="1"/>
  <c r="A362" i="1"/>
  <c r="A363" i="1" s="1"/>
  <c r="A364" i="1" s="1"/>
  <c r="A365" i="1" s="1"/>
  <c r="A366" i="1" s="1"/>
  <c r="A367" i="1" s="1"/>
  <c r="A368" i="1" s="1"/>
  <c r="A369" i="1" s="1"/>
  <c r="A370" i="1" s="1"/>
  <c r="A351" i="1"/>
  <c r="A352" i="1" s="1"/>
  <c r="A353" i="1" s="1"/>
  <c r="A354" i="1" s="1"/>
  <c r="A355" i="1" s="1"/>
  <c r="A356" i="1" s="1"/>
  <c r="A357" i="1" s="1"/>
  <c r="A358" i="1" s="1"/>
  <c r="A359" i="1" s="1"/>
  <c r="F348" i="1"/>
  <c r="H348" i="1" s="1"/>
  <c r="A340" i="1"/>
  <c r="A341" i="1" s="1"/>
  <c r="A342" i="1" s="1"/>
  <c r="A343" i="1" s="1"/>
  <c r="A344" i="1" s="1"/>
  <c r="A345" i="1" s="1"/>
  <c r="A346" i="1" s="1"/>
  <c r="A347" i="1" s="1"/>
  <c r="A348" i="1" s="1"/>
  <c r="A329" i="1"/>
  <c r="A330" i="1" s="1"/>
  <c r="A331" i="1" s="1"/>
  <c r="A332" i="1" s="1"/>
  <c r="A333" i="1" s="1"/>
  <c r="A334" i="1" s="1"/>
  <c r="A335" i="1" s="1"/>
  <c r="A336" i="1" s="1"/>
  <c r="A337" i="1" s="1"/>
  <c r="F318" i="1"/>
  <c r="H318" i="1" s="1"/>
  <c r="F317" i="1"/>
  <c r="H317" i="1" s="1"/>
  <c r="A318" i="1"/>
  <c r="A319" i="1" s="1"/>
  <c r="A320" i="1" s="1"/>
  <c r="A321" i="1" s="1"/>
  <c r="A322" i="1" s="1"/>
  <c r="A323" i="1" s="1"/>
  <c r="A324" i="1" s="1"/>
  <c r="A325" i="1" s="1"/>
  <c r="A326" i="1" s="1"/>
  <c r="A307" i="1"/>
  <c r="A308" i="1" s="1"/>
  <c r="A309" i="1" s="1"/>
  <c r="A310" i="1" s="1"/>
  <c r="A311" i="1" s="1"/>
  <c r="A312" i="1" s="1"/>
  <c r="A313" i="1" s="1"/>
  <c r="A314" i="1" s="1"/>
  <c r="A315" i="1" s="1"/>
  <c r="F304" i="1"/>
  <c r="H304" i="1" s="1"/>
  <c r="A296" i="1"/>
  <c r="A297" i="1" s="1"/>
  <c r="A298" i="1" s="1"/>
  <c r="A299" i="1" s="1"/>
  <c r="A300" i="1" s="1"/>
  <c r="A301" i="1" s="1"/>
  <c r="A302" i="1" s="1"/>
  <c r="A303" i="1" s="1"/>
  <c r="A304" i="1" s="1"/>
  <c r="A285" i="1"/>
  <c r="A286" i="1" s="1"/>
  <c r="A287" i="1" s="1"/>
  <c r="A288" i="1" s="1"/>
  <c r="A289" i="1" s="1"/>
  <c r="A290" i="1" s="1"/>
  <c r="A291" i="1" s="1"/>
  <c r="A292" i="1" s="1"/>
  <c r="A293" i="1" s="1"/>
  <c r="A274" i="1"/>
  <c r="A275" i="1" s="1"/>
  <c r="A276" i="1" s="1"/>
  <c r="A277" i="1" s="1"/>
  <c r="A278" i="1" s="1"/>
  <c r="A279" i="1" s="1"/>
  <c r="A280" i="1" s="1"/>
  <c r="A281" i="1" s="1"/>
  <c r="A282" i="1" s="1"/>
  <c r="A263" i="1"/>
  <c r="A264" i="1" s="1"/>
  <c r="A265" i="1" s="1"/>
  <c r="A266" i="1" s="1"/>
  <c r="A269" i="1" s="1"/>
  <c r="A270" i="1" s="1"/>
  <c r="A271" i="1" s="1"/>
  <c r="F248" i="1"/>
  <c r="H248" i="1" s="1"/>
  <c r="A239" i="1"/>
  <c r="A240" i="1" s="1"/>
  <c r="A241" i="1" s="1"/>
  <c r="A242" i="1" s="1"/>
  <c r="A243" i="1" s="1"/>
  <c r="A244" i="1" s="1"/>
  <c r="A245" i="1" s="1"/>
  <c r="A246" i="1" s="1"/>
  <c r="A247" i="1" s="1"/>
  <c r="A248" i="1" s="1"/>
  <c r="F231" i="1"/>
  <c r="H231" i="1" s="1"/>
  <c r="F230" i="1"/>
  <c r="H230" i="1" s="1"/>
  <c r="A227" i="1"/>
  <c r="A228" i="1" s="1"/>
  <c r="A229" i="1" s="1"/>
  <c r="A230" i="1" s="1"/>
  <c r="A231" i="1" s="1"/>
  <c r="A232" i="1" s="1"/>
  <c r="A233" i="1" s="1"/>
  <c r="A234" i="1" s="1"/>
  <c r="A235" i="1" s="1"/>
  <c r="A236" i="1" s="1"/>
  <c r="F214" i="1"/>
  <c r="H214" i="1" s="1"/>
  <c r="A215" i="1"/>
  <c r="A216" i="1" s="1"/>
  <c r="A217" i="1" s="1"/>
  <c r="A218" i="1" s="1"/>
  <c r="A219" i="1" s="1"/>
  <c r="A220" i="1" s="1"/>
  <c r="A221" i="1" s="1"/>
  <c r="A222" i="1" s="1"/>
  <c r="A223" i="1" s="1"/>
  <c r="A224" i="1" s="1"/>
  <c r="J202" i="1"/>
  <c r="A202" i="1"/>
  <c r="A203" i="1" s="1"/>
  <c r="A204" i="1" s="1"/>
  <c r="A205" i="1" s="1"/>
  <c r="A206" i="1" s="1"/>
  <c r="A207" i="1" s="1"/>
  <c r="A208" i="1" s="1"/>
  <c r="A209" i="1" s="1"/>
  <c r="A210" i="1" s="1"/>
  <c r="A211" i="1" s="1"/>
  <c r="A212" i="1" s="1"/>
  <c r="F195" i="1"/>
  <c r="H195" i="1" s="1"/>
  <c r="J189" i="1"/>
  <c r="A189" i="1"/>
  <c r="A190" i="1" s="1"/>
  <c r="A191" i="1" s="1"/>
  <c r="A192" i="1" s="1"/>
  <c r="A193" i="1" s="1"/>
  <c r="A194" i="1" s="1"/>
  <c r="A195" i="1" s="1"/>
  <c r="A196" i="1" s="1"/>
  <c r="A197" i="1" s="1"/>
  <c r="A198" i="1" s="1"/>
  <c r="A199" i="1" s="1"/>
  <c r="F185" i="1"/>
  <c r="H185" i="1" s="1"/>
  <c r="J176" i="1"/>
  <c r="A176" i="1"/>
  <c r="A177" i="1" s="1"/>
  <c r="A178" i="1" s="1"/>
  <c r="A179" i="1" s="1"/>
  <c r="A180" i="1" s="1"/>
  <c r="A181" i="1" s="1"/>
  <c r="A182" i="1" s="1"/>
  <c r="A183" i="1" s="1"/>
  <c r="A184" i="1" s="1"/>
  <c r="A185" i="1" s="1"/>
  <c r="A186" i="1" s="1"/>
  <c r="F163" i="1"/>
  <c r="H163" i="1" s="1"/>
  <c r="J163" i="1"/>
  <c r="A163" i="1"/>
  <c r="A164" i="1" s="1"/>
  <c r="A165" i="1" s="1"/>
  <c r="A166" i="1" s="1"/>
  <c r="A167" i="1" s="1"/>
  <c r="A168" i="1" s="1"/>
  <c r="A169" i="1" s="1"/>
  <c r="A170" i="1" s="1"/>
  <c r="A171" i="1" s="1"/>
  <c r="A172" i="1" s="1"/>
  <c r="A173" i="1" s="1"/>
  <c r="F157" i="1"/>
  <c r="H157" i="1" s="1"/>
  <c r="J153" i="1"/>
  <c r="A153" i="1"/>
  <c r="A154" i="1" s="1"/>
  <c r="A155" i="1" s="1"/>
  <c r="A156" i="1" s="1"/>
  <c r="A157" i="1" s="1"/>
  <c r="A158" i="1" s="1"/>
  <c r="A159" i="1" s="1"/>
  <c r="A160" i="1" s="1"/>
  <c r="F148" i="1"/>
  <c r="H148" i="1" s="1"/>
  <c r="J147" i="1"/>
  <c r="A145" i="1"/>
  <c r="A147" i="1" s="1"/>
  <c r="A148" i="1" s="1"/>
  <c r="A149" i="1" s="1"/>
  <c r="A150" i="1" s="1"/>
  <c r="J141" i="1"/>
  <c r="E44" i="1"/>
  <c r="C123" i="1" l="1"/>
  <c r="C124" i="1"/>
  <c r="C125" i="1" s="1"/>
  <c r="F153" i="1"/>
  <c r="H153" i="1" s="1"/>
  <c r="H169" i="1"/>
  <c r="H168" i="1"/>
  <c r="H170" i="1"/>
  <c r="H160" i="1"/>
  <c r="H159" i="1"/>
  <c r="H158" i="1"/>
  <c r="F138" i="1"/>
  <c r="B38" i="6"/>
  <c r="B39" i="6" s="1"/>
  <c r="B40" i="6" s="1"/>
  <c r="B41" i="6" s="1"/>
  <c r="B42" i="6" s="1"/>
  <c r="B43" i="6" s="1"/>
  <c r="B44" i="6" s="1"/>
  <c r="B45" i="6" s="1"/>
  <c r="B46" i="6" s="1"/>
  <c r="B47" i="6" s="1"/>
  <c r="B48" i="6" s="1"/>
  <c r="B49" i="6" s="1"/>
  <c r="B50" i="6" s="1"/>
  <c r="B51" i="6" s="1"/>
  <c r="B52" i="6" s="1"/>
  <c r="B53" i="6" s="1"/>
  <c r="B54" i="6" s="1"/>
  <c r="G124" i="1" l="1"/>
  <c r="E124" i="1"/>
  <c r="H138" i="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430" i="1"/>
  <c r="B406" i="1"/>
  <c r="B405" i="1"/>
  <c r="F402" i="1"/>
  <c r="H402" i="1" s="1"/>
  <c r="F401" i="1"/>
  <c r="H401" i="1" s="1"/>
  <c r="F400" i="1"/>
  <c r="H400" i="1" s="1"/>
  <c r="F399" i="1"/>
  <c r="H399" i="1" s="1"/>
  <c r="F398" i="1"/>
  <c r="H398" i="1" s="1"/>
  <c r="F396" i="1"/>
  <c r="H396" i="1" s="1"/>
  <c r="F395" i="1"/>
  <c r="H395" i="1" s="1"/>
  <c r="F394" i="1"/>
  <c r="H394" i="1" s="1"/>
  <c r="F393" i="1"/>
  <c r="H393" i="1" s="1"/>
  <c r="F392" i="1"/>
  <c r="H392" i="1" s="1"/>
  <c r="F390" i="1"/>
  <c r="H390" i="1" s="1"/>
  <c r="F389" i="1"/>
  <c r="H389" i="1" s="1"/>
  <c r="F388" i="1"/>
  <c r="H388" i="1" s="1"/>
  <c r="F387" i="1"/>
  <c r="H387" i="1" s="1"/>
  <c r="F386" i="1"/>
  <c r="H386" i="1" s="1"/>
  <c r="F384" i="1"/>
  <c r="H384" i="1" s="1"/>
  <c r="F383" i="1"/>
  <c r="H383" i="1" s="1"/>
  <c r="F382" i="1"/>
  <c r="H382" i="1" s="1"/>
  <c r="F381" i="1"/>
  <c r="H381" i="1" s="1"/>
  <c r="F380" i="1"/>
  <c r="H380" i="1" s="1"/>
  <c r="A380" i="1"/>
  <c r="A381" i="1" s="1"/>
  <c r="A382" i="1" s="1"/>
  <c r="A383" i="1" s="1"/>
  <c r="A384" i="1" s="1"/>
  <c r="F378" i="1"/>
  <c r="H378" i="1" s="1"/>
  <c r="F377" i="1"/>
  <c r="H377" i="1" s="1"/>
  <c r="F376" i="1"/>
  <c r="H376" i="1" s="1"/>
  <c r="A376" i="1"/>
  <c r="A377" i="1" s="1"/>
  <c r="A378" i="1" s="1"/>
  <c r="F375" i="1"/>
  <c r="H375" i="1" s="1"/>
  <c r="F141" i="1"/>
  <c r="H141" i="1" s="1"/>
  <c r="F140" i="1"/>
  <c r="H140" i="1" s="1"/>
  <c r="F139" i="1"/>
  <c r="A139" i="1"/>
  <c r="A140" i="1" s="1"/>
  <c r="A141" i="1" s="1"/>
  <c r="A142" i="1" s="1"/>
  <c r="C131" i="1"/>
  <c r="B77" i="1"/>
  <c r="D70" i="1"/>
  <c r="D65" i="1"/>
  <c r="G58" i="1"/>
  <c r="C58" i="1"/>
  <c r="C56" i="1"/>
  <c r="G52" i="1"/>
  <c r="G53" i="1" s="1"/>
  <c r="K56" i="1" s="1"/>
  <c r="C52" i="1"/>
  <c r="C53" i="1" s="1"/>
  <c r="E45" i="1"/>
  <c r="E46" i="1" s="1"/>
  <c r="S33" i="1"/>
  <c r="E31" i="1"/>
  <c r="E28" i="1"/>
  <c r="E26" i="1"/>
  <c r="C16" i="1"/>
  <c r="I15" i="1"/>
  <c r="Z13" i="1"/>
  <c r="E3" i="1"/>
  <c r="B416" i="1" s="1"/>
  <c r="A398" i="1"/>
  <c r="A386" i="1"/>
  <c r="A392" i="1"/>
  <c r="H139" i="1" l="1"/>
  <c r="G123" i="1" s="1"/>
  <c r="G125" i="1" s="1"/>
  <c r="G131" i="1" s="1"/>
  <c r="E123" i="1"/>
  <c r="E125" i="1" s="1"/>
  <c r="E131" i="1" s="1"/>
  <c r="E42" i="7"/>
  <c r="J84" i="1"/>
  <c r="J85" i="1"/>
  <c r="I42" i="7"/>
  <c r="H42" i="7" s="1"/>
  <c r="L42" i="7"/>
  <c r="K42" i="7" s="1"/>
  <c r="D42" i="7"/>
  <c r="L56" i="1"/>
  <c r="J86" i="1"/>
  <c r="J87" i="1"/>
  <c r="I53" i="1"/>
  <c r="A399" i="1"/>
  <c r="A387" i="1"/>
  <c r="H77" i="1"/>
  <c r="A393" i="1"/>
  <c r="D88" i="1" l="1"/>
  <c r="D82" i="1"/>
  <c r="J82" i="1"/>
  <c r="J83" i="1" s="1"/>
  <c r="J88" i="1" s="1"/>
  <c r="J89" i="1" s="1"/>
  <c r="C81" i="1" s="1"/>
  <c r="E80" i="1" s="1"/>
  <c r="J81" i="1"/>
  <c r="C80" i="1" s="1"/>
  <c r="D80" i="1" s="1"/>
  <c r="D87" i="1"/>
  <c r="D86" i="1"/>
  <c r="J76" i="1"/>
  <c r="J78" i="1" s="1"/>
  <c r="D85" i="1"/>
  <c r="D89" i="1"/>
  <c r="D83" i="1"/>
  <c r="J80" i="1"/>
  <c r="J79" i="1"/>
  <c r="D84" i="1"/>
  <c r="D44" i="7"/>
  <c r="E44" i="7"/>
  <c r="A400" i="1"/>
  <c r="A394" i="1"/>
  <c r="A388" i="1"/>
  <c r="B91" i="1" l="1"/>
  <c r="G80" i="1"/>
  <c r="D74" i="1" s="1"/>
  <c r="D75" i="1" s="1"/>
  <c r="D81" i="1"/>
  <c r="I77" i="1" s="1"/>
  <c r="I78" i="1" s="1"/>
  <c r="J77" i="1"/>
  <c r="A401" i="1"/>
  <c r="H91" i="1"/>
  <c r="A389" i="1"/>
  <c r="A395" i="1"/>
  <c r="J95" i="1" l="1"/>
  <c r="C94" i="1" s="1"/>
  <c r="D94" i="1" s="1"/>
  <c r="J93" i="1"/>
  <c r="J90" i="1"/>
  <c r="J92" i="1" s="1"/>
  <c r="D99" i="1"/>
  <c r="D101" i="1"/>
  <c r="D97" i="1"/>
  <c r="D100" i="1"/>
  <c r="D103" i="1"/>
  <c r="D98" i="1"/>
  <c r="J94" i="1"/>
  <c r="D96" i="1"/>
  <c r="D102" i="1"/>
  <c r="J99" i="1"/>
  <c r="J96" i="1"/>
  <c r="J97" i="1" s="1"/>
  <c r="J102" i="1" s="1"/>
  <c r="J103" i="1" s="1"/>
  <c r="C95" i="1" s="1"/>
  <c r="J98" i="1"/>
  <c r="J101" i="1"/>
  <c r="J100" i="1"/>
  <c r="F75" i="1"/>
  <c r="I76" i="1"/>
  <c r="C78" i="1" s="1"/>
  <c r="A396" i="1"/>
  <c r="A390" i="1"/>
  <c r="A402" i="1"/>
  <c r="E94" i="1" l="1"/>
  <c r="D95" i="1"/>
  <c r="I91" i="1" s="1"/>
  <c r="G94" i="1"/>
  <c r="J91" i="1"/>
  <c r="I92" i="1" l="1"/>
  <c r="I90" i="1" s="1"/>
  <c r="C9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7" authorId="1" shapeId="0" xr:uid="{00000000-0006-0000-0000-000003000000}">
      <text>
        <r>
          <rPr>
            <b/>
            <sz val="9"/>
            <color indexed="81"/>
            <rFont val="Tahoma"/>
            <family val="2"/>
          </rPr>
          <t>SACHIN:</t>
        </r>
        <r>
          <rPr>
            <sz val="9"/>
            <color indexed="81"/>
            <rFont val="Tahoma"/>
            <family val="2"/>
          </rPr>
          <t xml:space="preserve">
Floor with height</t>
        </r>
      </text>
    </comment>
    <comment ref="C59" authorId="1" shapeId="0" xr:uid="{00000000-0006-0000-0000-000004000000}">
      <text>
        <r>
          <rPr>
            <b/>
            <sz val="9"/>
            <color indexed="81"/>
            <rFont val="Tahoma"/>
            <family val="2"/>
          </rPr>
          <t>SACHIN:</t>
        </r>
        <r>
          <rPr>
            <sz val="9"/>
            <color indexed="81"/>
            <rFont val="Tahoma"/>
            <family val="2"/>
          </rPr>
          <t xml:space="preserve">
Survey Nos.</t>
        </r>
      </text>
    </comment>
    <comment ref="D65" authorId="0" shapeId="0" xr:uid="{00000000-0006-0000-0000-000005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10" authorId="1" shapeId="0" xr:uid="{00000000-0006-0000-0000-000006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373" authorId="1" shapeId="0" xr:uid="{00000000-0006-0000-0000-000007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<sst xmlns="http://schemas.openxmlformats.org/spreadsheetml/2006/main" count="896" uniqueCount="466">
  <si>
    <t xml:space="preserve">Valuation Report </t>
  </si>
  <si>
    <t>Date:</t>
  </si>
  <si>
    <t>CPC Name:</t>
  </si>
  <si>
    <t>Date Of Property Visit</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</si>
  <si>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</si>
  <si>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</si>
  <si>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</si>
  <si>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</si>
  <si>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</si>
  <si>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</si>
  <si>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</si>
  <si>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</si>
  <si>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</si>
  <si>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</si>
  <si>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</si>
  <si>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</si>
  <si>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</si>
  <si>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</si>
  <si>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</si>
  <si>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</si>
  <si>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</si>
  <si>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</si>
  <si>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</si>
  <si>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</si>
  <si>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</si>
  <si>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</si>
  <si>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</si>
  <si>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</si>
  <si>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</si>
  <si>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</si>
  <si>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</si>
  <si>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</si>
  <si>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</si>
  <si>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</si>
  <si>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</si>
  <si>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</si>
  <si>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</si>
  <si>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</si>
  <si>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</si>
  <si>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</si>
  <si>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</si>
  <si>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</si>
  <si>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</si>
  <si>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</si>
  <si>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</si>
  <si>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</si>
  <si>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</si>
  <si>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</si>
  <si>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</si>
  <si>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</si>
  <si>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</si>
  <si>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</si>
  <si>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</si>
  <si>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</si>
  <si>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</si>
  <si>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</si>
  <si>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</si>
  <si>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</si>
  <si>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</si>
  <si>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</si>
  <si>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</si>
  <si>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</si>
  <si>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</si>
  <si>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</si>
  <si>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</si>
  <si>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</si>
  <si>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</si>
  <si>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</si>
  <si>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</si>
  <si>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</si>
  <si>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</si>
  <si>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</si>
  <si>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</si>
  <si>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</si>
  <si>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</si>
  <si>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</si>
  <si>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</si>
  <si>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</si>
  <si>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</si>
  <si>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</si>
  <si>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</si>
  <si>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</si>
  <si>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</si>
  <si>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</si>
  <si>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</si>
  <si>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</si>
  <si>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</si>
  <si>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</si>
  <si>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</si>
  <si>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</si>
  <si>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</si>
  <si>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</si>
  <si>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</si>
  <si>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</si>
  <si>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</si>
  <si>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</si>
  <si>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</si>
  <si>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</si>
  <si>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</si>
  <si>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</si>
  <si>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</si>
  <si>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</si>
  <si>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</si>
  <si>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</si>
  <si>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</si>
  <si>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</si>
  <si>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</si>
  <si>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</si>
  <si>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</si>
  <si>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</si>
  <si>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</si>
  <si>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</si>
  <si>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</si>
  <si>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</si>
  <si>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</si>
  <si>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</si>
  <si>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</si>
  <si>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</si>
  <si>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</si>
  <si>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</si>
  <si>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</si>
  <si>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</si>
  <si>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</si>
  <si>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</si>
  <si>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</si>
  <si>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</si>
  <si>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</si>
  <si>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</si>
  <si>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</si>
  <si>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</si>
  <si>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</si>
  <si>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</si>
  <si>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</si>
  <si>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</si>
  <si>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</si>
  <si>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</si>
  <si>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</si>
  <si>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</si>
  <si>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</si>
  <si>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</si>
  <si>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</si>
  <si>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</si>
  <si>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</si>
  <si>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</si>
  <si>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</si>
  <si>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</si>
  <si>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</si>
  <si>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</si>
  <si>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</si>
  <si>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</si>
  <si>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</si>
  <si>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</si>
  <si>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</si>
  <si>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</si>
  <si>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</si>
  <si>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</si>
  <si>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</si>
  <si>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</si>
  <si>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Flat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</si>
  <si>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</si>
  <si>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</si>
  <si>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</si>
  <si>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</si>
  <si>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</si>
  <si>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</si>
  <si>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</si>
  <si>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</si>
  <si>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</si>
  <si>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</si>
  <si>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</si>
  <si>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</si>
  <si>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</si>
  <si>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</si>
  <si>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</si>
  <si>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</si>
  <si>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</si>
  <si>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</si>
  <si>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</si>
  <si>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</si>
  <si>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</si>
  <si>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</si>
  <si>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</si>
  <si>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</si>
  <si>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</si>
  <si>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</si>
  <si>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</si>
  <si>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</si>
  <si>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</si>
  <si>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</si>
  <si>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</si>
  <si>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</si>
  <si>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</si>
  <si>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</si>
  <si>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</si>
  <si>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</si>
  <si>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</si>
  <si>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</si>
  <si>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</si>
  <si>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</si>
  <si>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</si>
  <si>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</si>
  <si>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</si>
  <si>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</si>
  <si>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</si>
  <si>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</si>
  <si>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</si>
  <si>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</si>
  <si>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</si>
  <si>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</si>
  <si>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</si>
  <si>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</si>
  <si>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</si>
  <si>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</si>
  <si>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</si>
  <si>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</si>
  <si>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</si>
  <si>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</si>
  <si>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</si>
  <si>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</si>
  <si>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</si>
  <si>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</si>
  <si>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</si>
  <si>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</si>
  <si>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</si>
  <si>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</si>
  <si>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</si>
  <si>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</si>
  <si>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</si>
  <si>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</si>
  <si>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</si>
  <si>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</si>
  <si>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</si>
  <si>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</si>
  <si>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</si>
  <si>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</si>
  <si>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</si>
  <si>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</si>
  <si>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</si>
  <si>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</si>
  <si>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</si>
  <si>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</si>
  <si>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</si>
  <si>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</si>
  <si>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</si>
  <si>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</si>
  <si>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</si>
  <si>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</si>
  <si>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</si>
  <si>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</si>
  <si>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</si>
  <si>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</si>
  <si>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</si>
  <si>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</si>
  <si>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</si>
  <si>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</si>
  <si>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</si>
  <si>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</si>
  <si>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</si>
  <si>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</si>
  <si>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</si>
  <si>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</si>
  <si>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</si>
  <si>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</si>
  <si>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</si>
  <si>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</si>
  <si>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</si>
  <si>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</si>
  <si>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</si>
  <si>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</si>
  <si>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</si>
  <si>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</si>
  <si>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</si>
  <si>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</si>
  <si>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</si>
  <si>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</si>
  <si>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</si>
  <si>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</si>
  <si>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</si>
  <si>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</si>
  <si>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</si>
  <si>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</si>
  <si>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</si>
  <si>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</si>
  <si>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</si>
  <si>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</si>
  <si>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</si>
  <si>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</si>
  <si>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</si>
  <si>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</si>
  <si>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</si>
  <si>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</si>
  <si>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</si>
  <si>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</si>
  <si>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</si>
  <si>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</si>
  <si>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</si>
  <si>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</si>
  <si>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</si>
  <si>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</si>
  <si>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</si>
  <si>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</si>
  <si>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</si>
  <si>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</si>
  <si>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</si>
  <si>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</si>
  <si>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</si>
  <si>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</si>
  <si>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</si>
  <si>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</si>
  <si>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</si>
  <si>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</si>
  <si>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</si>
  <si>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</si>
  <si>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</si>
  <si>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</si>
  <si>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</si>
  <si>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</si>
  <si>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</si>
  <si>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</si>
  <si>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</si>
  <si>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</si>
  <si>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</si>
  <si>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</si>
  <si>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</si>
  <si>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</si>
  <si>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</si>
  <si>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</si>
  <si>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</si>
  <si>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</si>
  <si>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</si>
  <si>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</si>
  <si>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</si>
  <si>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</si>
  <si>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</si>
  <si>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</si>
  <si>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</si>
  <si>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</si>
  <si>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</si>
  <si>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</si>
  <si>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</si>
  <si>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</si>
  <si>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</si>
  <si>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</si>
  <si>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</si>
  <si>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</si>
  <si>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</si>
  <si>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</si>
  <si>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</si>
  <si>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</si>
  <si>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</si>
  <si>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</si>
  <si>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</si>
  <si>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</si>
  <si>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</si>
  <si>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</si>
  <si>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</si>
  <si>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</si>
  <si>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</si>
  <si>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</si>
  <si>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</si>
  <si>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</si>
  <si>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</si>
  <si>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</si>
  <si>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</si>
  <si>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</si>
  <si>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</si>
  <si>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</si>
  <si>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</si>
  <si>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</si>
  <si>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</si>
  <si>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</si>
  <si>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</si>
  <si>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</si>
  <si>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</si>
  <si>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</si>
  <si>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</si>
  <si>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</si>
  <si>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</si>
  <si>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</si>
  <si>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</si>
  <si>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</si>
  <si>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</si>
  <si>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</si>
  <si>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</si>
  <si>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</si>
  <si>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As per visit dtd 13/08/2025, we have observed that construction work of Shop no. 1, 2, 3, 6, 7, 8 from Building No. 1 and Shop no. 11, 12, 13, 16, 17 from Building No. 2 are Completed.Therefore it can be considered as Progress 100% and Disbursement 100%.</t>
  </si>
  <si>
    <t>Remark if shops construction is asked</t>
  </si>
  <si>
    <t>Mohan Hardasmal Tharwani</t>
  </si>
  <si>
    <t>Vedant Connect</t>
  </si>
  <si>
    <t>Anita Singh 9158405406</t>
  </si>
  <si>
    <t>Mohak Peswani 9561116218</t>
  </si>
  <si>
    <t>Approved Plans &amp; CC.</t>
  </si>
  <si>
    <t>P51700049879</t>
  </si>
  <si>
    <t>34/A/1B, 35/1/1/B &amp; 36/5/B</t>
  </si>
  <si>
    <t>Survey No</t>
  </si>
  <si>
    <t>19.2430411,73.149529</t>
  </si>
  <si>
    <t>https://maps.app.goo.gl/UyKRsz2JWKBgg3Wa6</t>
  </si>
  <si>
    <t>Bhiwandi - Murbad Road</t>
  </si>
  <si>
    <t>Chikanghar</t>
  </si>
  <si>
    <t>Shiv-prem Auto Circle</t>
  </si>
  <si>
    <t>Usha Nagar</t>
  </si>
  <si>
    <t>S. No. 36</t>
  </si>
  <si>
    <t>S. No. 34</t>
  </si>
  <si>
    <t>30.00 M. Wide Road</t>
  </si>
  <si>
    <t>Indian Oil Petrol Pump</t>
  </si>
  <si>
    <t>Nandanvan Apartment</t>
  </si>
  <si>
    <t>Buildings</t>
  </si>
  <si>
    <t>Net Plot area of the project Plot A in Sq. Mt.</t>
  </si>
  <si>
    <t>Kalyan Dombivli Municipal Corporation (KDMC)</t>
  </si>
  <si>
    <t>KDMCC/RB/2025/APL/00140</t>
  </si>
  <si>
    <t>B + Gr + 1st to 20th Floor</t>
  </si>
  <si>
    <t>1B + G + 1st to 20th Floor</t>
  </si>
  <si>
    <t>As per RERA - 31/12/2026</t>
  </si>
  <si>
    <r>
      <t xml:space="preserve">Proposed Amenities :                                                                                                                                                                                                                         </t>
    </r>
    <r>
      <rPr>
        <b/>
        <sz val="12"/>
        <rFont val="Times New Roman"/>
        <family val="1"/>
      </rPr>
      <t xml:space="preserve">                                               </t>
    </r>
  </si>
  <si>
    <t>Multipurpose Hall, Gymnasium, Cafeteria, Rooftop Restaurant &amp; Conference</t>
  </si>
  <si>
    <t>Part I = 1B + G + 1st to 20th Floor</t>
  </si>
  <si>
    <t>Part II = 1B + G + 1st to 20th Floor</t>
  </si>
  <si>
    <t>Basement Floor For Parking</t>
  </si>
  <si>
    <t>Ground Floor For Commercial, Entrance Lobby, CCTV Room, Drivers Room &amp; Parking</t>
  </si>
  <si>
    <t>Shop</t>
  </si>
  <si>
    <t>Shop (Duplex with 1st Floor)</t>
  </si>
  <si>
    <t>Office</t>
  </si>
  <si>
    <t>Shop (Duplex with Ground Floor)</t>
  </si>
  <si>
    <t>1st Floor For Commercial &amp; Part Parking Area</t>
  </si>
  <si>
    <t>2nd Floor For Commercial &amp; Part Parking Area</t>
  </si>
  <si>
    <t>3rd Floor</t>
  </si>
  <si>
    <t>4th Floor</t>
  </si>
  <si>
    <t>5th Floor</t>
  </si>
  <si>
    <t>Refuge Area</t>
  </si>
  <si>
    <t>6th Floor (Part Refuge Area)</t>
  </si>
  <si>
    <t>7th Floor</t>
  </si>
  <si>
    <t>8th Floor</t>
  </si>
  <si>
    <t>9th Floor</t>
  </si>
  <si>
    <t>Gymnasium, Multipurpose Hall, Cafeteria, Conference Room, Hirkani Room, Society Office</t>
  </si>
  <si>
    <t>-</t>
  </si>
  <si>
    <t>10th Floor (Part Gymnasium, Multipurpose Hall, 
Cafeteria, Conference Room, Hirkani Room, Society Office)</t>
  </si>
  <si>
    <t>11th Floor (Part Refuge Area)</t>
  </si>
  <si>
    <t>12th Floor</t>
  </si>
  <si>
    <t>13th Floor</t>
  </si>
  <si>
    <t>14th Floor  (Part Refuge Area)</t>
  </si>
  <si>
    <t>15th Floor</t>
  </si>
  <si>
    <t>16th Floor</t>
  </si>
  <si>
    <t>17th Floor</t>
  </si>
  <si>
    <t>18th Floor</t>
  </si>
  <si>
    <t>19th Floor (Part Refuge Area)</t>
  </si>
  <si>
    <t>20th Floor (Part Terrace Area)</t>
  </si>
  <si>
    <t>Terrace Area</t>
  </si>
  <si>
    <r>
      <t xml:space="preserve">Shop No.
</t>
    </r>
    <r>
      <rPr>
        <b/>
        <sz val="11"/>
        <rFont val="Times New Roman"/>
        <family val="1"/>
      </rPr>
      <t>(Approved Plan)</t>
    </r>
  </si>
  <si>
    <t xml:space="preserve">Details of Commercials in Building   </t>
  </si>
  <si>
    <t>Shops</t>
  </si>
  <si>
    <t>Offices</t>
  </si>
  <si>
    <t>We considered Gross carpet area = Net carpet.</t>
  </si>
  <si>
    <t>Kunal Kadam</t>
  </si>
  <si>
    <t xml:space="preserve">Mangesh Laxman Bapardekar	</t>
  </si>
  <si>
    <t>Shops - 05, Offices - 185</t>
  </si>
  <si>
    <t>Shahad West</t>
  </si>
  <si>
    <t>Recommended rate of the 2nd Floor Office Per Sq. Ft.</t>
  </si>
  <si>
    <t>Recommended rate of the Ground Floor Shop Per Sq. Ft.</t>
  </si>
  <si>
    <t>Recommended rate of the 3rd to 5th Floor Office Per Sq. Ft.</t>
  </si>
  <si>
    <t>Recommended rate of the 1st Floor Office Per Sq. Ft.</t>
  </si>
  <si>
    <t>Recommended rate of the 6th to 12th Floor Office Per Sq. Ft.</t>
  </si>
  <si>
    <t>Recommended rate of the Office From 13th Floor to above floors Per Sq. Ft.</t>
  </si>
  <si>
    <t>1.30KM from Shahad Railway Station</t>
  </si>
  <si>
    <t>Construction work is in process at the time of Visit.</t>
  </si>
  <si>
    <t>Name of the builder</t>
  </si>
  <si>
    <t>Tharwani Infrastructures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</si>
</sst>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7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7" fillId="0" borderId="0" xfId="1" applyNumberFormat="1" applyFont="1"/>
    <xf numFmtId="0" fontId="0" fillId="0" borderId="38" xfId="0" applyBorder="1" applyAlignment="1">
      <alignment vertical="top" wrapText="1"/>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21"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1" fontId="12" fillId="0" borderId="1" xfId="1" applyNumberFormat="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0" fontId="8" fillId="0" borderId="16" xfId="1" applyFont="1" applyBorder="1" applyAlignment="1" applyProtection="1">
      <alignment horizontal="center" vertical="top"/>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10" fillId="0" borderId="33" xfId="0"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25" xfId="1" applyFont="1" applyBorder="1" applyAlignment="1" applyProtection="1">
      <alignment horizontal="left" vertical="top" wrapText="1"/>
      <protection locked="0"/>
    </xf>
    <xf numFmtId="0" fontId="6" fillId="0" borderId="26"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5" fillId="0" borderId="25" xfId="1" applyFont="1" applyBorder="1" applyAlignment="1" applyProtection="1">
      <alignment horizontal="left" vertical="top" wrapText="1"/>
      <protection locked="0"/>
    </xf>
    <xf numFmtId="0" fontId="15" fillId="0" borderId="26" xfId="1" applyFont="1" applyBorder="1" applyAlignment="1" applyProtection="1">
      <alignment horizontal="left" vertical="top" wrapText="1"/>
      <protection locked="0"/>
    </xf>
    <xf numFmtId="0" fontId="6" fillId="0" borderId="17" xfId="1" applyFont="1" applyBorder="1" applyAlignment="1" applyProtection="1">
      <alignment horizontal="center" vertical="top" wrapText="1"/>
      <protection locked="0"/>
    </xf>
    <xf numFmtId="0" fontId="6" fillId="0" borderId="24" xfId="1" applyFont="1" applyBorder="1" applyAlignment="1" applyProtection="1">
      <alignment horizontal="center" vertical="top" wrapText="1"/>
      <protection locked="0"/>
    </xf>
    <xf numFmtId="0" fontId="6" fillId="0" borderId="18" xfId="1" applyFont="1" applyBorder="1" applyAlignment="1" applyProtection="1">
      <alignment horizontal="center" vertical="top" wrapText="1"/>
      <protection locked="0"/>
    </xf>
    <xf numFmtId="0" fontId="6" fillId="0" borderId="19" xfId="1" applyFont="1" applyBorder="1" applyAlignment="1" applyProtection="1">
      <alignment horizontal="center" vertical="top" wrapText="1"/>
      <protection locked="0"/>
    </xf>
    <xf numFmtId="0" fontId="6" fillId="0" borderId="2" xfId="1" applyFont="1" applyBorder="1" applyAlignment="1" applyProtection="1">
      <alignment horizontal="center" vertical="top" wrapText="1"/>
      <protection locked="0"/>
    </xf>
    <xf numFmtId="0" fontId="6" fillId="0" borderId="20" xfId="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8" fillId="0" borderId="8" xfId="1" applyFont="1" applyBorder="1" applyAlignment="1" applyProtection="1">
      <alignment horizontal="left" vertical="top"/>
      <protection locked="0"/>
    </xf>
    <xf numFmtId="0" fontId="8" fillId="0" borderId="21"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0" fontId="13" fillId="0" borderId="16" xfId="1" applyFont="1" applyBorder="1" applyAlignment="1" applyProtection="1">
      <alignment horizontal="center" vertical="top"/>
      <protection locked="0"/>
    </xf>
    <xf numFmtId="0" fontId="6" fillId="0" borderId="1" xfId="1" applyFont="1" applyBorder="1" applyAlignment="1" applyProtection="1">
      <alignment vertical="top"/>
      <protection locked="0"/>
    </xf>
    <xf numFmtId="0" fontId="10" fillId="0" borderId="3" xfId="0" applyFont="1" applyBorder="1" applyAlignment="1" applyProtection="1">
      <alignment horizontal="center" vertical="center"/>
      <protection locked="0"/>
    </xf>
    <xf numFmtId="1" fontId="8" fillId="0" borderId="1" xfId="0" applyNumberFormat="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1" fontId="6" fillId="0" borderId="21" xfId="1" applyNumberFormat="1" applyFont="1" applyBorder="1" applyAlignment="1" applyProtection="1">
      <alignment horizontal="center" vertical="center" wrapText="1"/>
      <protection locked="0"/>
    </xf>
    <xf numFmtId="0" fontId="12" fillId="0" borderId="5" xfId="1" applyFont="1" applyBorder="1" applyAlignment="1" applyProtection="1">
      <alignment horizontal="center" vertical="top"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0" xfId="1" applyNumberFormat="1" applyFont="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0" fontId="9" fillId="0" borderId="1" xfId="5" applyFont="1" applyBorder="1" applyAlignment="1">
      <alignment horizontal="left"/>
    </xf>
    <xf numFmtId="0" fontId="0" fillId="0" borderId="25" xfId="0" applyBorder="1" applyAlignment="1">
      <alignment horizontal="left" vertical="top" wrapText="1"/>
    </xf>
    <xf numFmtId="0" fontId="0" fillId="0" borderId="0" xfId="0" applyAlignment="1">
      <alignment horizontal="left" vertical="top" wrapText="1"/>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g"/><Relationship Id="rId4" Type="http://schemas.openxmlformats.org/officeDocument/2006/relationships/image" Target="../media/image4.png"/><Relationship Id="rId9" Type="http://schemas.openxmlformats.org/officeDocument/2006/relationships/image" Target="../media/image9.jp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8</xdr:col>
      <xdr:colOff>430306</xdr:colOff>
      <xdr:row>193</xdr:row>
      <xdr:rowOff>8965</xdr:rowOff>
    </xdr:from>
    <xdr:to>
      <xdr:col>11</xdr:col>
      <xdr:colOff>549177</xdr:colOff>
      <xdr:row>201</xdr:row>
      <xdr:rowOff>77498</xdr:rowOff>
    </xdr:to>
    <xdr:pic>
      <xdr:nvPicPr>
        <xdr:cNvPr id="2" name="Picture 1">
          <a:extLst>
            <a:ext uri="{FF2B5EF4-FFF2-40B4-BE49-F238E27FC236}">
              <a16:creationId xmlns:a16="http://schemas.microsoft.com/office/drawing/2014/main" id="{CD0E34E1-A969-7026-3848-B977EAB988B6}"/>
            </a:ext>
          </a:extLst>
        </xdr:cNvPr>
        <xdr:cNvPicPr>
          <a:picLocks noChangeAspect="1"/>
        </xdr:cNvPicPr>
      </xdr:nvPicPr>
      <xdr:blipFill>
        <a:blip xmlns:r="http://schemas.openxmlformats.org/officeDocument/2006/relationships" r:embed="rId1"/>
        <a:stretch>
          <a:fillRect/>
        </a:stretch>
      </xdr:blipFill>
      <xdr:spPr>
        <a:xfrm>
          <a:off x="6920753" y="37669694"/>
          <a:ext cx="2880000" cy="1646322"/>
        </a:xfrm>
        <a:prstGeom prst="rect">
          <a:avLst/>
        </a:prstGeom>
      </xdr:spPr>
    </xdr:pic>
    <xdr:clientData/>
  </xdr:twoCellAnchor>
  <xdr:twoCellAnchor editAs="oneCell">
    <xdr:from>
      <xdr:col>8</xdr:col>
      <xdr:colOff>421341</xdr:colOff>
      <xdr:row>217</xdr:row>
      <xdr:rowOff>179294</xdr:rowOff>
    </xdr:from>
    <xdr:to>
      <xdr:col>12</xdr:col>
      <xdr:colOff>535525</xdr:colOff>
      <xdr:row>228</xdr:row>
      <xdr:rowOff>181723</xdr:rowOff>
    </xdr:to>
    <xdr:pic>
      <xdr:nvPicPr>
        <xdr:cNvPr id="3" name="Picture 2">
          <a:extLst>
            <a:ext uri="{FF2B5EF4-FFF2-40B4-BE49-F238E27FC236}">
              <a16:creationId xmlns:a16="http://schemas.microsoft.com/office/drawing/2014/main" id="{12D3026B-C3A3-6785-DB31-DBC941B948A4}"/>
            </a:ext>
          </a:extLst>
        </xdr:cNvPr>
        <xdr:cNvPicPr>
          <a:picLocks noChangeAspect="1"/>
        </xdr:cNvPicPr>
      </xdr:nvPicPr>
      <xdr:blipFill>
        <a:blip xmlns:r="http://schemas.openxmlformats.org/officeDocument/2006/relationships" r:embed="rId2"/>
        <a:stretch>
          <a:fillRect/>
        </a:stretch>
      </xdr:blipFill>
      <xdr:spPr>
        <a:xfrm>
          <a:off x="6911788" y="42573388"/>
          <a:ext cx="3825572" cy="2171888"/>
        </a:xfrm>
        <a:prstGeom prst="rect">
          <a:avLst/>
        </a:prstGeom>
      </xdr:spPr>
    </xdr:pic>
    <xdr:clientData/>
  </xdr:twoCellAnchor>
  <xdr:twoCellAnchor editAs="oneCell">
    <xdr:from>
      <xdr:col>8</xdr:col>
      <xdr:colOff>1183341</xdr:colOff>
      <xdr:row>232</xdr:row>
      <xdr:rowOff>125506</xdr:rowOff>
    </xdr:from>
    <xdr:to>
      <xdr:col>13</xdr:col>
      <xdr:colOff>336943</xdr:colOff>
      <xdr:row>243</xdr:row>
      <xdr:rowOff>13625</xdr:rowOff>
    </xdr:to>
    <xdr:pic>
      <xdr:nvPicPr>
        <xdr:cNvPr id="4" name="Picture 3">
          <a:extLst>
            <a:ext uri="{FF2B5EF4-FFF2-40B4-BE49-F238E27FC236}">
              <a16:creationId xmlns:a16="http://schemas.microsoft.com/office/drawing/2014/main" id="{1817DABA-A1CF-9F2E-1D25-604A46EF9F25}"/>
            </a:ext>
          </a:extLst>
        </xdr:cNvPr>
        <xdr:cNvPicPr>
          <a:picLocks noChangeAspect="1"/>
        </xdr:cNvPicPr>
      </xdr:nvPicPr>
      <xdr:blipFill>
        <a:blip xmlns:r="http://schemas.openxmlformats.org/officeDocument/2006/relationships" r:embed="rId3"/>
        <a:stretch>
          <a:fillRect/>
        </a:stretch>
      </xdr:blipFill>
      <xdr:spPr>
        <a:xfrm>
          <a:off x="7673788" y="45477953"/>
          <a:ext cx="3680779" cy="2057578"/>
        </a:xfrm>
        <a:prstGeom prst="rect">
          <a:avLst/>
        </a:prstGeom>
      </xdr:spPr>
    </xdr:pic>
    <xdr:clientData/>
  </xdr:twoCellAnchor>
  <xdr:twoCellAnchor editAs="oneCell">
    <xdr:from>
      <xdr:col>8</xdr:col>
      <xdr:colOff>878541</xdr:colOff>
      <xdr:row>257</xdr:row>
      <xdr:rowOff>71716</xdr:rowOff>
    </xdr:from>
    <xdr:to>
      <xdr:col>11</xdr:col>
      <xdr:colOff>60680</xdr:colOff>
      <xdr:row>283</xdr:row>
      <xdr:rowOff>179298</xdr:rowOff>
    </xdr:to>
    <xdr:pic>
      <xdr:nvPicPr>
        <xdr:cNvPr id="5" name="Picture 4">
          <a:extLst>
            <a:ext uri="{FF2B5EF4-FFF2-40B4-BE49-F238E27FC236}">
              <a16:creationId xmlns:a16="http://schemas.microsoft.com/office/drawing/2014/main" id="{5C79514F-8FC1-FF5D-8302-8682E86EDBE9}"/>
            </a:ext>
          </a:extLst>
        </xdr:cNvPr>
        <xdr:cNvPicPr>
          <a:picLocks noChangeAspect="1"/>
        </xdr:cNvPicPr>
      </xdr:nvPicPr>
      <xdr:blipFill>
        <a:blip xmlns:r="http://schemas.openxmlformats.org/officeDocument/2006/relationships" r:embed="rId4"/>
        <a:stretch>
          <a:fillRect/>
        </a:stretch>
      </xdr:blipFill>
      <xdr:spPr>
        <a:xfrm>
          <a:off x="7368988" y="50632657"/>
          <a:ext cx="1943268" cy="5235394"/>
        </a:xfrm>
        <a:prstGeom prst="rect">
          <a:avLst/>
        </a:prstGeom>
      </xdr:spPr>
    </xdr:pic>
    <xdr:clientData/>
  </xdr:twoCellAnchor>
  <xdr:twoCellAnchor editAs="oneCell">
    <xdr:from>
      <xdr:col>8</xdr:col>
      <xdr:colOff>851648</xdr:colOff>
      <xdr:row>299</xdr:row>
      <xdr:rowOff>17929</xdr:rowOff>
    </xdr:from>
    <xdr:to>
      <xdr:col>10</xdr:col>
      <xdr:colOff>562235</xdr:colOff>
      <xdr:row>320</xdr:row>
      <xdr:rowOff>120942</xdr:rowOff>
    </xdr:to>
    <xdr:pic>
      <xdr:nvPicPr>
        <xdr:cNvPr id="6" name="Picture 5">
          <a:extLst>
            <a:ext uri="{FF2B5EF4-FFF2-40B4-BE49-F238E27FC236}">
              <a16:creationId xmlns:a16="http://schemas.microsoft.com/office/drawing/2014/main" id="{F4A931FE-96C2-4D07-0DC9-4B6BACC38C5B}"/>
            </a:ext>
          </a:extLst>
        </xdr:cNvPr>
        <xdr:cNvPicPr>
          <a:picLocks noChangeAspect="1"/>
        </xdr:cNvPicPr>
      </xdr:nvPicPr>
      <xdr:blipFill>
        <a:blip xmlns:r="http://schemas.openxmlformats.org/officeDocument/2006/relationships" r:embed="rId5"/>
        <a:stretch>
          <a:fillRect/>
        </a:stretch>
      </xdr:blipFill>
      <xdr:spPr>
        <a:xfrm>
          <a:off x="7342095" y="58862258"/>
          <a:ext cx="1691787" cy="4244708"/>
        </a:xfrm>
        <a:prstGeom prst="rect">
          <a:avLst/>
        </a:prstGeom>
      </xdr:spPr>
    </xdr:pic>
    <xdr:clientData/>
  </xdr:twoCellAnchor>
  <xdr:twoCellAnchor editAs="oneCell">
    <xdr:from>
      <xdr:col>8</xdr:col>
      <xdr:colOff>1156447</xdr:colOff>
      <xdr:row>329</xdr:row>
      <xdr:rowOff>107577</xdr:rowOff>
    </xdr:from>
    <xdr:to>
      <xdr:col>11</xdr:col>
      <xdr:colOff>18519</xdr:colOff>
      <xdr:row>344</xdr:row>
      <xdr:rowOff>136523</xdr:rowOff>
    </xdr:to>
    <xdr:pic>
      <xdr:nvPicPr>
        <xdr:cNvPr id="7" name="Picture 6">
          <a:extLst>
            <a:ext uri="{FF2B5EF4-FFF2-40B4-BE49-F238E27FC236}">
              <a16:creationId xmlns:a16="http://schemas.microsoft.com/office/drawing/2014/main" id="{0E21385B-F3F2-3FD9-92A6-1D58592A5EA4}"/>
            </a:ext>
          </a:extLst>
        </xdr:cNvPr>
        <xdr:cNvPicPr>
          <a:picLocks noChangeAspect="1"/>
        </xdr:cNvPicPr>
      </xdr:nvPicPr>
      <xdr:blipFill>
        <a:blip xmlns:r="http://schemas.openxmlformats.org/officeDocument/2006/relationships" r:embed="rId6"/>
        <a:stretch>
          <a:fillRect/>
        </a:stretch>
      </xdr:blipFill>
      <xdr:spPr>
        <a:xfrm>
          <a:off x="7646894" y="64868612"/>
          <a:ext cx="1623201" cy="2987299"/>
        </a:xfrm>
        <a:prstGeom prst="rect">
          <a:avLst/>
        </a:prstGeom>
      </xdr:spPr>
    </xdr:pic>
    <xdr:clientData/>
  </xdr:twoCellAnchor>
  <xdr:twoCellAnchor editAs="oneCell">
    <xdr:from>
      <xdr:col>9</xdr:col>
      <xdr:colOff>116541</xdr:colOff>
      <xdr:row>348</xdr:row>
      <xdr:rowOff>62753</xdr:rowOff>
    </xdr:from>
    <xdr:to>
      <xdr:col>11</xdr:col>
      <xdr:colOff>315711</xdr:colOff>
      <xdr:row>360</xdr:row>
      <xdr:rowOff>20371</xdr:rowOff>
    </xdr:to>
    <xdr:pic>
      <xdr:nvPicPr>
        <xdr:cNvPr id="8" name="Picture 7">
          <a:extLst>
            <a:ext uri="{FF2B5EF4-FFF2-40B4-BE49-F238E27FC236}">
              <a16:creationId xmlns:a16="http://schemas.microsoft.com/office/drawing/2014/main" id="{81CCD5FF-0A4F-7CF5-F0A9-44812091D79E}"/>
            </a:ext>
          </a:extLst>
        </xdr:cNvPr>
        <xdr:cNvPicPr>
          <a:picLocks noChangeAspect="1"/>
        </xdr:cNvPicPr>
      </xdr:nvPicPr>
      <xdr:blipFill>
        <a:blip xmlns:r="http://schemas.openxmlformats.org/officeDocument/2006/relationships" r:embed="rId7"/>
        <a:stretch>
          <a:fillRect/>
        </a:stretch>
      </xdr:blipFill>
      <xdr:spPr>
        <a:xfrm>
          <a:off x="7799294" y="68571035"/>
          <a:ext cx="1767993" cy="2324301"/>
        </a:xfrm>
        <a:prstGeom prst="rect">
          <a:avLst/>
        </a:prstGeom>
      </xdr:spPr>
    </xdr:pic>
    <xdr:clientData/>
  </xdr:twoCellAnchor>
  <xdr:twoCellAnchor editAs="oneCell">
    <xdr:from>
      <xdr:col>9</xdr:col>
      <xdr:colOff>125506</xdr:colOff>
      <xdr:row>122</xdr:row>
      <xdr:rowOff>89647</xdr:rowOff>
    </xdr:from>
    <xdr:to>
      <xdr:col>11</xdr:col>
      <xdr:colOff>804778</xdr:colOff>
      <xdr:row>131</xdr:row>
      <xdr:rowOff>160974</xdr:rowOff>
    </xdr:to>
    <xdr:pic>
      <xdr:nvPicPr>
        <xdr:cNvPr id="9" name="Picture 8">
          <a:extLst>
            <a:ext uri="{FF2B5EF4-FFF2-40B4-BE49-F238E27FC236}">
              <a16:creationId xmlns:a16="http://schemas.microsoft.com/office/drawing/2014/main" id="{2A9C35F2-A2AC-F55A-5997-51F25E7C4E02}"/>
            </a:ext>
          </a:extLst>
        </xdr:cNvPr>
        <xdr:cNvPicPr>
          <a:picLocks noChangeAspect="1"/>
        </xdr:cNvPicPr>
      </xdr:nvPicPr>
      <xdr:blipFill>
        <a:blip xmlns:r="http://schemas.openxmlformats.org/officeDocument/2006/relationships" r:embed="rId8"/>
        <a:stretch>
          <a:fillRect/>
        </a:stretch>
      </xdr:blipFill>
      <xdr:spPr>
        <a:xfrm>
          <a:off x="7808259" y="22465553"/>
          <a:ext cx="2248095" cy="662997"/>
        </a:xfrm>
        <a:prstGeom prst="rect">
          <a:avLst/>
        </a:prstGeom>
      </xdr:spPr>
    </xdr:pic>
    <xdr:clientData/>
  </xdr:twoCellAnchor>
  <xdr:twoCellAnchor>
    <xdr:from>
      <xdr:col>0</xdr:col>
      <xdr:colOff>313765</xdr:colOff>
      <xdr:row>430</xdr:row>
      <xdr:rowOff>152400</xdr:rowOff>
    </xdr:from>
    <xdr:to>
      <xdr:col>7</xdr:col>
      <xdr:colOff>475129</xdr:colOff>
      <xdr:row>470</xdr:row>
      <xdr:rowOff>17929</xdr:rowOff>
    </xdr:to>
    <xdr:grpSp>
      <xdr:nvGrpSpPr>
        <xdr:cNvPr id="10" name="Group 9">
          <a:extLst>
            <a:ext uri="{FF2B5EF4-FFF2-40B4-BE49-F238E27FC236}">
              <a16:creationId xmlns:a16="http://schemas.microsoft.com/office/drawing/2014/main" id="{B74343B6-1C52-EC27-F03E-D27FD18059AD}"/>
            </a:ext>
          </a:extLst>
        </xdr:cNvPr>
        <xdr:cNvGrpSpPr/>
      </xdr:nvGrpSpPr>
      <xdr:grpSpPr>
        <a:xfrm>
          <a:off x="313765" y="77426820"/>
          <a:ext cx="5891604" cy="7782709"/>
          <a:chOff x="349546" y="167640"/>
          <a:chExt cx="5959454" cy="8531753"/>
        </a:xfrm>
      </xdr:grpSpPr>
      <xdr:grpSp>
        <xdr:nvGrpSpPr>
          <xdr:cNvPr id="11" name="Group 10">
            <a:extLst>
              <a:ext uri="{FF2B5EF4-FFF2-40B4-BE49-F238E27FC236}">
                <a16:creationId xmlns:a16="http://schemas.microsoft.com/office/drawing/2014/main" id="{FF426557-D349-B088-6A7A-EDE7E10254EA}"/>
              </a:ext>
            </a:extLst>
          </xdr:cNvPr>
          <xdr:cNvGrpSpPr/>
        </xdr:nvGrpSpPr>
        <xdr:grpSpPr>
          <a:xfrm>
            <a:off x="349546" y="167640"/>
            <a:ext cx="5959454" cy="3845767"/>
            <a:chOff x="349546" y="167640"/>
            <a:chExt cx="5959454" cy="3845767"/>
          </a:xfrm>
        </xdr:grpSpPr>
        <xdr:pic>
          <xdr:nvPicPr>
            <xdr:cNvPr id="18" name="Picture 17">
              <a:extLst>
                <a:ext uri="{FF2B5EF4-FFF2-40B4-BE49-F238E27FC236}">
                  <a16:creationId xmlns:a16="http://schemas.microsoft.com/office/drawing/2014/main" id="{5E199B23-7DE0-8ABF-8A75-357295A4D29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429000" y="167640"/>
              <a:ext cx="2880000" cy="3844005"/>
            </a:xfrm>
            <a:prstGeom prst="rect">
              <a:avLst/>
            </a:prstGeom>
            <a:ln>
              <a:solidFill>
                <a:schemeClr val="tx1"/>
              </a:solidFill>
            </a:ln>
          </xdr:spPr>
        </xdr:pic>
        <xdr:pic>
          <xdr:nvPicPr>
            <xdr:cNvPr id="19" name="Picture 18">
              <a:extLst>
                <a:ext uri="{FF2B5EF4-FFF2-40B4-BE49-F238E27FC236}">
                  <a16:creationId xmlns:a16="http://schemas.microsoft.com/office/drawing/2014/main" id="{5882CDDE-59F7-C51B-19AA-2188307D6C8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49546" y="169402"/>
              <a:ext cx="2880000" cy="3844005"/>
            </a:xfrm>
            <a:prstGeom prst="rect">
              <a:avLst/>
            </a:prstGeom>
            <a:ln>
              <a:solidFill>
                <a:schemeClr val="tx1"/>
              </a:solidFill>
            </a:ln>
          </xdr:spPr>
        </xdr:pic>
      </xdr:grpSp>
      <xdr:grpSp>
        <xdr:nvGrpSpPr>
          <xdr:cNvPr id="12" name="Group 11">
            <a:extLst>
              <a:ext uri="{FF2B5EF4-FFF2-40B4-BE49-F238E27FC236}">
                <a16:creationId xmlns:a16="http://schemas.microsoft.com/office/drawing/2014/main" id="{621B69B6-F66C-65B7-A137-34045C0C78BE}"/>
              </a:ext>
            </a:extLst>
          </xdr:cNvPr>
          <xdr:cNvGrpSpPr/>
        </xdr:nvGrpSpPr>
        <xdr:grpSpPr>
          <a:xfrm>
            <a:off x="606864" y="4196400"/>
            <a:ext cx="5444819" cy="2532087"/>
            <a:chOff x="579515" y="4196400"/>
            <a:chExt cx="5444819" cy="2532087"/>
          </a:xfrm>
        </xdr:grpSpPr>
        <xdr:pic>
          <xdr:nvPicPr>
            <xdr:cNvPr id="16" name="Picture 15">
              <a:extLst>
                <a:ext uri="{FF2B5EF4-FFF2-40B4-BE49-F238E27FC236}">
                  <a16:creationId xmlns:a16="http://schemas.microsoft.com/office/drawing/2014/main" id="{D621E147-4C40-F23F-0897-6F3E04CB957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79515" y="4208487"/>
              <a:ext cx="1888031" cy="2520000"/>
            </a:xfrm>
            <a:prstGeom prst="rect">
              <a:avLst/>
            </a:prstGeom>
            <a:ln>
              <a:solidFill>
                <a:schemeClr val="tx1"/>
              </a:solidFill>
            </a:ln>
          </xdr:spPr>
        </xdr:pic>
        <xdr:pic>
          <xdr:nvPicPr>
            <xdr:cNvPr id="17" name="Picture 16">
              <a:extLst>
                <a:ext uri="{FF2B5EF4-FFF2-40B4-BE49-F238E27FC236}">
                  <a16:creationId xmlns:a16="http://schemas.microsoft.com/office/drawing/2014/main" id="{E5E75D7A-DE57-21C7-5854-366C1733467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667000" y="4196400"/>
              <a:ext cx="3357334" cy="2520000"/>
            </a:xfrm>
            <a:prstGeom prst="rect">
              <a:avLst/>
            </a:prstGeom>
            <a:ln>
              <a:solidFill>
                <a:schemeClr val="tx1"/>
              </a:solidFill>
            </a:ln>
          </xdr:spPr>
        </xdr:pic>
      </xdr:grpSp>
      <xdr:grpSp>
        <xdr:nvGrpSpPr>
          <xdr:cNvPr id="13" name="Group 12">
            <a:extLst>
              <a:ext uri="{FF2B5EF4-FFF2-40B4-BE49-F238E27FC236}">
                <a16:creationId xmlns:a16="http://schemas.microsoft.com/office/drawing/2014/main" id="{B1DBD753-EDEE-71B6-A712-9A21B68350EB}"/>
              </a:ext>
            </a:extLst>
          </xdr:cNvPr>
          <xdr:cNvGrpSpPr/>
        </xdr:nvGrpSpPr>
        <xdr:grpSpPr>
          <a:xfrm>
            <a:off x="1879101" y="6899393"/>
            <a:ext cx="2900345" cy="1800000"/>
            <a:chOff x="1115249" y="6899393"/>
            <a:chExt cx="2900345" cy="1800000"/>
          </a:xfrm>
        </xdr:grpSpPr>
        <xdr:pic>
          <xdr:nvPicPr>
            <xdr:cNvPr id="14" name="Picture 13">
              <a:extLst>
                <a:ext uri="{FF2B5EF4-FFF2-40B4-BE49-F238E27FC236}">
                  <a16:creationId xmlns:a16="http://schemas.microsoft.com/office/drawing/2014/main" id="{27A663E6-6F67-5ED8-2210-1269F112A1D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5249" y="6899393"/>
              <a:ext cx="1348594" cy="1800000"/>
            </a:xfrm>
            <a:prstGeom prst="rect">
              <a:avLst/>
            </a:prstGeom>
            <a:ln>
              <a:solidFill>
                <a:schemeClr val="tx1"/>
              </a:solidFill>
            </a:ln>
          </xdr:spPr>
        </xdr:pic>
        <xdr:pic>
          <xdr:nvPicPr>
            <xdr:cNvPr id="15" name="Picture 14">
              <a:extLst>
                <a:ext uri="{FF2B5EF4-FFF2-40B4-BE49-F238E27FC236}">
                  <a16:creationId xmlns:a16="http://schemas.microsoft.com/office/drawing/2014/main" id="{CB97A889-524E-7DA6-AC34-597FC7412D5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667000" y="6899393"/>
              <a:ext cx="1348594" cy="1800000"/>
            </a:xfrm>
            <a:prstGeom prst="rect">
              <a:avLst/>
            </a:prstGeom>
            <a:ln>
              <a:solidFill>
                <a:schemeClr val="tx1"/>
              </a:solidFill>
            </a:ln>
          </xdr:spPr>
        </xdr:pic>
      </xdr:grpSp>
    </xdr:grpSp>
    <xdr:clientData/>
  </xdr:twoCellAnchor>
  <xdr:twoCellAnchor>
    <xdr:from>
      <xdr:col>0</xdr:col>
      <xdr:colOff>475129</xdr:colOff>
      <xdr:row>473</xdr:row>
      <xdr:rowOff>8965</xdr:rowOff>
    </xdr:from>
    <xdr:to>
      <xdr:col>7</xdr:col>
      <xdr:colOff>137717</xdr:colOff>
      <xdr:row>506</xdr:row>
      <xdr:rowOff>21745</xdr:rowOff>
    </xdr:to>
    <xdr:grpSp>
      <xdr:nvGrpSpPr>
        <xdr:cNvPr id="20" name="Group 19">
          <a:extLst>
            <a:ext uri="{FF2B5EF4-FFF2-40B4-BE49-F238E27FC236}">
              <a16:creationId xmlns:a16="http://schemas.microsoft.com/office/drawing/2014/main" id="{520B40FF-8589-4785-272D-F9BFF6CCF091}"/>
            </a:ext>
          </a:extLst>
        </xdr:cNvPr>
        <xdr:cNvGrpSpPr/>
      </xdr:nvGrpSpPr>
      <xdr:grpSpPr>
        <a:xfrm>
          <a:off x="475129" y="85794925"/>
          <a:ext cx="5392828" cy="6550740"/>
          <a:chOff x="729000" y="351302"/>
          <a:chExt cx="5400000" cy="6521156"/>
        </a:xfrm>
      </xdr:grpSpPr>
      <xdr:pic>
        <xdr:nvPicPr>
          <xdr:cNvPr id="21" name="Picture 20">
            <a:extLst>
              <a:ext uri="{FF2B5EF4-FFF2-40B4-BE49-F238E27FC236}">
                <a16:creationId xmlns:a16="http://schemas.microsoft.com/office/drawing/2014/main" id="{7B0FE967-5792-0B49-D49F-E95E2A5B8951}"/>
              </a:ext>
            </a:extLst>
          </xdr:cNvPr>
          <xdr:cNvPicPr>
            <a:picLocks noChangeAspect="1"/>
          </xdr:cNvPicPr>
        </xdr:nvPicPr>
        <xdr:blipFill>
          <a:blip xmlns:r="http://schemas.openxmlformats.org/officeDocument/2006/relationships" r:embed="rId15"/>
          <a:stretch>
            <a:fillRect/>
          </a:stretch>
        </xdr:blipFill>
        <xdr:spPr>
          <a:xfrm>
            <a:off x="729000" y="351302"/>
            <a:ext cx="5400000" cy="3454768"/>
          </a:xfrm>
          <a:prstGeom prst="rect">
            <a:avLst/>
          </a:prstGeom>
          <a:ln>
            <a:solidFill>
              <a:schemeClr val="tx1"/>
            </a:solidFill>
          </a:ln>
        </xdr:spPr>
      </xdr:pic>
      <xdr:pic>
        <xdr:nvPicPr>
          <xdr:cNvPr id="22" name="Picture 21">
            <a:extLst>
              <a:ext uri="{FF2B5EF4-FFF2-40B4-BE49-F238E27FC236}">
                <a16:creationId xmlns:a16="http://schemas.microsoft.com/office/drawing/2014/main" id="{CC8A4E7D-DF91-48B4-AD1D-A6C53CCC2F3D}"/>
              </a:ext>
            </a:extLst>
          </xdr:cNvPr>
          <xdr:cNvPicPr>
            <a:picLocks noChangeAspect="1"/>
          </xdr:cNvPicPr>
        </xdr:nvPicPr>
        <xdr:blipFill>
          <a:blip xmlns:r="http://schemas.openxmlformats.org/officeDocument/2006/relationships" r:embed="rId16"/>
          <a:stretch>
            <a:fillRect/>
          </a:stretch>
        </xdr:blipFill>
        <xdr:spPr>
          <a:xfrm>
            <a:off x="1629000" y="4024325"/>
            <a:ext cx="3600000" cy="2848133"/>
          </a:xfrm>
          <a:prstGeom prst="rect">
            <a:avLst/>
          </a:prstGeom>
          <a:ln>
            <a:solidFill>
              <a:schemeClr val="tx1"/>
            </a:solidFill>
          </a:ln>
        </xdr:spPr>
      </xdr:pic>
    </xdr:grpSp>
    <xdr:clientData/>
  </xdr:twoCellAnchor>
  <xdr:oneCellAnchor>
    <xdr:from>
      <xdr:col>1</xdr:col>
      <xdr:colOff>60960</xdr:colOff>
      <xdr:row>433</xdr:row>
      <xdr:rowOff>53340</xdr:rowOff>
    </xdr:from>
    <xdr:ext cx="497957" cy="264560"/>
    <xdr:sp macro="" textlink="">
      <xdr:nvSpPr>
        <xdr:cNvPr id="28" name="TextBox 27">
          <a:extLst>
            <a:ext uri="{FF2B5EF4-FFF2-40B4-BE49-F238E27FC236}">
              <a16:creationId xmlns:a16="http://schemas.microsoft.com/office/drawing/2014/main" id="{8B369461-D212-77EC-D0E9-9EA84EA74DEA}"/>
            </a:ext>
          </a:extLst>
        </xdr:cNvPr>
        <xdr:cNvSpPr txBox="1"/>
      </xdr:nvSpPr>
      <xdr:spPr>
        <a:xfrm>
          <a:off x="845820" y="77914500"/>
          <a:ext cx="49795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Part I</a:t>
          </a:r>
        </a:p>
      </xdr:txBody>
    </xdr:sp>
    <xdr:clientData/>
  </xdr:oneCellAnchor>
  <xdr:oneCellAnchor>
    <xdr:from>
      <xdr:col>2</xdr:col>
      <xdr:colOff>624840</xdr:colOff>
      <xdr:row>432</xdr:row>
      <xdr:rowOff>160020</xdr:rowOff>
    </xdr:from>
    <xdr:ext cx="535596" cy="264560"/>
    <xdr:sp macro="" textlink="">
      <xdr:nvSpPr>
        <xdr:cNvPr id="29" name="TextBox 28">
          <a:extLst>
            <a:ext uri="{FF2B5EF4-FFF2-40B4-BE49-F238E27FC236}">
              <a16:creationId xmlns:a16="http://schemas.microsoft.com/office/drawing/2014/main" id="{9DEFD2E8-ED76-4994-A8E4-564852132590}"/>
            </a:ext>
          </a:extLst>
        </xdr:cNvPr>
        <xdr:cNvSpPr txBox="1"/>
      </xdr:nvSpPr>
      <xdr:spPr>
        <a:xfrm>
          <a:off x="2232660" y="77830680"/>
          <a:ext cx="53559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Part II</a:t>
          </a:r>
        </a:p>
      </xdr:txBody>
    </xdr:sp>
    <xdr:clientData/>
  </xdr:oneCellAnchor>
  <xdr:twoCellAnchor>
    <xdr:from>
      <xdr:col>0</xdr:col>
      <xdr:colOff>380103</xdr:colOff>
      <xdr:row>515</xdr:row>
      <xdr:rowOff>30480</xdr:rowOff>
    </xdr:from>
    <xdr:to>
      <xdr:col>7</xdr:col>
      <xdr:colOff>380103</xdr:colOff>
      <xdr:row>550</xdr:row>
      <xdr:rowOff>21515</xdr:rowOff>
    </xdr:to>
    <xdr:grpSp>
      <xdr:nvGrpSpPr>
        <xdr:cNvPr id="32" name="Group 31">
          <a:extLst>
            <a:ext uri="{FF2B5EF4-FFF2-40B4-BE49-F238E27FC236}">
              <a16:creationId xmlns:a16="http://schemas.microsoft.com/office/drawing/2014/main" id="{C7ACDDEB-6F3D-0B3B-8BDF-52D26D721568}"/>
            </a:ext>
          </a:extLst>
        </xdr:cNvPr>
        <xdr:cNvGrpSpPr/>
      </xdr:nvGrpSpPr>
      <xdr:grpSpPr>
        <a:xfrm>
          <a:off x="380103" y="94137480"/>
          <a:ext cx="5730240" cy="6925235"/>
          <a:chOff x="349623" y="94457520"/>
          <a:chExt cx="5730240" cy="6925235"/>
        </a:xfrm>
      </xdr:grpSpPr>
      <xdr:grpSp>
        <xdr:nvGrpSpPr>
          <xdr:cNvPr id="25" name="Group 24">
            <a:extLst>
              <a:ext uri="{FF2B5EF4-FFF2-40B4-BE49-F238E27FC236}">
                <a16:creationId xmlns:a16="http://schemas.microsoft.com/office/drawing/2014/main" id="{9752E028-ADCB-9690-1E96-30CEF2B5BAC9}"/>
              </a:ext>
            </a:extLst>
          </xdr:cNvPr>
          <xdr:cNvGrpSpPr/>
        </xdr:nvGrpSpPr>
        <xdr:grpSpPr>
          <a:xfrm>
            <a:off x="349623" y="97638436"/>
            <a:ext cx="5730240" cy="3744319"/>
            <a:chOff x="2001520" y="3200400"/>
            <a:chExt cx="3403600" cy="2509520"/>
          </a:xfrm>
        </xdr:grpSpPr>
        <xdr:pic>
          <xdr:nvPicPr>
            <xdr:cNvPr id="26" name="Picture 25">
              <a:extLst>
                <a:ext uri="{FF2B5EF4-FFF2-40B4-BE49-F238E27FC236}">
                  <a16:creationId xmlns:a16="http://schemas.microsoft.com/office/drawing/2014/main" id="{8B28B824-A201-23F9-38A8-AEF47CA73535}"/>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rcRect/>
            <a:stretch/>
          </xdr:blipFill>
          <xdr:spPr>
            <a:xfrm>
              <a:off x="2001520" y="3200400"/>
              <a:ext cx="3403600" cy="2509520"/>
            </a:xfrm>
            <a:prstGeom prst="rect">
              <a:avLst/>
            </a:prstGeom>
            <a:ln>
              <a:solidFill>
                <a:schemeClr val="tx1"/>
              </a:solidFill>
            </a:ln>
          </xdr:spPr>
        </xdr:pic>
        <xdr:sp macro="" textlink="">
          <xdr:nvSpPr>
            <xdr:cNvPr id="27" name="Rectangle 26">
              <a:extLst>
                <a:ext uri="{FF2B5EF4-FFF2-40B4-BE49-F238E27FC236}">
                  <a16:creationId xmlns:a16="http://schemas.microsoft.com/office/drawing/2014/main" id="{62C093A6-88C1-ADE7-B61D-B3CAA33538F8}"/>
                </a:ext>
              </a:extLst>
            </xdr:cNvPr>
            <xdr:cNvSpPr/>
          </xdr:nvSpPr>
          <xdr:spPr>
            <a:xfrm rot="20989032">
              <a:off x="3167380" y="4267200"/>
              <a:ext cx="855980" cy="474980"/>
            </a:xfrm>
            <a:prstGeom prst="rect">
              <a:avLst/>
            </a:prstGeom>
            <a:noFill/>
            <a:ln w="1905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pic>
        <xdr:nvPicPr>
          <xdr:cNvPr id="31" name="Picture 30">
            <a:extLst>
              <a:ext uri="{FF2B5EF4-FFF2-40B4-BE49-F238E27FC236}">
                <a16:creationId xmlns:a16="http://schemas.microsoft.com/office/drawing/2014/main" id="{6478BA68-5433-A90E-E88F-E1B77EBB3E47}"/>
              </a:ext>
            </a:extLst>
          </xdr:cNvPr>
          <xdr:cNvPicPr>
            <a:picLocks noChangeAspect="1"/>
          </xdr:cNvPicPr>
        </xdr:nvPicPr>
        <xdr:blipFill>
          <a:blip xmlns:r="http://schemas.openxmlformats.org/officeDocument/2006/relationships" r:embed="rId18"/>
          <a:stretch>
            <a:fillRect/>
          </a:stretch>
        </xdr:blipFill>
        <xdr:spPr>
          <a:xfrm>
            <a:off x="518160" y="94457520"/>
            <a:ext cx="5400000" cy="3036592"/>
          </a:xfrm>
          <a:prstGeom prst="rect">
            <a:avLst/>
          </a:prstGeom>
          <a:ln>
            <a:solidFill>
              <a:sysClr val="windowText" lastClr="000000"/>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UyKRsz2JWKBgg3Wa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514"/>
  <sheetViews>
    <sheetView tabSelected="1" view="pageBreakPreview" topLeftCell="A116" zoomScaleNormal="100" zoomScaleSheetLayoutView="100" zoomScalePageLayoutView="85" workbookViewId="0">
      <selection activeCell="J12" sqref="J12"/>
    </sheetView>
  </sheetViews>
  <sheetFormatPr defaultColWidth="9.109375" defaultRowHeight="15.6" x14ac:dyDescent="0.3"/>
  <cols>
    <col min="1" max="1" width="11.44140625" style="37" customWidth="1"/>
    <col min="2" max="2" width="12" style="37" customWidth="1"/>
    <col min="3" max="3" width="12.6640625" style="37" customWidth="1"/>
    <col min="4" max="4" width="13.6640625" style="37" customWidth="1"/>
    <col min="5" max="5" width="11.6640625" style="37" customWidth="1"/>
    <col min="6" max="6" width="11.109375" style="37" customWidth="1"/>
    <col min="7" max="8" width="11" style="37" customWidth="1"/>
    <col min="9" max="9" width="17.44140625" style="18" customWidth="1"/>
    <col min="10" max="10" width="11.44140625" style="18" customWidth="1"/>
    <col min="11" max="11" width="11.33203125" style="18" bestFit="1" customWidth="1"/>
    <col min="12" max="12" width="13.88671875" style="18" bestFit="1" customWidth="1"/>
    <col min="13" max="13" width="11.88671875" style="18" customWidth="1"/>
    <col min="14" max="14" width="12.5546875" style="18" customWidth="1"/>
    <col min="15" max="15" width="12.109375" style="18" customWidth="1"/>
    <col min="16" max="16" width="11.6640625" style="18" customWidth="1"/>
    <col min="17" max="18" width="9.109375" style="18"/>
    <col min="19" max="19" width="10.88671875" style="18" bestFit="1" customWidth="1"/>
    <col min="20" max="20" width="10.6640625" style="18" customWidth="1"/>
    <col min="21" max="247" width="9.109375" style="18"/>
    <col min="248" max="248" width="8.6640625" style="18" customWidth="1"/>
    <col min="249" max="249" width="9.88671875" style="18" customWidth="1"/>
    <col min="250" max="250" width="14.44140625" style="18" customWidth="1"/>
    <col min="251" max="251" width="7.33203125" style="18" customWidth="1"/>
    <col min="252" max="252" width="5.5546875" style="18" customWidth="1"/>
    <col min="253" max="253" width="9" style="18" customWidth="1"/>
    <col min="254" max="255" width="9.88671875" style="18" customWidth="1"/>
    <col min="256" max="256" width="11.109375" style="18" customWidth="1"/>
    <col min="257" max="257" width="2.88671875" style="18" customWidth="1"/>
    <col min="258" max="258" width="3.5546875" style="18" customWidth="1"/>
    <col min="259" max="503" width="9.109375" style="18"/>
    <col min="504" max="504" width="8.6640625" style="18" customWidth="1"/>
    <col min="505" max="505" width="9.88671875" style="18" customWidth="1"/>
    <col min="506" max="506" width="14.44140625" style="18" customWidth="1"/>
    <col min="507" max="507" width="7.33203125" style="18" customWidth="1"/>
    <col min="508" max="508" width="5.5546875" style="18" customWidth="1"/>
    <col min="509" max="509" width="9" style="18" customWidth="1"/>
    <col min="510" max="511" width="9.88671875" style="18" customWidth="1"/>
    <col min="512" max="512" width="11.109375" style="18" customWidth="1"/>
    <col min="513" max="513" width="2.88671875" style="18" customWidth="1"/>
    <col min="514" max="514" width="3.5546875" style="18" customWidth="1"/>
    <col min="515" max="759" width="9.109375" style="18"/>
    <col min="760" max="760" width="8.6640625" style="18" customWidth="1"/>
    <col min="761" max="761" width="9.88671875" style="18" customWidth="1"/>
    <col min="762" max="762" width="14.44140625" style="18" customWidth="1"/>
    <col min="763" max="763" width="7.33203125" style="18" customWidth="1"/>
    <col min="764" max="764" width="5.5546875" style="18" customWidth="1"/>
    <col min="765" max="765" width="9" style="18" customWidth="1"/>
    <col min="766" max="767" width="9.88671875" style="18" customWidth="1"/>
    <col min="768" max="768" width="11.109375" style="18" customWidth="1"/>
    <col min="769" max="769" width="2.88671875" style="18" customWidth="1"/>
    <col min="770" max="770" width="3.5546875" style="18" customWidth="1"/>
    <col min="771" max="1015" width="9.109375" style="18"/>
    <col min="1016" max="1016" width="8.6640625" style="18" customWidth="1"/>
    <col min="1017" max="1017" width="9.88671875" style="18" customWidth="1"/>
    <col min="1018" max="1018" width="14.44140625" style="18" customWidth="1"/>
    <col min="1019" max="1019" width="7.33203125" style="18" customWidth="1"/>
    <col min="1020" max="1020" width="5.5546875" style="18" customWidth="1"/>
    <col min="1021" max="1021" width="9" style="18" customWidth="1"/>
    <col min="1022" max="1023" width="9.88671875" style="18" customWidth="1"/>
    <col min="1024" max="1024" width="11.109375" style="18" customWidth="1"/>
    <col min="1025" max="1025" width="2.88671875" style="18" customWidth="1"/>
    <col min="1026" max="1026" width="3.5546875" style="18" customWidth="1"/>
    <col min="1027" max="1271" width="9.109375" style="18"/>
    <col min="1272" max="1272" width="8.6640625" style="18" customWidth="1"/>
    <col min="1273" max="1273" width="9.88671875" style="18" customWidth="1"/>
    <col min="1274" max="1274" width="14.44140625" style="18" customWidth="1"/>
    <col min="1275" max="1275" width="7.33203125" style="18" customWidth="1"/>
    <col min="1276" max="1276" width="5.5546875" style="18" customWidth="1"/>
    <col min="1277" max="1277" width="9" style="18" customWidth="1"/>
    <col min="1278" max="1279" width="9.88671875" style="18" customWidth="1"/>
    <col min="1280" max="1280" width="11.109375" style="18" customWidth="1"/>
    <col min="1281" max="1281" width="2.88671875" style="18" customWidth="1"/>
    <col min="1282" max="1282" width="3.5546875" style="18" customWidth="1"/>
    <col min="1283" max="1527" width="9.109375" style="18"/>
    <col min="1528" max="1528" width="8.6640625" style="18" customWidth="1"/>
    <col min="1529" max="1529" width="9.88671875" style="18" customWidth="1"/>
    <col min="1530" max="1530" width="14.44140625" style="18" customWidth="1"/>
    <col min="1531" max="1531" width="7.33203125" style="18" customWidth="1"/>
    <col min="1532" max="1532" width="5.5546875" style="18" customWidth="1"/>
    <col min="1533" max="1533" width="9" style="18" customWidth="1"/>
    <col min="1534" max="1535" width="9.88671875" style="18" customWidth="1"/>
    <col min="1536" max="1536" width="11.109375" style="18" customWidth="1"/>
    <col min="1537" max="1537" width="2.88671875" style="18" customWidth="1"/>
    <col min="1538" max="1538" width="3.5546875" style="18" customWidth="1"/>
    <col min="1539" max="1783" width="9.109375" style="18"/>
    <col min="1784" max="1784" width="8.6640625" style="18" customWidth="1"/>
    <col min="1785" max="1785" width="9.88671875" style="18" customWidth="1"/>
    <col min="1786" max="1786" width="14.44140625" style="18" customWidth="1"/>
    <col min="1787" max="1787" width="7.33203125" style="18" customWidth="1"/>
    <col min="1788" max="1788" width="5.5546875" style="18" customWidth="1"/>
    <col min="1789" max="1789" width="9" style="18" customWidth="1"/>
    <col min="1790" max="1791" width="9.88671875" style="18" customWidth="1"/>
    <col min="1792" max="1792" width="11.109375" style="18" customWidth="1"/>
    <col min="1793" max="1793" width="2.88671875" style="18" customWidth="1"/>
    <col min="1794" max="1794" width="3.5546875" style="18" customWidth="1"/>
    <col min="1795" max="2039" width="9.109375" style="18"/>
    <col min="2040" max="2040" width="8.6640625" style="18" customWidth="1"/>
    <col min="2041" max="2041" width="9.88671875" style="18" customWidth="1"/>
    <col min="2042" max="2042" width="14.44140625" style="18" customWidth="1"/>
    <col min="2043" max="2043" width="7.33203125" style="18" customWidth="1"/>
    <col min="2044" max="2044" width="5.5546875" style="18" customWidth="1"/>
    <col min="2045" max="2045" width="9" style="18" customWidth="1"/>
    <col min="2046" max="2047" width="9.88671875" style="18" customWidth="1"/>
    <col min="2048" max="2048" width="11.109375" style="18" customWidth="1"/>
    <col min="2049" max="2049" width="2.88671875" style="18" customWidth="1"/>
    <col min="2050" max="2050" width="3.5546875" style="18" customWidth="1"/>
    <col min="2051" max="2295" width="9.109375" style="18"/>
    <col min="2296" max="2296" width="8.6640625" style="18" customWidth="1"/>
    <col min="2297" max="2297" width="9.88671875" style="18" customWidth="1"/>
    <col min="2298" max="2298" width="14.44140625" style="18" customWidth="1"/>
    <col min="2299" max="2299" width="7.33203125" style="18" customWidth="1"/>
    <col min="2300" max="2300" width="5.5546875" style="18" customWidth="1"/>
    <col min="2301" max="2301" width="9" style="18" customWidth="1"/>
    <col min="2302" max="2303" width="9.88671875" style="18" customWidth="1"/>
    <col min="2304" max="2304" width="11.109375" style="18" customWidth="1"/>
    <col min="2305" max="2305" width="2.88671875" style="18" customWidth="1"/>
    <col min="2306" max="2306" width="3.5546875" style="18" customWidth="1"/>
    <col min="2307" max="2551" width="9.109375" style="18"/>
    <col min="2552" max="2552" width="8.6640625" style="18" customWidth="1"/>
    <col min="2553" max="2553" width="9.88671875" style="18" customWidth="1"/>
    <col min="2554" max="2554" width="14.44140625" style="18" customWidth="1"/>
    <col min="2555" max="2555" width="7.33203125" style="18" customWidth="1"/>
    <col min="2556" max="2556" width="5.5546875" style="18" customWidth="1"/>
    <col min="2557" max="2557" width="9" style="18" customWidth="1"/>
    <col min="2558" max="2559" width="9.88671875" style="18" customWidth="1"/>
    <col min="2560" max="2560" width="11.109375" style="18" customWidth="1"/>
    <col min="2561" max="2561" width="2.88671875" style="18" customWidth="1"/>
    <col min="2562" max="2562" width="3.5546875" style="18" customWidth="1"/>
    <col min="2563" max="2807" width="9.109375" style="18"/>
    <col min="2808" max="2808" width="8.6640625" style="18" customWidth="1"/>
    <col min="2809" max="2809" width="9.88671875" style="18" customWidth="1"/>
    <col min="2810" max="2810" width="14.44140625" style="18" customWidth="1"/>
    <col min="2811" max="2811" width="7.33203125" style="18" customWidth="1"/>
    <col min="2812" max="2812" width="5.5546875" style="18" customWidth="1"/>
    <col min="2813" max="2813" width="9" style="18" customWidth="1"/>
    <col min="2814" max="2815" width="9.88671875" style="18" customWidth="1"/>
    <col min="2816" max="2816" width="11.109375" style="18" customWidth="1"/>
    <col min="2817" max="2817" width="2.88671875" style="18" customWidth="1"/>
    <col min="2818" max="2818" width="3.5546875" style="18" customWidth="1"/>
    <col min="2819" max="3063" width="9.109375" style="18"/>
    <col min="3064" max="3064" width="8.6640625" style="18" customWidth="1"/>
    <col min="3065" max="3065" width="9.88671875" style="18" customWidth="1"/>
    <col min="3066" max="3066" width="14.44140625" style="18" customWidth="1"/>
    <col min="3067" max="3067" width="7.33203125" style="18" customWidth="1"/>
    <col min="3068" max="3068" width="5.5546875" style="18" customWidth="1"/>
    <col min="3069" max="3069" width="9" style="18" customWidth="1"/>
    <col min="3070" max="3071" width="9.88671875" style="18" customWidth="1"/>
    <col min="3072" max="3072" width="11.109375" style="18" customWidth="1"/>
    <col min="3073" max="3073" width="2.88671875" style="18" customWidth="1"/>
    <col min="3074" max="3074" width="3.5546875" style="18" customWidth="1"/>
    <col min="3075" max="3319" width="9.109375" style="18"/>
    <col min="3320" max="3320" width="8.6640625" style="18" customWidth="1"/>
    <col min="3321" max="3321" width="9.88671875" style="18" customWidth="1"/>
    <col min="3322" max="3322" width="14.44140625" style="18" customWidth="1"/>
    <col min="3323" max="3323" width="7.33203125" style="18" customWidth="1"/>
    <col min="3324" max="3324" width="5.5546875" style="18" customWidth="1"/>
    <col min="3325" max="3325" width="9" style="18" customWidth="1"/>
    <col min="3326" max="3327" width="9.88671875" style="18" customWidth="1"/>
    <col min="3328" max="3328" width="11.109375" style="18" customWidth="1"/>
    <col min="3329" max="3329" width="2.88671875" style="18" customWidth="1"/>
    <col min="3330" max="3330" width="3.5546875" style="18" customWidth="1"/>
    <col min="3331" max="3575" width="9.109375" style="18"/>
    <col min="3576" max="3576" width="8.6640625" style="18" customWidth="1"/>
    <col min="3577" max="3577" width="9.88671875" style="18" customWidth="1"/>
    <col min="3578" max="3578" width="14.44140625" style="18" customWidth="1"/>
    <col min="3579" max="3579" width="7.33203125" style="18" customWidth="1"/>
    <col min="3580" max="3580" width="5.5546875" style="18" customWidth="1"/>
    <col min="3581" max="3581" width="9" style="18" customWidth="1"/>
    <col min="3582" max="3583" width="9.88671875" style="18" customWidth="1"/>
    <col min="3584" max="3584" width="11.109375" style="18" customWidth="1"/>
    <col min="3585" max="3585" width="2.88671875" style="18" customWidth="1"/>
    <col min="3586" max="3586" width="3.5546875" style="18" customWidth="1"/>
    <col min="3587" max="3831" width="9.109375" style="18"/>
    <col min="3832" max="3832" width="8.6640625" style="18" customWidth="1"/>
    <col min="3833" max="3833" width="9.88671875" style="18" customWidth="1"/>
    <col min="3834" max="3834" width="14.44140625" style="18" customWidth="1"/>
    <col min="3835" max="3835" width="7.33203125" style="18" customWidth="1"/>
    <col min="3836" max="3836" width="5.5546875" style="18" customWidth="1"/>
    <col min="3837" max="3837" width="9" style="18" customWidth="1"/>
    <col min="3838" max="3839" width="9.88671875" style="18" customWidth="1"/>
    <col min="3840" max="3840" width="11.109375" style="18" customWidth="1"/>
    <col min="3841" max="3841" width="2.88671875" style="18" customWidth="1"/>
    <col min="3842" max="3842" width="3.5546875" style="18" customWidth="1"/>
    <col min="3843" max="4087" width="9.109375" style="18"/>
    <col min="4088" max="4088" width="8.6640625" style="18" customWidth="1"/>
    <col min="4089" max="4089" width="9.88671875" style="18" customWidth="1"/>
    <col min="4090" max="4090" width="14.44140625" style="18" customWidth="1"/>
    <col min="4091" max="4091" width="7.33203125" style="18" customWidth="1"/>
    <col min="4092" max="4092" width="5.5546875" style="18" customWidth="1"/>
    <col min="4093" max="4093" width="9" style="18" customWidth="1"/>
    <col min="4094" max="4095" width="9.88671875" style="18" customWidth="1"/>
    <col min="4096" max="4096" width="11.109375" style="18" customWidth="1"/>
    <col min="4097" max="4097" width="2.88671875" style="18" customWidth="1"/>
    <col min="4098" max="4098" width="3.5546875" style="18" customWidth="1"/>
    <col min="4099" max="4343" width="9.109375" style="18"/>
    <col min="4344" max="4344" width="8.6640625" style="18" customWidth="1"/>
    <col min="4345" max="4345" width="9.88671875" style="18" customWidth="1"/>
    <col min="4346" max="4346" width="14.44140625" style="18" customWidth="1"/>
    <col min="4347" max="4347" width="7.33203125" style="18" customWidth="1"/>
    <col min="4348" max="4348" width="5.5546875" style="18" customWidth="1"/>
    <col min="4349" max="4349" width="9" style="18" customWidth="1"/>
    <col min="4350" max="4351" width="9.88671875" style="18" customWidth="1"/>
    <col min="4352" max="4352" width="11.109375" style="18" customWidth="1"/>
    <col min="4353" max="4353" width="2.88671875" style="18" customWidth="1"/>
    <col min="4354" max="4354" width="3.5546875" style="18" customWidth="1"/>
    <col min="4355" max="4599" width="9.109375" style="18"/>
    <col min="4600" max="4600" width="8.6640625" style="18" customWidth="1"/>
    <col min="4601" max="4601" width="9.88671875" style="18" customWidth="1"/>
    <col min="4602" max="4602" width="14.44140625" style="18" customWidth="1"/>
    <col min="4603" max="4603" width="7.33203125" style="18" customWidth="1"/>
    <col min="4604" max="4604" width="5.5546875" style="18" customWidth="1"/>
    <col min="4605" max="4605" width="9" style="18" customWidth="1"/>
    <col min="4606" max="4607" width="9.88671875" style="18" customWidth="1"/>
    <col min="4608" max="4608" width="11.109375" style="18" customWidth="1"/>
    <col min="4609" max="4609" width="2.88671875" style="18" customWidth="1"/>
    <col min="4610" max="4610" width="3.5546875" style="18" customWidth="1"/>
    <col min="4611" max="4855" width="9.109375" style="18"/>
    <col min="4856" max="4856" width="8.6640625" style="18" customWidth="1"/>
    <col min="4857" max="4857" width="9.88671875" style="18" customWidth="1"/>
    <col min="4858" max="4858" width="14.44140625" style="18" customWidth="1"/>
    <col min="4859" max="4859" width="7.33203125" style="18" customWidth="1"/>
    <col min="4860" max="4860" width="5.5546875" style="18" customWidth="1"/>
    <col min="4861" max="4861" width="9" style="18" customWidth="1"/>
    <col min="4862" max="4863" width="9.88671875" style="18" customWidth="1"/>
    <col min="4864" max="4864" width="11.109375" style="18" customWidth="1"/>
    <col min="4865" max="4865" width="2.88671875" style="18" customWidth="1"/>
    <col min="4866" max="4866" width="3.5546875" style="18" customWidth="1"/>
    <col min="4867" max="5111" width="9.109375" style="18"/>
    <col min="5112" max="5112" width="8.6640625" style="18" customWidth="1"/>
    <col min="5113" max="5113" width="9.88671875" style="18" customWidth="1"/>
    <col min="5114" max="5114" width="14.44140625" style="18" customWidth="1"/>
    <col min="5115" max="5115" width="7.33203125" style="18" customWidth="1"/>
    <col min="5116" max="5116" width="5.5546875" style="18" customWidth="1"/>
    <col min="5117" max="5117" width="9" style="18" customWidth="1"/>
    <col min="5118" max="5119" width="9.88671875" style="18" customWidth="1"/>
    <col min="5120" max="5120" width="11.109375" style="18" customWidth="1"/>
    <col min="5121" max="5121" width="2.88671875" style="18" customWidth="1"/>
    <col min="5122" max="5122" width="3.5546875" style="18" customWidth="1"/>
    <col min="5123" max="5367" width="9.109375" style="18"/>
    <col min="5368" max="5368" width="8.6640625" style="18" customWidth="1"/>
    <col min="5369" max="5369" width="9.88671875" style="18" customWidth="1"/>
    <col min="5370" max="5370" width="14.44140625" style="18" customWidth="1"/>
    <col min="5371" max="5371" width="7.33203125" style="18" customWidth="1"/>
    <col min="5372" max="5372" width="5.5546875" style="18" customWidth="1"/>
    <col min="5373" max="5373" width="9" style="18" customWidth="1"/>
    <col min="5374" max="5375" width="9.88671875" style="18" customWidth="1"/>
    <col min="5376" max="5376" width="11.109375" style="18" customWidth="1"/>
    <col min="5377" max="5377" width="2.88671875" style="18" customWidth="1"/>
    <col min="5378" max="5378" width="3.5546875" style="18" customWidth="1"/>
    <col min="5379" max="5623" width="9.109375" style="18"/>
    <col min="5624" max="5624" width="8.6640625" style="18" customWidth="1"/>
    <col min="5625" max="5625" width="9.88671875" style="18" customWidth="1"/>
    <col min="5626" max="5626" width="14.44140625" style="18" customWidth="1"/>
    <col min="5627" max="5627" width="7.33203125" style="18" customWidth="1"/>
    <col min="5628" max="5628" width="5.5546875" style="18" customWidth="1"/>
    <col min="5629" max="5629" width="9" style="18" customWidth="1"/>
    <col min="5630" max="5631" width="9.88671875" style="18" customWidth="1"/>
    <col min="5632" max="5632" width="11.109375" style="18" customWidth="1"/>
    <col min="5633" max="5633" width="2.88671875" style="18" customWidth="1"/>
    <col min="5634" max="5634" width="3.5546875" style="18" customWidth="1"/>
    <col min="5635" max="5879" width="9.109375" style="18"/>
    <col min="5880" max="5880" width="8.6640625" style="18" customWidth="1"/>
    <col min="5881" max="5881" width="9.88671875" style="18" customWidth="1"/>
    <col min="5882" max="5882" width="14.44140625" style="18" customWidth="1"/>
    <col min="5883" max="5883" width="7.33203125" style="18" customWidth="1"/>
    <col min="5884" max="5884" width="5.5546875" style="18" customWidth="1"/>
    <col min="5885" max="5885" width="9" style="18" customWidth="1"/>
    <col min="5886" max="5887" width="9.88671875" style="18" customWidth="1"/>
    <col min="5888" max="5888" width="11.109375" style="18" customWidth="1"/>
    <col min="5889" max="5889" width="2.88671875" style="18" customWidth="1"/>
    <col min="5890" max="5890" width="3.5546875" style="18" customWidth="1"/>
    <col min="5891" max="6135" width="9.109375" style="18"/>
    <col min="6136" max="6136" width="8.6640625" style="18" customWidth="1"/>
    <col min="6137" max="6137" width="9.88671875" style="18" customWidth="1"/>
    <col min="6138" max="6138" width="14.44140625" style="18" customWidth="1"/>
    <col min="6139" max="6139" width="7.33203125" style="18" customWidth="1"/>
    <col min="6140" max="6140" width="5.5546875" style="18" customWidth="1"/>
    <col min="6141" max="6141" width="9" style="18" customWidth="1"/>
    <col min="6142" max="6143" width="9.88671875" style="18" customWidth="1"/>
    <col min="6144" max="6144" width="11.109375" style="18" customWidth="1"/>
    <col min="6145" max="6145" width="2.88671875" style="18" customWidth="1"/>
    <col min="6146" max="6146" width="3.5546875" style="18" customWidth="1"/>
    <col min="6147" max="6391" width="9.109375" style="18"/>
    <col min="6392" max="6392" width="8.6640625" style="18" customWidth="1"/>
    <col min="6393" max="6393" width="9.88671875" style="18" customWidth="1"/>
    <col min="6394" max="6394" width="14.44140625" style="18" customWidth="1"/>
    <col min="6395" max="6395" width="7.33203125" style="18" customWidth="1"/>
    <col min="6396" max="6396" width="5.5546875" style="18" customWidth="1"/>
    <col min="6397" max="6397" width="9" style="18" customWidth="1"/>
    <col min="6398" max="6399" width="9.88671875" style="18" customWidth="1"/>
    <col min="6400" max="6400" width="11.109375" style="18" customWidth="1"/>
    <col min="6401" max="6401" width="2.88671875" style="18" customWidth="1"/>
    <col min="6402" max="6402" width="3.5546875" style="18" customWidth="1"/>
    <col min="6403" max="6647" width="9.109375" style="18"/>
    <col min="6648" max="6648" width="8.6640625" style="18" customWidth="1"/>
    <col min="6649" max="6649" width="9.88671875" style="18" customWidth="1"/>
    <col min="6650" max="6650" width="14.44140625" style="18" customWidth="1"/>
    <col min="6651" max="6651" width="7.33203125" style="18" customWidth="1"/>
    <col min="6652" max="6652" width="5.5546875" style="18" customWidth="1"/>
    <col min="6653" max="6653" width="9" style="18" customWidth="1"/>
    <col min="6654" max="6655" width="9.88671875" style="18" customWidth="1"/>
    <col min="6656" max="6656" width="11.109375" style="18" customWidth="1"/>
    <col min="6657" max="6657" width="2.88671875" style="18" customWidth="1"/>
    <col min="6658" max="6658" width="3.5546875" style="18" customWidth="1"/>
    <col min="6659" max="6903" width="9.109375" style="18"/>
    <col min="6904" max="6904" width="8.6640625" style="18" customWidth="1"/>
    <col min="6905" max="6905" width="9.88671875" style="18" customWidth="1"/>
    <col min="6906" max="6906" width="14.44140625" style="18" customWidth="1"/>
    <col min="6907" max="6907" width="7.33203125" style="18" customWidth="1"/>
    <col min="6908" max="6908" width="5.5546875" style="18" customWidth="1"/>
    <col min="6909" max="6909" width="9" style="18" customWidth="1"/>
    <col min="6910" max="6911" width="9.88671875" style="18" customWidth="1"/>
    <col min="6912" max="6912" width="11.109375" style="18" customWidth="1"/>
    <col min="6913" max="6913" width="2.88671875" style="18" customWidth="1"/>
    <col min="6914" max="6914" width="3.5546875" style="18" customWidth="1"/>
    <col min="6915" max="7159" width="9.109375" style="18"/>
    <col min="7160" max="7160" width="8.6640625" style="18" customWidth="1"/>
    <col min="7161" max="7161" width="9.88671875" style="18" customWidth="1"/>
    <col min="7162" max="7162" width="14.44140625" style="18" customWidth="1"/>
    <col min="7163" max="7163" width="7.33203125" style="18" customWidth="1"/>
    <col min="7164" max="7164" width="5.5546875" style="18" customWidth="1"/>
    <col min="7165" max="7165" width="9" style="18" customWidth="1"/>
    <col min="7166" max="7167" width="9.88671875" style="18" customWidth="1"/>
    <col min="7168" max="7168" width="11.109375" style="18" customWidth="1"/>
    <col min="7169" max="7169" width="2.88671875" style="18" customWidth="1"/>
    <col min="7170" max="7170" width="3.5546875" style="18" customWidth="1"/>
    <col min="7171" max="7415" width="9.109375" style="18"/>
    <col min="7416" max="7416" width="8.6640625" style="18" customWidth="1"/>
    <col min="7417" max="7417" width="9.88671875" style="18" customWidth="1"/>
    <col min="7418" max="7418" width="14.44140625" style="18" customWidth="1"/>
    <col min="7419" max="7419" width="7.33203125" style="18" customWidth="1"/>
    <col min="7420" max="7420" width="5.5546875" style="18" customWidth="1"/>
    <col min="7421" max="7421" width="9" style="18" customWidth="1"/>
    <col min="7422" max="7423" width="9.88671875" style="18" customWidth="1"/>
    <col min="7424" max="7424" width="11.109375" style="18" customWidth="1"/>
    <col min="7425" max="7425" width="2.88671875" style="18" customWidth="1"/>
    <col min="7426" max="7426" width="3.5546875" style="18" customWidth="1"/>
    <col min="7427" max="7671" width="9.109375" style="18"/>
    <col min="7672" max="7672" width="8.6640625" style="18" customWidth="1"/>
    <col min="7673" max="7673" width="9.88671875" style="18" customWidth="1"/>
    <col min="7674" max="7674" width="14.44140625" style="18" customWidth="1"/>
    <col min="7675" max="7675" width="7.33203125" style="18" customWidth="1"/>
    <col min="7676" max="7676" width="5.5546875" style="18" customWidth="1"/>
    <col min="7677" max="7677" width="9" style="18" customWidth="1"/>
    <col min="7678" max="7679" width="9.88671875" style="18" customWidth="1"/>
    <col min="7680" max="7680" width="11.109375" style="18" customWidth="1"/>
    <col min="7681" max="7681" width="2.88671875" style="18" customWidth="1"/>
    <col min="7682" max="7682" width="3.5546875" style="18" customWidth="1"/>
    <col min="7683" max="7927" width="9.109375" style="18"/>
    <col min="7928" max="7928" width="8.6640625" style="18" customWidth="1"/>
    <col min="7929" max="7929" width="9.88671875" style="18" customWidth="1"/>
    <col min="7930" max="7930" width="14.44140625" style="18" customWidth="1"/>
    <col min="7931" max="7931" width="7.33203125" style="18" customWidth="1"/>
    <col min="7932" max="7932" width="5.5546875" style="18" customWidth="1"/>
    <col min="7933" max="7933" width="9" style="18" customWidth="1"/>
    <col min="7934" max="7935" width="9.88671875" style="18" customWidth="1"/>
    <col min="7936" max="7936" width="11.109375" style="18" customWidth="1"/>
    <col min="7937" max="7937" width="2.88671875" style="18" customWidth="1"/>
    <col min="7938" max="7938" width="3.5546875" style="18" customWidth="1"/>
    <col min="7939" max="8183" width="9.109375" style="18"/>
    <col min="8184" max="8184" width="8.6640625" style="18" customWidth="1"/>
    <col min="8185" max="8185" width="9.88671875" style="18" customWidth="1"/>
    <col min="8186" max="8186" width="14.44140625" style="18" customWidth="1"/>
    <col min="8187" max="8187" width="7.33203125" style="18" customWidth="1"/>
    <col min="8188" max="8188" width="5.5546875" style="18" customWidth="1"/>
    <col min="8189" max="8189" width="9" style="18" customWidth="1"/>
    <col min="8190" max="8191" width="9.88671875" style="18" customWidth="1"/>
    <col min="8192" max="8192" width="11.109375" style="18" customWidth="1"/>
    <col min="8193" max="8193" width="2.88671875" style="18" customWidth="1"/>
    <col min="8194" max="8194" width="3.5546875" style="18" customWidth="1"/>
    <col min="8195" max="8439" width="9.109375" style="18"/>
    <col min="8440" max="8440" width="8.6640625" style="18" customWidth="1"/>
    <col min="8441" max="8441" width="9.88671875" style="18" customWidth="1"/>
    <col min="8442" max="8442" width="14.44140625" style="18" customWidth="1"/>
    <col min="8443" max="8443" width="7.33203125" style="18" customWidth="1"/>
    <col min="8444" max="8444" width="5.5546875" style="18" customWidth="1"/>
    <col min="8445" max="8445" width="9" style="18" customWidth="1"/>
    <col min="8446" max="8447" width="9.88671875" style="18" customWidth="1"/>
    <col min="8448" max="8448" width="11.109375" style="18" customWidth="1"/>
    <col min="8449" max="8449" width="2.88671875" style="18" customWidth="1"/>
    <col min="8450" max="8450" width="3.5546875" style="18" customWidth="1"/>
    <col min="8451" max="8695" width="9.109375" style="18"/>
    <col min="8696" max="8696" width="8.6640625" style="18" customWidth="1"/>
    <col min="8697" max="8697" width="9.88671875" style="18" customWidth="1"/>
    <col min="8698" max="8698" width="14.44140625" style="18" customWidth="1"/>
    <col min="8699" max="8699" width="7.33203125" style="18" customWidth="1"/>
    <col min="8700" max="8700" width="5.5546875" style="18" customWidth="1"/>
    <col min="8701" max="8701" width="9" style="18" customWidth="1"/>
    <col min="8702" max="8703" width="9.88671875" style="18" customWidth="1"/>
    <col min="8704" max="8704" width="11.109375" style="18" customWidth="1"/>
    <col min="8705" max="8705" width="2.88671875" style="18" customWidth="1"/>
    <col min="8706" max="8706" width="3.5546875" style="18" customWidth="1"/>
    <col min="8707" max="8951" width="9.109375" style="18"/>
    <col min="8952" max="8952" width="8.6640625" style="18" customWidth="1"/>
    <col min="8953" max="8953" width="9.88671875" style="18" customWidth="1"/>
    <col min="8954" max="8954" width="14.44140625" style="18" customWidth="1"/>
    <col min="8955" max="8955" width="7.33203125" style="18" customWidth="1"/>
    <col min="8956" max="8956" width="5.5546875" style="18" customWidth="1"/>
    <col min="8957" max="8957" width="9" style="18" customWidth="1"/>
    <col min="8958" max="8959" width="9.88671875" style="18" customWidth="1"/>
    <col min="8960" max="8960" width="11.109375" style="18" customWidth="1"/>
    <col min="8961" max="8961" width="2.88671875" style="18" customWidth="1"/>
    <col min="8962" max="8962" width="3.5546875" style="18" customWidth="1"/>
    <col min="8963" max="9207" width="9.109375" style="18"/>
    <col min="9208" max="9208" width="8.6640625" style="18" customWidth="1"/>
    <col min="9209" max="9209" width="9.88671875" style="18" customWidth="1"/>
    <col min="9210" max="9210" width="14.44140625" style="18" customWidth="1"/>
    <col min="9211" max="9211" width="7.33203125" style="18" customWidth="1"/>
    <col min="9212" max="9212" width="5.5546875" style="18" customWidth="1"/>
    <col min="9213" max="9213" width="9" style="18" customWidth="1"/>
    <col min="9214" max="9215" width="9.88671875" style="18" customWidth="1"/>
    <col min="9216" max="9216" width="11.109375" style="18" customWidth="1"/>
    <col min="9217" max="9217" width="2.88671875" style="18" customWidth="1"/>
    <col min="9218" max="9218" width="3.5546875" style="18" customWidth="1"/>
    <col min="9219" max="9463" width="9.109375" style="18"/>
    <col min="9464" max="9464" width="8.6640625" style="18" customWidth="1"/>
    <col min="9465" max="9465" width="9.88671875" style="18" customWidth="1"/>
    <col min="9466" max="9466" width="14.44140625" style="18" customWidth="1"/>
    <col min="9467" max="9467" width="7.33203125" style="18" customWidth="1"/>
    <col min="9468" max="9468" width="5.5546875" style="18" customWidth="1"/>
    <col min="9469" max="9469" width="9" style="18" customWidth="1"/>
    <col min="9470" max="9471" width="9.88671875" style="18" customWidth="1"/>
    <col min="9472" max="9472" width="11.109375" style="18" customWidth="1"/>
    <col min="9473" max="9473" width="2.88671875" style="18" customWidth="1"/>
    <col min="9474" max="9474" width="3.5546875" style="18" customWidth="1"/>
    <col min="9475" max="9719" width="9.109375" style="18"/>
    <col min="9720" max="9720" width="8.6640625" style="18" customWidth="1"/>
    <col min="9721" max="9721" width="9.88671875" style="18" customWidth="1"/>
    <col min="9722" max="9722" width="14.44140625" style="18" customWidth="1"/>
    <col min="9723" max="9723" width="7.33203125" style="18" customWidth="1"/>
    <col min="9724" max="9724" width="5.5546875" style="18" customWidth="1"/>
    <col min="9725" max="9725" width="9" style="18" customWidth="1"/>
    <col min="9726" max="9727" width="9.88671875" style="18" customWidth="1"/>
    <col min="9728" max="9728" width="11.109375" style="18" customWidth="1"/>
    <col min="9729" max="9729" width="2.88671875" style="18" customWidth="1"/>
    <col min="9730" max="9730" width="3.5546875" style="18" customWidth="1"/>
    <col min="9731" max="9975" width="9.109375" style="18"/>
    <col min="9976" max="9976" width="8.6640625" style="18" customWidth="1"/>
    <col min="9977" max="9977" width="9.88671875" style="18" customWidth="1"/>
    <col min="9978" max="9978" width="14.44140625" style="18" customWidth="1"/>
    <col min="9979" max="9979" width="7.33203125" style="18" customWidth="1"/>
    <col min="9980" max="9980" width="5.5546875" style="18" customWidth="1"/>
    <col min="9981" max="9981" width="9" style="18" customWidth="1"/>
    <col min="9982" max="9983" width="9.88671875" style="18" customWidth="1"/>
    <col min="9984" max="9984" width="11.109375" style="18" customWidth="1"/>
    <col min="9985" max="9985" width="2.88671875" style="18" customWidth="1"/>
    <col min="9986" max="9986" width="3.5546875" style="18" customWidth="1"/>
    <col min="9987" max="10231" width="9.109375" style="18"/>
    <col min="10232" max="10232" width="8.6640625" style="18" customWidth="1"/>
    <col min="10233" max="10233" width="9.88671875" style="18" customWidth="1"/>
    <col min="10234" max="10234" width="14.44140625" style="18" customWidth="1"/>
    <col min="10235" max="10235" width="7.33203125" style="18" customWidth="1"/>
    <col min="10236" max="10236" width="5.5546875" style="18" customWidth="1"/>
    <col min="10237" max="10237" width="9" style="18" customWidth="1"/>
    <col min="10238" max="10239" width="9.88671875" style="18" customWidth="1"/>
    <col min="10240" max="10240" width="11.109375" style="18" customWidth="1"/>
    <col min="10241" max="10241" width="2.88671875" style="18" customWidth="1"/>
    <col min="10242" max="10242" width="3.5546875" style="18" customWidth="1"/>
    <col min="10243" max="10487" width="9.109375" style="18"/>
    <col min="10488" max="10488" width="8.6640625" style="18" customWidth="1"/>
    <col min="10489" max="10489" width="9.88671875" style="18" customWidth="1"/>
    <col min="10490" max="10490" width="14.44140625" style="18" customWidth="1"/>
    <col min="10491" max="10491" width="7.33203125" style="18" customWidth="1"/>
    <col min="10492" max="10492" width="5.5546875" style="18" customWidth="1"/>
    <col min="10493" max="10493" width="9" style="18" customWidth="1"/>
    <col min="10494" max="10495" width="9.88671875" style="18" customWidth="1"/>
    <col min="10496" max="10496" width="11.109375" style="18" customWidth="1"/>
    <col min="10497" max="10497" width="2.88671875" style="18" customWidth="1"/>
    <col min="10498" max="10498" width="3.5546875" style="18" customWidth="1"/>
    <col min="10499" max="10743" width="9.109375" style="18"/>
    <col min="10744" max="10744" width="8.6640625" style="18" customWidth="1"/>
    <col min="10745" max="10745" width="9.88671875" style="18" customWidth="1"/>
    <col min="10746" max="10746" width="14.44140625" style="18" customWidth="1"/>
    <col min="10747" max="10747" width="7.33203125" style="18" customWidth="1"/>
    <col min="10748" max="10748" width="5.5546875" style="18" customWidth="1"/>
    <col min="10749" max="10749" width="9" style="18" customWidth="1"/>
    <col min="10750" max="10751" width="9.88671875" style="18" customWidth="1"/>
    <col min="10752" max="10752" width="11.109375" style="18" customWidth="1"/>
    <col min="10753" max="10753" width="2.88671875" style="18" customWidth="1"/>
    <col min="10754" max="10754" width="3.5546875" style="18" customWidth="1"/>
    <col min="10755" max="10999" width="9.109375" style="18"/>
    <col min="11000" max="11000" width="8.6640625" style="18" customWidth="1"/>
    <col min="11001" max="11001" width="9.88671875" style="18" customWidth="1"/>
    <col min="11002" max="11002" width="14.44140625" style="18" customWidth="1"/>
    <col min="11003" max="11003" width="7.33203125" style="18" customWidth="1"/>
    <col min="11004" max="11004" width="5.5546875" style="18" customWidth="1"/>
    <col min="11005" max="11005" width="9" style="18" customWidth="1"/>
    <col min="11006" max="11007" width="9.88671875" style="18" customWidth="1"/>
    <col min="11008" max="11008" width="11.109375" style="18" customWidth="1"/>
    <col min="11009" max="11009" width="2.88671875" style="18" customWidth="1"/>
    <col min="11010" max="11010" width="3.5546875" style="18" customWidth="1"/>
    <col min="11011" max="11255" width="9.109375" style="18"/>
    <col min="11256" max="11256" width="8.6640625" style="18" customWidth="1"/>
    <col min="11257" max="11257" width="9.88671875" style="18" customWidth="1"/>
    <col min="11258" max="11258" width="14.44140625" style="18" customWidth="1"/>
    <col min="11259" max="11259" width="7.33203125" style="18" customWidth="1"/>
    <col min="11260" max="11260" width="5.5546875" style="18" customWidth="1"/>
    <col min="11261" max="11261" width="9" style="18" customWidth="1"/>
    <col min="11262" max="11263" width="9.88671875" style="18" customWidth="1"/>
    <col min="11264" max="11264" width="11.109375" style="18" customWidth="1"/>
    <col min="11265" max="11265" width="2.88671875" style="18" customWidth="1"/>
    <col min="11266" max="11266" width="3.5546875" style="18" customWidth="1"/>
    <col min="11267" max="11511" width="9.109375" style="18"/>
    <col min="11512" max="11512" width="8.6640625" style="18" customWidth="1"/>
    <col min="11513" max="11513" width="9.88671875" style="18" customWidth="1"/>
    <col min="11514" max="11514" width="14.44140625" style="18" customWidth="1"/>
    <col min="11515" max="11515" width="7.33203125" style="18" customWidth="1"/>
    <col min="11516" max="11516" width="5.5546875" style="18" customWidth="1"/>
    <col min="11517" max="11517" width="9" style="18" customWidth="1"/>
    <col min="11518" max="11519" width="9.88671875" style="18" customWidth="1"/>
    <col min="11520" max="11520" width="11.109375" style="18" customWidth="1"/>
    <col min="11521" max="11521" width="2.88671875" style="18" customWidth="1"/>
    <col min="11522" max="11522" width="3.5546875" style="18" customWidth="1"/>
    <col min="11523" max="11767" width="9.109375" style="18"/>
    <col min="11768" max="11768" width="8.6640625" style="18" customWidth="1"/>
    <col min="11769" max="11769" width="9.88671875" style="18" customWidth="1"/>
    <col min="11770" max="11770" width="14.44140625" style="18" customWidth="1"/>
    <col min="11771" max="11771" width="7.33203125" style="18" customWidth="1"/>
    <col min="11772" max="11772" width="5.5546875" style="18" customWidth="1"/>
    <col min="11773" max="11773" width="9" style="18" customWidth="1"/>
    <col min="11774" max="11775" width="9.88671875" style="18" customWidth="1"/>
    <col min="11776" max="11776" width="11.109375" style="18" customWidth="1"/>
    <col min="11777" max="11777" width="2.88671875" style="18" customWidth="1"/>
    <col min="11778" max="11778" width="3.5546875" style="18" customWidth="1"/>
    <col min="11779" max="12023" width="9.109375" style="18"/>
    <col min="12024" max="12024" width="8.6640625" style="18" customWidth="1"/>
    <col min="12025" max="12025" width="9.88671875" style="18" customWidth="1"/>
    <col min="12026" max="12026" width="14.44140625" style="18" customWidth="1"/>
    <col min="12027" max="12027" width="7.33203125" style="18" customWidth="1"/>
    <col min="12028" max="12028" width="5.5546875" style="18" customWidth="1"/>
    <col min="12029" max="12029" width="9" style="18" customWidth="1"/>
    <col min="12030" max="12031" width="9.88671875" style="18" customWidth="1"/>
    <col min="12032" max="12032" width="11.109375" style="18" customWidth="1"/>
    <col min="12033" max="12033" width="2.88671875" style="18" customWidth="1"/>
    <col min="12034" max="12034" width="3.5546875" style="18" customWidth="1"/>
    <col min="12035" max="12279" width="9.109375" style="18"/>
    <col min="12280" max="12280" width="8.6640625" style="18" customWidth="1"/>
    <col min="12281" max="12281" width="9.88671875" style="18" customWidth="1"/>
    <col min="12282" max="12282" width="14.44140625" style="18" customWidth="1"/>
    <col min="12283" max="12283" width="7.33203125" style="18" customWidth="1"/>
    <col min="12284" max="12284" width="5.5546875" style="18" customWidth="1"/>
    <col min="12285" max="12285" width="9" style="18" customWidth="1"/>
    <col min="12286" max="12287" width="9.88671875" style="18" customWidth="1"/>
    <col min="12288" max="12288" width="11.109375" style="18" customWidth="1"/>
    <col min="12289" max="12289" width="2.88671875" style="18" customWidth="1"/>
    <col min="12290" max="12290" width="3.5546875" style="18" customWidth="1"/>
    <col min="12291" max="12535" width="9.109375" style="18"/>
    <col min="12536" max="12536" width="8.6640625" style="18" customWidth="1"/>
    <col min="12537" max="12537" width="9.88671875" style="18" customWidth="1"/>
    <col min="12538" max="12538" width="14.44140625" style="18" customWidth="1"/>
    <col min="12539" max="12539" width="7.33203125" style="18" customWidth="1"/>
    <col min="12540" max="12540" width="5.5546875" style="18" customWidth="1"/>
    <col min="12541" max="12541" width="9" style="18" customWidth="1"/>
    <col min="12542" max="12543" width="9.88671875" style="18" customWidth="1"/>
    <col min="12544" max="12544" width="11.109375" style="18" customWidth="1"/>
    <col min="12545" max="12545" width="2.88671875" style="18" customWidth="1"/>
    <col min="12546" max="12546" width="3.5546875" style="18" customWidth="1"/>
    <col min="12547" max="12791" width="9.109375" style="18"/>
    <col min="12792" max="12792" width="8.6640625" style="18" customWidth="1"/>
    <col min="12793" max="12793" width="9.88671875" style="18" customWidth="1"/>
    <col min="12794" max="12794" width="14.44140625" style="18" customWidth="1"/>
    <col min="12795" max="12795" width="7.33203125" style="18" customWidth="1"/>
    <col min="12796" max="12796" width="5.5546875" style="18" customWidth="1"/>
    <col min="12797" max="12797" width="9" style="18" customWidth="1"/>
    <col min="12798" max="12799" width="9.88671875" style="18" customWidth="1"/>
    <col min="12800" max="12800" width="11.109375" style="18" customWidth="1"/>
    <col min="12801" max="12801" width="2.88671875" style="18" customWidth="1"/>
    <col min="12802" max="12802" width="3.5546875" style="18" customWidth="1"/>
    <col min="12803" max="13047" width="9.109375" style="18"/>
    <col min="13048" max="13048" width="8.6640625" style="18" customWidth="1"/>
    <col min="13049" max="13049" width="9.88671875" style="18" customWidth="1"/>
    <col min="13050" max="13050" width="14.44140625" style="18" customWidth="1"/>
    <col min="13051" max="13051" width="7.33203125" style="18" customWidth="1"/>
    <col min="13052" max="13052" width="5.5546875" style="18" customWidth="1"/>
    <col min="13053" max="13053" width="9" style="18" customWidth="1"/>
    <col min="13054" max="13055" width="9.88671875" style="18" customWidth="1"/>
    <col min="13056" max="13056" width="11.109375" style="18" customWidth="1"/>
    <col min="13057" max="13057" width="2.88671875" style="18" customWidth="1"/>
    <col min="13058" max="13058" width="3.5546875" style="18" customWidth="1"/>
    <col min="13059" max="13303" width="9.109375" style="18"/>
    <col min="13304" max="13304" width="8.6640625" style="18" customWidth="1"/>
    <col min="13305" max="13305" width="9.88671875" style="18" customWidth="1"/>
    <col min="13306" max="13306" width="14.44140625" style="18" customWidth="1"/>
    <col min="13307" max="13307" width="7.33203125" style="18" customWidth="1"/>
    <col min="13308" max="13308" width="5.5546875" style="18" customWidth="1"/>
    <col min="13309" max="13309" width="9" style="18" customWidth="1"/>
    <col min="13310" max="13311" width="9.88671875" style="18" customWidth="1"/>
    <col min="13312" max="13312" width="11.109375" style="18" customWidth="1"/>
    <col min="13313" max="13313" width="2.88671875" style="18" customWidth="1"/>
    <col min="13314" max="13314" width="3.5546875" style="18" customWidth="1"/>
    <col min="13315" max="13559" width="9.109375" style="18"/>
    <col min="13560" max="13560" width="8.6640625" style="18" customWidth="1"/>
    <col min="13561" max="13561" width="9.88671875" style="18" customWidth="1"/>
    <col min="13562" max="13562" width="14.44140625" style="18" customWidth="1"/>
    <col min="13563" max="13563" width="7.33203125" style="18" customWidth="1"/>
    <col min="13564" max="13564" width="5.5546875" style="18" customWidth="1"/>
    <col min="13565" max="13565" width="9" style="18" customWidth="1"/>
    <col min="13566" max="13567" width="9.88671875" style="18" customWidth="1"/>
    <col min="13568" max="13568" width="11.109375" style="18" customWidth="1"/>
    <col min="13569" max="13569" width="2.88671875" style="18" customWidth="1"/>
    <col min="13570" max="13570" width="3.5546875" style="18" customWidth="1"/>
    <col min="13571" max="13815" width="9.109375" style="18"/>
    <col min="13816" max="13816" width="8.6640625" style="18" customWidth="1"/>
    <col min="13817" max="13817" width="9.88671875" style="18" customWidth="1"/>
    <col min="13818" max="13818" width="14.44140625" style="18" customWidth="1"/>
    <col min="13819" max="13819" width="7.33203125" style="18" customWidth="1"/>
    <col min="13820" max="13820" width="5.5546875" style="18" customWidth="1"/>
    <col min="13821" max="13821" width="9" style="18" customWidth="1"/>
    <col min="13822" max="13823" width="9.88671875" style="18" customWidth="1"/>
    <col min="13824" max="13824" width="11.109375" style="18" customWidth="1"/>
    <col min="13825" max="13825" width="2.88671875" style="18" customWidth="1"/>
    <col min="13826" max="13826" width="3.5546875" style="18" customWidth="1"/>
    <col min="13827" max="14071" width="9.109375" style="18"/>
    <col min="14072" max="14072" width="8.6640625" style="18" customWidth="1"/>
    <col min="14073" max="14073" width="9.88671875" style="18" customWidth="1"/>
    <col min="14074" max="14074" width="14.44140625" style="18" customWidth="1"/>
    <col min="14075" max="14075" width="7.33203125" style="18" customWidth="1"/>
    <col min="14076" max="14076" width="5.5546875" style="18" customWidth="1"/>
    <col min="14077" max="14077" width="9" style="18" customWidth="1"/>
    <col min="14078" max="14079" width="9.88671875" style="18" customWidth="1"/>
    <col min="14080" max="14080" width="11.109375" style="18" customWidth="1"/>
    <col min="14081" max="14081" width="2.88671875" style="18" customWidth="1"/>
    <col min="14082" max="14082" width="3.5546875" style="18" customWidth="1"/>
    <col min="14083" max="14327" width="9.109375" style="18"/>
    <col min="14328" max="14328" width="8.6640625" style="18" customWidth="1"/>
    <col min="14329" max="14329" width="9.88671875" style="18" customWidth="1"/>
    <col min="14330" max="14330" width="14.44140625" style="18" customWidth="1"/>
    <col min="14331" max="14331" width="7.33203125" style="18" customWidth="1"/>
    <col min="14332" max="14332" width="5.5546875" style="18" customWidth="1"/>
    <col min="14333" max="14333" width="9" style="18" customWidth="1"/>
    <col min="14334" max="14335" width="9.88671875" style="18" customWidth="1"/>
    <col min="14336" max="14336" width="11.109375" style="18" customWidth="1"/>
    <col min="14337" max="14337" width="2.88671875" style="18" customWidth="1"/>
    <col min="14338" max="14338" width="3.5546875" style="18" customWidth="1"/>
    <col min="14339" max="14583" width="9.109375" style="18"/>
    <col min="14584" max="14584" width="8.6640625" style="18" customWidth="1"/>
    <col min="14585" max="14585" width="9.88671875" style="18" customWidth="1"/>
    <col min="14586" max="14586" width="14.44140625" style="18" customWidth="1"/>
    <col min="14587" max="14587" width="7.33203125" style="18" customWidth="1"/>
    <col min="14588" max="14588" width="5.5546875" style="18" customWidth="1"/>
    <col min="14589" max="14589" width="9" style="18" customWidth="1"/>
    <col min="14590" max="14591" width="9.88671875" style="18" customWidth="1"/>
    <col min="14592" max="14592" width="11.109375" style="18" customWidth="1"/>
    <col min="14593" max="14593" width="2.88671875" style="18" customWidth="1"/>
    <col min="14594" max="14594" width="3.5546875" style="18" customWidth="1"/>
    <col min="14595" max="14839" width="9.109375" style="18"/>
    <col min="14840" max="14840" width="8.6640625" style="18" customWidth="1"/>
    <col min="14841" max="14841" width="9.88671875" style="18" customWidth="1"/>
    <col min="14842" max="14842" width="14.44140625" style="18" customWidth="1"/>
    <col min="14843" max="14843" width="7.33203125" style="18" customWidth="1"/>
    <col min="14844" max="14844" width="5.5546875" style="18" customWidth="1"/>
    <col min="14845" max="14845" width="9" style="18" customWidth="1"/>
    <col min="14846" max="14847" width="9.88671875" style="18" customWidth="1"/>
    <col min="14848" max="14848" width="11.109375" style="18" customWidth="1"/>
    <col min="14849" max="14849" width="2.88671875" style="18" customWidth="1"/>
    <col min="14850" max="14850" width="3.5546875" style="18" customWidth="1"/>
    <col min="14851" max="15095" width="9.109375" style="18"/>
    <col min="15096" max="15096" width="8.6640625" style="18" customWidth="1"/>
    <col min="15097" max="15097" width="9.88671875" style="18" customWidth="1"/>
    <col min="15098" max="15098" width="14.44140625" style="18" customWidth="1"/>
    <col min="15099" max="15099" width="7.33203125" style="18" customWidth="1"/>
    <col min="15100" max="15100" width="5.5546875" style="18" customWidth="1"/>
    <col min="15101" max="15101" width="9" style="18" customWidth="1"/>
    <col min="15102" max="15103" width="9.88671875" style="18" customWidth="1"/>
    <col min="15104" max="15104" width="11.109375" style="18" customWidth="1"/>
    <col min="15105" max="15105" width="2.88671875" style="18" customWidth="1"/>
    <col min="15106" max="15106" width="3.5546875" style="18" customWidth="1"/>
    <col min="15107" max="15351" width="9.109375" style="18"/>
    <col min="15352" max="15352" width="8.6640625" style="18" customWidth="1"/>
    <col min="15353" max="15353" width="9.88671875" style="18" customWidth="1"/>
    <col min="15354" max="15354" width="14.44140625" style="18" customWidth="1"/>
    <col min="15355" max="15355" width="7.33203125" style="18" customWidth="1"/>
    <col min="15356" max="15356" width="5.5546875" style="18" customWidth="1"/>
    <col min="15357" max="15357" width="9" style="18" customWidth="1"/>
    <col min="15358" max="15359" width="9.88671875" style="18" customWidth="1"/>
    <col min="15360" max="15360" width="11.109375" style="18" customWidth="1"/>
    <col min="15361" max="15361" width="2.88671875" style="18" customWidth="1"/>
    <col min="15362" max="15362" width="3.5546875" style="18" customWidth="1"/>
    <col min="15363" max="15607" width="9.109375" style="18"/>
    <col min="15608" max="15608" width="8.6640625" style="18" customWidth="1"/>
    <col min="15609" max="15609" width="9.88671875" style="18" customWidth="1"/>
    <col min="15610" max="15610" width="14.44140625" style="18" customWidth="1"/>
    <col min="15611" max="15611" width="7.33203125" style="18" customWidth="1"/>
    <col min="15612" max="15612" width="5.5546875" style="18" customWidth="1"/>
    <col min="15613" max="15613" width="9" style="18" customWidth="1"/>
    <col min="15614" max="15615" width="9.88671875" style="18" customWidth="1"/>
    <col min="15616" max="15616" width="11.109375" style="18" customWidth="1"/>
    <col min="15617" max="15617" width="2.88671875" style="18" customWidth="1"/>
    <col min="15618" max="15618" width="3.5546875" style="18" customWidth="1"/>
    <col min="15619" max="15863" width="9.109375" style="18"/>
    <col min="15864" max="15864" width="8.6640625" style="18" customWidth="1"/>
    <col min="15865" max="15865" width="9.88671875" style="18" customWidth="1"/>
    <col min="15866" max="15866" width="14.44140625" style="18" customWidth="1"/>
    <col min="15867" max="15867" width="7.33203125" style="18" customWidth="1"/>
    <col min="15868" max="15868" width="5.5546875" style="18" customWidth="1"/>
    <col min="15869" max="15869" width="9" style="18" customWidth="1"/>
    <col min="15870" max="15871" width="9.88671875" style="18" customWidth="1"/>
    <col min="15872" max="15872" width="11.109375" style="18" customWidth="1"/>
    <col min="15873" max="15873" width="2.88671875" style="18" customWidth="1"/>
    <col min="15874" max="15874" width="3.5546875" style="18" customWidth="1"/>
    <col min="15875" max="16119" width="9.109375" style="18"/>
    <col min="16120" max="16120" width="8.6640625" style="18" customWidth="1"/>
    <col min="16121" max="16121" width="9.88671875" style="18" customWidth="1"/>
    <col min="16122" max="16122" width="14.44140625" style="18" customWidth="1"/>
    <col min="16123" max="16123" width="7.33203125" style="18" customWidth="1"/>
    <col min="16124" max="16124" width="5.5546875" style="18" customWidth="1"/>
    <col min="16125" max="16125" width="9" style="18" customWidth="1"/>
    <col min="16126" max="16127" width="9.88671875" style="18" customWidth="1"/>
    <col min="16128" max="16128" width="11.109375" style="18" customWidth="1"/>
    <col min="16129" max="16129" width="2.88671875" style="18" customWidth="1"/>
    <col min="16130" max="16130" width="3.5546875" style="18" customWidth="1"/>
    <col min="16131" max="16384" width="9.109375" style="18"/>
  </cols>
  <sheetData>
    <row r="1" spans="1:26" ht="46.5" customHeight="1" x14ac:dyDescent="0.3">
      <c r="A1" s="231" t="s">
        <v>378</v>
      </c>
      <c r="B1" s="231"/>
      <c r="C1" s="231"/>
      <c r="D1" s="231"/>
      <c r="E1" s="231"/>
      <c r="F1" s="231"/>
      <c r="G1" s="231"/>
      <c r="H1" s="231"/>
    </row>
    <row r="2" spans="1:26" ht="16.5" customHeight="1" x14ac:dyDescent="0.3">
      <c r="A2" s="232" t="s">
        <v>0</v>
      </c>
      <c r="B2" s="232"/>
      <c r="C2" s="232"/>
      <c r="D2" s="232"/>
      <c r="E2" s="232"/>
      <c r="F2" s="232"/>
      <c r="G2" s="232"/>
      <c r="H2" s="232"/>
    </row>
    <row r="3" spans="1:26" x14ac:dyDescent="0.3">
      <c r="A3" s="115" t="s">
        <v>1</v>
      </c>
      <c r="B3" s="115"/>
      <c r="C3" s="115"/>
      <c r="D3" s="115"/>
      <c r="E3" s="115" t="str">
        <f ca="1">TEXT(TODAY(),"DD/MM/YYYY")</f>
        <v>08/09/2025</v>
      </c>
      <c r="F3" s="115"/>
      <c r="G3" s="115"/>
      <c r="H3" s="115"/>
      <c r="K3" s="50" t="s">
        <v>234</v>
      </c>
      <c r="L3" s="48" t="s">
        <v>232</v>
      </c>
      <c r="M3" s="48" t="s">
        <v>237</v>
      </c>
      <c r="N3" s="48" t="s">
        <v>235</v>
      </c>
      <c r="O3" s="48" t="s">
        <v>355</v>
      </c>
      <c r="P3" s="48" t="s">
        <v>381</v>
      </c>
    </row>
    <row r="4" spans="1:26" ht="15" customHeight="1" x14ac:dyDescent="0.3">
      <c r="A4" s="115" t="s">
        <v>231</v>
      </c>
      <c r="B4" s="115"/>
      <c r="C4" s="115"/>
      <c r="D4" s="115"/>
      <c r="E4" s="115" t="s">
        <v>232</v>
      </c>
      <c r="F4" s="115"/>
      <c r="G4" s="115"/>
      <c r="H4" s="115"/>
      <c r="K4" s="47" t="s">
        <v>233</v>
      </c>
      <c r="L4" s="48" t="s">
        <v>168</v>
      </c>
      <c r="M4" s="48" t="s">
        <v>242</v>
      </c>
      <c r="N4" s="48" t="s">
        <v>244</v>
      </c>
      <c r="O4" s="48" t="s">
        <v>339</v>
      </c>
      <c r="P4" s="48" t="s">
        <v>382</v>
      </c>
    </row>
    <row r="5" spans="1:26" ht="15" customHeight="1" x14ac:dyDescent="0.3">
      <c r="A5" s="115" t="s">
        <v>2</v>
      </c>
      <c r="B5" s="115"/>
      <c r="C5" s="115"/>
      <c r="D5" s="115"/>
      <c r="E5" s="115" t="s">
        <v>241</v>
      </c>
      <c r="F5" s="115"/>
      <c r="G5" s="115"/>
      <c r="H5" s="115"/>
      <c r="K5" s="47"/>
      <c r="L5" s="48" t="s">
        <v>239</v>
      </c>
      <c r="M5" s="48" t="s">
        <v>243</v>
      </c>
      <c r="N5" s="48" t="s">
        <v>245</v>
      </c>
      <c r="O5" s="48" t="s">
        <v>340</v>
      </c>
      <c r="P5" s="48"/>
    </row>
    <row r="6" spans="1:26" x14ac:dyDescent="0.3">
      <c r="A6" s="115" t="s">
        <v>3</v>
      </c>
      <c r="B6" s="115"/>
      <c r="C6" s="115"/>
      <c r="D6" s="115"/>
      <c r="E6" s="233">
        <v>45905</v>
      </c>
      <c r="F6" s="115"/>
      <c r="G6" s="115"/>
      <c r="H6" s="115"/>
      <c r="K6" s="47"/>
      <c r="L6" s="48" t="s">
        <v>240</v>
      </c>
      <c r="M6" s="48" t="s">
        <v>353</v>
      </c>
      <c r="N6" s="48"/>
      <c r="O6" s="48" t="s">
        <v>341</v>
      </c>
      <c r="P6" s="48"/>
    </row>
    <row r="7" spans="1:26" ht="16.5" customHeight="1" x14ac:dyDescent="0.3">
      <c r="A7" s="115" t="s">
        <v>464</v>
      </c>
      <c r="B7" s="115"/>
      <c r="C7" s="115"/>
      <c r="D7" s="115"/>
      <c r="E7" s="115" t="s">
        <v>387</v>
      </c>
      <c r="F7" s="115"/>
      <c r="G7" s="115"/>
      <c r="H7" s="115"/>
      <c r="K7" s="47"/>
      <c r="L7" s="48" t="s">
        <v>241</v>
      </c>
      <c r="M7" s="48"/>
      <c r="N7" s="48"/>
      <c r="O7" s="48" t="s">
        <v>341</v>
      </c>
      <c r="P7" s="48"/>
    </row>
    <row r="8" spans="1:26" ht="15" customHeight="1" x14ac:dyDescent="0.3">
      <c r="A8" s="115" t="s">
        <v>4</v>
      </c>
      <c r="B8" s="115"/>
      <c r="C8" s="115"/>
      <c r="D8" s="115"/>
      <c r="E8" s="115" t="s">
        <v>465</v>
      </c>
      <c r="F8" s="115"/>
      <c r="G8" s="115"/>
      <c r="H8" s="115"/>
      <c r="K8" s="47"/>
      <c r="L8" s="48"/>
      <c r="M8" s="48"/>
      <c r="N8" s="48"/>
      <c r="O8" s="48" t="s">
        <v>342</v>
      </c>
      <c r="P8" s="48"/>
    </row>
    <row r="9" spans="1:26" x14ac:dyDescent="0.3">
      <c r="A9" s="115" t="s">
        <v>5</v>
      </c>
      <c r="B9" s="115"/>
      <c r="C9" s="115"/>
      <c r="D9" s="115"/>
      <c r="E9" s="105" t="s">
        <v>388</v>
      </c>
      <c r="F9" s="105"/>
      <c r="G9" s="105"/>
      <c r="H9" s="105"/>
      <c r="K9" s="47"/>
      <c r="L9" s="48"/>
      <c r="M9" s="48"/>
      <c r="N9" s="48"/>
      <c r="O9" s="48" t="s">
        <v>343</v>
      </c>
      <c r="P9" s="48"/>
    </row>
    <row r="10" spans="1:26" x14ac:dyDescent="0.3">
      <c r="A10" s="115" t="s">
        <v>165</v>
      </c>
      <c r="B10" s="115"/>
      <c r="C10" s="115"/>
      <c r="D10" s="115"/>
      <c r="E10" s="115" t="s">
        <v>389</v>
      </c>
      <c r="F10" s="115"/>
      <c r="G10" s="115"/>
      <c r="H10" s="115"/>
      <c r="K10" s="47"/>
      <c r="L10" s="48"/>
      <c r="M10" s="48"/>
      <c r="N10" s="48"/>
      <c r="O10" s="48" t="s">
        <v>344</v>
      </c>
      <c r="P10" s="48"/>
    </row>
    <row r="11" spans="1:26" x14ac:dyDescent="0.3">
      <c r="A11" s="115" t="s">
        <v>166</v>
      </c>
      <c r="B11" s="115"/>
      <c r="C11" s="115"/>
      <c r="D11" s="115"/>
      <c r="E11" s="115" t="s">
        <v>390</v>
      </c>
      <c r="F11" s="115"/>
      <c r="G11" s="115"/>
      <c r="H11" s="115"/>
      <c r="O11" s="48" t="s">
        <v>345</v>
      </c>
    </row>
    <row r="12" spans="1:26" x14ac:dyDescent="0.3">
      <c r="A12" s="115" t="s">
        <v>6</v>
      </c>
      <c r="B12" s="115"/>
      <c r="C12" s="115"/>
      <c r="D12" s="115"/>
      <c r="E12" s="115" t="s">
        <v>118</v>
      </c>
      <c r="F12" s="115"/>
      <c r="G12" s="115"/>
      <c r="H12" s="115"/>
    </row>
    <row r="13" spans="1:26" x14ac:dyDescent="0.3">
      <c r="A13" s="115" t="s">
        <v>169</v>
      </c>
      <c r="B13" s="115"/>
      <c r="C13" s="115"/>
      <c r="D13" s="115"/>
      <c r="E13" s="115" t="s">
        <v>27</v>
      </c>
      <c r="F13" s="115"/>
      <c r="G13" s="115"/>
      <c r="H13" s="115"/>
      <c r="S13" s="48" t="s">
        <v>177</v>
      </c>
      <c r="T13" s="48" t="s">
        <v>186</v>
      </c>
      <c r="U13" s="48" t="s">
        <v>170</v>
      </c>
      <c r="V13" s="48" t="s">
        <v>191</v>
      </c>
      <c r="W13" s="48" t="s">
        <v>209</v>
      </c>
      <c r="X13"/>
      <c r="Y13" t="s">
        <v>191</v>
      </c>
      <c r="Z13" t="e">
        <f ca="1">OFFSET($S$13,1,MATCH($G20,$S$13:$W$13,0)-1,15,1)</f>
        <v>#VALUE!</v>
      </c>
    </row>
    <row r="14" spans="1:26" x14ac:dyDescent="0.3">
      <c r="A14" s="115" t="s">
        <v>277</v>
      </c>
      <c r="B14" s="115"/>
      <c r="C14" s="115"/>
      <c r="D14" s="115"/>
      <c r="E14" s="116" t="s">
        <v>391</v>
      </c>
      <c r="F14" s="116"/>
      <c r="G14" s="116"/>
      <c r="H14" s="116"/>
      <c r="S14" s="48" t="s">
        <v>177</v>
      </c>
      <c r="T14" s="48" t="s">
        <v>184</v>
      </c>
      <c r="U14" s="48" t="s">
        <v>206</v>
      </c>
      <c r="V14" s="48" t="s">
        <v>192</v>
      </c>
      <c r="W14" s="48" t="s">
        <v>210</v>
      </c>
      <c r="X14"/>
      <c r="Y14"/>
      <c r="Z14"/>
    </row>
    <row r="15" spans="1:26" x14ac:dyDescent="0.3">
      <c r="A15" s="111" t="s">
        <v>7</v>
      </c>
      <c r="B15" s="111"/>
      <c r="C15" s="111"/>
      <c r="D15" s="111"/>
      <c r="E15" s="116" t="s">
        <v>392</v>
      </c>
      <c r="F15" s="115"/>
      <c r="G15" s="115"/>
      <c r="H15" s="115"/>
      <c r="I15" s="245" t="e">
        <f ca="1">OFFSET($D$5,1,MATCH($J13,$D$5:$H$5,0)-1,15,1)</f>
        <v>#N/A</v>
      </c>
      <c r="J15" s="246"/>
      <c r="K15" s="246"/>
      <c r="L15" s="246"/>
      <c r="M15" s="246"/>
      <c r="N15" s="246"/>
      <c r="O15" s="246"/>
      <c r="P15" s="246"/>
      <c r="S15" s="48" t="s">
        <v>178</v>
      </c>
      <c r="T15" s="48" t="s">
        <v>185</v>
      </c>
      <c r="U15" s="48" t="s">
        <v>207</v>
      </c>
      <c r="V15" s="48" t="s">
        <v>193</v>
      </c>
      <c r="W15" s="48" t="s">
        <v>223</v>
      </c>
      <c r="X15"/>
      <c r="Y15"/>
      <c r="Z15"/>
    </row>
    <row r="16" spans="1:26" ht="48.75" customHeight="1" x14ac:dyDescent="0.3">
      <c r="A16" s="112" t="s">
        <v>8</v>
      </c>
      <c r="B16" s="112"/>
      <c r="C16" s="112" t="str">
        <f>CONCATENATE((IF(OR(E9="",E9="NA"),"",E9)),", ",(IF(OR(A17="",A17="NA"),"",A17)),".",(IF(OR(C17="",C17="NA"),"",C17)),", near ",(IF(OR(C22="",C22="NA"),"",C22)),", ",(IF(OR(C19="",C19="NA"),"",C19)),", ",(IF(OR(C18="",C18="NA"),"",C18)),", ",(IF(OR(G19="",G19="NA"),"",G19)),", ",(IF(OR(C20="",C20="NA"),"",C20)),", ",(IF(OR(C21="",C21="NA"),"",C21)),", ",(IF(OR(G20="",G20="NA"),"",G20))," - ",(IF(OR(G21="",G21="NA"),"",G21)),".")</f>
        <v>Vedant Connect, Survey No.34/A/1B, 35/1/1/B &amp; 36/5/B, near Shiv-prem Auto Circle, Bhiwandi - Murbad Road, Usha Nagar, Chikanghar, Shahad West, Kalyan, Thane - 421301.</v>
      </c>
      <c r="D16" s="112"/>
      <c r="E16" s="112"/>
      <c r="F16" s="112"/>
      <c r="G16" s="112"/>
      <c r="H16" s="112"/>
      <c r="S16" s="48" t="s">
        <v>179</v>
      </c>
      <c r="T16" s="48" t="s">
        <v>187</v>
      </c>
      <c r="U16" s="48" t="s">
        <v>208</v>
      </c>
      <c r="V16" s="48" t="s">
        <v>194</v>
      </c>
      <c r="W16" s="48" t="s">
        <v>211</v>
      </c>
      <c r="X16"/>
      <c r="Y16"/>
      <c r="Z16"/>
    </row>
    <row r="17" spans="1:26" x14ac:dyDescent="0.3">
      <c r="A17" s="116" t="s">
        <v>394</v>
      </c>
      <c r="B17" s="116"/>
      <c r="C17" s="116" t="s">
        <v>393</v>
      </c>
      <c r="D17" s="116"/>
      <c r="E17" s="116"/>
      <c r="F17" s="116"/>
      <c r="G17" s="116"/>
      <c r="H17" s="116"/>
      <c r="S17" s="48" t="s">
        <v>180</v>
      </c>
      <c r="T17" s="48" t="s">
        <v>188</v>
      </c>
      <c r="U17" s="48" t="s">
        <v>170</v>
      </c>
      <c r="V17" s="48" t="s">
        <v>195</v>
      </c>
      <c r="W17" s="48" t="s">
        <v>212</v>
      </c>
      <c r="X17"/>
      <c r="Y17"/>
      <c r="Z17"/>
    </row>
    <row r="18" spans="1:26" ht="15.75" customHeight="1" x14ac:dyDescent="0.3">
      <c r="A18" s="116" t="s">
        <v>161</v>
      </c>
      <c r="B18" s="116"/>
      <c r="C18" s="116" t="s">
        <v>400</v>
      </c>
      <c r="D18" s="116"/>
      <c r="E18" s="116"/>
      <c r="F18" s="116"/>
      <c r="G18" s="116"/>
      <c r="H18" s="116"/>
      <c r="S18" s="48" t="s">
        <v>181</v>
      </c>
      <c r="T18" s="48" t="s">
        <v>186</v>
      </c>
      <c r="U18" s="48"/>
      <c r="V18" s="48" t="s">
        <v>196</v>
      </c>
      <c r="W18" s="48" t="s">
        <v>213</v>
      </c>
      <c r="X18"/>
      <c r="Y18"/>
      <c r="Z18"/>
    </row>
    <row r="19" spans="1:26" ht="15.75" customHeight="1" x14ac:dyDescent="0.3">
      <c r="A19" s="116" t="s">
        <v>9</v>
      </c>
      <c r="B19" s="116"/>
      <c r="C19" s="115" t="s">
        <v>397</v>
      </c>
      <c r="D19" s="115"/>
      <c r="E19" s="116" t="s">
        <v>68</v>
      </c>
      <c r="F19" s="116"/>
      <c r="G19" s="116" t="s">
        <v>398</v>
      </c>
      <c r="H19" s="116"/>
      <c r="S19" s="48" t="s">
        <v>182</v>
      </c>
      <c r="T19" s="48" t="s">
        <v>189</v>
      </c>
      <c r="U19" s="48"/>
      <c r="V19" s="48" t="s">
        <v>197</v>
      </c>
      <c r="W19" s="48" t="s">
        <v>214</v>
      </c>
      <c r="X19"/>
      <c r="Y19"/>
      <c r="Z19"/>
    </row>
    <row r="20" spans="1:26" x14ac:dyDescent="0.3">
      <c r="A20" s="115" t="s">
        <v>11</v>
      </c>
      <c r="B20" s="115"/>
      <c r="C20" s="116" t="s">
        <v>455</v>
      </c>
      <c r="D20" s="116"/>
      <c r="E20" s="116" t="s">
        <v>10</v>
      </c>
      <c r="F20" s="116"/>
      <c r="G20" s="230" t="s">
        <v>177</v>
      </c>
      <c r="H20" s="230"/>
      <c r="S20" s="48" t="s">
        <v>183</v>
      </c>
      <c r="T20" s="48" t="s">
        <v>190</v>
      </c>
      <c r="U20" s="48"/>
      <c r="V20" s="48" t="s">
        <v>198</v>
      </c>
      <c r="W20" s="48" t="s">
        <v>215</v>
      </c>
      <c r="X20"/>
      <c r="Y20"/>
      <c r="Z20"/>
    </row>
    <row r="21" spans="1:26" x14ac:dyDescent="0.3">
      <c r="A21" s="115" t="s">
        <v>69</v>
      </c>
      <c r="B21" s="115"/>
      <c r="C21" s="116" t="s">
        <v>179</v>
      </c>
      <c r="D21" s="116"/>
      <c r="E21" s="116" t="s">
        <v>12</v>
      </c>
      <c r="F21" s="116"/>
      <c r="G21" s="116">
        <v>421301</v>
      </c>
      <c r="H21" s="116"/>
      <c r="S21" s="48"/>
      <c r="T21" s="48"/>
      <c r="U21" s="48"/>
      <c r="V21" s="48" t="s">
        <v>199</v>
      </c>
      <c r="W21" s="48" t="s">
        <v>216</v>
      </c>
      <c r="X21"/>
      <c r="Y21"/>
      <c r="Z21"/>
    </row>
    <row r="22" spans="1:26" ht="32.25" customHeight="1" x14ac:dyDescent="0.3">
      <c r="A22" s="115" t="s">
        <v>119</v>
      </c>
      <c r="B22" s="115"/>
      <c r="C22" s="116" t="s">
        <v>399</v>
      </c>
      <c r="D22" s="116"/>
      <c r="E22" s="116" t="s">
        <v>13</v>
      </c>
      <c r="F22" s="116"/>
      <c r="G22" s="116" t="s">
        <v>462</v>
      </c>
      <c r="H22" s="116"/>
      <c r="S22" s="48"/>
      <c r="T22" s="48"/>
      <c r="U22" s="48"/>
      <c r="V22" s="48" t="s">
        <v>200</v>
      </c>
      <c r="W22" s="48" t="s">
        <v>217</v>
      </c>
      <c r="X22"/>
      <c r="Y22"/>
      <c r="Z22"/>
    </row>
    <row r="23" spans="1:26" ht="15" customHeight="1" x14ac:dyDescent="0.3">
      <c r="A23" s="112" t="s">
        <v>71</v>
      </c>
      <c r="B23" s="112"/>
      <c r="C23" s="112"/>
      <c r="D23" s="112"/>
      <c r="E23" s="115" t="s">
        <v>14</v>
      </c>
      <c r="F23" s="115"/>
      <c r="G23" s="115"/>
      <c r="H23" s="115"/>
      <c r="S23" s="48"/>
      <c r="T23" s="48"/>
      <c r="U23" s="48"/>
      <c r="V23" s="48" t="s">
        <v>201</v>
      </c>
      <c r="W23" s="48" t="s">
        <v>218</v>
      </c>
      <c r="X23"/>
      <c r="Y23"/>
      <c r="Z23"/>
    </row>
    <row r="24" spans="1:26" ht="18.75" customHeight="1" x14ac:dyDescent="0.3">
      <c r="A24" s="112"/>
      <c r="B24" s="112"/>
      <c r="C24" s="112"/>
      <c r="D24" s="112"/>
      <c r="E24" s="115"/>
      <c r="F24" s="115"/>
      <c r="G24" s="115"/>
      <c r="H24" s="115"/>
      <c r="S24" s="48"/>
      <c r="T24" s="48"/>
      <c r="U24" s="48"/>
      <c r="V24" s="48" t="s">
        <v>202</v>
      </c>
      <c r="W24" s="48" t="s">
        <v>219</v>
      </c>
      <c r="X24"/>
      <c r="Y24"/>
      <c r="Z24"/>
    </row>
    <row r="25" spans="1:26" ht="15" customHeight="1" x14ac:dyDescent="0.3">
      <c r="A25" s="112" t="s">
        <v>15</v>
      </c>
      <c r="B25" s="112"/>
      <c r="C25" s="112"/>
      <c r="D25" s="112"/>
      <c r="E25" s="116" t="s">
        <v>16</v>
      </c>
      <c r="F25" s="116"/>
      <c r="G25" s="116"/>
      <c r="H25" s="116"/>
      <c r="S25" s="48"/>
      <c r="T25" s="48"/>
      <c r="U25" s="48"/>
      <c r="V25" s="48" t="s">
        <v>203</v>
      </c>
      <c r="W25" s="48" t="s">
        <v>220</v>
      </c>
      <c r="X25"/>
      <c r="Y25"/>
      <c r="Z25"/>
    </row>
    <row r="26" spans="1:26" ht="15" customHeight="1" x14ac:dyDescent="0.3">
      <c r="A26" s="111" t="s">
        <v>17</v>
      </c>
      <c r="B26" s="111"/>
      <c r="C26" s="111"/>
      <c r="D26" s="111"/>
      <c r="E26" s="116" t="str">
        <f>IF(AND(G20="Mumbai"),"Upper Class","Middle Class")</f>
        <v>Middle Class</v>
      </c>
      <c r="F26" s="116"/>
      <c r="G26" s="116"/>
      <c r="H26" s="116"/>
      <c r="S26" s="48"/>
      <c r="T26" s="48"/>
      <c r="U26" s="48"/>
      <c r="V26" s="48" t="s">
        <v>204</v>
      </c>
      <c r="W26" s="48" t="s">
        <v>221</v>
      </c>
      <c r="X26"/>
      <c r="Y26"/>
      <c r="Z26"/>
    </row>
    <row r="27" spans="1:26" x14ac:dyDescent="0.3">
      <c r="A27" s="111" t="s">
        <v>18</v>
      </c>
      <c r="B27" s="111"/>
      <c r="C27" s="111"/>
      <c r="D27" s="111"/>
      <c r="E27" s="116" t="s">
        <v>19</v>
      </c>
      <c r="F27" s="116"/>
      <c r="G27" s="116"/>
      <c r="H27" s="116"/>
      <c r="S27" s="48"/>
      <c r="T27" s="48"/>
      <c r="U27" s="48"/>
      <c r="V27" s="48" t="s">
        <v>205</v>
      </c>
      <c r="W27" s="48" t="s">
        <v>222</v>
      </c>
      <c r="X27"/>
      <c r="Y27"/>
      <c r="Z27"/>
    </row>
    <row r="28" spans="1:26" ht="15.75" customHeight="1" x14ac:dyDescent="0.3">
      <c r="A28" s="111" t="s">
        <v>20</v>
      </c>
      <c r="B28" s="111"/>
      <c r="C28" s="111"/>
      <c r="D28" s="111"/>
      <c r="E28" s="116" t="str">
        <f>IF(AND(G20="Mumbai"),"Developed","Developing")</f>
        <v>Developing</v>
      </c>
      <c r="F28" s="116"/>
      <c r="G28" s="116"/>
      <c r="H28" s="116"/>
    </row>
    <row r="29" spans="1:26" x14ac:dyDescent="0.3">
      <c r="A29" s="111" t="s">
        <v>21</v>
      </c>
      <c r="B29" s="111"/>
      <c r="C29" s="111"/>
      <c r="D29" s="111"/>
      <c r="E29" s="116" t="s">
        <v>22</v>
      </c>
      <c r="F29" s="116"/>
      <c r="G29" s="116"/>
      <c r="H29" s="116"/>
    </row>
    <row r="30" spans="1:26" ht="15.75" customHeight="1" x14ac:dyDescent="0.3">
      <c r="A30" s="111" t="s">
        <v>76</v>
      </c>
      <c r="B30" s="111"/>
      <c r="C30" s="111"/>
      <c r="D30" s="111"/>
      <c r="E30" s="116" t="s">
        <v>77</v>
      </c>
      <c r="F30" s="116"/>
      <c r="G30" s="116"/>
      <c r="H30" s="116"/>
    </row>
    <row r="31" spans="1:26" ht="15" customHeight="1" x14ac:dyDescent="0.3">
      <c r="A31" s="111" t="s">
        <v>29</v>
      </c>
      <c r="B31" s="111"/>
      <c r="C31" s="111"/>
      <c r="D31" s="111"/>
      <c r="E31" s="116" t="str">
        <f>IF(AND(ISNUMBER(SEARCH("Flat",D66)),ISNUMBER(SEARCH("Shop",D66)),ISNUMBER(SEARCH("Office",D66))),"Residential + Commercial",IF(AND(ISNUMBER(SEARCH("Flat",D66)),ISNUMBER(SEARCH("Shop",D66))),"Residential + Commercial",IF(AND(ISNUMBER(SEARCH("Flat",D66)),ISNUMBER(SEARCH("Office",D66))),"Residential + Commercial",IF(AND(ISNUMBER(SEARCH("Shop",D66)),ISNUMBER(SEARCH("Office",D66))),"Commercial",IF(ISNUMBER(SEARCH("Shop",D66)),"Commercial",IF(ISNUMBER(SEARCH("Office",D66)),"Commercial",IF(ISNUMBER(SEARCH("Flat",D66)),"Residential")))))))</f>
        <v>Commercial</v>
      </c>
      <c r="F31" s="116"/>
      <c r="G31" s="116"/>
      <c r="H31" s="116"/>
    </row>
    <row r="32" spans="1:26" ht="15.75" customHeight="1" x14ac:dyDescent="0.3">
      <c r="A32" s="111" t="s">
        <v>88</v>
      </c>
      <c r="B32" s="111"/>
      <c r="C32" s="111"/>
      <c r="D32" s="111"/>
      <c r="E32" s="116" t="s">
        <v>30</v>
      </c>
      <c r="F32" s="116"/>
      <c r="G32" s="116"/>
      <c r="H32" s="116"/>
    </row>
    <row r="33" spans="1:19" s="19" customFormat="1" x14ac:dyDescent="0.3">
      <c r="A33" s="229" t="s">
        <v>89</v>
      </c>
      <c r="B33" s="229"/>
      <c r="C33" s="226" t="s">
        <v>171</v>
      </c>
      <c r="D33" s="227"/>
      <c r="E33" s="228"/>
      <c r="F33" s="226" t="s">
        <v>28</v>
      </c>
      <c r="G33" s="227"/>
      <c r="H33" s="228"/>
      <c r="S33" s="19" t="e">
        <f ca="1">OFFSET($S$13,1,MATCH($G20,$S$13:$W$13,0)-1,15,1)</f>
        <v>#VALUE!</v>
      </c>
    </row>
    <row r="34" spans="1:19" s="19" customFormat="1" x14ac:dyDescent="0.3">
      <c r="A34" s="219" t="s">
        <v>23</v>
      </c>
      <c r="B34" s="219" t="s">
        <v>27</v>
      </c>
      <c r="C34" s="220" t="s">
        <v>403</v>
      </c>
      <c r="D34" s="221"/>
      <c r="E34" s="222"/>
      <c r="F34" s="220" t="s">
        <v>397</v>
      </c>
      <c r="G34" s="221"/>
      <c r="H34" s="222"/>
    </row>
    <row r="35" spans="1:19" x14ac:dyDescent="0.3">
      <c r="A35" s="219" t="s">
        <v>24</v>
      </c>
      <c r="B35" s="219" t="s">
        <v>27</v>
      </c>
      <c r="C35" s="220" t="s">
        <v>402</v>
      </c>
      <c r="D35" s="221"/>
      <c r="E35" s="222"/>
      <c r="F35" s="220" t="s">
        <v>406</v>
      </c>
      <c r="G35" s="221"/>
      <c r="H35" s="222"/>
    </row>
    <row r="36" spans="1:19" s="19" customFormat="1" x14ac:dyDescent="0.3">
      <c r="A36" s="219" t="s">
        <v>26</v>
      </c>
      <c r="B36" s="219" t="s">
        <v>27</v>
      </c>
      <c r="C36" s="220" t="s">
        <v>401</v>
      </c>
      <c r="D36" s="221"/>
      <c r="E36" s="222"/>
      <c r="F36" s="220" t="s">
        <v>404</v>
      </c>
      <c r="G36" s="221"/>
      <c r="H36" s="222"/>
    </row>
    <row r="37" spans="1:19" x14ac:dyDescent="0.3">
      <c r="A37" s="219" t="s">
        <v>25</v>
      </c>
      <c r="B37" s="219" t="s">
        <v>27</v>
      </c>
      <c r="C37" s="220" t="s">
        <v>402</v>
      </c>
      <c r="D37" s="221"/>
      <c r="E37" s="222"/>
      <c r="F37" s="220" t="s">
        <v>405</v>
      </c>
      <c r="G37" s="221"/>
      <c r="H37" s="222"/>
    </row>
    <row r="38" spans="1:19" x14ac:dyDescent="0.3">
      <c r="A38" s="111" t="s">
        <v>278</v>
      </c>
      <c r="B38" s="111"/>
      <c r="C38" s="111"/>
      <c r="D38" s="111"/>
      <c r="E38" s="111"/>
      <c r="F38" s="111"/>
      <c r="G38" s="111"/>
      <c r="H38" s="111"/>
    </row>
    <row r="39" spans="1:19" ht="15.75" customHeight="1" x14ac:dyDescent="0.3">
      <c r="A39" s="111" t="s">
        <v>163</v>
      </c>
      <c r="B39" s="111"/>
      <c r="C39" s="186" t="s">
        <v>395</v>
      </c>
      <c r="D39" s="186"/>
      <c r="E39" s="186"/>
      <c r="F39" s="186"/>
      <c r="G39" s="186"/>
      <c r="H39" s="186"/>
    </row>
    <row r="40" spans="1:19" x14ac:dyDescent="0.3">
      <c r="A40" s="111" t="s">
        <v>160</v>
      </c>
      <c r="B40" s="111"/>
      <c r="C40" s="205" t="s">
        <v>396</v>
      </c>
      <c r="D40" s="116"/>
      <c r="E40" s="116"/>
      <c r="F40" s="116"/>
      <c r="G40" s="116"/>
      <c r="H40" s="116"/>
    </row>
    <row r="41" spans="1:19" x14ac:dyDescent="0.3">
      <c r="A41" s="223" t="s">
        <v>31</v>
      </c>
      <c r="B41" s="224"/>
      <c r="C41" s="224"/>
      <c r="D41" s="224"/>
      <c r="E41" s="224"/>
      <c r="F41" s="224"/>
      <c r="G41" s="224"/>
      <c r="H41" s="225"/>
    </row>
    <row r="42" spans="1:19" x14ac:dyDescent="0.3">
      <c r="A42" s="111" t="s">
        <v>32</v>
      </c>
      <c r="B42" s="111"/>
      <c r="C42" s="111"/>
      <c r="D42" s="111"/>
      <c r="E42" s="202">
        <v>3873.01</v>
      </c>
      <c r="F42" s="202"/>
      <c r="G42" s="202"/>
      <c r="H42" s="202"/>
    </row>
    <row r="43" spans="1:19" x14ac:dyDescent="0.3">
      <c r="A43" s="111" t="s">
        <v>407</v>
      </c>
      <c r="B43" s="111"/>
      <c r="C43" s="111"/>
      <c r="D43" s="111"/>
      <c r="E43" s="202">
        <v>2473.0100000000002</v>
      </c>
      <c r="F43" s="202"/>
      <c r="G43" s="202"/>
      <c r="H43" s="202"/>
    </row>
    <row r="44" spans="1:19" x14ac:dyDescent="0.3">
      <c r="A44" s="111" t="s">
        <v>33</v>
      </c>
      <c r="B44" s="111"/>
      <c r="C44" s="111"/>
      <c r="D44" s="111"/>
      <c r="E44" s="203">
        <f>2720.31/E43</f>
        <v>1.0999995956344697</v>
      </c>
      <c r="F44" s="203"/>
      <c r="G44" s="203"/>
      <c r="H44" s="203"/>
    </row>
    <row r="45" spans="1:19" x14ac:dyDescent="0.3">
      <c r="A45" s="111" t="s">
        <v>34</v>
      </c>
      <c r="B45" s="111"/>
      <c r="C45" s="111"/>
      <c r="D45" s="111"/>
      <c r="E45" s="203">
        <f>E47/E42-E44</f>
        <v>2.34708419707456</v>
      </c>
      <c r="F45" s="203"/>
      <c r="G45" s="203"/>
      <c r="H45" s="203"/>
    </row>
    <row r="46" spans="1:19" x14ac:dyDescent="0.3">
      <c r="A46" s="111" t="s">
        <v>35</v>
      </c>
      <c r="B46" s="111"/>
      <c r="C46" s="111"/>
      <c r="D46" s="111"/>
      <c r="E46" s="203">
        <f>E44+E45</f>
        <v>3.4470837927090296</v>
      </c>
      <c r="F46" s="203"/>
      <c r="G46" s="203"/>
      <c r="H46" s="203"/>
    </row>
    <row r="47" spans="1:19" x14ac:dyDescent="0.3">
      <c r="A47" s="111" t="s">
        <v>87</v>
      </c>
      <c r="B47" s="111"/>
      <c r="C47" s="111"/>
      <c r="D47" s="111"/>
      <c r="E47" s="204">
        <v>13350.59</v>
      </c>
      <c r="F47" s="204"/>
      <c r="G47" s="204"/>
      <c r="H47" s="204"/>
    </row>
    <row r="48" spans="1:19" x14ac:dyDescent="0.3">
      <c r="A48" s="115" t="s">
        <v>36</v>
      </c>
      <c r="B48" s="115"/>
      <c r="C48" s="115"/>
      <c r="D48" s="115"/>
      <c r="E48" s="115" t="s">
        <v>118</v>
      </c>
      <c r="F48" s="115"/>
      <c r="G48" s="115"/>
      <c r="H48" s="115"/>
    </row>
    <row r="49" spans="1:24" x14ac:dyDescent="0.3">
      <c r="A49" s="186" t="s">
        <v>37</v>
      </c>
      <c r="B49" s="186"/>
      <c r="C49" s="186"/>
      <c r="D49" s="186"/>
      <c r="E49" s="186"/>
      <c r="F49" s="186"/>
      <c r="G49" s="186"/>
      <c r="H49" s="186"/>
    </row>
    <row r="50" spans="1:24" ht="33.75" customHeight="1" x14ac:dyDescent="0.3">
      <c r="A50" s="99" t="s">
        <v>151</v>
      </c>
      <c r="B50" s="100"/>
      <c r="C50" s="206" t="s">
        <v>408</v>
      </c>
      <c r="D50" s="207"/>
      <c r="E50" s="207"/>
      <c r="F50" s="207"/>
      <c r="G50" s="207"/>
      <c r="H50" s="208"/>
      <c r="R50" t="s">
        <v>251</v>
      </c>
      <c r="S50" s="51" t="s">
        <v>170</v>
      </c>
      <c r="T50" s="51" t="s">
        <v>177</v>
      </c>
      <c r="U50" s="51" t="s">
        <v>191</v>
      </c>
      <c r="V50" s="51" t="s">
        <v>186</v>
      </c>
    </row>
    <row r="51" spans="1:24" ht="15.75" customHeight="1" x14ac:dyDescent="0.3">
      <c r="A51" s="99" t="s">
        <v>38</v>
      </c>
      <c r="B51" s="100"/>
      <c r="C51" s="99" t="s">
        <v>409</v>
      </c>
      <c r="D51" s="167"/>
      <c r="E51" s="100"/>
      <c r="F51" s="17" t="s">
        <v>39</v>
      </c>
      <c r="G51" s="101">
        <v>45715</v>
      </c>
      <c r="H51" s="102"/>
      <c r="R51"/>
      <c r="S51" s="51" t="s">
        <v>252</v>
      </c>
      <c r="T51" s="51" t="s">
        <v>257</v>
      </c>
      <c r="U51" s="51" t="s">
        <v>268</v>
      </c>
      <c r="V51" s="51" t="s">
        <v>273</v>
      </c>
    </row>
    <row r="52" spans="1:24" x14ac:dyDescent="0.3">
      <c r="A52" s="99" t="s">
        <v>40</v>
      </c>
      <c r="B52" s="100"/>
      <c r="C52" s="99" t="str">
        <f>C51</f>
        <v>KDMCC/RB/2025/APL/00140</v>
      </c>
      <c r="D52" s="167"/>
      <c r="E52" s="100"/>
      <c r="F52" s="17" t="s">
        <v>39</v>
      </c>
      <c r="G52" s="101">
        <f>G51</f>
        <v>45715</v>
      </c>
      <c r="H52" s="102"/>
      <c r="R52"/>
      <c r="S52" s="51" t="s">
        <v>253</v>
      </c>
      <c r="T52" s="51" t="s">
        <v>356</v>
      </c>
      <c r="U52" s="51" t="s">
        <v>266</v>
      </c>
      <c r="V52" s="51" t="s">
        <v>274</v>
      </c>
    </row>
    <row r="53" spans="1:24" s="20" customFormat="1" ht="15.75" customHeight="1" x14ac:dyDescent="0.3">
      <c r="A53" s="190" t="s">
        <v>155</v>
      </c>
      <c r="B53" s="191"/>
      <c r="C53" s="190" t="str">
        <f>C52</f>
        <v>KDMCC/RB/2025/APL/00140</v>
      </c>
      <c r="D53" s="196"/>
      <c r="E53" s="191"/>
      <c r="F53" s="17" t="s">
        <v>39</v>
      </c>
      <c r="G53" s="101">
        <f>G52</f>
        <v>45715</v>
      </c>
      <c r="H53" s="102"/>
      <c r="I53" s="19" t="str">
        <f ca="1">IF(G53&gt;EDATE(E3,-48),"NO REMARK","CC REMARK FOR CC")</f>
        <v>NO REMARK</v>
      </c>
      <c r="J53" s="71"/>
      <c r="R53"/>
      <c r="S53" s="51" t="s">
        <v>254</v>
      </c>
      <c r="T53" s="51" t="s">
        <v>259</v>
      </c>
      <c r="U53" s="51" t="s">
        <v>256</v>
      </c>
      <c r="V53" s="51" t="s">
        <v>275</v>
      </c>
    </row>
    <row r="54" spans="1:24" s="20" customFormat="1" ht="33.75" hidden="1" customHeight="1" x14ac:dyDescent="0.3">
      <c r="A54" s="192"/>
      <c r="B54" s="193"/>
      <c r="C54" s="194"/>
      <c r="D54" s="197"/>
      <c r="E54" s="195"/>
      <c r="F54" s="17"/>
      <c r="G54" s="99"/>
      <c r="H54" s="100"/>
      <c r="R54"/>
      <c r="S54" s="51" t="s">
        <v>255</v>
      </c>
      <c r="T54" s="51" t="s">
        <v>262</v>
      </c>
      <c r="U54" s="51" t="s">
        <v>269</v>
      </c>
      <c r="V54" s="67" t="s">
        <v>348</v>
      </c>
    </row>
    <row r="55" spans="1:24" s="20" customFormat="1" x14ac:dyDescent="0.3">
      <c r="A55" s="194"/>
      <c r="B55" s="195"/>
      <c r="C55" s="99" t="s">
        <v>410</v>
      </c>
      <c r="D55" s="167"/>
      <c r="E55" s="167"/>
      <c r="F55" s="167"/>
      <c r="G55" s="167"/>
      <c r="H55" s="100"/>
      <c r="R55"/>
      <c r="S55" s="51"/>
      <c r="T55" s="51"/>
      <c r="U55" s="51"/>
      <c r="V55" s="67"/>
    </row>
    <row r="56" spans="1:24" s="20" customFormat="1" hidden="1" x14ac:dyDescent="0.3">
      <c r="A56" s="198" t="s">
        <v>279</v>
      </c>
      <c r="B56" s="199"/>
      <c r="C56" s="99">
        <f>C54</f>
        <v>0</v>
      </c>
      <c r="D56" s="167"/>
      <c r="E56" s="100"/>
      <c r="F56" s="17" t="s">
        <v>39</v>
      </c>
      <c r="G56" s="101"/>
      <c r="H56" s="102"/>
      <c r="K56" s="72">
        <f>EDATE(G53,-48)</f>
        <v>44254</v>
      </c>
      <c r="L56" s="20" t="str">
        <f ca="1">IF(G53&gt;EDATE(E3,-48),"NO REMARK","CC REMARK FOR CC")</f>
        <v>NO REMARK</v>
      </c>
      <c r="R56"/>
      <c r="S56" s="51" t="s">
        <v>254</v>
      </c>
      <c r="T56" s="51" t="s">
        <v>408</v>
      </c>
      <c r="U56" s="51" t="s">
        <v>256</v>
      </c>
      <c r="V56" s="51" t="s">
        <v>275</v>
      </c>
    </row>
    <row r="57" spans="1:24" s="20" customFormat="1" ht="32.25" hidden="1" customHeight="1" x14ac:dyDescent="0.3">
      <c r="A57" s="200"/>
      <c r="B57" s="201"/>
      <c r="C57" s="187"/>
      <c r="D57" s="188"/>
      <c r="E57" s="188"/>
      <c r="F57" s="188"/>
      <c r="G57" s="188"/>
      <c r="H57" s="189"/>
      <c r="R57"/>
      <c r="S57" s="51" t="s">
        <v>256</v>
      </c>
      <c r="T57" s="51" t="s">
        <v>260</v>
      </c>
      <c r="U57" s="51" t="s">
        <v>270</v>
      </c>
      <c r="V57" s="68"/>
      <c r="W57" s="18"/>
      <c r="X57" s="18"/>
    </row>
    <row r="58" spans="1:24" s="20" customFormat="1" ht="34.5" hidden="1" customHeight="1" x14ac:dyDescent="0.3">
      <c r="A58" s="198" t="s">
        <v>280</v>
      </c>
      <c r="B58" s="199"/>
      <c r="C58" s="99">
        <f>C57</f>
        <v>0</v>
      </c>
      <c r="D58" s="167"/>
      <c r="E58" s="100"/>
      <c r="F58" s="17" t="s">
        <v>39</v>
      </c>
      <c r="G58" s="101">
        <f>G57</f>
        <v>0</v>
      </c>
      <c r="H58" s="102"/>
      <c r="R58"/>
      <c r="S58" s="68"/>
      <c r="T58" s="51" t="s">
        <v>261</v>
      </c>
      <c r="U58" s="51" t="s">
        <v>271</v>
      </c>
      <c r="V58" s="68"/>
      <c r="W58" s="18"/>
      <c r="X58" s="18"/>
    </row>
    <row r="59" spans="1:24" s="20" customFormat="1" ht="41.25" hidden="1" customHeight="1" x14ac:dyDescent="0.3">
      <c r="A59" s="200"/>
      <c r="B59" s="201"/>
      <c r="C59" s="99"/>
      <c r="D59" s="167"/>
      <c r="E59" s="167"/>
      <c r="F59" s="167"/>
      <c r="G59" s="167"/>
      <c r="H59" s="100"/>
      <c r="R59"/>
      <c r="S59" s="68"/>
      <c r="T59" s="51" t="s">
        <v>263</v>
      </c>
      <c r="U59" s="51" t="s">
        <v>272</v>
      </c>
      <c r="V59" s="68"/>
      <c r="W59" s="18"/>
      <c r="X59" s="18"/>
    </row>
    <row r="60" spans="1:24" s="20" customFormat="1" ht="15.75" hidden="1" customHeight="1" x14ac:dyDescent="0.3">
      <c r="A60" s="198" t="s">
        <v>351</v>
      </c>
      <c r="B60" s="199"/>
      <c r="C60" s="213"/>
      <c r="D60" s="214"/>
      <c r="E60" s="215"/>
      <c r="F60" s="17" t="s">
        <v>39</v>
      </c>
      <c r="G60" s="101"/>
      <c r="H60" s="102"/>
      <c r="R60"/>
      <c r="S60" s="68"/>
      <c r="T60" s="51" t="s">
        <v>264</v>
      </c>
      <c r="U60" s="68" t="s">
        <v>294</v>
      </c>
      <c r="V60" s="68"/>
      <c r="W60" s="18"/>
      <c r="X60" s="18"/>
    </row>
    <row r="61" spans="1:24" s="20" customFormat="1" ht="33.75" hidden="1" customHeight="1" x14ac:dyDescent="0.3">
      <c r="A61" s="211"/>
      <c r="B61" s="212"/>
      <c r="C61" s="216"/>
      <c r="D61" s="217"/>
      <c r="E61" s="218"/>
      <c r="F61" s="17" t="s">
        <v>352</v>
      </c>
      <c r="G61" s="101"/>
      <c r="H61" s="102"/>
      <c r="R61"/>
      <c r="S61" s="68"/>
      <c r="T61" s="51" t="s">
        <v>265</v>
      </c>
      <c r="U61" s="68"/>
      <c r="V61" s="68"/>
      <c r="W61" s="18"/>
      <c r="X61" s="18"/>
    </row>
    <row r="62" spans="1:24" s="20" customFormat="1" ht="33.75" hidden="1" customHeight="1" x14ac:dyDescent="0.3">
      <c r="A62" s="200"/>
      <c r="B62" s="201"/>
      <c r="C62" s="99" t="s">
        <v>374</v>
      </c>
      <c r="D62" s="167"/>
      <c r="E62" s="167"/>
      <c r="F62" s="167"/>
      <c r="G62" s="167"/>
      <c r="H62" s="100"/>
      <c r="R62"/>
      <c r="S62" s="68"/>
      <c r="T62" s="51"/>
      <c r="U62" s="68"/>
      <c r="V62" s="68"/>
      <c r="W62" s="18"/>
      <c r="X62" s="18"/>
    </row>
    <row r="63" spans="1:24" x14ac:dyDescent="0.3">
      <c r="A63" s="248" t="s">
        <v>41</v>
      </c>
      <c r="B63" s="249"/>
      <c r="C63" s="248" t="s">
        <v>101</v>
      </c>
      <c r="D63" s="250"/>
      <c r="E63" s="249"/>
      <c r="F63" s="40" t="s">
        <v>39</v>
      </c>
      <c r="G63" s="252" t="s">
        <v>27</v>
      </c>
      <c r="H63" s="253"/>
      <c r="R63"/>
      <c r="S63" s="68"/>
      <c r="T63" s="51" t="s">
        <v>267</v>
      </c>
      <c r="U63" s="68"/>
      <c r="V63" s="68"/>
    </row>
    <row r="64" spans="1:24" x14ac:dyDescent="0.3">
      <c r="A64" s="103" t="s">
        <v>43</v>
      </c>
      <c r="B64" s="103"/>
      <c r="C64" s="103"/>
      <c r="D64" s="103"/>
      <c r="E64" s="103"/>
      <c r="F64" s="103"/>
      <c r="G64" s="103"/>
      <c r="H64" s="103"/>
      <c r="S64" s="68"/>
      <c r="T64" s="51" t="s">
        <v>276</v>
      </c>
      <c r="U64" s="68"/>
      <c r="V64" s="68"/>
    </row>
    <row r="65" spans="1:19" x14ac:dyDescent="0.3">
      <c r="A65" s="112" t="s">
        <v>86</v>
      </c>
      <c r="B65" s="112"/>
      <c r="C65" s="112"/>
      <c r="D65" s="111">
        <f>E47</f>
        <v>13350.59</v>
      </c>
      <c r="E65" s="111"/>
      <c r="F65" s="111"/>
      <c r="G65" s="111"/>
      <c r="H65" s="111"/>
      <c r="R65"/>
    </row>
    <row r="66" spans="1:19" x14ac:dyDescent="0.3">
      <c r="A66" s="116" t="s">
        <v>44</v>
      </c>
      <c r="B66" s="115"/>
      <c r="C66" s="115"/>
      <c r="D66" s="115" t="s">
        <v>454</v>
      </c>
      <c r="E66" s="115"/>
      <c r="F66" s="115"/>
      <c r="G66" s="115"/>
      <c r="H66" s="115"/>
      <c r="I66" s="21"/>
      <c r="R66"/>
    </row>
    <row r="67" spans="1:19" x14ac:dyDescent="0.3">
      <c r="A67" s="172" t="s">
        <v>45</v>
      </c>
      <c r="B67" s="173"/>
      <c r="C67" s="174"/>
      <c r="D67" s="170" t="s">
        <v>411</v>
      </c>
      <c r="E67" s="171"/>
      <c r="F67" s="171"/>
      <c r="G67" s="171"/>
      <c r="H67" s="171"/>
      <c r="R67"/>
    </row>
    <row r="68" spans="1:19" ht="15.75" customHeight="1" x14ac:dyDescent="0.3">
      <c r="A68" s="172" t="s">
        <v>84</v>
      </c>
      <c r="B68" s="173"/>
      <c r="C68" s="173"/>
      <c r="D68" s="96" t="s">
        <v>411</v>
      </c>
      <c r="E68" s="97"/>
      <c r="F68" s="97"/>
      <c r="G68" s="97"/>
      <c r="H68" s="98"/>
      <c r="R68"/>
    </row>
    <row r="69" spans="1:19" ht="15.75" customHeight="1" x14ac:dyDescent="0.3">
      <c r="A69" s="111" t="s">
        <v>42</v>
      </c>
      <c r="B69" s="111"/>
      <c r="C69" s="111"/>
      <c r="D69" s="168" t="s">
        <v>412</v>
      </c>
      <c r="E69" s="168"/>
      <c r="F69" s="168"/>
      <c r="G69" s="168"/>
      <c r="H69" s="168"/>
      <c r="J69" s="22"/>
      <c r="K69" s="21"/>
      <c r="N69" s="21"/>
      <c r="S69"/>
    </row>
    <row r="70" spans="1:19" ht="15.75" customHeight="1" x14ac:dyDescent="0.3">
      <c r="A70" s="111" t="s">
        <v>82</v>
      </c>
      <c r="B70" s="111"/>
      <c r="C70" s="111"/>
      <c r="D70" s="169" t="str">
        <f>(IF(G63="NA","60 Years After Completion",IF(G63&lt;&gt;"NA",""&amp;60-ROUNDDOWN((E3-G63)/360,0)&amp;" Years"," ")))</f>
        <v>60 Years After Completion</v>
      </c>
      <c r="E70" s="169"/>
      <c r="F70" s="169"/>
      <c r="G70" s="169"/>
      <c r="H70" s="169"/>
      <c r="N70" s="21"/>
      <c r="S70"/>
    </row>
    <row r="71" spans="1:19" ht="15.75" customHeight="1" x14ac:dyDescent="0.3">
      <c r="A71" s="111" t="s">
        <v>83</v>
      </c>
      <c r="B71" s="111"/>
      <c r="C71" s="111"/>
      <c r="D71" s="112" t="s">
        <v>22</v>
      </c>
      <c r="E71" s="112"/>
      <c r="F71" s="112"/>
      <c r="G71" s="112"/>
      <c r="H71" s="112"/>
      <c r="J71" s="23"/>
      <c r="K71" s="23"/>
      <c r="S71"/>
    </row>
    <row r="72" spans="1:19" ht="38.4" customHeight="1" x14ac:dyDescent="0.3">
      <c r="A72" s="115" t="s">
        <v>413</v>
      </c>
      <c r="B72" s="115"/>
      <c r="C72" s="115"/>
      <c r="D72" s="116" t="s">
        <v>414</v>
      </c>
      <c r="E72" s="112"/>
      <c r="F72" s="112"/>
      <c r="G72" s="112"/>
      <c r="H72" s="112"/>
      <c r="S72"/>
    </row>
    <row r="73" spans="1:19" x14ac:dyDescent="0.3">
      <c r="A73" s="112" t="s">
        <v>147</v>
      </c>
      <c r="B73" s="112"/>
      <c r="C73" s="112"/>
      <c r="D73" s="112" t="s">
        <v>27</v>
      </c>
      <c r="E73" s="112"/>
      <c r="F73" s="112"/>
      <c r="G73" s="112"/>
      <c r="H73" s="112"/>
      <c r="I73" s="24"/>
      <c r="J73" s="24"/>
      <c r="K73" s="24"/>
      <c r="L73" s="24"/>
      <c r="M73" s="24"/>
      <c r="N73" s="24"/>
    </row>
    <row r="74" spans="1:19" ht="15.75" customHeight="1" x14ac:dyDescent="0.3">
      <c r="A74" s="210" t="s">
        <v>81</v>
      </c>
      <c r="B74" s="210"/>
      <c r="C74" s="210"/>
      <c r="D74" s="170" t="str">
        <f ca="1">(IF(G80&gt;95%,"Nothing",IF(G80&gt;0%,"Cement, Aggregate, Steel, etc",IF(G80=0%,"Work not yet Started"))))</f>
        <v>Cement, Aggregate, Steel, etc</v>
      </c>
      <c r="E74" s="170"/>
      <c r="F74" s="170"/>
      <c r="G74" s="170"/>
      <c r="H74" s="170"/>
      <c r="J74" s="23"/>
      <c r="S74"/>
    </row>
    <row r="75" spans="1:19" ht="33.75" customHeight="1" thickBot="1" x14ac:dyDescent="0.35">
      <c r="A75" s="209" t="s">
        <v>114</v>
      </c>
      <c r="B75" s="209"/>
      <c r="C75" s="209"/>
      <c r="D75" s="170" t="str">
        <f ca="1">(IF(D74="Nothing","Yes",IF(D74="Cement, Aggregate, Steel, etc","Under Construction",IF(D74="Work not yet Started","Work not yet Started"))))</f>
        <v>Under Construction</v>
      </c>
      <c r="E75" s="170"/>
      <c r="F75" s="170" t="str">
        <f ca="1">(IF(D74="Nothing","Yes",IF(D74="Cement, Aggregate, Steel, etc","Under Construction",IF(D74="Work not yet Started","Work not yet Started"))))</f>
        <v>Under Construction</v>
      </c>
      <c r="G75" s="170"/>
      <c r="H75" s="170"/>
      <c r="S75"/>
    </row>
    <row r="76" spans="1:19" ht="15.75" customHeight="1" x14ac:dyDescent="0.3">
      <c r="A76" s="106" t="s">
        <v>137</v>
      </c>
      <c r="B76" s="107"/>
      <c r="C76" s="108" t="s">
        <v>415</v>
      </c>
      <c r="D76" s="109"/>
      <c r="E76" s="109"/>
      <c r="F76" s="109"/>
      <c r="G76" s="109"/>
      <c r="H76" s="110"/>
      <c r="I76" s="43" t="str">
        <f ca="1">IF(D89=100%,"All work Completed. Possession granted to the Building.",IF(D88=100%,"All work Completed, Waiting for OC",I77&amp;""&amp;I78&amp;""&amp;J77&amp;""&amp;J76&amp;" "&amp;J78))</f>
        <v>Excavation, Plinth Completed, RCC upto 12 Slab Completed</v>
      </c>
      <c r="J76" s="44"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RCC upto 12 Slab</v>
      </c>
      <c r="S76"/>
    </row>
    <row r="77" spans="1:19" x14ac:dyDescent="0.3">
      <c r="A77" s="15" t="s">
        <v>139</v>
      </c>
      <c r="B77" s="42">
        <f>IF(AND(ISNUMBER(SEARCH("1B",C76))),1,IF(AND(ISNUMBER(SEARCH("2B",C76))),2,IF(AND(ISNUMBER(SEARCH("3B",C76))),3,IF(AND(ISNUMBER(SEARCH("4B",C76))),4,IF(ISNUMBER(SEARCH("5B",C76)),5,0)))))</f>
        <v>1</v>
      </c>
      <c r="C77" s="42" t="s">
        <v>67</v>
      </c>
      <c r="D77" s="42">
        <v>1</v>
      </c>
      <c r="E77" s="42" t="s">
        <v>66</v>
      </c>
      <c r="F77" s="42">
        <v>0</v>
      </c>
      <c r="G77" s="42" t="s">
        <v>75</v>
      </c>
      <c r="H77" s="16">
        <f ca="1">--TRIM(RIGHT(SUBSTITUTE(LEFT(C76,_xlfn.AGGREGATE(16,6,FIND({0,1,2,3,4,5,6,7,8,9},C76,ROW(INDIRECT("1:"&amp;LEN(C76)))),1))," ",REPT(" ",LEN(C76))),LEN(C76)))</f>
        <v>20</v>
      </c>
      <c r="I77" s="45" t="str">
        <f ca="1">IF(D80=100%,"Excavation","")&amp;IF(D81=100%,", Plinth","")&amp;IF(D82=100%,", RCC Slab","")&amp;IF(D83=100%,", Brickwork","")&amp;IF(D84=100%,", Internal Plaster","")&amp;IF(D85=100%,", External Plaster","")&amp;IF(D86=100%,", Flooring","")&amp;IF(D87=100%,", Painting","")&amp;IF(D88=100%,", Building common Amenities","")</f>
        <v>Excavation, Plinth</v>
      </c>
      <c r="J77" s="46"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x14ac:dyDescent="0.3">
      <c r="A78" s="104" t="s">
        <v>85</v>
      </c>
      <c r="B78" s="105"/>
      <c r="C78" s="113" t="str">
        <f ca="1">I76</f>
        <v>Excavation, Plinth Completed, RCC upto 12 Slab Completed</v>
      </c>
      <c r="D78" s="113"/>
      <c r="E78" s="113"/>
      <c r="F78" s="113"/>
      <c r="G78" s="113"/>
      <c r="H78" s="114"/>
      <c r="I78" s="45" t="str">
        <f ca="1">IF(I77&lt;&gt;""," Completed","")</f>
        <v xml:space="preserve"> Completed</v>
      </c>
      <c r="J78" s="46" t="str">
        <f ca="1">IF(J76&lt;&gt;"","Completed","")</f>
        <v>Completed</v>
      </c>
      <c r="S78"/>
    </row>
    <row r="79" spans="1:19" ht="15.75" customHeight="1" x14ac:dyDescent="0.3">
      <c r="A79" s="127" t="s">
        <v>46</v>
      </c>
      <c r="B79" s="128"/>
      <c r="C79" s="90" t="s">
        <v>136</v>
      </c>
      <c r="D79" s="90" t="s">
        <v>78</v>
      </c>
      <c r="E79" s="129" t="s">
        <v>80</v>
      </c>
      <c r="F79" s="129"/>
      <c r="G79" s="129" t="s">
        <v>79</v>
      </c>
      <c r="H79" s="255"/>
      <c r="I79" s="13" t="s">
        <v>138</v>
      </c>
      <c r="J79" s="25">
        <f ca="1">H77*25%</f>
        <v>5</v>
      </c>
      <c r="S79"/>
    </row>
    <row r="80" spans="1:19" x14ac:dyDescent="0.3">
      <c r="A80" s="127" t="s">
        <v>125</v>
      </c>
      <c r="B80" s="128"/>
      <c r="C80" s="90">
        <f ca="1">J81</f>
        <v>20</v>
      </c>
      <c r="D80" s="91">
        <f ca="1">((100/H77)*C80)/100</f>
        <v>1</v>
      </c>
      <c r="E80" s="130">
        <f ca="1">(((C81/H77*10)+(40/(D77+F77+H77)*C82)+(7.5/(H77)*C83)+(7.5/(H77)*C84)+(10/H77*C85)+(10/H77*C86)+(5/H77*C87)+(5/H77*C88)+(5/H77*C89))/100)</f>
        <v>0.32857142857142851</v>
      </c>
      <c r="F80" s="131"/>
      <c r="G80" s="130">
        <f ca="1">((((C80/H77)*20)+((C81/H77)*25)+(30/(H77+F77+D77)*C82)+(5/H77*C83)+(5/H77*C84)+(5/H77*C85)+(5/H77*C86)+(0/H77*C87)+(0/H77*C88)+(5/H77*C89))/100)</f>
        <v>0.62142857142857144</v>
      </c>
      <c r="H80" s="136"/>
      <c r="I80" s="13" t="s">
        <v>96</v>
      </c>
      <c r="J80" s="26">
        <f ca="1">H77*50%</f>
        <v>10</v>
      </c>
    </row>
    <row r="81" spans="1:19" x14ac:dyDescent="0.3">
      <c r="A81" s="127" t="s">
        <v>47</v>
      </c>
      <c r="B81" s="128"/>
      <c r="C81" s="90">
        <f ca="1">J89</f>
        <v>20</v>
      </c>
      <c r="D81" s="91">
        <f ca="1">((100/H77)*C81)/100</f>
        <v>1</v>
      </c>
      <c r="E81" s="132"/>
      <c r="F81" s="133"/>
      <c r="G81" s="132"/>
      <c r="H81" s="137"/>
      <c r="I81" s="13" t="s">
        <v>97</v>
      </c>
      <c r="J81" s="26">
        <f ca="1">H77</f>
        <v>20</v>
      </c>
      <c r="L81" s="88"/>
      <c r="S81"/>
    </row>
    <row r="82" spans="1:19" ht="15.75" customHeight="1" x14ac:dyDescent="0.3">
      <c r="A82" s="127" t="s">
        <v>126</v>
      </c>
      <c r="B82" s="128"/>
      <c r="C82" s="90">
        <v>12</v>
      </c>
      <c r="D82" s="91">
        <f ca="1">((100/(D77+F77+H77))*C82)/100</f>
        <v>0.5714285714285714</v>
      </c>
      <c r="E82" s="132"/>
      <c r="F82" s="133"/>
      <c r="G82" s="132"/>
      <c r="H82" s="137"/>
      <c r="I82" s="13" t="s">
        <v>98</v>
      </c>
      <c r="J82" s="27">
        <f ca="1">(IF(B77&gt;1,(H77/(B77+2)),H77/4))</f>
        <v>5</v>
      </c>
      <c r="S82"/>
    </row>
    <row r="83" spans="1:19" ht="15.75" customHeight="1" x14ac:dyDescent="0.3">
      <c r="A83" s="127" t="s">
        <v>133</v>
      </c>
      <c r="B83" s="128" t="s">
        <v>127</v>
      </c>
      <c r="C83" s="90">
        <v>0</v>
      </c>
      <c r="D83" s="91">
        <f ca="1">((100/H77)*C83)/100</f>
        <v>0</v>
      </c>
      <c r="E83" s="132"/>
      <c r="F83" s="133"/>
      <c r="G83" s="132"/>
      <c r="H83" s="137"/>
      <c r="I83" s="13" t="s">
        <v>99</v>
      </c>
      <c r="J83" s="27">
        <f ca="1">(IF(B77&gt;1,(H77/(B77+2)+J82),H77/4+J82))</f>
        <v>10</v>
      </c>
    </row>
    <row r="84" spans="1:19" ht="15.75" customHeight="1" x14ac:dyDescent="0.3">
      <c r="A84" s="127" t="s">
        <v>134</v>
      </c>
      <c r="B84" s="128" t="s">
        <v>127</v>
      </c>
      <c r="C84" s="90">
        <v>0</v>
      </c>
      <c r="D84" s="91">
        <f ca="1">((100/H77)*C84)/100</f>
        <v>0</v>
      </c>
      <c r="E84" s="132"/>
      <c r="F84" s="133"/>
      <c r="G84" s="132"/>
      <c r="H84" s="137"/>
      <c r="I84" s="13" t="s">
        <v>145</v>
      </c>
      <c r="J84" s="27">
        <f>(IF(B77&gt;1,(H77/(B77+2)+J83),0))</f>
        <v>0</v>
      </c>
    </row>
    <row r="85" spans="1:19" ht="15" customHeight="1" x14ac:dyDescent="0.3">
      <c r="A85" s="127" t="s">
        <v>132</v>
      </c>
      <c r="B85" s="128" t="s">
        <v>129</v>
      </c>
      <c r="C85" s="90">
        <v>0</v>
      </c>
      <c r="D85" s="91">
        <f ca="1">((100/(H77))*C85)/100</f>
        <v>0</v>
      </c>
      <c r="E85" s="132"/>
      <c r="F85" s="133"/>
      <c r="G85" s="132"/>
      <c r="H85" s="137"/>
      <c r="I85" s="13" t="s">
        <v>140</v>
      </c>
      <c r="J85" s="27">
        <f>(IF(B77&gt;2,(H77/(B77+2)+J84),0))</f>
        <v>0</v>
      </c>
    </row>
    <row r="86" spans="1:19" ht="15.75" customHeight="1" x14ac:dyDescent="0.3">
      <c r="A86" s="127" t="s">
        <v>128</v>
      </c>
      <c r="B86" s="128" t="s">
        <v>128</v>
      </c>
      <c r="C86" s="90">
        <v>0</v>
      </c>
      <c r="D86" s="91">
        <f ca="1">((100/H77)*C86)/100</f>
        <v>0</v>
      </c>
      <c r="E86" s="132"/>
      <c r="F86" s="133"/>
      <c r="G86" s="132"/>
      <c r="H86" s="137"/>
      <c r="I86" s="13" t="s">
        <v>141</v>
      </c>
      <c r="J86" s="28">
        <f>(IF(B77&gt;3,(H77/(B77+2)+J85),0))</f>
        <v>0</v>
      </c>
    </row>
    <row r="87" spans="1:19" ht="15.75" customHeight="1" x14ac:dyDescent="0.3">
      <c r="A87" s="127" t="s">
        <v>135</v>
      </c>
      <c r="B87" s="128"/>
      <c r="C87" s="90">
        <v>0</v>
      </c>
      <c r="D87" s="91">
        <f ca="1">((100/H77)*C87)/100</f>
        <v>0</v>
      </c>
      <c r="E87" s="132"/>
      <c r="F87" s="133"/>
      <c r="G87" s="132"/>
      <c r="H87" s="137"/>
      <c r="I87" s="13" t="s">
        <v>142</v>
      </c>
      <c r="J87" s="27">
        <f>(IF(B77&gt;4,(H77/(B77+2)+J86),0))</f>
        <v>0</v>
      </c>
    </row>
    <row r="88" spans="1:19" ht="15.75" customHeight="1" x14ac:dyDescent="0.3">
      <c r="A88" s="127" t="s">
        <v>130</v>
      </c>
      <c r="B88" s="128" t="s">
        <v>130</v>
      </c>
      <c r="C88" s="90">
        <v>0</v>
      </c>
      <c r="D88" s="91">
        <f ca="1">((100/(H77))*C88)/100</f>
        <v>0</v>
      </c>
      <c r="E88" s="132"/>
      <c r="F88" s="133"/>
      <c r="G88" s="132"/>
      <c r="H88" s="137"/>
      <c r="I88" s="13" t="s">
        <v>146</v>
      </c>
      <c r="J88" s="27">
        <f ca="1">(IF(B77=1,(H77/(B77+3)+J83),IF(B77=0,(H77/4+J83),IF(B77&gt;1,0))))</f>
        <v>15</v>
      </c>
    </row>
    <row r="89" spans="1:19" ht="16.2" thickBot="1" x14ac:dyDescent="0.35">
      <c r="A89" s="178" t="s">
        <v>131</v>
      </c>
      <c r="B89" s="179"/>
      <c r="C89" s="92">
        <v>0</v>
      </c>
      <c r="D89" s="93">
        <f ca="1">((100/(H77))*C89)/100</f>
        <v>0</v>
      </c>
      <c r="E89" s="134"/>
      <c r="F89" s="135"/>
      <c r="G89" s="134"/>
      <c r="H89" s="138"/>
      <c r="I89" s="14" t="s">
        <v>100</v>
      </c>
      <c r="J89" s="29">
        <f ca="1">(IF(B77&gt;1.5,(H77/(B77+2)+J83+MAX(0,J84-J83)+MAX(0,J85-J84)+MAX(0,J86-J85)+MAX(0,J87-J86)+MAX(0,J88-J87)),IF(B77=1,(H77/(B77+3)+J88),IF(B77=0,H77/4+J88))))</f>
        <v>20</v>
      </c>
    </row>
    <row r="90" spans="1:19" ht="15.75" customHeight="1" x14ac:dyDescent="0.3">
      <c r="A90" s="106" t="s">
        <v>137</v>
      </c>
      <c r="B90" s="107"/>
      <c r="C90" s="108" t="s">
        <v>416</v>
      </c>
      <c r="D90" s="109"/>
      <c r="E90" s="109"/>
      <c r="F90" s="109"/>
      <c r="G90" s="109"/>
      <c r="H90" s="110"/>
      <c r="I90" s="43" t="str">
        <f ca="1">IF(D103=100%,"All work Completed. Possession granted to the Building.",IF(D102=100%,"All work Completed, Waiting for OC",I91&amp;""&amp;I92&amp;""&amp;J91&amp;""&amp;J90&amp;" "&amp;J92))</f>
        <v>Excavation, Plinth Completed, RCC upto 17 Slab Completed</v>
      </c>
      <c r="J90" s="44"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RCC upto 17 Slab</v>
      </c>
      <c r="S90"/>
    </row>
    <row r="91" spans="1:19" x14ac:dyDescent="0.3">
      <c r="A91" s="15" t="s">
        <v>139</v>
      </c>
      <c r="B91" s="42">
        <f>IF(AND(ISNUMBER(SEARCH("1B",C90))),1,IF(AND(ISNUMBER(SEARCH("2B",C90))),2,IF(AND(ISNUMBER(SEARCH("3B",C90))),3,IF(AND(ISNUMBER(SEARCH("4B",C90))),4,IF(ISNUMBER(SEARCH("5B",C90)),5,0)))))</f>
        <v>1</v>
      </c>
      <c r="C91" s="42" t="s">
        <v>67</v>
      </c>
      <c r="D91" s="42">
        <v>1</v>
      </c>
      <c r="E91" s="42" t="s">
        <v>66</v>
      </c>
      <c r="F91" s="42">
        <v>0</v>
      </c>
      <c r="G91" s="42" t="s">
        <v>75</v>
      </c>
      <c r="H91" s="16">
        <f ca="1">--TRIM(RIGHT(SUBSTITUTE(LEFT(C90,_xlfn.AGGREGATE(16,6,FIND({0,1,2,3,4,5,6,7,8,9},C90,ROW(INDIRECT("1:"&amp;LEN(C90)))),1))," ",REPT(" ",LEN(C90))),LEN(C90)))</f>
        <v>20</v>
      </c>
      <c r="I91" s="45" t="str">
        <f ca="1">IF(D94=100%,"Excavation","")&amp;IF(D95=100%,", Plinth","")&amp;IF(D96=100%,", RCC Slab","")&amp;IF(D97=100%,", Brickwork","")&amp;IF(D98=100%,", Internal Plaster","")&amp;IF(D99=100%,", External Plaster","")&amp;IF(D100=100%,", Flooring","")&amp;IF(D101=100%,", Painting","")&amp;IF(D102=100%,", Building common Amenities","")</f>
        <v>Excavation, Plinth</v>
      </c>
      <c r="J91" s="46"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c r="S91"/>
    </row>
    <row r="92" spans="1:19" x14ac:dyDescent="0.3">
      <c r="A92" s="104" t="s">
        <v>85</v>
      </c>
      <c r="B92" s="105"/>
      <c r="C92" s="113" t="str">
        <f ca="1">I90</f>
        <v>Excavation, Plinth Completed, RCC upto 17 Slab Completed</v>
      </c>
      <c r="D92" s="113"/>
      <c r="E92" s="113"/>
      <c r="F92" s="113"/>
      <c r="G92" s="113"/>
      <c r="H92" s="114"/>
      <c r="I92" s="45" t="str">
        <f ca="1">IF(I91&lt;&gt;""," Completed","")</f>
        <v xml:space="preserve"> Completed</v>
      </c>
      <c r="J92" s="46" t="str">
        <f ca="1">IF(J90&lt;&gt;"","Completed","")</f>
        <v>Completed</v>
      </c>
      <c r="S92"/>
    </row>
    <row r="93" spans="1:19" ht="15.75" customHeight="1" x14ac:dyDescent="0.3">
      <c r="A93" s="127" t="s">
        <v>46</v>
      </c>
      <c r="B93" s="128"/>
      <c r="C93" s="90" t="s">
        <v>136</v>
      </c>
      <c r="D93" s="90" t="s">
        <v>78</v>
      </c>
      <c r="E93" s="129" t="s">
        <v>80</v>
      </c>
      <c r="F93" s="129"/>
      <c r="G93" s="129" t="s">
        <v>79</v>
      </c>
      <c r="H93" s="255"/>
      <c r="I93" s="13" t="s">
        <v>138</v>
      </c>
      <c r="J93" s="25">
        <f ca="1">H91*25%</f>
        <v>5</v>
      </c>
      <c r="S93"/>
    </row>
    <row r="94" spans="1:19" x14ac:dyDescent="0.3">
      <c r="A94" s="127" t="s">
        <v>125</v>
      </c>
      <c r="B94" s="128"/>
      <c r="C94" s="90">
        <f ca="1">J95</f>
        <v>20</v>
      </c>
      <c r="D94" s="91">
        <f ca="1">((100/H91)*C94)/100</f>
        <v>1</v>
      </c>
      <c r="E94" s="130">
        <f ca="1">(((C95/H91*10)+(40/(D91+F91+H91)*C96)+(7.5/(H91)*C97)+(7.5/(H91)*C98)+(10/H91*C99)+(10/H91*C100)+(5/H91*C101)+(5/H91*C102)+(5/H91*C103))/100)</f>
        <v>0.4238095238095238</v>
      </c>
      <c r="F94" s="131"/>
      <c r="G94" s="130">
        <f ca="1">((((C94/H91)*20)+((C95/H91)*25)+(30/(H91+F91+D91)*C96)+(5/H91*C97)+(5/H91*C98)+(5/H91*C99)+(5/H91*C100)+(0/H91*C101)+(0/H91*C102)+(5/H91*C103))/100)</f>
        <v>0.69285714285714273</v>
      </c>
      <c r="H94" s="136"/>
      <c r="I94" s="13" t="s">
        <v>96</v>
      </c>
      <c r="J94" s="26">
        <f ca="1">H91*50%</f>
        <v>10</v>
      </c>
    </row>
    <row r="95" spans="1:19" x14ac:dyDescent="0.3">
      <c r="A95" s="127" t="s">
        <v>47</v>
      </c>
      <c r="B95" s="128"/>
      <c r="C95" s="90">
        <f ca="1">J103</f>
        <v>20</v>
      </c>
      <c r="D95" s="91">
        <f ca="1">((100/H91)*C95)/100</f>
        <v>1</v>
      </c>
      <c r="E95" s="132"/>
      <c r="F95" s="133"/>
      <c r="G95" s="132"/>
      <c r="H95" s="137"/>
      <c r="I95" s="13" t="s">
        <v>97</v>
      </c>
      <c r="J95" s="26">
        <f ca="1">H91</f>
        <v>20</v>
      </c>
      <c r="L95" s="88"/>
      <c r="S95"/>
    </row>
    <row r="96" spans="1:19" ht="15.75" customHeight="1" x14ac:dyDescent="0.3">
      <c r="A96" s="127" t="s">
        <v>126</v>
      </c>
      <c r="B96" s="128"/>
      <c r="C96" s="90">
        <v>17</v>
      </c>
      <c r="D96" s="91">
        <f ca="1">((100/(D91+F91+H91))*C96)/100</f>
        <v>0.80952380952380953</v>
      </c>
      <c r="E96" s="132"/>
      <c r="F96" s="133"/>
      <c r="G96" s="132"/>
      <c r="H96" s="137"/>
      <c r="I96" s="13" t="s">
        <v>98</v>
      </c>
      <c r="J96" s="27">
        <f ca="1">(IF(B91&gt;1,(H91/(B91+2)),H91/4))</f>
        <v>5</v>
      </c>
      <c r="S96"/>
    </row>
    <row r="97" spans="1:22" ht="15.75" customHeight="1" x14ac:dyDescent="0.3">
      <c r="A97" s="127" t="s">
        <v>133</v>
      </c>
      <c r="B97" s="128" t="s">
        <v>127</v>
      </c>
      <c r="C97" s="90">
        <v>0</v>
      </c>
      <c r="D97" s="91">
        <f ca="1">((100/H91)*C97)/100</f>
        <v>0</v>
      </c>
      <c r="E97" s="132"/>
      <c r="F97" s="133"/>
      <c r="G97" s="132"/>
      <c r="H97" s="137"/>
      <c r="I97" s="13" t="s">
        <v>99</v>
      </c>
      <c r="J97" s="27">
        <f ca="1">(IF(B91&gt;1,(H91/(B91+2)+J96),H91/4+J96))</f>
        <v>10</v>
      </c>
    </row>
    <row r="98" spans="1:22" ht="15.75" customHeight="1" x14ac:dyDescent="0.3">
      <c r="A98" s="127" t="s">
        <v>134</v>
      </c>
      <c r="B98" s="128" t="s">
        <v>127</v>
      </c>
      <c r="C98" s="90">
        <v>0</v>
      </c>
      <c r="D98" s="91">
        <f ca="1">((100/H91)*C98)/100</f>
        <v>0</v>
      </c>
      <c r="E98" s="132"/>
      <c r="F98" s="133"/>
      <c r="G98" s="132"/>
      <c r="H98" s="137"/>
      <c r="I98" s="13" t="s">
        <v>145</v>
      </c>
      <c r="J98" s="27">
        <f>(IF(B91&gt;1,(H91/(B91+2)+J97),0))</f>
        <v>0</v>
      </c>
    </row>
    <row r="99" spans="1:22" ht="15" customHeight="1" x14ac:dyDescent="0.3">
      <c r="A99" s="127" t="s">
        <v>132</v>
      </c>
      <c r="B99" s="128" t="s">
        <v>129</v>
      </c>
      <c r="C99" s="90">
        <v>0</v>
      </c>
      <c r="D99" s="91">
        <f ca="1">((100/(H91))*C99)/100</f>
        <v>0</v>
      </c>
      <c r="E99" s="132"/>
      <c r="F99" s="133"/>
      <c r="G99" s="132"/>
      <c r="H99" s="137"/>
      <c r="I99" s="13" t="s">
        <v>140</v>
      </c>
      <c r="J99" s="27">
        <f>(IF(B91&gt;2,(H91/(B91+2)+J98),0))</f>
        <v>0</v>
      </c>
    </row>
    <row r="100" spans="1:22" ht="15.75" customHeight="1" x14ac:dyDescent="0.3">
      <c r="A100" s="127" t="s">
        <v>128</v>
      </c>
      <c r="B100" s="128" t="s">
        <v>128</v>
      </c>
      <c r="C100" s="90">
        <v>0</v>
      </c>
      <c r="D100" s="91">
        <f ca="1">((100/H91)*C100)/100</f>
        <v>0</v>
      </c>
      <c r="E100" s="132"/>
      <c r="F100" s="133"/>
      <c r="G100" s="132"/>
      <c r="H100" s="137"/>
      <c r="I100" s="13" t="s">
        <v>141</v>
      </c>
      <c r="J100" s="28">
        <f>(IF(B91&gt;3,(H91/(B91+2)+J99),0))</f>
        <v>0</v>
      </c>
    </row>
    <row r="101" spans="1:22" ht="15.75" customHeight="1" x14ac:dyDescent="0.3">
      <c r="A101" s="127" t="s">
        <v>135</v>
      </c>
      <c r="B101" s="128"/>
      <c r="C101" s="90">
        <v>0</v>
      </c>
      <c r="D101" s="91">
        <f ca="1">((100/H91)*C101)/100</f>
        <v>0</v>
      </c>
      <c r="E101" s="132"/>
      <c r="F101" s="133"/>
      <c r="G101" s="132"/>
      <c r="H101" s="137"/>
      <c r="I101" s="13" t="s">
        <v>142</v>
      </c>
      <c r="J101" s="27">
        <f>(IF(B91&gt;4,(H91/(B91+2)+J100),0))</f>
        <v>0</v>
      </c>
    </row>
    <row r="102" spans="1:22" ht="15.75" customHeight="1" x14ac:dyDescent="0.3">
      <c r="A102" s="127" t="s">
        <v>130</v>
      </c>
      <c r="B102" s="128" t="s">
        <v>130</v>
      </c>
      <c r="C102" s="90">
        <v>0</v>
      </c>
      <c r="D102" s="91">
        <f ca="1">((100/(H91))*C102)/100</f>
        <v>0</v>
      </c>
      <c r="E102" s="132"/>
      <c r="F102" s="133"/>
      <c r="G102" s="132"/>
      <c r="H102" s="137"/>
      <c r="I102" s="13" t="s">
        <v>146</v>
      </c>
      <c r="J102" s="27">
        <f ca="1">(IF(B91=1,(H91/(B91+3)+J97),IF(B91=0,(H91/4+J97),IF(B91&gt;1,0))))</f>
        <v>15</v>
      </c>
    </row>
    <row r="103" spans="1:22" ht="16.2" thickBot="1" x14ac:dyDescent="0.35">
      <c r="A103" s="178" t="s">
        <v>131</v>
      </c>
      <c r="B103" s="179"/>
      <c r="C103" s="92">
        <v>0</v>
      </c>
      <c r="D103" s="93">
        <f ca="1">((100/(H91))*C103)/100</f>
        <v>0</v>
      </c>
      <c r="E103" s="134"/>
      <c r="F103" s="135"/>
      <c r="G103" s="134"/>
      <c r="H103" s="138"/>
      <c r="I103" s="14" t="s">
        <v>100</v>
      </c>
      <c r="J103" s="29">
        <f ca="1">(IF(B91&gt;1.5,(H91/(B91+2)+J97+MAX(0,J98-J97)+MAX(0,J99-J98)+MAX(0,J100-J99)+MAX(0,J101-J100)+MAX(0,J102-J101)),IF(B91=1,(H91/(B91+3)+J102),IF(B91=0,H91/4+J102))))</f>
        <v>20</v>
      </c>
    </row>
    <row r="104" spans="1:22" x14ac:dyDescent="0.3">
      <c r="A104" s="240" t="s">
        <v>157</v>
      </c>
      <c r="B104" s="240"/>
      <c r="C104" s="240"/>
      <c r="D104" s="240"/>
      <c r="E104" s="240"/>
      <c r="F104" s="241" t="s">
        <v>159</v>
      </c>
      <c r="G104" s="241"/>
      <c r="H104" s="241"/>
      <c r="R104" t="s">
        <v>251</v>
      </c>
      <c r="S104" t="s">
        <v>170</v>
      </c>
      <c r="T104" t="s">
        <v>177</v>
      </c>
      <c r="U104" t="s">
        <v>191</v>
      </c>
      <c r="V104" t="s">
        <v>186</v>
      </c>
    </row>
    <row r="105" spans="1:22" hidden="1" x14ac:dyDescent="0.3">
      <c r="A105" s="111" t="s">
        <v>158</v>
      </c>
      <c r="B105" s="111"/>
      <c r="C105" s="111"/>
      <c r="D105" s="111"/>
      <c r="E105" s="111"/>
      <c r="F105" s="184"/>
      <c r="G105" s="184"/>
      <c r="H105" s="184"/>
      <c r="R105"/>
      <c r="S105">
        <v>800000</v>
      </c>
      <c r="T105">
        <v>150000</v>
      </c>
      <c r="U105">
        <v>100000</v>
      </c>
      <c r="V105">
        <v>100000</v>
      </c>
    </row>
    <row r="106" spans="1:22" x14ac:dyDescent="0.3">
      <c r="A106" s="111" t="s">
        <v>457</v>
      </c>
      <c r="B106" s="111"/>
      <c r="C106" s="111"/>
      <c r="D106" s="111"/>
      <c r="E106" s="111"/>
      <c r="F106" s="184">
        <v>22000</v>
      </c>
      <c r="G106" s="184"/>
      <c r="H106" s="184"/>
      <c r="R106"/>
      <c r="S106">
        <v>900000</v>
      </c>
      <c r="T106">
        <v>200000</v>
      </c>
      <c r="U106">
        <v>150000</v>
      </c>
      <c r="V106">
        <v>150000</v>
      </c>
    </row>
    <row r="107" spans="1:22" x14ac:dyDescent="0.3">
      <c r="A107" s="111" t="s">
        <v>459</v>
      </c>
      <c r="B107" s="111"/>
      <c r="C107" s="111"/>
      <c r="D107" s="111"/>
      <c r="E107" s="111"/>
      <c r="F107" s="184">
        <v>18000</v>
      </c>
      <c r="G107" s="184"/>
      <c r="H107" s="184"/>
      <c r="R107"/>
      <c r="S107">
        <v>900000</v>
      </c>
      <c r="T107">
        <v>200000</v>
      </c>
      <c r="U107">
        <v>150000</v>
      </c>
      <c r="V107">
        <v>150000</v>
      </c>
    </row>
    <row r="108" spans="1:22" x14ac:dyDescent="0.3">
      <c r="A108" s="111" t="s">
        <v>456</v>
      </c>
      <c r="B108" s="111"/>
      <c r="C108" s="111"/>
      <c r="D108" s="111"/>
      <c r="E108" s="111"/>
      <c r="F108" s="184">
        <v>16000</v>
      </c>
      <c r="G108" s="184"/>
      <c r="H108" s="184"/>
      <c r="R108"/>
      <c r="S108">
        <v>1000000</v>
      </c>
      <c r="T108">
        <v>250000</v>
      </c>
      <c r="U108">
        <v>200000</v>
      </c>
      <c r="V108">
        <v>200000</v>
      </c>
    </row>
    <row r="109" spans="1:22" s="30" customFormat="1" hidden="1" x14ac:dyDescent="0.3">
      <c r="A109" s="111" t="s">
        <v>172</v>
      </c>
      <c r="B109" s="111"/>
      <c r="C109" s="111"/>
      <c r="D109" s="111"/>
      <c r="E109" s="111"/>
      <c r="F109" s="184"/>
      <c r="G109" s="184"/>
      <c r="H109" s="184"/>
      <c r="R109"/>
      <c r="S109">
        <v>1100000</v>
      </c>
      <c r="T109">
        <v>300000</v>
      </c>
      <c r="U109">
        <v>250000</v>
      </c>
      <c r="V109" s="20">
        <v>250000</v>
      </c>
    </row>
    <row r="110" spans="1:22" s="30" customFormat="1" hidden="1" x14ac:dyDescent="0.3">
      <c r="A110" s="111" t="s">
        <v>90</v>
      </c>
      <c r="B110" s="111"/>
      <c r="C110" s="111"/>
      <c r="D110" s="111"/>
      <c r="E110" s="111"/>
      <c r="F110" s="184"/>
      <c r="G110" s="184"/>
      <c r="H110" s="184"/>
      <c r="R110"/>
      <c r="S110">
        <v>1200000</v>
      </c>
      <c r="T110">
        <v>350000</v>
      </c>
      <c r="U110">
        <v>300000</v>
      </c>
      <c r="V110">
        <v>300000</v>
      </c>
    </row>
    <row r="111" spans="1:22" s="30" customFormat="1" hidden="1" x14ac:dyDescent="0.3">
      <c r="A111" s="111" t="s">
        <v>91</v>
      </c>
      <c r="B111" s="111"/>
      <c r="C111" s="111"/>
      <c r="D111" s="111"/>
      <c r="E111" s="111"/>
      <c r="F111" s="184"/>
      <c r="G111" s="184"/>
      <c r="H111" s="184"/>
      <c r="R111"/>
      <c r="S111">
        <v>1300000</v>
      </c>
      <c r="T111">
        <v>400000</v>
      </c>
      <c r="U111">
        <v>350000</v>
      </c>
      <c r="V111" s="20">
        <v>400000</v>
      </c>
    </row>
    <row r="112" spans="1:22" s="30" customFormat="1" hidden="1" x14ac:dyDescent="0.3">
      <c r="A112" s="111" t="s">
        <v>92</v>
      </c>
      <c r="B112" s="111"/>
      <c r="C112" s="111"/>
      <c r="D112" s="111"/>
      <c r="E112" s="111"/>
      <c r="F112" s="184"/>
      <c r="G112" s="184"/>
      <c r="H112" s="184"/>
      <c r="R112"/>
      <c r="S112">
        <v>1400000</v>
      </c>
      <c r="T112">
        <v>500000</v>
      </c>
      <c r="U112">
        <v>400000</v>
      </c>
      <c r="V112"/>
    </row>
    <row r="113" spans="1:22" s="30" customFormat="1" hidden="1" x14ac:dyDescent="0.3">
      <c r="A113" s="111" t="s">
        <v>93</v>
      </c>
      <c r="B113" s="111"/>
      <c r="C113" s="111"/>
      <c r="D113" s="111"/>
      <c r="E113" s="111"/>
      <c r="F113" s="184"/>
      <c r="G113" s="184"/>
      <c r="H113" s="184"/>
      <c r="R113"/>
      <c r="S113">
        <v>1500000</v>
      </c>
      <c r="T113">
        <v>600000</v>
      </c>
      <c r="U113">
        <v>500000</v>
      </c>
      <c r="V113" s="20"/>
    </row>
    <row r="114" spans="1:22" s="30" customFormat="1" hidden="1" x14ac:dyDescent="0.3">
      <c r="A114" s="111" t="s">
        <v>94</v>
      </c>
      <c r="B114" s="111"/>
      <c r="C114" s="111"/>
      <c r="D114" s="111"/>
      <c r="E114" s="111"/>
      <c r="F114" s="184"/>
      <c r="G114" s="184"/>
      <c r="H114" s="184"/>
      <c r="R114"/>
      <c r="S114">
        <v>1600000</v>
      </c>
      <c r="T114">
        <v>700000</v>
      </c>
      <c r="U114">
        <v>600000</v>
      </c>
      <c r="V114"/>
    </row>
    <row r="115" spans="1:22" s="30" customFormat="1" hidden="1" x14ac:dyDescent="0.3">
      <c r="A115" s="111" t="s">
        <v>95</v>
      </c>
      <c r="B115" s="111"/>
      <c r="C115" s="111"/>
      <c r="D115" s="111"/>
      <c r="E115" s="111"/>
      <c r="F115" s="184"/>
      <c r="G115" s="184"/>
      <c r="H115" s="184"/>
      <c r="R115"/>
      <c r="S115">
        <v>1700000</v>
      </c>
      <c r="T115">
        <v>800000</v>
      </c>
      <c r="U115"/>
      <c r="V115" s="20"/>
    </row>
    <row r="116" spans="1:22" x14ac:dyDescent="0.3">
      <c r="A116" s="111" t="s">
        <v>458</v>
      </c>
      <c r="B116" s="111"/>
      <c r="C116" s="111"/>
      <c r="D116" s="111"/>
      <c r="E116" s="111"/>
      <c r="F116" s="184">
        <v>14000</v>
      </c>
      <c r="G116" s="184"/>
      <c r="H116" s="184"/>
      <c r="R116"/>
      <c r="S116">
        <v>1000000</v>
      </c>
      <c r="T116">
        <v>250000</v>
      </c>
      <c r="U116">
        <v>200000</v>
      </c>
      <c r="V116">
        <v>200000</v>
      </c>
    </row>
    <row r="117" spans="1:22" x14ac:dyDescent="0.3">
      <c r="A117" s="111" t="s">
        <v>460</v>
      </c>
      <c r="B117" s="111"/>
      <c r="C117" s="111"/>
      <c r="D117" s="111"/>
      <c r="E117" s="111"/>
      <c r="F117" s="184">
        <v>12000</v>
      </c>
      <c r="G117" s="184"/>
      <c r="H117" s="184"/>
      <c r="R117"/>
      <c r="S117">
        <v>1000000</v>
      </c>
      <c r="T117">
        <v>250000</v>
      </c>
      <c r="U117">
        <v>200000</v>
      </c>
      <c r="V117">
        <v>200000</v>
      </c>
    </row>
    <row r="118" spans="1:22" ht="32.4" customHeight="1" x14ac:dyDescent="0.3">
      <c r="A118" s="112" t="s">
        <v>461</v>
      </c>
      <c r="B118" s="112"/>
      <c r="C118" s="112"/>
      <c r="D118" s="112"/>
      <c r="E118" s="112"/>
      <c r="F118" s="184">
        <v>10000</v>
      </c>
      <c r="G118" s="184"/>
      <c r="H118" s="184"/>
      <c r="R118"/>
      <c r="S118">
        <v>1000000</v>
      </c>
      <c r="T118">
        <v>250000</v>
      </c>
      <c r="U118">
        <v>200000</v>
      </c>
      <c r="V118">
        <v>200000</v>
      </c>
    </row>
    <row r="119" spans="1:22" x14ac:dyDescent="0.3">
      <c r="A119" s="111" t="s">
        <v>48</v>
      </c>
      <c r="B119" s="111"/>
      <c r="C119" s="111"/>
      <c r="D119" s="111"/>
      <c r="E119" s="111"/>
      <c r="F119" s="184">
        <v>400000</v>
      </c>
      <c r="G119" s="184"/>
      <c r="H119" s="184"/>
      <c r="R119"/>
      <c r="S119">
        <v>1800000</v>
      </c>
      <c r="T119">
        <v>900000</v>
      </c>
      <c r="U119"/>
    </row>
    <row r="120" spans="1:22" s="31" customFormat="1" x14ac:dyDescent="0.3">
      <c r="A120" s="186" t="s">
        <v>49</v>
      </c>
      <c r="B120" s="186"/>
      <c r="C120" s="186"/>
      <c r="D120" s="186"/>
      <c r="E120" s="186"/>
      <c r="F120" s="184">
        <f>F106*0.8</f>
        <v>17600</v>
      </c>
      <c r="G120" s="184"/>
      <c r="H120" s="184"/>
      <c r="R120" s="18"/>
      <c r="S120" s="18"/>
      <c r="T120">
        <v>1000000</v>
      </c>
      <c r="U120"/>
      <c r="V120" s="18"/>
    </row>
    <row r="121" spans="1:22" s="32" customFormat="1" ht="15.75" customHeight="1" x14ac:dyDescent="0.3">
      <c r="A121" s="146" t="s">
        <v>70</v>
      </c>
      <c r="B121" s="146"/>
      <c r="C121" s="146"/>
      <c r="D121" s="146"/>
      <c r="E121" s="146"/>
      <c r="F121" s="146"/>
      <c r="G121" s="146"/>
      <c r="H121" s="146"/>
      <c r="R121"/>
      <c r="S121" s="18"/>
      <c r="T121"/>
      <c r="U121"/>
      <c r="V121" s="18"/>
    </row>
    <row r="122" spans="1:22" s="32" customFormat="1" ht="15.75" customHeight="1" x14ac:dyDescent="0.3">
      <c r="A122" s="237" t="s">
        <v>50</v>
      </c>
      <c r="B122" s="237"/>
      <c r="C122" s="148" t="s">
        <v>73</v>
      </c>
      <c r="D122" s="148"/>
      <c r="E122" s="251" t="s">
        <v>51</v>
      </c>
      <c r="F122" s="251"/>
      <c r="G122" s="237" t="s">
        <v>52</v>
      </c>
      <c r="H122" s="237"/>
      <c r="R122"/>
      <c r="S122" s="18"/>
      <c r="T122"/>
      <c r="U122" s="18"/>
      <c r="V122" s="18"/>
    </row>
    <row r="123" spans="1:22" s="32" customFormat="1" x14ac:dyDescent="0.3">
      <c r="A123" s="175" t="s">
        <v>449</v>
      </c>
      <c r="B123" s="175"/>
      <c r="C123" s="144">
        <f>COUNT(D138:D142)</f>
        <v>5</v>
      </c>
      <c r="D123" s="145"/>
      <c r="E123" s="144">
        <f t="shared" ref="E123" si="0">SUM(F138:F142)</f>
        <v>7679.5758000000005</v>
      </c>
      <c r="F123" s="145"/>
      <c r="G123" s="144">
        <f t="shared" ref="G123" si="1">SUM(H138:H142)</f>
        <v>11519.3637</v>
      </c>
      <c r="H123" s="145"/>
      <c r="R123"/>
      <c r="S123" s="18"/>
      <c r="T123"/>
      <c r="U123" s="18"/>
      <c r="V123" s="18"/>
    </row>
    <row r="124" spans="1:22" s="32" customFormat="1" x14ac:dyDescent="0.3">
      <c r="A124" s="175" t="s">
        <v>450</v>
      </c>
      <c r="B124" s="175"/>
      <c r="C124" s="142">
        <f>COUNT(D146:D150)+COUNT(D152:D160)+COUNT(D162:D173)+COUNT(D175:D186)+COUNT(D188:D199)+COUNT(D201:D206,D208:D212)+COUNT(D214:D224)+COUNT(D226:D236)+COUNT(D238:D248)+COUNT(D250,D260)+COUNT(D262:D266,D268:D271)+COUNT(D273:D282)+COUNT(D284:D293)+COUNT(D295:D299,D301:D304)+COUNT(D306:D315)+COUNT(D317:D326)+COUNT(D328:D337)+COUNT(D339:D348)+COUNT(D350:D354,D356:D359)+COUNT(D361:D362)</f>
        <v>185</v>
      </c>
      <c r="D124" s="143"/>
      <c r="E124" s="144">
        <f t="shared" ref="E124" si="2">SUM(F146:F150)+SUM(F152:F160)+SUM(F162:F173)+SUM(F175:F186)+SUM(F188:F199)+SUM(F201:F206,F208:F212)+SUM(F214:F224)+SUM(F226:F236)+SUM(F238:F248)+SUM(F250,F260)+SUM(F262:F266,F268:F271)+SUM(F273:F282)+SUM(F284:F293)+SUM(F295:F299,F301:F304)+SUM(F306:F315)+SUM(F317:F326)+SUM(F328:F337)+SUM(F339:F348)+SUM(F350:F354,F356:F359)+SUM(F361:F362)</f>
        <v>88830.555839999986</v>
      </c>
      <c r="F124" s="145"/>
      <c r="G124" s="144">
        <f t="shared" ref="G124" si="3">SUM(H146:H150)+SUM(H152:H160)+SUM(H162:H173)+SUM(H175:H186)+SUM(H188:H199)+SUM(H201:H206,H208:H212)+SUM(H214:H224)+SUM(H226:H236)+SUM(H238:H248)+SUM(H250,H260)+SUM(H262:H266,H268:H271)+SUM(H273:H282)+SUM(H284:H293)+SUM(H295:H299,H301:H304)+SUM(H306:H315)+SUM(H317:H326)+SUM(H328:H337)+SUM(H339:H348)+SUM(H350:H354,H356:H359)+SUM(H361:H362)</f>
        <v>133794.57575250001</v>
      </c>
      <c r="H124" s="145"/>
      <c r="R124"/>
      <c r="S124" s="18"/>
      <c r="T124"/>
      <c r="U124" s="18"/>
      <c r="V124" s="18"/>
    </row>
    <row r="125" spans="1:22" s="32" customFormat="1" x14ac:dyDescent="0.3">
      <c r="A125" s="146" t="s">
        <v>150</v>
      </c>
      <c r="B125" s="146"/>
      <c r="C125" s="147">
        <f>SUM(C123:D124)</f>
        <v>190</v>
      </c>
      <c r="D125" s="148"/>
      <c r="E125" s="147">
        <f t="shared" ref="E125" si="4">SUM(E123:F124)</f>
        <v>96510.131639999992</v>
      </c>
      <c r="F125" s="148"/>
      <c r="G125" s="147">
        <f t="shared" ref="G125" si="5">SUM(G123:H124)</f>
        <v>145313.9394525</v>
      </c>
      <c r="H125" s="148"/>
      <c r="O125" s="32">
        <f>148/1.2</f>
        <v>123.33333333333334</v>
      </c>
      <c r="P125" s="32">
        <f>5000000/O125</f>
        <v>40540.54054054054</v>
      </c>
      <c r="Q125" s="32">
        <f>P125/1.55</f>
        <v>26155.187445510026</v>
      </c>
      <c r="R125"/>
      <c r="S125" s="18"/>
      <c r="T125"/>
      <c r="U125" s="18"/>
      <c r="V125" s="18"/>
    </row>
    <row r="126" spans="1:22" s="32" customFormat="1" hidden="1" x14ac:dyDescent="0.3">
      <c r="A126" s="146" t="s">
        <v>65</v>
      </c>
      <c r="B126" s="146"/>
      <c r="C126" s="146"/>
      <c r="D126" s="146"/>
      <c r="E126" s="146"/>
      <c r="F126" s="146"/>
      <c r="G126" s="146"/>
      <c r="H126" s="146"/>
      <c r="T126"/>
    </row>
    <row r="127" spans="1:22" s="32" customFormat="1" ht="15.75" hidden="1" customHeight="1" x14ac:dyDescent="0.3">
      <c r="A127" s="237" t="s">
        <v>50</v>
      </c>
      <c r="B127" s="237"/>
      <c r="C127" s="148" t="s">
        <v>73</v>
      </c>
      <c r="D127" s="148"/>
      <c r="E127" s="251" t="s">
        <v>51</v>
      </c>
      <c r="F127" s="251"/>
      <c r="G127" s="237" t="s">
        <v>52</v>
      </c>
      <c r="H127" s="237"/>
      <c r="T127"/>
    </row>
    <row r="128" spans="1:22" s="32" customFormat="1" hidden="1" x14ac:dyDescent="0.3">
      <c r="A128" s="175"/>
      <c r="B128" s="175"/>
      <c r="C128" s="145"/>
      <c r="D128" s="145"/>
      <c r="E128" s="180"/>
      <c r="F128" s="180"/>
      <c r="G128" s="181"/>
      <c r="H128" s="181"/>
      <c r="T128"/>
    </row>
    <row r="129" spans="1:20" s="32" customFormat="1" hidden="1" x14ac:dyDescent="0.3">
      <c r="A129" s="175"/>
      <c r="B129" s="175"/>
      <c r="C129" s="145"/>
      <c r="D129" s="145"/>
      <c r="E129" s="180"/>
      <c r="F129" s="180"/>
      <c r="G129" s="181"/>
      <c r="H129" s="181"/>
      <c r="T129"/>
    </row>
    <row r="130" spans="1:20" s="32" customFormat="1" ht="16.2" hidden="1" thickBot="1" x14ac:dyDescent="0.35">
      <c r="A130" s="139" t="s">
        <v>150</v>
      </c>
      <c r="B130" s="139"/>
      <c r="C130" s="243"/>
      <c r="D130" s="243"/>
      <c r="E130" s="140"/>
      <c r="F130" s="140"/>
      <c r="G130" s="141"/>
      <c r="H130" s="141"/>
      <c r="T130"/>
    </row>
    <row r="131" spans="1:20" s="32" customFormat="1" ht="16.2" hidden="1" thickBot="1" x14ac:dyDescent="0.35">
      <c r="A131" s="238" t="s">
        <v>164</v>
      </c>
      <c r="B131" s="239"/>
      <c r="C131" s="176">
        <f>C125+C130</f>
        <v>190</v>
      </c>
      <c r="D131" s="176"/>
      <c r="E131" s="185">
        <f>E125+E130</f>
        <v>96510.131639999992</v>
      </c>
      <c r="F131" s="185"/>
      <c r="G131" s="165">
        <f>G125+G130</f>
        <v>145313.9394525</v>
      </c>
      <c r="H131" s="166"/>
      <c r="T131"/>
    </row>
    <row r="132" spans="1:20" s="31" customFormat="1" x14ac:dyDescent="0.3">
      <c r="A132" s="177" t="s">
        <v>354</v>
      </c>
      <c r="B132" s="177"/>
      <c r="C132" s="177"/>
      <c r="D132" s="177"/>
      <c r="E132" s="177"/>
      <c r="F132" s="177"/>
      <c r="G132" s="177"/>
      <c r="H132" s="177"/>
      <c r="O132" s="31">
        <f>115/1.2</f>
        <v>95.833333333333343</v>
      </c>
      <c r="P132" s="31">
        <f>3500000/O132</f>
        <v>36521.739130434777</v>
      </c>
      <c r="Q132" s="31">
        <f>P132/1.55</f>
        <v>23562.412342215983</v>
      </c>
      <c r="T132" s="32"/>
    </row>
    <row r="133" spans="1:20" x14ac:dyDescent="0.3">
      <c r="A133" s="247" t="s">
        <v>448</v>
      </c>
      <c r="B133" s="247"/>
      <c r="C133" s="247"/>
      <c r="D133" s="247"/>
      <c r="E133" s="247"/>
      <c r="F133" s="247"/>
      <c r="G133" s="247"/>
      <c r="H133" s="247"/>
      <c r="O133" s="18">
        <f>235/1.2</f>
        <v>195.83333333333334</v>
      </c>
      <c r="P133" s="18">
        <f>4300000/O133</f>
        <v>21957.446808510638</v>
      </c>
      <c r="Q133" s="18">
        <f>P133/1.55</f>
        <v>14166.094715168154</v>
      </c>
      <c r="T133" s="32"/>
    </row>
    <row r="134" spans="1:20" ht="47.25" customHeight="1" x14ac:dyDescent="0.3">
      <c r="A134" s="120" t="s">
        <v>447</v>
      </c>
      <c r="B134" s="120" t="s">
        <v>173</v>
      </c>
      <c r="C134" s="120" t="s">
        <v>53</v>
      </c>
      <c r="D134" s="120" t="s">
        <v>230</v>
      </c>
      <c r="E134" s="182" t="s">
        <v>156</v>
      </c>
      <c r="F134" s="120" t="s">
        <v>54</v>
      </c>
      <c r="G134" s="182" t="s">
        <v>55</v>
      </c>
      <c r="H134" s="94" t="s">
        <v>148</v>
      </c>
      <c r="O134" s="18">
        <f>300/1.2</f>
        <v>250</v>
      </c>
      <c r="P134" s="18">
        <f>8500000/O134</f>
        <v>34000</v>
      </c>
      <c r="T134" s="32"/>
    </row>
    <row r="135" spans="1:20" s="34" customFormat="1" x14ac:dyDescent="0.3">
      <c r="A135" s="121"/>
      <c r="B135" s="121"/>
      <c r="C135" s="121"/>
      <c r="D135" s="121"/>
      <c r="E135" s="183"/>
      <c r="F135" s="121"/>
      <c r="G135" s="183"/>
      <c r="H135" s="95">
        <v>0.5</v>
      </c>
      <c r="P135" s="34">
        <f>P134/1.55</f>
        <v>21935.483870967742</v>
      </c>
      <c r="T135" s="32"/>
    </row>
    <row r="136" spans="1:20" s="34" customFormat="1" x14ac:dyDescent="0.3">
      <c r="A136" s="156" t="s">
        <v>417</v>
      </c>
      <c r="B136" s="157"/>
      <c r="C136" s="157"/>
      <c r="D136" s="157"/>
      <c r="E136" s="157"/>
      <c r="F136" s="157"/>
      <c r="G136" s="157"/>
      <c r="H136" s="158"/>
      <c r="J136" s="33"/>
      <c r="T136" s="32"/>
    </row>
    <row r="137" spans="1:20" s="34" customFormat="1" x14ac:dyDescent="0.3">
      <c r="A137" s="156" t="s">
        <v>418</v>
      </c>
      <c r="B137" s="157"/>
      <c r="C137" s="157"/>
      <c r="D137" s="157"/>
      <c r="E137" s="157"/>
      <c r="F137" s="157"/>
      <c r="G137" s="157"/>
      <c r="H137" s="158"/>
      <c r="J137" s="33"/>
      <c r="T137" s="32"/>
    </row>
    <row r="138" spans="1:20" s="34" customFormat="1" ht="49.8" customHeight="1" x14ac:dyDescent="0.3">
      <c r="A138" s="152">
        <v>1</v>
      </c>
      <c r="B138" s="153"/>
      <c r="C138" s="39" t="s">
        <v>420</v>
      </c>
      <c r="D138" s="39">
        <f>(92.31+77.68)*10.764</f>
        <v>1829.7723599999999</v>
      </c>
      <c r="E138" s="39">
        <v>0</v>
      </c>
      <c r="F138" s="39">
        <f>D138+(IF(E138&lt;201,E138,IF(E138&lt;301,E138/2,E138/3)))</f>
        <v>1829.7723599999999</v>
      </c>
      <c r="G138" s="39">
        <v>0</v>
      </c>
      <c r="H138" s="39">
        <f>(F138+(IF(G138&lt;101,G138,IF(G138&lt;201,G138/2,IF(G138&lt;=301,G138/3,G138/4)))))*(($H$135)+1)</f>
        <v>2744.6585399999999</v>
      </c>
      <c r="I138" s="33"/>
      <c r="L138" s="39">
        <v>10.763999999999999</v>
      </c>
      <c r="M138" s="39"/>
      <c r="N138" s="33"/>
      <c r="T138" s="32"/>
    </row>
    <row r="139" spans="1:20" s="34" customFormat="1" ht="49.2" customHeight="1" x14ac:dyDescent="0.3">
      <c r="A139" s="152">
        <f>A138+1</f>
        <v>2</v>
      </c>
      <c r="B139" s="153"/>
      <c r="C139" s="39" t="s">
        <v>420</v>
      </c>
      <c r="D139" s="39">
        <f>(110.33+106.95)*10.764</f>
        <v>2338.8019199999999</v>
      </c>
      <c r="E139" s="39">
        <v>0</v>
      </c>
      <c r="F139" s="39">
        <f>D139+(IF(E139&lt;201,E139,IF(E139&lt;301,E139/2,E139/3)))</f>
        <v>2338.8019199999999</v>
      </c>
      <c r="G139" s="39">
        <v>0</v>
      </c>
      <c r="H139" s="39">
        <f>(F139+(IF(G139&lt;101,G139,IF(G139&lt;201,G139/2,IF(G139&lt;=301,G139/3,G139/4)))))*(($H$135)+1)</f>
        <v>3508.2028799999998</v>
      </c>
      <c r="I139" s="33"/>
      <c r="L139" s="154"/>
      <c r="M139" s="154"/>
      <c r="N139" s="33">
        <f>40000/1.55</f>
        <v>25806.451612903224</v>
      </c>
      <c r="T139" s="31"/>
    </row>
    <row r="140" spans="1:20" s="34" customFormat="1" ht="15.75" customHeight="1" x14ac:dyDescent="0.3">
      <c r="A140" s="152">
        <f>A139+1</f>
        <v>3</v>
      </c>
      <c r="B140" s="153"/>
      <c r="C140" s="39" t="s">
        <v>419</v>
      </c>
      <c r="D140" s="39">
        <f>(105.54)*10.764</f>
        <v>1136.0325600000001</v>
      </c>
      <c r="E140" s="39">
        <v>0</v>
      </c>
      <c r="F140" s="39">
        <f>D140+(IF(E140&lt;201,E140,IF(E140&lt;301,E140/2,E140/3)))</f>
        <v>1136.0325600000001</v>
      </c>
      <c r="G140" s="39">
        <v>0</v>
      </c>
      <c r="H140" s="39">
        <f>(F140+(IF(G140&lt;101,G140,IF(G140&lt;201,G140/2,IF(G140&lt;=301,G140/3,G140/4)))))*(($H$135)+1)</f>
        <v>1704.0488400000002</v>
      </c>
      <c r="I140" s="33"/>
      <c r="L140" s="154"/>
      <c r="M140" s="154"/>
      <c r="N140" s="33"/>
      <c r="T140" s="18"/>
    </row>
    <row r="141" spans="1:20" s="34" customFormat="1" ht="15.75" customHeight="1" x14ac:dyDescent="0.3">
      <c r="A141" s="152">
        <f>A140+1</f>
        <v>4</v>
      </c>
      <c r="B141" s="153"/>
      <c r="C141" s="39" t="s">
        <v>419</v>
      </c>
      <c r="D141" s="39">
        <f>(105.41)*10.764</f>
        <v>1134.6332399999999</v>
      </c>
      <c r="E141" s="39">
        <v>0</v>
      </c>
      <c r="F141" s="39">
        <f>D141+(IF(E141&lt;201,E141,IF(E141&lt;301,E141/2,E141/3)))</f>
        <v>1134.6332399999999</v>
      </c>
      <c r="G141" s="39">
        <v>0</v>
      </c>
      <c r="H141" s="39">
        <f>(F141+(IF(G141&lt;101,G141,IF(G141&lt;201,G141/2,IF(G141&lt;=301,G141/3,G141/4)))))*(($H$135)+1)</f>
        <v>1701.9498599999997</v>
      </c>
      <c r="I141" s="33"/>
      <c r="J141" s="34">
        <f>23.84*4.16</f>
        <v>99.174400000000006</v>
      </c>
      <c r="L141" s="154"/>
      <c r="M141" s="154"/>
      <c r="N141" s="33"/>
      <c r="T141" s="18"/>
    </row>
    <row r="142" spans="1:20" s="34" customFormat="1" ht="15.75" customHeight="1" x14ac:dyDescent="0.3">
      <c r="A142" s="152">
        <f>A141+1</f>
        <v>5</v>
      </c>
      <c r="B142" s="153"/>
      <c r="C142" s="39" t="s">
        <v>419</v>
      </c>
      <c r="D142" s="39">
        <f>(115.23)*10.764</f>
        <v>1240.33572</v>
      </c>
      <c r="E142" s="39">
        <v>0</v>
      </c>
      <c r="F142" s="39">
        <f>D142+(IF(E142&lt;201,E142,IF(E142&lt;301,E142/2,E142/3)))</f>
        <v>1240.33572</v>
      </c>
      <c r="G142" s="39">
        <v>0</v>
      </c>
      <c r="H142" s="39">
        <f>(F142+(IF(G142&lt;101,G142,IF(G142&lt;201,G142/2,IF(G142&lt;=301,G142/3,G142/4)))))*(($H$135)+1)</f>
        <v>1860.5035800000001</v>
      </c>
      <c r="I142" s="33"/>
      <c r="L142" s="154"/>
      <c r="M142" s="154"/>
      <c r="N142" s="33"/>
      <c r="T142" s="18"/>
    </row>
    <row r="143" spans="1:20" s="34" customFormat="1" x14ac:dyDescent="0.3">
      <c r="A143" s="156" t="s">
        <v>423</v>
      </c>
      <c r="B143" s="157"/>
      <c r="C143" s="157"/>
      <c r="D143" s="157"/>
      <c r="E143" s="157"/>
      <c r="F143" s="157"/>
      <c r="G143" s="157"/>
      <c r="H143" s="158"/>
      <c r="J143" s="33"/>
      <c r="T143" s="32"/>
    </row>
    <row r="144" spans="1:20" s="34" customFormat="1" x14ac:dyDescent="0.3">
      <c r="A144" s="152">
        <v>1</v>
      </c>
      <c r="B144" s="153"/>
      <c r="C144" s="152" t="s">
        <v>422</v>
      </c>
      <c r="D144" s="254"/>
      <c r="E144" s="254"/>
      <c r="F144" s="254"/>
      <c r="G144" s="254"/>
      <c r="H144" s="153"/>
      <c r="I144" s="33"/>
      <c r="L144" s="154"/>
      <c r="M144" s="154"/>
      <c r="N144" s="33"/>
      <c r="T144" s="32"/>
    </row>
    <row r="145" spans="1:20" s="34" customFormat="1" x14ac:dyDescent="0.3">
      <c r="A145" s="152">
        <f>A144+1</f>
        <v>2</v>
      </c>
      <c r="B145" s="153"/>
      <c r="C145" s="152" t="s">
        <v>422</v>
      </c>
      <c r="D145" s="254"/>
      <c r="E145" s="254"/>
      <c r="F145" s="254"/>
      <c r="G145" s="254"/>
      <c r="H145" s="153"/>
      <c r="I145" s="33"/>
      <c r="L145" s="154"/>
      <c r="M145" s="154"/>
      <c r="N145" s="33"/>
      <c r="T145" s="31"/>
    </row>
    <row r="146" spans="1:20" s="34" customFormat="1" ht="15.75" customHeight="1" x14ac:dyDescent="0.3">
      <c r="A146" s="152">
        <v>1</v>
      </c>
      <c r="B146" s="153"/>
      <c r="C146" s="39" t="s">
        <v>421</v>
      </c>
      <c r="D146" s="39">
        <f>(46.77)*10.764</f>
        <v>503.43227999999999</v>
      </c>
      <c r="E146" s="39">
        <v>0</v>
      </c>
      <c r="F146" s="39">
        <f>D146+(IF(E146&lt;201,E146,IF(E146&lt;301,E146/2,E146/3)))</f>
        <v>503.43227999999999</v>
      </c>
      <c r="G146" s="39">
        <v>0</v>
      </c>
      <c r="H146" s="39">
        <f>(F146+(IF(G146&lt;101,G146,IF(G146&lt;201,G146/2,IF(G146&lt;=301,G146/3,G146/4)))))*(($H$135)+1)</f>
        <v>755.14841999999999</v>
      </c>
      <c r="I146" s="33"/>
      <c r="L146" s="154"/>
      <c r="M146" s="154"/>
      <c r="N146" s="33"/>
      <c r="T146" s="18"/>
    </row>
    <row r="147" spans="1:20" s="34" customFormat="1" ht="15.75" customHeight="1" x14ac:dyDescent="0.3">
      <c r="A147" s="152">
        <f>A146+1</f>
        <v>2</v>
      </c>
      <c r="B147" s="153"/>
      <c r="C147" s="39" t="s">
        <v>421</v>
      </c>
      <c r="D147" s="39">
        <f>(51.61)*10.764</f>
        <v>555.53003999999999</v>
      </c>
      <c r="E147" s="39">
        <v>0</v>
      </c>
      <c r="F147" s="39">
        <f>D147+(IF(E147&lt;201,E147,IF(E147&lt;301,E147/2,E147/3)))</f>
        <v>555.53003999999999</v>
      </c>
      <c r="G147" s="39">
        <v>0</v>
      </c>
      <c r="H147" s="39">
        <f>(F147+(IF(G147&lt;101,G147,IF(G147&lt;201,G147/2,IF(G147&lt;=301,G147/3,G147/4)))))*(($H$135)+1)</f>
        <v>833.29505999999992</v>
      </c>
      <c r="I147" s="33"/>
      <c r="J147" s="34">
        <f>23.84*4.16</f>
        <v>99.174400000000006</v>
      </c>
      <c r="L147" s="154"/>
      <c r="M147" s="154"/>
      <c r="N147" s="33"/>
      <c r="T147" s="18"/>
    </row>
    <row r="148" spans="1:20" s="34" customFormat="1" ht="15.75" customHeight="1" x14ac:dyDescent="0.3">
      <c r="A148" s="152">
        <f>A147+1</f>
        <v>3</v>
      </c>
      <c r="B148" s="153"/>
      <c r="C148" s="39" t="s">
        <v>421</v>
      </c>
      <c r="D148" s="39">
        <f>(109.2)*10.764</f>
        <v>1175.4287999999999</v>
      </c>
      <c r="E148" s="39">
        <v>0</v>
      </c>
      <c r="F148" s="39">
        <f>D148+(IF(E148&lt;201,E148,IF(E148&lt;301,E148/2,E148/3)))</f>
        <v>1175.4287999999999</v>
      </c>
      <c r="G148" s="39">
        <v>0</v>
      </c>
      <c r="H148" s="39">
        <f>(F148+(IF(G148&lt;101,G148,IF(G148&lt;201,G148/2,IF(G148&lt;=301,G148/3,G148/4)))))*(($H$135)+1)</f>
        <v>1763.1432</v>
      </c>
      <c r="I148" s="33"/>
      <c r="L148" s="154"/>
      <c r="M148" s="154"/>
      <c r="N148" s="33"/>
      <c r="T148" s="18"/>
    </row>
    <row r="149" spans="1:20" s="34" customFormat="1" ht="15.75" customHeight="1" x14ac:dyDescent="0.3">
      <c r="A149" s="152">
        <f t="shared" ref="A149:A150" si="6">A148+1</f>
        <v>4</v>
      </c>
      <c r="B149" s="153"/>
      <c r="C149" s="39" t="s">
        <v>421</v>
      </c>
      <c r="D149" s="39">
        <f>(100.39)*10.764</f>
        <v>1080.5979599999998</v>
      </c>
      <c r="E149" s="39">
        <v>0</v>
      </c>
      <c r="F149" s="39">
        <f t="shared" ref="F149:F150" si="7">D149+(IF(E149&lt;201,E149,IF(E149&lt;301,E149/2,E149/3)))</f>
        <v>1080.5979599999998</v>
      </c>
      <c r="G149" s="39">
        <v>0</v>
      </c>
      <c r="H149" s="39">
        <f t="shared" ref="H149:H150" si="8">(F149+(IF(G149&lt;101,G149,IF(G149&lt;201,G149/2,IF(G149&lt;=301,G149/3,G149/4)))))*(($H$135)+1)</f>
        <v>1620.8969399999996</v>
      </c>
      <c r="I149" s="33"/>
      <c r="L149" s="154"/>
      <c r="M149" s="154"/>
      <c r="N149" s="33"/>
      <c r="T149" s="18"/>
    </row>
    <row r="150" spans="1:20" s="34" customFormat="1" ht="15.75" customHeight="1" x14ac:dyDescent="0.3">
      <c r="A150" s="152">
        <f t="shared" si="6"/>
        <v>5</v>
      </c>
      <c r="B150" s="153"/>
      <c r="C150" s="39" t="s">
        <v>421</v>
      </c>
      <c r="D150" s="39">
        <f>(117.16)*10.764</f>
        <v>1261.11024</v>
      </c>
      <c r="E150" s="39">
        <v>0</v>
      </c>
      <c r="F150" s="39">
        <f t="shared" si="7"/>
        <v>1261.11024</v>
      </c>
      <c r="G150" s="39">
        <v>0</v>
      </c>
      <c r="H150" s="39">
        <f t="shared" si="8"/>
        <v>1891.66536</v>
      </c>
      <c r="I150" s="33"/>
      <c r="L150" s="154"/>
      <c r="M150" s="154"/>
      <c r="N150" s="33"/>
      <c r="T150" s="18"/>
    </row>
    <row r="151" spans="1:20" s="34" customFormat="1" x14ac:dyDescent="0.3">
      <c r="A151" s="156" t="s">
        <v>424</v>
      </c>
      <c r="B151" s="157"/>
      <c r="C151" s="157"/>
      <c r="D151" s="157"/>
      <c r="E151" s="157"/>
      <c r="F151" s="157"/>
      <c r="G151" s="157"/>
      <c r="H151" s="158"/>
      <c r="J151" s="33"/>
      <c r="T151" s="32"/>
    </row>
    <row r="152" spans="1:20" s="34" customFormat="1" ht="15.75" customHeight="1" x14ac:dyDescent="0.3">
      <c r="A152" s="152">
        <v>1</v>
      </c>
      <c r="B152" s="153"/>
      <c r="C152" s="39" t="s">
        <v>421</v>
      </c>
      <c r="D152" s="39">
        <f>(44.22)*10.764</f>
        <v>475.98407999999995</v>
      </c>
      <c r="E152" s="39">
        <v>0</v>
      </c>
      <c r="F152" s="39">
        <f>D152+(IF(E152&lt;201,E152,IF(E152&lt;301,E152/2,E152/3)))</f>
        <v>475.98407999999995</v>
      </c>
      <c r="G152" s="39">
        <v>0</v>
      </c>
      <c r="H152" s="39">
        <f>(F152+(IF(G152&lt;101,G152,IF(G152&lt;201,G152/2,IF(G152&lt;=301,G152/3,G152/4)))))*(($H$135)+1)</f>
        <v>713.97611999999992</v>
      </c>
      <c r="I152" s="33"/>
      <c r="L152" s="154"/>
      <c r="M152" s="154"/>
      <c r="N152" s="33"/>
      <c r="T152" s="18"/>
    </row>
    <row r="153" spans="1:20" s="34" customFormat="1" ht="15.75" customHeight="1" x14ac:dyDescent="0.3">
      <c r="A153" s="152">
        <f>A152+1</f>
        <v>2</v>
      </c>
      <c r="B153" s="153"/>
      <c r="C153" s="39" t="s">
        <v>421</v>
      </c>
      <c r="D153" s="39">
        <f>(46.66)*10.764</f>
        <v>502.24823999999995</v>
      </c>
      <c r="E153" s="39">
        <v>0</v>
      </c>
      <c r="F153" s="39">
        <f>D153+(IF(E153&lt;201,E153,IF(E153&lt;301,E153/2,E153/3)))</f>
        <v>502.24823999999995</v>
      </c>
      <c r="G153" s="39">
        <v>0</v>
      </c>
      <c r="H153" s="39">
        <f>(F153+(IF(G153&lt;101,G153,IF(G153&lt;201,G153/2,IF(G153&lt;=301,G153/3,G153/4)))))*(($H$135)+1)</f>
        <v>753.37235999999996</v>
      </c>
      <c r="I153" s="33"/>
      <c r="J153" s="34">
        <f>23.84*4.16</f>
        <v>99.174400000000006</v>
      </c>
      <c r="L153" s="154"/>
      <c r="M153" s="154"/>
      <c r="N153" s="33"/>
      <c r="T153" s="18"/>
    </row>
    <row r="154" spans="1:20" s="34" customFormat="1" ht="15.75" customHeight="1" x14ac:dyDescent="0.3">
      <c r="A154" s="152">
        <f>A153+1</f>
        <v>3</v>
      </c>
      <c r="B154" s="153"/>
      <c r="C154" s="39" t="s">
        <v>421</v>
      </c>
      <c r="D154" s="39">
        <f>(44.54)*10.764</f>
        <v>479.42855999999995</v>
      </c>
      <c r="E154" s="39">
        <v>0</v>
      </c>
      <c r="F154" s="39">
        <f>D154+(IF(E154&lt;201,E154,IF(E154&lt;301,E154/2,E154/3)))</f>
        <v>479.42855999999995</v>
      </c>
      <c r="G154" s="39">
        <v>0</v>
      </c>
      <c r="H154" s="39">
        <f>(F154+(IF(G154&lt;101,G154,IF(G154&lt;201,G154/2,IF(G154&lt;=301,G154/3,G154/4)))))*(($H$135)+1)</f>
        <v>719.14283999999998</v>
      </c>
      <c r="I154" s="33"/>
      <c r="L154" s="154"/>
      <c r="M154" s="154"/>
      <c r="N154" s="33"/>
      <c r="T154" s="18"/>
    </row>
    <row r="155" spans="1:20" s="34" customFormat="1" ht="15.75" customHeight="1" x14ac:dyDescent="0.3">
      <c r="A155" s="152">
        <f t="shared" ref="A155:A156" si="9">A154+1</f>
        <v>4</v>
      </c>
      <c r="B155" s="153"/>
      <c r="C155" s="39" t="s">
        <v>421</v>
      </c>
      <c r="D155" s="39">
        <f>(50.24)*10.764</f>
        <v>540.78336000000002</v>
      </c>
      <c r="E155" s="39">
        <v>0</v>
      </c>
      <c r="F155" s="39">
        <f t="shared" ref="F155:F156" si="10">D155+(IF(E155&lt;201,E155,IF(E155&lt;301,E155/2,E155/3)))</f>
        <v>540.78336000000002</v>
      </c>
      <c r="G155" s="39">
        <v>0</v>
      </c>
      <c r="H155" s="39">
        <f t="shared" ref="H155:H156" si="11">(F155+(IF(G155&lt;101,G155,IF(G155&lt;201,G155/2,IF(G155&lt;=301,G155/3,G155/4)))))*(($H$135)+1)</f>
        <v>811.17504000000008</v>
      </c>
      <c r="I155" s="33"/>
      <c r="L155" s="154"/>
      <c r="M155" s="154"/>
      <c r="N155" s="33"/>
      <c r="T155" s="18"/>
    </row>
    <row r="156" spans="1:20" s="34" customFormat="1" ht="15.75" customHeight="1" x14ac:dyDescent="0.3">
      <c r="A156" s="152">
        <f t="shared" si="9"/>
        <v>5</v>
      </c>
      <c r="B156" s="153"/>
      <c r="C156" s="39" t="s">
        <v>421</v>
      </c>
      <c r="D156" s="39">
        <f>(55.81)*10.764</f>
        <v>600.73883999999998</v>
      </c>
      <c r="E156" s="39">
        <v>0</v>
      </c>
      <c r="F156" s="39">
        <f t="shared" si="10"/>
        <v>600.73883999999998</v>
      </c>
      <c r="G156" s="39">
        <v>0</v>
      </c>
      <c r="H156" s="39">
        <f t="shared" si="11"/>
        <v>901.10825999999997</v>
      </c>
      <c r="I156" s="33"/>
      <c r="L156" s="154"/>
      <c r="M156" s="154"/>
      <c r="N156" s="33"/>
      <c r="T156" s="18"/>
    </row>
    <row r="157" spans="1:20" s="34" customFormat="1" ht="15.75" customHeight="1" x14ac:dyDescent="0.3">
      <c r="A157" s="152">
        <f t="shared" ref="A157:A160" si="12">A156+1</f>
        <v>6</v>
      </c>
      <c r="B157" s="153"/>
      <c r="C157" s="39" t="s">
        <v>421</v>
      </c>
      <c r="D157" s="39">
        <f>(144.12)*10.764</f>
        <v>1551.3076799999999</v>
      </c>
      <c r="E157" s="39">
        <v>0</v>
      </c>
      <c r="F157" s="39">
        <f t="shared" ref="F157:F160" si="13">D157+(IF(E157&lt;201,E157,IF(E157&lt;301,E157/2,E157/3)))</f>
        <v>1551.3076799999999</v>
      </c>
      <c r="G157" s="39">
        <v>0</v>
      </c>
      <c r="H157" s="39">
        <f t="shared" ref="H157:H160" si="14">(F157+(IF(G157&lt;101,G157,IF(G157&lt;201,G157/2,IF(G157&lt;=301,G157/3,G157/4)))))*(($H$135)+1)</f>
        <v>2326.9615199999998</v>
      </c>
      <c r="I157" s="33"/>
      <c r="L157" s="154"/>
      <c r="M157" s="154"/>
      <c r="N157" s="33"/>
      <c r="T157" s="18"/>
    </row>
    <row r="158" spans="1:20" s="34" customFormat="1" ht="15.75" customHeight="1" x14ac:dyDescent="0.3">
      <c r="A158" s="152">
        <f t="shared" si="12"/>
        <v>7</v>
      </c>
      <c r="B158" s="153"/>
      <c r="C158" s="39" t="s">
        <v>421</v>
      </c>
      <c r="D158" s="39">
        <f>(75.88)*10.764</f>
        <v>816.77231999999992</v>
      </c>
      <c r="E158" s="39">
        <v>0</v>
      </c>
      <c r="F158" s="39">
        <f t="shared" si="13"/>
        <v>816.77231999999992</v>
      </c>
      <c r="G158" s="39">
        <f>(1.5*6.4)*10.764</f>
        <v>103.3344</v>
      </c>
      <c r="H158" s="39">
        <f t="shared" si="14"/>
        <v>1302.6592799999999</v>
      </c>
      <c r="I158" s="33"/>
      <c r="L158" s="154"/>
      <c r="M158" s="154"/>
      <c r="N158" s="33"/>
      <c r="T158" s="18"/>
    </row>
    <row r="159" spans="1:20" s="34" customFormat="1" ht="15.75" customHeight="1" x14ac:dyDescent="0.3">
      <c r="A159" s="152">
        <f t="shared" si="12"/>
        <v>8</v>
      </c>
      <c r="B159" s="153"/>
      <c r="C159" s="39" t="s">
        <v>421</v>
      </c>
      <c r="D159" s="39">
        <f>(57.36)*10.764</f>
        <v>617.4230399999999</v>
      </c>
      <c r="E159" s="39">
        <v>0</v>
      </c>
      <c r="F159" s="39">
        <f t="shared" si="13"/>
        <v>617.4230399999999</v>
      </c>
      <c r="G159" s="39">
        <f>(1.5*6.5)*10.764</f>
        <v>104.949</v>
      </c>
      <c r="H159" s="39">
        <f t="shared" si="14"/>
        <v>1004.8463099999999</v>
      </c>
      <c r="I159" s="33"/>
      <c r="L159" s="154"/>
      <c r="M159" s="154"/>
      <c r="N159" s="33"/>
      <c r="T159" s="18"/>
    </row>
    <row r="160" spans="1:20" s="34" customFormat="1" ht="15.75" customHeight="1" x14ac:dyDescent="0.3">
      <c r="A160" s="152">
        <f t="shared" si="12"/>
        <v>9</v>
      </c>
      <c r="B160" s="153"/>
      <c r="C160" s="39" t="s">
        <v>421</v>
      </c>
      <c r="D160" s="39">
        <f>(83.1)*10.764</f>
        <v>894.48839999999984</v>
      </c>
      <c r="E160" s="39">
        <v>0</v>
      </c>
      <c r="F160" s="39">
        <f t="shared" si="13"/>
        <v>894.48839999999984</v>
      </c>
      <c r="G160" s="39">
        <f>(1.5*9.4)*10.764</f>
        <v>151.7724</v>
      </c>
      <c r="H160" s="39">
        <f t="shared" si="14"/>
        <v>1455.5618999999997</v>
      </c>
      <c r="I160" s="33"/>
      <c r="L160" s="154"/>
      <c r="M160" s="154"/>
      <c r="N160" s="33"/>
      <c r="T160" s="18"/>
    </row>
    <row r="161" spans="1:20" s="34" customFormat="1" x14ac:dyDescent="0.3">
      <c r="A161" s="156" t="s">
        <v>425</v>
      </c>
      <c r="B161" s="157"/>
      <c r="C161" s="157"/>
      <c r="D161" s="157"/>
      <c r="E161" s="157"/>
      <c r="F161" s="157"/>
      <c r="G161" s="157"/>
      <c r="H161" s="158"/>
      <c r="J161" s="33"/>
      <c r="T161" s="32"/>
    </row>
    <row r="162" spans="1:20" s="34" customFormat="1" ht="15.75" customHeight="1" x14ac:dyDescent="0.3">
      <c r="A162" s="152">
        <v>1</v>
      </c>
      <c r="B162" s="153"/>
      <c r="C162" s="39" t="s">
        <v>421</v>
      </c>
      <c r="D162" s="39">
        <f>(41.97)*10.764</f>
        <v>451.76507999999995</v>
      </c>
      <c r="E162" s="39">
        <v>0</v>
      </c>
      <c r="F162" s="39">
        <f>D162+(IF(E162&lt;201,E162,IF(E162&lt;301,E162/2,E162/3)))</f>
        <v>451.76507999999995</v>
      </c>
      <c r="G162" s="39">
        <v>0</v>
      </c>
      <c r="H162" s="39">
        <f>(F162+(IF(G162&lt;101,G162,IF(G162&lt;201,G162/2,IF(G162&lt;=301,G162/3,G162/4)))))*(($H$135)+1)</f>
        <v>677.64761999999996</v>
      </c>
      <c r="I162" s="33"/>
      <c r="L162" s="154"/>
      <c r="M162" s="154"/>
      <c r="N162" s="33"/>
      <c r="T162" s="18"/>
    </row>
    <row r="163" spans="1:20" s="34" customFormat="1" ht="15.75" customHeight="1" x14ac:dyDescent="0.3">
      <c r="A163" s="152">
        <f>A162+1</f>
        <v>2</v>
      </c>
      <c r="B163" s="153"/>
      <c r="C163" s="39" t="s">
        <v>421</v>
      </c>
      <c r="D163" s="39">
        <f>(42.96)*10.764</f>
        <v>462.42143999999996</v>
      </c>
      <c r="E163" s="39">
        <v>0</v>
      </c>
      <c r="F163" s="39">
        <f>D163+(IF(E163&lt;201,E163,IF(E163&lt;301,E163/2,E163/3)))</f>
        <v>462.42143999999996</v>
      </c>
      <c r="G163" s="39">
        <v>0</v>
      </c>
      <c r="H163" s="39">
        <f>(F163+(IF(G163&lt;101,G163,IF(G163&lt;201,G163/2,IF(G163&lt;=301,G163/3,G163/4)))))*(($H$135)+1)</f>
        <v>693.63215999999989</v>
      </c>
      <c r="I163" s="33"/>
      <c r="J163" s="34">
        <f>23.84*4.16</f>
        <v>99.174400000000006</v>
      </c>
      <c r="L163" s="154"/>
      <c r="M163" s="154"/>
      <c r="N163" s="33"/>
      <c r="T163" s="18"/>
    </row>
    <row r="164" spans="1:20" s="34" customFormat="1" ht="15.75" customHeight="1" x14ac:dyDescent="0.3">
      <c r="A164" s="152">
        <f>A163+1</f>
        <v>3</v>
      </c>
      <c r="B164" s="153"/>
      <c r="C164" s="39" t="s">
        <v>421</v>
      </c>
      <c r="D164" s="39">
        <f>(41.37)*10.764</f>
        <v>445.30667999999997</v>
      </c>
      <c r="E164" s="39">
        <v>0</v>
      </c>
      <c r="F164" s="39">
        <f>D164+(IF(E164&lt;201,E164,IF(E164&lt;301,E164/2,E164/3)))</f>
        <v>445.30667999999997</v>
      </c>
      <c r="G164" s="39">
        <v>0</v>
      </c>
      <c r="H164" s="39">
        <f>(F164+(IF(G164&lt;101,G164,IF(G164&lt;201,G164/2,IF(G164&lt;=301,G164/3,G164/4)))))*(($H$135)+1)</f>
        <v>667.96001999999999</v>
      </c>
      <c r="I164" s="33"/>
      <c r="L164" s="154"/>
      <c r="M164" s="154"/>
      <c r="N164" s="33"/>
      <c r="T164" s="18"/>
    </row>
    <row r="165" spans="1:20" s="34" customFormat="1" ht="15.75" customHeight="1" x14ac:dyDescent="0.3">
      <c r="A165" s="152">
        <f t="shared" ref="A165:A170" si="15">A164+1</f>
        <v>4</v>
      </c>
      <c r="B165" s="153"/>
      <c r="C165" s="39" t="s">
        <v>421</v>
      </c>
      <c r="D165" s="39">
        <f>(46.85)*10.764</f>
        <v>504.29339999999996</v>
      </c>
      <c r="E165" s="39">
        <v>0</v>
      </c>
      <c r="F165" s="39">
        <f t="shared" ref="F165:F170" si="16">D165+(IF(E165&lt;201,E165,IF(E165&lt;301,E165/2,E165/3)))</f>
        <v>504.29339999999996</v>
      </c>
      <c r="G165" s="39">
        <v>0</v>
      </c>
      <c r="H165" s="39">
        <f t="shared" ref="H165:H170" si="17">(F165+(IF(G165&lt;101,G165,IF(G165&lt;201,G165/2,IF(G165&lt;=301,G165/3,G165/4)))))*(($H$135)+1)</f>
        <v>756.44009999999992</v>
      </c>
      <c r="I165" s="33"/>
      <c r="L165" s="154"/>
      <c r="M165" s="154"/>
      <c r="N165" s="33"/>
      <c r="T165" s="18"/>
    </row>
    <row r="166" spans="1:20" s="34" customFormat="1" ht="15.75" customHeight="1" x14ac:dyDescent="0.3">
      <c r="A166" s="152">
        <f t="shared" si="15"/>
        <v>5</v>
      </c>
      <c r="B166" s="153"/>
      <c r="C166" s="39" t="s">
        <v>421</v>
      </c>
      <c r="D166" s="39">
        <f>(48.81)*10.764</f>
        <v>525.39084000000003</v>
      </c>
      <c r="E166" s="39">
        <v>0</v>
      </c>
      <c r="F166" s="39">
        <f t="shared" si="16"/>
        <v>525.39084000000003</v>
      </c>
      <c r="G166" s="39">
        <v>0</v>
      </c>
      <c r="H166" s="39">
        <f t="shared" si="17"/>
        <v>788.08626000000004</v>
      </c>
      <c r="I166" s="33"/>
      <c r="L166" s="154"/>
      <c r="M166" s="154"/>
      <c r="N166" s="33"/>
      <c r="T166" s="18"/>
    </row>
    <row r="167" spans="1:20" s="34" customFormat="1" ht="15.75" customHeight="1" x14ac:dyDescent="0.3">
      <c r="A167" s="152">
        <f t="shared" si="15"/>
        <v>6</v>
      </c>
      <c r="B167" s="153"/>
      <c r="C167" s="39" t="s">
        <v>421</v>
      </c>
      <c r="D167" s="39">
        <f>(43.88)*10.764</f>
        <v>472.32432</v>
      </c>
      <c r="E167" s="39">
        <v>0</v>
      </c>
      <c r="F167" s="39">
        <f t="shared" si="16"/>
        <v>472.32432</v>
      </c>
      <c r="G167" s="39">
        <v>0</v>
      </c>
      <c r="H167" s="39">
        <f t="shared" si="17"/>
        <v>708.48648000000003</v>
      </c>
      <c r="I167" s="33"/>
      <c r="L167" s="154"/>
      <c r="M167" s="154"/>
      <c r="N167" s="33"/>
      <c r="T167" s="18"/>
    </row>
    <row r="168" spans="1:20" s="34" customFormat="1" ht="15.75" customHeight="1" x14ac:dyDescent="0.3">
      <c r="A168" s="152">
        <f t="shared" si="15"/>
        <v>7</v>
      </c>
      <c r="B168" s="153"/>
      <c r="C168" s="39" t="s">
        <v>421</v>
      </c>
      <c r="D168" s="39">
        <f>(64.02)*10.764</f>
        <v>689.11127999999997</v>
      </c>
      <c r="E168" s="39">
        <v>0</v>
      </c>
      <c r="F168" s="39">
        <f t="shared" si="16"/>
        <v>689.11127999999997</v>
      </c>
      <c r="G168" s="39">
        <f>(40.17)*10.764</f>
        <v>432.38988000000001</v>
      </c>
      <c r="H168" s="39">
        <f t="shared" si="17"/>
        <v>1195.8131250000001</v>
      </c>
      <c r="I168" s="33"/>
      <c r="L168" s="154"/>
      <c r="M168" s="154"/>
      <c r="N168" s="33"/>
      <c r="T168" s="18"/>
    </row>
    <row r="169" spans="1:20" s="34" customFormat="1" ht="15.75" customHeight="1" x14ac:dyDescent="0.3">
      <c r="A169" s="152">
        <f t="shared" si="15"/>
        <v>8</v>
      </c>
      <c r="B169" s="153"/>
      <c r="C169" s="39" t="s">
        <v>421</v>
      </c>
      <c r="D169" s="39">
        <f>(50.14)*10.764</f>
        <v>539.70695999999998</v>
      </c>
      <c r="E169" s="39">
        <v>0</v>
      </c>
      <c r="F169" s="39">
        <f t="shared" si="16"/>
        <v>539.70695999999998</v>
      </c>
      <c r="G169" s="39">
        <f>(1/2*5.5*10.5)*10.764</f>
        <v>310.81049999999999</v>
      </c>
      <c r="H169" s="39">
        <f t="shared" si="17"/>
        <v>926.11437750000005</v>
      </c>
      <c r="I169" s="33"/>
      <c r="L169" s="154"/>
      <c r="M169" s="154"/>
      <c r="N169" s="33"/>
      <c r="T169" s="18"/>
    </row>
    <row r="170" spans="1:20" s="34" customFormat="1" ht="15.75" customHeight="1" x14ac:dyDescent="0.3">
      <c r="A170" s="152">
        <f t="shared" si="15"/>
        <v>9</v>
      </c>
      <c r="B170" s="153"/>
      <c r="C170" s="39" t="s">
        <v>421</v>
      </c>
      <c r="D170" s="39">
        <f>(49.17)*10.764</f>
        <v>529.26588000000004</v>
      </c>
      <c r="E170" s="39">
        <v>0</v>
      </c>
      <c r="F170" s="39">
        <f t="shared" si="16"/>
        <v>529.26588000000004</v>
      </c>
      <c r="G170" s="39">
        <v>0</v>
      </c>
      <c r="H170" s="39">
        <f t="shared" si="17"/>
        <v>793.89882000000011</v>
      </c>
      <c r="I170" s="33"/>
      <c r="L170" s="154"/>
      <c r="M170" s="154"/>
      <c r="N170" s="33"/>
      <c r="T170" s="18"/>
    </row>
    <row r="171" spans="1:20" s="34" customFormat="1" ht="15.75" customHeight="1" x14ac:dyDescent="0.3">
      <c r="A171" s="152">
        <f t="shared" ref="A171:A173" si="18">A170+1</f>
        <v>10</v>
      </c>
      <c r="B171" s="153"/>
      <c r="C171" s="39" t="s">
        <v>421</v>
      </c>
      <c r="D171" s="39">
        <f>(79.46)*10.764</f>
        <v>855.30743999999993</v>
      </c>
      <c r="E171" s="39">
        <v>0</v>
      </c>
      <c r="F171" s="39">
        <f t="shared" ref="F171:F173" si="19">D171+(IF(E171&lt;201,E171,IF(E171&lt;301,E171/2,E171/3)))</f>
        <v>855.30743999999993</v>
      </c>
      <c r="G171" s="39">
        <v>0</v>
      </c>
      <c r="H171" s="39">
        <f t="shared" ref="H171:H173" si="20">(F171+(IF(G171&lt;101,G171,IF(G171&lt;201,G171/2,IF(G171&lt;=301,G171/3,G171/4)))))*(($H$135)+1)</f>
        <v>1282.9611599999998</v>
      </c>
      <c r="I171" s="33"/>
      <c r="L171" s="154"/>
      <c r="M171" s="154"/>
      <c r="N171" s="33"/>
      <c r="T171" s="18"/>
    </row>
    <row r="172" spans="1:20" s="34" customFormat="1" ht="15.75" customHeight="1" x14ac:dyDescent="0.3">
      <c r="A172" s="152">
        <f t="shared" si="18"/>
        <v>11</v>
      </c>
      <c r="B172" s="153"/>
      <c r="C172" s="39" t="s">
        <v>421</v>
      </c>
      <c r="D172" s="39">
        <f>(59)*10.764</f>
        <v>635.07599999999991</v>
      </c>
      <c r="E172" s="39">
        <v>0</v>
      </c>
      <c r="F172" s="39">
        <f t="shared" si="19"/>
        <v>635.07599999999991</v>
      </c>
      <c r="G172" s="39">
        <v>0</v>
      </c>
      <c r="H172" s="39">
        <f t="shared" si="20"/>
        <v>952.61399999999981</v>
      </c>
      <c r="I172" s="33"/>
      <c r="L172" s="154"/>
      <c r="M172" s="154"/>
      <c r="N172" s="33"/>
      <c r="T172" s="18"/>
    </row>
    <row r="173" spans="1:20" s="34" customFormat="1" ht="15.75" customHeight="1" x14ac:dyDescent="0.3">
      <c r="A173" s="152">
        <f t="shared" si="18"/>
        <v>12</v>
      </c>
      <c r="B173" s="153"/>
      <c r="C173" s="39" t="s">
        <v>421</v>
      </c>
      <c r="D173" s="39">
        <f>(85.31)*10.764</f>
        <v>918.27683999999999</v>
      </c>
      <c r="E173" s="39">
        <v>0</v>
      </c>
      <c r="F173" s="39">
        <f t="shared" si="19"/>
        <v>918.27683999999999</v>
      </c>
      <c r="G173" s="39">
        <v>0</v>
      </c>
      <c r="H173" s="39">
        <f t="shared" si="20"/>
        <v>1377.41526</v>
      </c>
      <c r="I173" s="33"/>
      <c r="L173" s="154"/>
      <c r="M173" s="154"/>
      <c r="N173" s="33"/>
      <c r="T173" s="18"/>
    </row>
    <row r="174" spans="1:20" s="34" customFormat="1" x14ac:dyDescent="0.3">
      <c r="A174" s="156" t="s">
        <v>426</v>
      </c>
      <c r="B174" s="157"/>
      <c r="C174" s="157"/>
      <c r="D174" s="157"/>
      <c r="E174" s="157"/>
      <c r="F174" s="157"/>
      <c r="G174" s="157"/>
      <c r="H174" s="158"/>
      <c r="J174" s="33"/>
      <c r="T174" s="32"/>
    </row>
    <row r="175" spans="1:20" s="34" customFormat="1" ht="15.75" customHeight="1" x14ac:dyDescent="0.3">
      <c r="A175" s="152">
        <v>1</v>
      </c>
      <c r="B175" s="153"/>
      <c r="C175" s="39" t="s">
        <v>421</v>
      </c>
      <c r="D175" s="39">
        <f>(40.18)*10.764</f>
        <v>432.49751999999995</v>
      </c>
      <c r="E175" s="39">
        <v>0</v>
      </c>
      <c r="F175" s="39">
        <f>D175+(IF(E175&lt;201,E175,IF(E175&lt;301,E175/2,E175/3)))</f>
        <v>432.49751999999995</v>
      </c>
      <c r="G175" s="39">
        <v>0</v>
      </c>
      <c r="H175" s="39">
        <f>(F175+(IF(G175&lt;101,G175,IF(G175&lt;201,G175/2,IF(G175&lt;=301,G175/3,G175/4)))))*(($H$135)+1)</f>
        <v>648.74627999999996</v>
      </c>
      <c r="I175" s="33"/>
      <c r="L175" s="154"/>
      <c r="M175" s="154"/>
      <c r="N175" s="33"/>
      <c r="T175" s="18"/>
    </row>
    <row r="176" spans="1:20" s="34" customFormat="1" ht="15.75" customHeight="1" x14ac:dyDescent="0.3">
      <c r="A176" s="152">
        <f>A175+1</f>
        <v>2</v>
      </c>
      <c r="B176" s="153"/>
      <c r="C176" s="39" t="s">
        <v>421</v>
      </c>
      <c r="D176" s="39">
        <f>(40.14)*10.764</f>
        <v>432.06695999999999</v>
      </c>
      <c r="E176" s="39">
        <v>0</v>
      </c>
      <c r="F176" s="39">
        <f>D176+(IF(E176&lt;201,E176,IF(E176&lt;301,E176/2,E176/3)))</f>
        <v>432.06695999999999</v>
      </c>
      <c r="G176" s="39">
        <v>0</v>
      </c>
      <c r="H176" s="39">
        <f>(F176+(IF(G176&lt;101,G176,IF(G176&lt;201,G176/2,IF(G176&lt;=301,G176/3,G176/4)))))*(($H$135)+1)</f>
        <v>648.10043999999994</v>
      </c>
      <c r="I176" s="33"/>
      <c r="J176" s="34">
        <f>23.84*4.16</f>
        <v>99.174400000000006</v>
      </c>
      <c r="L176" s="154"/>
      <c r="M176" s="154"/>
      <c r="N176" s="33"/>
      <c r="T176" s="18"/>
    </row>
    <row r="177" spans="1:20" s="34" customFormat="1" ht="15.75" customHeight="1" x14ac:dyDescent="0.3">
      <c r="A177" s="152">
        <f>A176+1</f>
        <v>3</v>
      </c>
      <c r="B177" s="153"/>
      <c r="C177" s="39" t="s">
        <v>421</v>
      </c>
      <c r="D177" s="39">
        <f>(37.8)*10.764</f>
        <v>406.87919999999997</v>
      </c>
      <c r="E177" s="39">
        <v>0</v>
      </c>
      <c r="F177" s="39">
        <f>D177+(IF(E177&lt;201,E177,IF(E177&lt;301,E177/2,E177/3)))</f>
        <v>406.87919999999997</v>
      </c>
      <c r="G177" s="39">
        <v>0</v>
      </c>
      <c r="H177" s="39">
        <f>(F177+(IF(G177&lt;101,G177,IF(G177&lt;201,G177/2,IF(G177&lt;=301,G177/3,G177/4)))))*(($H$135)+1)</f>
        <v>610.31880000000001</v>
      </c>
      <c r="I177" s="33"/>
      <c r="L177" s="154"/>
      <c r="M177" s="154"/>
      <c r="N177" s="33"/>
      <c r="T177" s="18"/>
    </row>
    <row r="178" spans="1:20" s="34" customFormat="1" ht="15.75" customHeight="1" x14ac:dyDescent="0.3">
      <c r="A178" s="152">
        <f t="shared" ref="A178:A186" si="21">A177+1</f>
        <v>4</v>
      </c>
      <c r="B178" s="153"/>
      <c r="C178" s="39" t="s">
        <v>421</v>
      </c>
      <c r="D178" s="39">
        <f>(43.09)*10.764</f>
        <v>463.82076000000001</v>
      </c>
      <c r="E178" s="39">
        <v>0</v>
      </c>
      <c r="F178" s="39">
        <f t="shared" ref="F178:F186" si="22">D178+(IF(E178&lt;201,E178,IF(E178&lt;301,E178/2,E178/3)))</f>
        <v>463.82076000000001</v>
      </c>
      <c r="G178" s="39">
        <v>0</v>
      </c>
      <c r="H178" s="39">
        <f t="shared" ref="H178:H186" si="23">(F178+(IF(G178&lt;101,G178,IF(G178&lt;201,G178/2,IF(G178&lt;=301,G178/3,G178/4)))))*(($H$135)+1)</f>
        <v>695.73113999999998</v>
      </c>
      <c r="I178" s="33"/>
      <c r="L178" s="154"/>
      <c r="M178" s="154"/>
      <c r="N178" s="33"/>
      <c r="T178" s="18"/>
    </row>
    <row r="179" spans="1:20" s="34" customFormat="1" ht="15.75" customHeight="1" x14ac:dyDescent="0.3">
      <c r="A179" s="152">
        <f t="shared" si="21"/>
        <v>5</v>
      </c>
      <c r="B179" s="153"/>
      <c r="C179" s="39" t="s">
        <v>421</v>
      </c>
      <c r="D179" s="39">
        <f>(46.24)*10.764</f>
        <v>497.72735999999998</v>
      </c>
      <c r="E179" s="39">
        <v>0</v>
      </c>
      <c r="F179" s="39">
        <f t="shared" si="22"/>
        <v>497.72735999999998</v>
      </c>
      <c r="G179" s="39">
        <v>0</v>
      </c>
      <c r="H179" s="39">
        <f t="shared" si="23"/>
        <v>746.59104000000002</v>
      </c>
      <c r="I179" s="33"/>
      <c r="L179" s="154"/>
      <c r="M179" s="154"/>
      <c r="N179" s="33"/>
      <c r="T179" s="18"/>
    </row>
    <row r="180" spans="1:20" s="34" customFormat="1" ht="15.75" customHeight="1" x14ac:dyDescent="0.3">
      <c r="A180" s="152">
        <f t="shared" si="21"/>
        <v>6</v>
      </c>
      <c r="B180" s="153"/>
      <c r="C180" s="39" t="s">
        <v>421</v>
      </c>
      <c r="D180" s="39">
        <f>(41.55)*10.764</f>
        <v>447.24419999999992</v>
      </c>
      <c r="E180" s="39">
        <v>0</v>
      </c>
      <c r="F180" s="39">
        <f t="shared" si="22"/>
        <v>447.24419999999992</v>
      </c>
      <c r="G180" s="39">
        <v>0</v>
      </c>
      <c r="H180" s="39">
        <f t="shared" si="23"/>
        <v>670.86629999999991</v>
      </c>
      <c r="I180" s="33"/>
      <c r="L180" s="154"/>
      <c r="M180" s="154"/>
      <c r="N180" s="33"/>
      <c r="T180" s="18"/>
    </row>
    <row r="181" spans="1:20" s="34" customFormat="1" ht="15.75" customHeight="1" x14ac:dyDescent="0.3">
      <c r="A181" s="152">
        <f t="shared" si="21"/>
        <v>7</v>
      </c>
      <c r="B181" s="153"/>
      <c r="C181" s="39" t="s">
        <v>421</v>
      </c>
      <c r="D181" s="39">
        <f>(61.76)*10.764</f>
        <v>664.78463999999997</v>
      </c>
      <c r="E181" s="39">
        <v>0</v>
      </c>
      <c r="F181" s="39">
        <f t="shared" si="22"/>
        <v>664.78463999999997</v>
      </c>
      <c r="G181" s="39">
        <v>0</v>
      </c>
      <c r="H181" s="39">
        <f t="shared" si="23"/>
        <v>997.17696000000001</v>
      </c>
      <c r="I181" s="33"/>
      <c r="L181" s="154"/>
      <c r="M181" s="154"/>
      <c r="N181" s="33"/>
      <c r="T181" s="18"/>
    </row>
    <row r="182" spans="1:20" s="34" customFormat="1" ht="15.75" customHeight="1" x14ac:dyDescent="0.3">
      <c r="A182" s="152">
        <f t="shared" si="21"/>
        <v>8</v>
      </c>
      <c r="B182" s="153"/>
      <c r="C182" s="39" t="s">
        <v>421</v>
      </c>
      <c r="D182" s="39">
        <f>(47.88)*10.764</f>
        <v>515.38031999999998</v>
      </c>
      <c r="E182" s="39">
        <v>0</v>
      </c>
      <c r="F182" s="39">
        <f t="shared" si="22"/>
        <v>515.38031999999998</v>
      </c>
      <c r="G182" s="39">
        <v>0</v>
      </c>
      <c r="H182" s="39">
        <f t="shared" si="23"/>
        <v>773.07047999999998</v>
      </c>
      <c r="I182" s="33"/>
      <c r="L182" s="154"/>
      <c r="M182" s="154"/>
      <c r="N182" s="33"/>
      <c r="T182" s="18"/>
    </row>
    <row r="183" spans="1:20" s="34" customFormat="1" ht="15.75" customHeight="1" x14ac:dyDescent="0.3">
      <c r="A183" s="152">
        <f t="shared" si="21"/>
        <v>9</v>
      </c>
      <c r="B183" s="153"/>
      <c r="C183" s="39" t="s">
        <v>421</v>
      </c>
      <c r="D183" s="39">
        <f>(46.86)*10.764</f>
        <v>504.40103999999997</v>
      </c>
      <c r="E183" s="39">
        <v>0</v>
      </c>
      <c r="F183" s="39">
        <f t="shared" si="22"/>
        <v>504.40103999999997</v>
      </c>
      <c r="G183" s="39">
        <v>0</v>
      </c>
      <c r="H183" s="39">
        <f t="shared" si="23"/>
        <v>756.60155999999995</v>
      </c>
      <c r="I183" s="33"/>
      <c r="L183" s="154"/>
      <c r="M183" s="154"/>
      <c r="N183" s="33"/>
      <c r="T183" s="18"/>
    </row>
    <row r="184" spans="1:20" s="34" customFormat="1" ht="15.75" customHeight="1" x14ac:dyDescent="0.3">
      <c r="A184" s="152">
        <f t="shared" si="21"/>
        <v>10</v>
      </c>
      <c r="B184" s="153"/>
      <c r="C184" s="39" t="s">
        <v>421</v>
      </c>
      <c r="D184" s="39">
        <f>(76.16)*10.764</f>
        <v>819.78623999999991</v>
      </c>
      <c r="E184" s="39">
        <v>0</v>
      </c>
      <c r="F184" s="39">
        <f t="shared" si="22"/>
        <v>819.78623999999991</v>
      </c>
      <c r="G184" s="39">
        <v>0</v>
      </c>
      <c r="H184" s="39">
        <f t="shared" si="23"/>
        <v>1229.6793599999999</v>
      </c>
      <c r="I184" s="33"/>
      <c r="L184" s="154"/>
      <c r="M184" s="154"/>
      <c r="N184" s="33"/>
      <c r="T184" s="18"/>
    </row>
    <row r="185" spans="1:20" s="34" customFormat="1" ht="15.75" customHeight="1" x14ac:dyDescent="0.3">
      <c r="A185" s="152">
        <f t="shared" si="21"/>
        <v>11</v>
      </c>
      <c r="B185" s="153"/>
      <c r="C185" s="39" t="s">
        <v>421</v>
      </c>
      <c r="D185" s="39">
        <f>(55.96)*10.764</f>
        <v>602.35343999999998</v>
      </c>
      <c r="E185" s="39">
        <v>0</v>
      </c>
      <c r="F185" s="39">
        <f t="shared" si="22"/>
        <v>602.35343999999998</v>
      </c>
      <c r="G185" s="39">
        <v>0</v>
      </c>
      <c r="H185" s="39">
        <f t="shared" si="23"/>
        <v>903.53016000000002</v>
      </c>
      <c r="I185" s="33"/>
      <c r="L185" s="154"/>
      <c r="M185" s="154"/>
      <c r="N185" s="33"/>
      <c r="T185" s="18"/>
    </row>
    <row r="186" spans="1:20" s="34" customFormat="1" ht="15.75" customHeight="1" x14ac:dyDescent="0.3">
      <c r="A186" s="152">
        <f t="shared" si="21"/>
        <v>12</v>
      </c>
      <c r="B186" s="153"/>
      <c r="C186" s="39" t="s">
        <v>421</v>
      </c>
      <c r="D186" s="39">
        <f>(82.47)*10.764</f>
        <v>887.70707999999991</v>
      </c>
      <c r="E186" s="39">
        <v>0</v>
      </c>
      <c r="F186" s="39">
        <f t="shared" si="22"/>
        <v>887.70707999999991</v>
      </c>
      <c r="G186" s="39">
        <v>0</v>
      </c>
      <c r="H186" s="39">
        <f t="shared" si="23"/>
        <v>1331.5606199999997</v>
      </c>
      <c r="I186" s="33"/>
      <c r="L186" s="154"/>
      <c r="M186" s="154"/>
      <c r="N186" s="33"/>
      <c r="T186" s="18"/>
    </row>
    <row r="187" spans="1:20" s="34" customFormat="1" x14ac:dyDescent="0.3">
      <c r="A187" s="156" t="s">
        <v>427</v>
      </c>
      <c r="B187" s="157"/>
      <c r="C187" s="157"/>
      <c r="D187" s="157"/>
      <c r="E187" s="157"/>
      <c r="F187" s="157"/>
      <c r="G187" s="157"/>
      <c r="H187" s="158"/>
      <c r="J187" s="33"/>
      <c r="T187" s="32"/>
    </row>
    <row r="188" spans="1:20" s="34" customFormat="1" ht="15.75" customHeight="1" x14ac:dyDescent="0.3">
      <c r="A188" s="152">
        <v>1</v>
      </c>
      <c r="B188" s="153"/>
      <c r="C188" s="39" t="s">
        <v>421</v>
      </c>
      <c r="D188" s="39">
        <f>(38.4)*10.764</f>
        <v>413.33759999999995</v>
      </c>
      <c r="E188" s="39">
        <v>0</v>
      </c>
      <c r="F188" s="39">
        <f>D188+(IF(E188&lt;201,E188,IF(E188&lt;301,E188/2,E188/3)))</f>
        <v>413.33759999999995</v>
      </c>
      <c r="G188" s="39">
        <v>0</v>
      </c>
      <c r="H188" s="39">
        <f>(F188+(IF(G188&lt;101,G188,IF(G188&lt;201,G188/2,IF(G188&lt;=301,G188/3,G188/4)))))*(($H$135)+1)</f>
        <v>620.00639999999999</v>
      </c>
      <c r="I188" s="33"/>
      <c r="L188" s="154"/>
      <c r="M188" s="154"/>
      <c r="N188" s="33"/>
      <c r="T188" s="18"/>
    </row>
    <row r="189" spans="1:20" s="34" customFormat="1" ht="15.75" customHeight="1" x14ac:dyDescent="0.3">
      <c r="A189" s="152">
        <f>A188+1</f>
        <v>2</v>
      </c>
      <c r="B189" s="153"/>
      <c r="C189" s="39" t="s">
        <v>421</v>
      </c>
      <c r="D189" s="39">
        <f>(37.32)*10.764</f>
        <v>401.71247999999997</v>
      </c>
      <c r="E189" s="39">
        <v>0</v>
      </c>
      <c r="F189" s="39">
        <f>D189+(IF(E189&lt;201,E189,IF(E189&lt;301,E189/2,E189/3)))</f>
        <v>401.71247999999997</v>
      </c>
      <c r="G189" s="39">
        <v>0</v>
      </c>
      <c r="H189" s="39">
        <f>(F189+(IF(G189&lt;101,G189,IF(G189&lt;201,G189/2,IF(G189&lt;=301,G189/3,G189/4)))))*(($H$135)+1)</f>
        <v>602.56871999999998</v>
      </c>
      <c r="I189" s="33"/>
      <c r="J189" s="34">
        <f>23.84*4.16</f>
        <v>99.174400000000006</v>
      </c>
      <c r="L189" s="154"/>
      <c r="M189" s="154"/>
      <c r="N189" s="33"/>
      <c r="T189" s="18"/>
    </row>
    <row r="190" spans="1:20" s="34" customFormat="1" ht="15.75" customHeight="1" x14ac:dyDescent="0.3">
      <c r="A190" s="152">
        <f>A189+1</f>
        <v>3</v>
      </c>
      <c r="B190" s="153"/>
      <c r="C190" s="39" t="s">
        <v>421</v>
      </c>
      <c r="D190" s="39">
        <f>(33.64)*10.764</f>
        <v>362.10095999999999</v>
      </c>
      <c r="E190" s="39">
        <v>0</v>
      </c>
      <c r="F190" s="39">
        <f>D190+(IF(E190&lt;201,E190,IF(E190&lt;301,E190/2,E190/3)))</f>
        <v>362.10095999999999</v>
      </c>
      <c r="G190" s="39">
        <v>0</v>
      </c>
      <c r="H190" s="39">
        <f>(F190+(IF(G190&lt;101,G190,IF(G190&lt;201,G190/2,IF(G190&lt;=301,G190/3,G190/4)))))*(($H$135)+1)</f>
        <v>543.15143999999998</v>
      </c>
      <c r="I190" s="33"/>
      <c r="L190" s="154"/>
      <c r="M190" s="154"/>
      <c r="N190" s="33"/>
      <c r="T190" s="18"/>
    </row>
    <row r="191" spans="1:20" s="34" customFormat="1" ht="15.75" customHeight="1" x14ac:dyDescent="0.3">
      <c r="A191" s="152">
        <f t="shared" ref="A191:A199" si="24">A190+1</f>
        <v>4</v>
      </c>
      <c r="B191" s="153"/>
      <c r="C191" s="39" t="s">
        <v>421</v>
      </c>
      <c r="D191" s="39">
        <f>(39.99)*10.764</f>
        <v>430.45236</v>
      </c>
      <c r="E191" s="39">
        <v>0</v>
      </c>
      <c r="F191" s="39">
        <f t="shared" ref="F191:F199" si="25">D191+(IF(E191&lt;201,E191,IF(E191&lt;301,E191/2,E191/3)))</f>
        <v>430.45236</v>
      </c>
      <c r="G191" s="39">
        <v>0</v>
      </c>
      <c r="H191" s="39">
        <f t="shared" ref="H191:H199" si="26">(F191+(IF(G191&lt;101,G191,IF(G191&lt;201,G191/2,IF(G191&lt;=301,G191/3,G191/4)))))*(($H$135)+1)</f>
        <v>645.67854</v>
      </c>
      <c r="I191" s="33"/>
      <c r="L191" s="154"/>
      <c r="M191" s="154"/>
      <c r="N191" s="33"/>
      <c r="T191" s="18"/>
    </row>
    <row r="192" spans="1:20" s="34" customFormat="1" ht="15.75" customHeight="1" x14ac:dyDescent="0.3">
      <c r="A192" s="152">
        <f t="shared" si="24"/>
        <v>5</v>
      </c>
      <c r="B192" s="153"/>
      <c r="C192" s="39" t="s">
        <v>421</v>
      </c>
      <c r="D192" s="39">
        <f>(43.69)*10.764</f>
        <v>470.27915999999993</v>
      </c>
      <c r="E192" s="39">
        <v>0</v>
      </c>
      <c r="F192" s="39">
        <f t="shared" si="25"/>
        <v>470.27915999999993</v>
      </c>
      <c r="G192" s="39">
        <v>0</v>
      </c>
      <c r="H192" s="39">
        <f t="shared" si="26"/>
        <v>705.41873999999984</v>
      </c>
      <c r="I192" s="33"/>
      <c r="L192" s="154"/>
      <c r="M192" s="154"/>
      <c r="N192" s="33"/>
      <c r="T192" s="18"/>
    </row>
    <row r="193" spans="1:20" s="34" customFormat="1" ht="15.75" customHeight="1" x14ac:dyDescent="0.3">
      <c r="A193" s="152">
        <f t="shared" si="24"/>
        <v>6</v>
      </c>
      <c r="B193" s="153"/>
      <c r="C193" s="39" t="s">
        <v>421</v>
      </c>
      <c r="D193" s="39">
        <f>(39.24)*10.764</f>
        <v>422.37936000000002</v>
      </c>
      <c r="E193" s="39">
        <v>0</v>
      </c>
      <c r="F193" s="39">
        <f t="shared" si="25"/>
        <v>422.37936000000002</v>
      </c>
      <c r="G193" s="39">
        <v>0</v>
      </c>
      <c r="H193" s="39">
        <f t="shared" si="26"/>
        <v>633.56904000000009</v>
      </c>
      <c r="I193" s="33"/>
      <c r="L193" s="154"/>
      <c r="M193" s="154"/>
      <c r="N193" s="33"/>
      <c r="T193" s="18"/>
    </row>
    <row r="194" spans="1:20" s="34" customFormat="1" ht="15.75" customHeight="1" x14ac:dyDescent="0.3">
      <c r="A194" s="152">
        <f t="shared" si="24"/>
        <v>7</v>
      </c>
      <c r="B194" s="153"/>
      <c r="C194" s="39" t="s">
        <v>421</v>
      </c>
      <c r="D194" s="39">
        <f>(59.5)*10.764</f>
        <v>640.45799999999997</v>
      </c>
      <c r="E194" s="39">
        <v>0</v>
      </c>
      <c r="F194" s="39">
        <f t="shared" si="25"/>
        <v>640.45799999999997</v>
      </c>
      <c r="G194" s="39">
        <v>0</v>
      </c>
      <c r="H194" s="39">
        <f t="shared" si="26"/>
        <v>960.6869999999999</v>
      </c>
      <c r="I194" s="33"/>
      <c r="L194" s="154"/>
      <c r="M194" s="154"/>
      <c r="N194" s="33"/>
      <c r="T194" s="18"/>
    </row>
    <row r="195" spans="1:20" s="34" customFormat="1" ht="15.75" customHeight="1" x14ac:dyDescent="0.3">
      <c r="A195" s="152">
        <f t="shared" si="24"/>
        <v>8</v>
      </c>
      <c r="B195" s="153"/>
      <c r="C195" s="39" t="s">
        <v>421</v>
      </c>
      <c r="D195" s="39">
        <f>(45.62)*10.764</f>
        <v>491.05367999999993</v>
      </c>
      <c r="E195" s="39">
        <v>0</v>
      </c>
      <c r="F195" s="39">
        <f t="shared" si="25"/>
        <v>491.05367999999993</v>
      </c>
      <c r="G195" s="39">
        <v>0</v>
      </c>
      <c r="H195" s="39">
        <f t="shared" si="26"/>
        <v>736.58051999999986</v>
      </c>
      <c r="I195" s="33"/>
      <c r="L195" s="154"/>
      <c r="M195" s="154"/>
      <c r="N195" s="33"/>
      <c r="T195" s="18"/>
    </row>
    <row r="196" spans="1:20" s="34" customFormat="1" ht="15.75" customHeight="1" x14ac:dyDescent="0.3">
      <c r="A196" s="152">
        <f t="shared" si="24"/>
        <v>9</v>
      </c>
      <c r="B196" s="153"/>
      <c r="C196" s="39" t="s">
        <v>421</v>
      </c>
      <c r="D196" s="39">
        <f>(44.55)*10.764</f>
        <v>479.53619999999995</v>
      </c>
      <c r="E196" s="39">
        <v>0</v>
      </c>
      <c r="F196" s="39">
        <f t="shared" si="25"/>
        <v>479.53619999999995</v>
      </c>
      <c r="G196" s="39">
        <v>0</v>
      </c>
      <c r="H196" s="39">
        <f t="shared" si="26"/>
        <v>719.3042999999999</v>
      </c>
      <c r="I196" s="33"/>
      <c r="L196" s="154"/>
      <c r="M196" s="154"/>
      <c r="N196" s="33"/>
      <c r="T196" s="18"/>
    </row>
    <row r="197" spans="1:20" s="34" customFormat="1" ht="15.75" customHeight="1" x14ac:dyDescent="0.3">
      <c r="A197" s="152">
        <f t="shared" si="24"/>
        <v>10</v>
      </c>
      <c r="B197" s="153"/>
      <c r="C197" s="39" t="s">
        <v>421</v>
      </c>
      <c r="D197" s="39">
        <f>(72.4)*10.764</f>
        <v>779.31360000000006</v>
      </c>
      <c r="E197" s="39">
        <v>0</v>
      </c>
      <c r="F197" s="39">
        <f t="shared" si="25"/>
        <v>779.31360000000006</v>
      </c>
      <c r="G197" s="39">
        <v>0</v>
      </c>
      <c r="H197" s="39">
        <f t="shared" si="26"/>
        <v>1168.9704000000002</v>
      </c>
      <c r="I197" s="33"/>
      <c r="L197" s="154"/>
      <c r="M197" s="154"/>
      <c r="N197" s="33"/>
      <c r="T197" s="18"/>
    </row>
    <row r="198" spans="1:20" s="34" customFormat="1" ht="15.75" customHeight="1" x14ac:dyDescent="0.3">
      <c r="A198" s="152">
        <f t="shared" si="24"/>
        <v>11</v>
      </c>
      <c r="B198" s="153"/>
      <c r="C198" s="39" t="s">
        <v>421</v>
      </c>
      <c r="D198" s="39">
        <f>(52.93)*10.764</f>
        <v>569.73851999999999</v>
      </c>
      <c r="E198" s="39">
        <v>0</v>
      </c>
      <c r="F198" s="39">
        <f t="shared" si="25"/>
        <v>569.73851999999999</v>
      </c>
      <c r="G198" s="39">
        <v>0</v>
      </c>
      <c r="H198" s="39">
        <f t="shared" si="26"/>
        <v>854.60778000000005</v>
      </c>
      <c r="I198" s="33"/>
      <c r="L198" s="154"/>
      <c r="M198" s="154"/>
      <c r="N198" s="33"/>
      <c r="T198" s="18"/>
    </row>
    <row r="199" spans="1:20" s="34" customFormat="1" ht="15.75" customHeight="1" x14ac:dyDescent="0.3">
      <c r="A199" s="152">
        <f t="shared" si="24"/>
        <v>12</v>
      </c>
      <c r="B199" s="153"/>
      <c r="C199" s="39" t="s">
        <v>421</v>
      </c>
      <c r="D199" s="39">
        <f>(79.64)*10.764</f>
        <v>857.24495999999999</v>
      </c>
      <c r="E199" s="39">
        <v>0</v>
      </c>
      <c r="F199" s="39">
        <f t="shared" si="25"/>
        <v>857.24495999999999</v>
      </c>
      <c r="G199" s="39">
        <v>0</v>
      </c>
      <c r="H199" s="39">
        <f t="shared" si="26"/>
        <v>1285.86744</v>
      </c>
      <c r="I199" s="33"/>
      <c r="L199" s="154"/>
      <c r="M199" s="154"/>
      <c r="N199" s="33"/>
      <c r="T199" s="18"/>
    </row>
    <row r="200" spans="1:20" s="34" customFormat="1" x14ac:dyDescent="0.3">
      <c r="A200" s="156" t="s">
        <v>429</v>
      </c>
      <c r="B200" s="157"/>
      <c r="C200" s="157"/>
      <c r="D200" s="157"/>
      <c r="E200" s="157"/>
      <c r="F200" s="157"/>
      <c r="G200" s="157"/>
      <c r="H200" s="158"/>
      <c r="J200" s="33"/>
      <c r="T200" s="32"/>
    </row>
    <row r="201" spans="1:20" s="34" customFormat="1" ht="15.75" customHeight="1" x14ac:dyDescent="0.3">
      <c r="A201" s="152">
        <v>1</v>
      </c>
      <c r="B201" s="153"/>
      <c r="C201" s="39" t="s">
        <v>421</v>
      </c>
      <c r="D201" s="39">
        <f>(36.58)*10.764</f>
        <v>393.74711999999994</v>
      </c>
      <c r="E201" s="39">
        <v>0</v>
      </c>
      <c r="F201" s="39">
        <f>D201+(IF(E201&lt;201,E201,IF(E201&lt;301,E201/2,E201/3)))</f>
        <v>393.74711999999994</v>
      </c>
      <c r="G201" s="39">
        <v>0</v>
      </c>
      <c r="H201" s="39">
        <f>(F201+(IF(G201&lt;101,G201,IF(G201&lt;201,G201/2,IF(G201&lt;=301,G201/3,G201/4)))))*(($H$135)+1)</f>
        <v>590.62067999999988</v>
      </c>
      <c r="I201" s="33"/>
      <c r="L201" s="154"/>
      <c r="M201" s="154"/>
      <c r="N201" s="33"/>
      <c r="T201" s="18"/>
    </row>
    <row r="202" spans="1:20" s="34" customFormat="1" ht="15.75" customHeight="1" x14ac:dyDescent="0.3">
      <c r="A202" s="152">
        <f>A201+1</f>
        <v>2</v>
      </c>
      <c r="B202" s="153"/>
      <c r="C202" s="39" t="s">
        <v>421</v>
      </c>
      <c r="D202" s="39">
        <f>(34.49)*10.764</f>
        <v>371.25036</v>
      </c>
      <c r="E202" s="39">
        <v>0</v>
      </c>
      <c r="F202" s="39">
        <f>D202+(IF(E202&lt;201,E202,IF(E202&lt;301,E202/2,E202/3)))</f>
        <v>371.25036</v>
      </c>
      <c r="G202" s="39">
        <v>0</v>
      </c>
      <c r="H202" s="39">
        <f>(F202+(IF(G202&lt;101,G202,IF(G202&lt;201,G202/2,IF(G202&lt;=301,G202/3,G202/4)))))*(($H$135)+1)</f>
        <v>556.87554</v>
      </c>
      <c r="I202" s="33"/>
      <c r="J202" s="34">
        <f>23.84*4.16</f>
        <v>99.174400000000006</v>
      </c>
      <c r="L202" s="154"/>
      <c r="M202" s="154"/>
      <c r="N202" s="33"/>
      <c r="T202" s="18"/>
    </row>
    <row r="203" spans="1:20" s="34" customFormat="1" ht="15.75" customHeight="1" x14ac:dyDescent="0.3">
      <c r="A203" s="152">
        <f>A202+1</f>
        <v>3</v>
      </c>
      <c r="B203" s="153"/>
      <c r="C203" s="39" t="s">
        <v>421</v>
      </c>
      <c r="D203" s="39">
        <f>(31.18)*10.764</f>
        <v>335.62151999999998</v>
      </c>
      <c r="E203" s="39">
        <v>0</v>
      </c>
      <c r="F203" s="39">
        <f>D203+(IF(E203&lt;201,E203,IF(E203&lt;301,E203/2,E203/3)))</f>
        <v>335.62151999999998</v>
      </c>
      <c r="G203" s="39">
        <v>0</v>
      </c>
      <c r="H203" s="39">
        <f>(F203+(IF(G203&lt;101,G203,IF(G203&lt;201,G203/2,IF(G203&lt;=301,G203/3,G203/4)))))*(($H$135)+1)</f>
        <v>503.43227999999999</v>
      </c>
      <c r="I203" s="33"/>
      <c r="L203" s="154"/>
      <c r="M203" s="154"/>
      <c r="N203" s="33"/>
      <c r="T203" s="18"/>
    </row>
    <row r="204" spans="1:20" s="34" customFormat="1" ht="15.75" customHeight="1" x14ac:dyDescent="0.3">
      <c r="A204" s="152">
        <f t="shared" ref="A204:A212" si="27">A203+1</f>
        <v>4</v>
      </c>
      <c r="B204" s="153"/>
      <c r="C204" s="39" t="s">
        <v>421</v>
      </c>
      <c r="D204" s="39">
        <f>(36.88)*10.764</f>
        <v>396.97631999999999</v>
      </c>
      <c r="E204" s="39">
        <v>0</v>
      </c>
      <c r="F204" s="39">
        <f t="shared" ref="F204:F212" si="28">D204+(IF(E204&lt;201,E204,IF(E204&lt;301,E204/2,E204/3)))</f>
        <v>396.97631999999999</v>
      </c>
      <c r="G204" s="39">
        <v>0</v>
      </c>
      <c r="H204" s="39">
        <f t="shared" ref="H204:H212" si="29">(F204+(IF(G204&lt;101,G204,IF(G204&lt;201,G204/2,IF(G204&lt;=301,G204/3,G204/4)))))*(($H$135)+1)</f>
        <v>595.46447999999998</v>
      </c>
      <c r="I204" s="33"/>
      <c r="L204" s="154"/>
      <c r="M204" s="154"/>
      <c r="N204" s="33"/>
      <c r="T204" s="18"/>
    </row>
    <row r="205" spans="1:20" s="34" customFormat="1" ht="15.75" customHeight="1" x14ac:dyDescent="0.3">
      <c r="A205" s="152">
        <f t="shared" si="27"/>
        <v>5</v>
      </c>
      <c r="B205" s="153"/>
      <c r="C205" s="39" t="s">
        <v>421</v>
      </c>
      <c r="D205" s="39">
        <f>(41.12)*10.764</f>
        <v>442.61567999999994</v>
      </c>
      <c r="E205" s="39">
        <v>0</v>
      </c>
      <c r="F205" s="39">
        <f t="shared" si="28"/>
        <v>442.61567999999994</v>
      </c>
      <c r="G205" s="39">
        <v>0</v>
      </c>
      <c r="H205" s="39">
        <f t="shared" si="29"/>
        <v>663.92351999999994</v>
      </c>
      <c r="I205" s="33"/>
      <c r="L205" s="154"/>
      <c r="M205" s="154"/>
      <c r="N205" s="33"/>
      <c r="T205" s="18"/>
    </row>
    <row r="206" spans="1:20" s="34" customFormat="1" ht="15.75" customHeight="1" x14ac:dyDescent="0.3">
      <c r="A206" s="152">
        <f t="shared" si="27"/>
        <v>6</v>
      </c>
      <c r="B206" s="153"/>
      <c r="C206" s="39" t="s">
        <v>421</v>
      </c>
      <c r="D206" s="39">
        <f>(40.06)*10.764</f>
        <v>431.20584000000002</v>
      </c>
      <c r="E206" s="39">
        <v>0</v>
      </c>
      <c r="F206" s="39">
        <f t="shared" si="28"/>
        <v>431.20584000000002</v>
      </c>
      <c r="G206" s="39">
        <v>0</v>
      </c>
      <c r="H206" s="39">
        <f t="shared" si="29"/>
        <v>646.80876000000001</v>
      </c>
      <c r="I206" s="33"/>
      <c r="L206" s="154"/>
      <c r="M206" s="154"/>
      <c r="N206" s="33"/>
      <c r="T206" s="18"/>
    </row>
    <row r="207" spans="1:20" s="34" customFormat="1" ht="15.75" customHeight="1" x14ac:dyDescent="0.3">
      <c r="A207" s="152">
        <f t="shared" si="27"/>
        <v>7</v>
      </c>
      <c r="B207" s="153"/>
      <c r="C207" s="152" t="s">
        <v>428</v>
      </c>
      <c r="D207" s="254"/>
      <c r="E207" s="254"/>
      <c r="F207" s="254"/>
      <c r="G207" s="254"/>
      <c r="H207" s="153"/>
      <c r="I207" s="33"/>
      <c r="L207" s="154"/>
      <c r="M207" s="154"/>
      <c r="N207" s="33"/>
      <c r="T207" s="18"/>
    </row>
    <row r="208" spans="1:20" s="34" customFormat="1" ht="15.75" customHeight="1" x14ac:dyDescent="0.3">
      <c r="A208" s="152">
        <f t="shared" si="27"/>
        <v>8</v>
      </c>
      <c r="B208" s="153"/>
      <c r="C208" s="39" t="s">
        <v>421</v>
      </c>
      <c r="D208" s="39">
        <f>(51.13)*10.764</f>
        <v>550.36332000000004</v>
      </c>
      <c r="E208" s="39">
        <v>0</v>
      </c>
      <c r="F208" s="39">
        <f t="shared" si="28"/>
        <v>550.36332000000004</v>
      </c>
      <c r="G208" s="39">
        <v>0</v>
      </c>
      <c r="H208" s="39">
        <f t="shared" si="29"/>
        <v>825.54498000000012</v>
      </c>
      <c r="I208" s="33"/>
      <c r="L208" s="154"/>
      <c r="M208" s="154"/>
      <c r="N208" s="33"/>
      <c r="T208" s="18"/>
    </row>
    <row r="209" spans="1:20" s="34" customFormat="1" ht="15.75" customHeight="1" x14ac:dyDescent="0.3">
      <c r="A209" s="152">
        <f t="shared" si="27"/>
        <v>9</v>
      </c>
      <c r="B209" s="153"/>
      <c r="C209" s="39" t="s">
        <v>421</v>
      </c>
      <c r="D209" s="39">
        <f>(42.24)*10.764</f>
        <v>454.67135999999999</v>
      </c>
      <c r="E209" s="39">
        <v>0</v>
      </c>
      <c r="F209" s="39">
        <f t="shared" si="28"/>
        <v>454.67135999999999</v>
      </c>
      <c r="G209" s="39">
        <v>0</v>
      </c>
      <c r="H209" s="39">
        <f t="shared" si="29"/>
        <v>682.00703999999996</v>
      </c>
      <c r="I209" s="33"/>
      <c r="L209" s="154"/>
      <c r="M209" s="154"/>
      <c r="N209" s="33"/>
      <c r="T209" s="18"/>
    </row>
    <row r="210" spans="1:20" s="34" customFormat="1" ht="15.75" customHeight="1" x14ac:dyDescent="0.3">
      <c r="A210" s="152">
        <f t="shared" si="27"/>
        <v>10</v>
      </c>
      <c r="B210" s="153"/>
      <c r="C210" s="39" t="s">
        <v>421</v>
      </c>
      <c r="D210" s="39">
        <f>(69.11)*10.764</f>
        <v>743.90003999999999</v>
      </c>
      <c r="E210" s="39">
        <v>0</v>
      </c>
      <c r="F210" s="39">
        <f t="shared" si="28"/>
        <v>743.90003999999999</v>
      </c>
      <c r="G210" s="39">
        <v>0</v>
      </c>
      <c r="H210" s="39">
        <f t="shared" si="29"/>
        <v>1115.85006</v>
      </c>
      <c r="I210" s="33"/>
      <c r="L210" s="154"/>
      <c r="M210" s="154"/>
      <c r="N210" s="33"/>
      <c r="T210" s="18"/>
    </row>
    <row r="211" spans="1:20" s="34" customFormat="1" ht="15.75" customHeight="1" x14ac:dyDescent="0.3">
      <c r="A211" s="152">
        <f t="shared" si="27"/>
        <v>11</v>
      </c>
      <c r="B211" s="153"/>
      <c r="C211" s="39" t="s">
        <v>421</v>
      </c>
      <c r="D211" s="39">
        <f>(49.88)*10.764</f>
        <v>536.90832</v>
      </c>
      <c r="E211" s="39">
        <v>0</v>
      </c>
      <c r="F211" s="39">
        <f t="shared" si="28"/>
        <v>536.90832</v>
      </c>
      <c r="G211" s="39">
        <v>0</v>
      </c>
      <c r="H211" s="39">
        <f t="shared" si="29"/>
        <v>805.36248000000001</v>
      </c>
      <c r="I211" s="33"/>
      <c r="L211" s="154"/>
      <c r="M211" s="154"/>
      <c r="N211" s="33"/>
      <c r="T211" s="18"/>
    </row>
    <row r="212" spans="1:20" s="34" customFormat="1" ht="15.75" customHeight="1" x14ac:dyDescent="0.3">
      <c r="A212" s="152">
        <f t="shared" si="27"/>
        <v>12</v>
      </c>
      <c r="B212" s="153"/>
      <c r="C212" s="39" t="s">
        <v>421</v>
      </c>
      <c r="D212" s="39">
        <f>(76.81)*10.764</f>
        <v>826.78283999999996</v>
      </c>
      <c r="E212" s="39">
        <v>0</v>
      </c>
      <c r="F212" s="39">
        <f t="shared" si="28"/>
        <v>826.78283999999996</v>
      </c>
      <c r="G212" s="39">
        <v>0</v>
      </c>
      <c r="H212" s="39">
        <f t="shared" si="29"/>
        <v>1240.17426</v>
      </c>
      <c r="I212" s="33"/>
      <c r="L212" s="154"/>
      <c r="M212" s="154"/>
      <c r="N212" s="33"/>
      <c r="T212" s="18"/>
    </row>
    <row r="213" spans="1:20" s="34" customFormat="1" x14ac:dyDescent="0.3">
      <c r="A213" s="156" t="s">
        <v>430</v>
      </c>
      <c r="B213" s="157"/>
      <c r="C213" s="157"/>
      <c r="D213" s="157"/>
      <c r="E213" s="157"/>
      <c r="F213" s="157"/>
      <c r="G213" s="157"/>
      <c r="H213" s="158"/>
      <c r="J213" s="33"/>
      <c r="T213" s="32"/>
    </row>
    <row r="214" spans="1:20" s="34" customFormat="1" ht="15.75" customHeight="1" x14ac:dyDescent="0.3">
      <c r="A214" s="152">
        <v>1</v>
      </c>
      <c r="B214" s="153"/>
      <c r="C214" s="39" t="s">
        <v>421</v>
      </c>
      <c r="D214" s="39">
        <f>(34.78)*10.764</f>
        <v>374.37191999999999</v>
      </c>
      <c r="E214" s="39">
        <v>0</v>
      </c>
      <c r="F214" s="39">
        <f>D214+(IF(E214&lt;201,E214,IF(E214&lt;301,E214/2,E214/3)))</f>
        <v>374.37191999999999</v>
      </c>
      <c r="G214" s="39">
        <v>0</v>
      </c>
      <c r="H214" s="39">
        <f>(F214+(IF(G214&lt;101,G214,IF(G214&lt;201,G214/2,IF(G214&lt;=301,G214/3,G214/4)))))*(($H$135)+1)</f>
        <v>561.55787999999995</v>
      </c>
      <c r="I214" s="33"/>
      <c r="L214" s="154"/>
      <c r="M214" s="154"/>
      <c r="N214" s="33"/>
      <c r="T214" s="18"/>
    </row>
    <row r="215" spans="1:20" s="34" customFormat="1" ht="15.75" customHeight="1" x14ac:dyDescent="0.3">
      <c r="A215" s="152">
        <f>A214+1</f>
        <v>2</v>
      </c>
      <c r="B215" s="153"/>
      <c r="C215" s="39" t="s">
        <v>421</v>
      </c>
      <c r="D215" s="39">
        <f>(31.65)*10.764</f>
        <v>340.68059999999997</v>
      </c>
      <c r="E215" s="39">
        <v>0</v>
      </c>
      <c r="F215" s="39">
        <f>D215+(IF(E215&lt;201,E215,IF(E215&lt;301,E215/2,E215/3)))</f>
        <v>340.68059999999997</v>
      </c>
      <c r="G215" s="39">
        <v>0</v>
      </c>
      <c r="H215" s="39">
        <f>(F215+(IF(G215&lt;101,G215,IF(G215&lt;201,G215/2,IF(G215&lt;=301,G215/3,G215/4)))))*(($H$135)+1)</f>
        <v>511.02089999999998</v>
      </c>
      <c r="I215" s="33"/>
      <c r="L215" s="154"/>
      <c r="M215" s="154"/>
      <c r="N215" s="33"/>
      <c r="T215" s="18"/>
    </row>
    <row r="216" spans="1:20" s="34" customFormat="1" ht="15.75" customHeight="1" x14ac:dyDescent="0.3">
      <c r="A216" s="152">
        <f>A215+1</f>
        <v>3</v>
      </c>
      <c r="B216" s="153"/>
      <c r="C216" s="39" t="s">
        <v>421</v>
      </c>
      <c r="D216" s="39">
        <f>(27.21)*10.764</f>
        <v>292.88844</v>
      </c>
      <c r="E216" s="39">
        <v>0</v>
      </c>
      <c r="F216" s="39">
        <f>D216+(IF(E216&lt;201,E216,IF(E216&lt;301,E216/2,E216/3)))</f>
        <v>292.88844</v>
      </c>
      <c r="G216" s="39">
        <v>0</v>
      </c>
      <c r="H216" s="39">
        <f>(F216+(IF(G216&lt;101,G216,IF(G216&lt;201,G216/2,IF(G216&lt;=301,G216/3,G216/4)))))*(($H$135)+1)</f>
        <v>439.33266000000003</v>
      </c>
      <c r="I216" s="33"/>
      <c r="L216" s="154"/>
      <c r="M216" s="154"/>
      <c r="N216" s="33"/>
      <c r="T216" s="18"/>
    </row>
    <row r="217" spans="1:20" s="34" customFormat="1" ht="15.75" customHeight="1" x14ac:dyDescent="0.3">
      <c r="A217" s="152">
        <f t="shared" ref="A217:A224" si="30">A216+1</f>
        <v>4</v>
      </c>
      <c r="B217" s="153"/>
      <c r="C217" s="39" t="s">
        <v>421</v>
      </c>
      <c r="D217" s="39">
        <f>(33.77)*10.764</f>
        <v>363.50028000000003</v>
      </c>
      <c r="E217" s="39">
        <v>0</v>
      </c>
      <c r="F217" s="39">
        <f t="shared" ref="F217:F224" si="31">D217+(IF(E217&lt;201,E217,IF(E217&lt;301,E217/2,E217/3)))</f>
        <v>363.50028000000003</v>
      </c>
      <c r="G217" s="39">
        <v>0</v>
      </c>
      <c r="H217" s="39">
        <f t="shared" ref="H217:H224" si="32">(F217+(IF(G217&lt;101,G217,IF(G217&lt;201,G217/2,IF(G217&lt;=301,G217/3,G217/4)))))*(($H$135)+1)</f>
        <v>545.25042000000008</v>
      </c>
      <c r="I217" s="33"/>
      <c r="L217" s="154"/>
      <c r="M217" s="154"/>
      <c r="N217" s="33"/>
      <c r="T217" s="18"/>
    </row>
    <row r="218" spans="1:20" s="34" customFormat="1" ht="15.75" customHeight="1" x14ac:dyDescent="0.3">
      <c r="A218" s="152">
        <f t="shared" si="30"/>
        <v>5</v>
      </c>
      <c r="B218" s="153"/>
      <c r="C218" s="39" t="s">
        <v>421</v>
      </c>
      <c r="D218" s="39">
        <f>(38.56)*10.764</f>
        <v>415.05984000000001</v>
      </c>
      <c r="E218" s="39">
        <v>0</v>
      </c>
      <c r="F218" s="39">
        <f t="shared" si="31"/>
        <v>415.05984000000001</v>
      </c>
      <c r="G218" s="39">
        <v>0</v>
      </c>
      <c r="H218" s="39">
        <f t="shared" si="32"/>
        <v>622.58976000000007</v>
      </c>
      <c r="I218" s="33"/>
      <c r="L218" s="154"/>
      <c r="M218" s="154"/>
      <c r="N218" s="33"/>
      <c r="T218" s="18"/>
    </row>
    <row r="219" spans="1:20" s="34" customFormat="1" ht="15.75" customHeight="1" x14ac:dyDescent="0.3">
      <c r="A219" s="152">
        <f t="shared" si="30"/>
        <v>6</v>
      </c>
      <c r="B219" s="153"/>
      <c r="C219" s="39" t="s">
        <v>421</v>
      </c>
      <c r="D219" s="39">
        <f>(34.59)*10.764</f>
        <v>372.32676000000004</v>
      </c>
      <c r="E219" s="39">
        <v>0</v>
      </c>
      <c r="F219" s="39">
        <f t="shared" si="31"/>
        <v>372.32676000000004</v>
      </c>
      <c r="G219" s="39">
        <v>0</v>
      </c>
      <c r="H219" s="39">
        <f t="shared" si="32"/>
        <v>558.49014000000011</v>
      </c>
      <c r="I219" s="33"/>
      <c r="L219" s="154"/>
      <c r="M219" s="154"/>
      <c r="N219" s="33"/>
      <c r="T219" s="18"/>
    </row>
    <row r="220" spans="1:20" s="34" customFormat="1" ht="15.75" customHeight="1" x14ac:dyDescent="0.3">
      <c r="A220" s="152">
        <f t="shared" si="30"/>
        <v>7</v>
      </c>
      <c r="B220" s="153"/>
      <c r="C220" s="39" t="s">
        <v>421</v>
      </c>
      <c r="D220" s="39">
        <f>(90.56)*10.764</f>
        <v>974.78783999999996</v>
      </c>
      <c r="E220" s="39">
        <v>0</v>
      </c>
      <c r="F220" s="39">
        <f t="shared" si="31"/>
        <v>974.78783999999996</v>
      </c>
      <c r="G220" s="39">
        <v>0</v>
      </c>
      <c r="H220" s="39">
        <f t="shared" si="32"/>
        <v>1462.1817599999999</v>
      </c>
      <c r="I220" s="33"/>
      <c r="L220" s="154"/>
      <c r="M220" s="154"/>
      <c r="N220" s="33"/>
      <c r="T220" s="18"/>
    </row>
    <row r="221" spans="1:20" s="34" customFormat="1" ht="15.75" customHeight="1" x14ac:dyDescent="0.3">
      <c r="A221" s="152">
        <f t="shared" si="30"/>
        <v>8</v>
      </c>
      <c r="B221" s="153"/>
      <c r="C221" s="39" t="s">
        <v>421</v>
      </c>
      <c r="D221" s="39">
        <f>(51.12)*10.764</f>
        <v>550.25567999999998</v>
      </c>
      <c r="E221" s="39">
        <v>0</v>
      </c>
      <c r="F221" s="39">
        <f t="shared" si="31"/>
        <v>550.25567999999998</v>
      </c>
      <c r="G221" s="39">
        <v>0</v>
      </c>
      <c r="H221" s="39">
        <f t="shared" si="32"/>
        <v>825.38351999999998</v>
      </c>
      <c r="I221" s="33"/>
      <c r="L221" s="154"/>
      <c r="M221" s="154"/>
      <c r="N221" s="33"/>
      <c r="T221" s="18"/>
    </row>
    <row r="222" spans="1:20" s="34" customFormat="1" ht="15.75" customHeight="1" x14ac:dyDescent="0.3">
      <c r="A222" s="152">
        <f t="shared" si="30"/>
        <v>9</v>
      </c>
      <c r="B222" s="153"/>
      <c r="C222" s="39" t="s">
        <v>421</v>
      </c>
      <c r="D222" s="39">
        <f>(65.81)*10.764</f>
        <v>708.37883999999997</v>
      </c>
      <c r="E222" s="39">
        <v>0</v>
      </c>
      <c r="F222" s="39">
        <f t="shared" si="31"/>
        <v>708.37883999999997</v>
      </c>
      <c r="G222" s="39">
        <v>0</v>
      </c>
      <c r="H222" s="39">
        <f t="shared" si="32"/>
        <v>1062.56826</v>
      </c>
      <c r="I222" s="33"/>
      <c r="L222" s="154"/>
      <c r="M222" s="154"/>
      <c r="N222" s="33"/>
      <c r="T222" s="18"/>
    </row>
    <row r="223" spans="1:20" s="34" customFormat="1" ht="15.75" customHeight="1" x14ac:dyDescent="0.3">
      <c r="A223" s="152">
        <f t="shared" si="30"/>
        <v>10</v>
      </c>
      <c r="B223" s="153"/>
      <c r="C223" s="39" t="s">
        <v>421</v>
      </c>
      <c r="D223" s="39">
        <f>(46.88)*10.764</f>
        <v>504.61631999999997</v>
      </c>
      <c r="E223" s="39">
        <v>0</v>
      </c>
      <c r="F223" s="39">
        <f t="shared" si="31"/>
        <v>504.61631999999997</v>
      </c>
      <c r="G223" s="39">
        <v>0</v>
      </c>
      <c r="H223" s="39">
        <f t="shared" si="32"/>
        <v>756.9244799999999</v>
      </c>
      <c r="I223" s="33"/>
      <c r="L223" s="154"/>
      <c r="M223" s="154"/>
      <c r="N223" s="33"/>
      <c r="T223" s="18"/>
    </row>
    <row r="224" spans="1:20" s="34" customFormat="1" ht="15.75" customHeight="1" x14ac:dyDescent="0.3">
      <c r="A224" s="152">
        <f t="shared" si="30"/>
        <v>11</v>
      </c>
      <c r="B224" s="153"/>
      <c r="C224" s="39" t="s">
        <v>421</v>
      </c>
      <c r="D224" s="39">
        <f>(73.98)*10.764</f>
        <v>796.32072000000005</v>
      </c>
      <c r="E224" s="39">
        <v>0</v>
      </c>
      <c r="F224" s="39">
        <f t="shared" si="31"/>
        <v>796.32072000000005</v>
      </c>
      <c r="G224" s="39">
        <v>0</v>
      </c>
      <c r="H224" s="39">
        <f t="shared" si="32"/>
        <v>1194.48108</v>
      </c>
      <c r="I224" s="33"/>
      <c r="L224" s="154"/>
      <c r="M224" s="154"/>
      <c r="N224" s="33"/>
      <c r="T224" s="18"/>
    </row>
    <row r="225" spans="1:20" s="34" customFormat="1" x14ac:dyDescent="0.3">
      <c r="A225" s="156" t="s">
        <v>431</v>
      </c>
      <c r="B225" s="157"/>
      <c r="C225" s="157"/>
      <c r="D225" s="157"/>
      <c r="E225" s="157"/>
      <c r="F225" s="157"/>
      <c r="G225" s="157"/>
      <c r="H225" s="158"/>
      <c r="J225" s="33"/>
      <c r="T225" s="32"/>
    </row>
    <row r="226" spans="1:20" s="34" customFormat="1" ht="15.75" customHeight="1" x14ac:dyDescent="0.3">
      <c r="A226" s="152">
        <v>1</v>
      </c>
      <c r="B226" s="153"/>
      <c r="C226" s="39" t="s">
        <v>421</v>
      </c>
      <c r="D226" s="39">
        <f>(32.98)*10.764</f>
        <v>354.99671999999993</v>
      </c>
      <c r="E226" s="39">
        <v>0</v>
      </c>
      <c r="F226" s="39">
        <f>D226+(IF(E226&lt;201,E226,IF(E226&lt;301,E226/2,E226/3)))</f>
        <v>354.99671999999993</v>
      </c>
      <c r="G226" s="39">
        <v>0</v>
      </c>
      <c r="H226" s="39">
        <f>(F226+(IF(G226&lt;101,G226,IF(G226&lt;201,G226/2,IF(G226&lt;=301,G226/3,G226/4)))))*(($H$135)+1)</f>
        <v>532.49507999999992</v>
      </c>
      <c r="I226" s="33"/>
      <c r="L226" s="154"/>
      <c r="M226" s="154"/>
      <c r="N226" s="33"/>
      <c r="T226" s="18"/>
    </row>
    <row r="227" spans="1:20" s="34" customFormat="1" ht="15.75" customHeight="1" x14ac:dyDescent="0.3">
      <c r="A227" s="152">
        <f>A226+1</f>
        <v>2</v>
      </c>
      <c r="B227" s="153"/>
      <c r="C227" s="39" t="s">
        <v>421</v>
      </c>
      <c r="D227" s="39">
        <f>(28.64)*10.764</f>
        <v>308.28095999999999</v>
      </c>
      <c r="E227" s="39">
        <v>0</v>
      </c>
      <c r="F227" s="39">
        <f>D227+(IF(E227&lt;201,E227,IF(E227&lt;301,E227/2,E227/3)))</f>
        <v>308.28095999999999</v>
      </c>
      <c r="G227" s="39">
        <v>0</v>
      </c>
      <c r="H227" s="39">
        <f>(F227+(IF(G227&lt;101,G227,IF(G227&lt;201,G227/2,IF(G227&lt;=301,G227/3,G227/4)))))*(($H$135)+1)</f>
        <v>462.42143999999996</v>
      </c>
      <c r="I227" s="33"/>
      <c r="L227" s="154"/>
      <c r="M227" s="154"/>
      <c r="N227" s="33"/>
      <c r="T227" s="18"/>
    </row>
    <row r="228" spans="1:20" s="34" customFormat="1" ht="15.75" customHeight="1" x14ac:dyDescent="0.3">
      <c r="A228" s="152">
        <f>A227+1</f>
        <v>3</v>
      </c>
      <c r="B228" s="153"/>
      <c r="C228" s="39" t="s">
        <v>421</v>
      </c>
      <c r="D228" s="39">
        <f>(24.66)*10.764</f>
        <v>265.44023999999996</v>
      </c>
      <c r="E228" s="39">
        <v>0</v>
      </c>
      <c r="F228" s="39">
        <f>D228+(IF(E228&lt;201,E228,IF(E228&lt;301,E228/2,E228/3)))</f>
        <v>265.44023999999996</v>
      </c>
      <c r="G228" s="39">
        <v>0</v>
      </c>
      <c r="H228" s="39">
        <f>(F228+(IF(G228&lt;101,G228,IF(G228&lt;201,G228/2,IF(G228&lt;=301,G228/3,G228/4)))))*(($H$135)+1)</f>
        <v>398.16035999999997</v>
      </c>
      <c r="I228" s="33"/>
      <c r="L228" s="154"/>
      <c r="M228" s="154"/>
      <c r="N228" s="33"/>
      <c r="T228" s="18"/>
    </row>
    <row r="229" spans="1:20" s="34" customFormat="1" ht="15.75" customHeight="1" x14ac:dyDescent="0.3">
      <c r="A229" s="152">
        <f t="shared" ref="A229:A236" si="33">A228+1</f>
        <v>4</v>
      </c>
      <c r="B229" s="153"/>
      <c r="C229" s="39" t="s">
        <v>421</v>
      </c>
      <c r="D229" s="39">
        <f>(30.61)*10.764</f>
        <v>329.48603999999995</v>
      </c>
      <c r="E229" s="39">
        <v>0</v>
      </c>
      <c r="F229" s="39">
        <f t="shared" ref="F229:F236" si="34">D229+(IF(E229&lt;201,E229,IF(E229&lt;301,E229/2,E229/3)))</f>
        <v>329.48603999999995</v>
      </c>
      <c r="G229" s="39">
        <v>0</v>
      </c>
      <c r="H229" s="39">
        <f t="shared" ref="H229:H236" si="35">(F229+(IF(G229&lt;101,G229,IF(G229&lt;201,G229/2,IF(G229&lt;=301,G229/3,G229/4)))))*(($H$135)+1)</f>
        <v>494.22905999999989</v>
      </c>
      <c r="I229" s="33"/>
      <c r="L229" s="154"/>
      <c r="M229" s="154"/>
      <c r="N229" s="33"/>
      <c r="T229" s="18"/>
    </row>
    <row r="230" spans="1:20" s="34" customFormat="1" ht="15.75" customHeight="1" x14ac:dyDescent="0.3">
      <c r="A230" s="152">
        <f t="shared" si="33"/>
        <v>5</v>
      </c>
      <c r="B230" s="153"/>
      <c r="C230" s="39" t="s">
        <v>421</v>
      </c>
      <c r="D230" s="39">
        <f>(35.99)*10.764</f>
        <v>387.39636000000002</v>
      </c>
      <c r="E230" s="39">
        <v>0</v>
      </c>
      <c r="F230" s="39">
        <f t="shared" si="34"/>
        <v>387.39636000000002</v>
      </c>
      <c r="G230" s="39">
        <v>0</v>
      </c>
      <c r="H230" s="39">
        <f t="shared" si="35"/>
        <v>581.09454000000005</v>
      </c>
      <c r="I230" s="33"/>
      <c r="L230" s="154"/>
      <c r="M230" s="154"/>
      <c r="N230" s="33"/>
      <c r="T230" s="18"/>
    </row>
    <row r="231" spans="1:20" s="34" customFormat="1" ht="15.75" customHeight="1" x14ac:dyDescent="0.3">
      <c r="A231" s="152">
        <f t="shared" si="33"/>
        <v>6</v>
      </c>
      <c r="B231" s="153"/>
      <c r="C231" s="39" t="s">
        <v>421</v>
      </c>
      <c r="D231" s="39">
        <f>(32.27)*10.764</f>
        <v>347.35428000000002</v>
      </c>
      <c r="E231" s="39">
        <v>0</v>
      </c>
      <c r="F231" s="39">
        <f t="shared" si="34"/>
        <v>347.35428000000002</v>
      </c>
      <c r="G231" s="39">
        <v>0</v>
      </c>
      <c r="H231" s="39">
        <f t="shared" si="35"/>
        <v>521.03142000000003</v>
      </c>
      <c r="I231" s="33"/>
      <c r="L231" s="154"/>
      <c r="M231" s="154"/>
      <c r="N231" s="33"/>
      <c r="T231" s="18"/>
    </row>
    <row r="232" spans="1:20" s="34" customFormat="1" ht="15.75" customHeight="1" x14ac:dyDescent="0.3">
      <c r="A232" s="152">
        <f t="shared" si="33"/>
        <v>7</v>
      </c>
      <c r="B232" s="153"/>
      <c r="C232" s="39" t="s">
        <v>421</v>
      </c>
      <c r="D232" s="39">
        <f>(86.5)*10.764</f>
        <v>931.0859999999999</v>
      </c>
      <c r="E232" s="39">
        <v>0</v>
      </c>
      <c r="F232" s="39">
        <f t="shared" si="34"/>
        <v>931.0859999999999</v>
      </c>
      <c r="G232" s="39">
        <v>0</v>
      </c>
      <c r="H232" s="39">
        <f t="shared" si="35"/>
        <v>1396.6289999999999</v>
      </c>
      <c r="I232" s="33"/>
      <c r="L232" s="154"/>
      <c r="M232" s="154"/>
      <c r="N232" s="33"/>
      <c r="T232" s="18"/>
    </row>
    <row r="233" spans="1:20" s="34" customFormat="1" ht="15.75" customHeight="1" x14ac:dyDescent="0.3">
      <c r="A233" s="152">
        <f t="shared" si="33"/>
        <v>8</v>
      </c>
      <c r="B233" s="153"/>
      <c r="C233" s="39" t="s">
        <v>421</v>
      </c>
      <c r="D233" s="39">
        <f>(48.24)*10.764</f>
        <v>519.25536</v>
      </c>
      <c r="E233" s="39">
        <v>0</v>
      </c>
      <c r="F233" s="39">
        <f t="shared" si="34"/>
        <v>519.25536</v>
      </c>
      <c r="G233" s="39">
        <v>0</v>
      </c>
      <c r="H233" s="39">
        <f t="shared" si="35"/>
        <v>778.88303999999994</v>
      </c>
      <c r="I233" s="33"/>
      <c r="L233" s="154"/>
      <c r="M233" s="154"/>
      <c r="N233" s="33"/>
      <c r="T233" s="18"/>
    </row>
    <row r="234" spans="1:20" s="34" customFormat="1" ht="15.75" customHeight="1" x14ac:dyDescent="0.3">
      <c r="A234" s="152">
        <f t="shared" si="33"/>
        <v>9</v>
      </c>
      <c r="B234" s="153"/>
      <c r="C234" s="39" t="s">
        <v>421</v>
      </c>
      <c r="D234" s="39">
        <f>(62.51)*10.764</f>
        <v>672.85763999999995</v>
      </c>
      <c r="E234" s="39">
        <v>0</v>
      </c>
      <c r="F234" s="39">
        <f t="shared" si="34"/>
        <v>672.85763999999995</v>
      </c>
      <c r="G234" s="39">
        <v>0</v>
      </c>
      <c r="H234" s="39">
        <f t="shared" si="35"/>
        <v>1009.2864599999999</v>
      </c>
      <c r="I234" s="33"/>
      <c r="L234" s="154"/>
      <c r="M234" s="154"/>
      <c r="N234" s="33"/>
      <c r="T234" s="18"/>
    </row>
    <row r="235" spans="1:20" s="34" customFormat="1" ht="15.75" customHeight="1" x14ac:dyDescent="0.3">
      <c r="A235" s="152">
        <f t="shared" si="33"/>
        <v>10</v>
      </c>
      <c r="B235" s="153"/>
      <c r="C235" s="39" t="s">
        <v>421</v>
      </c>
      <c r="D235" s="39">
        <f>(43.81)*10.764</f>
        <v>471.57083999999998</v>
      </c>
      <c r="E235" s="39">
        <v>0</v>
      </c>
      <c r="F235" s="39">
        <f t="shared" si="34"/>
        <v>471.57083999999998</v>
      </c>
      <c r="G235" s="39">
        <v>0</v>
      </c>
      <c r="H235" s="39">
        <f t="shared" si="35"/>
        <v>707.35626000000002</v>
      </c>
      <c r="I235" s="33"/>
      <c r="L235" s="154"/>
      <c r="M235" s="154"/>
      <c r="N235" s="33"/>
      <c r="T235" s="18"/>
    </row>
    <row r="236" spans="1:20" s="34" customFormat="1" ht="15.75" customHeight="1" x14ac:dyDescent="0.3">
      <c r="A236" s="152">
        <f t="shared" si="33"/>
        <v>11</v>
      </c>
      <c r="B236" s="153"/>
      <c r="C236" s="39" t="s">
        <v>421</v>
      </c>
      <c r="D236" s="39">
        <f>(71.12)*10.764</f>
        <v>765.53567999999996</v>
      </c>
      <c r="E236" s="39">
        <v>0</v>
      </c>
      <c r="F236" s="39">
        <f t="shared" si="34"/>
        <v>765.53567999999996</v>
      </c>
      <c r="G236" s="39">
        <v>0</v>
      </c>
      <c r="H236" s="39">
        <f t="shared" si="35"/>
        <v>1148.3035199999999</v>
      </c>
      <c r="I236" s="33"/>
      <c r="L236" s="154"/>
      <c r="M236" s="154"/>
      <c r="N236" s="33"/>
      <c r="T236" s="18"/>
    </row>
    <row r="237" spans="1:20" s="34" customFormat="1" x14ac:dyDescent="0.3">
      <c r="A237" s="156" t="s">
        <v>432</v>
      </c>
      <c r="B237" s="157"/>
      <c r="C237" s="157"/>
      <c r="D237" s="157"/>
      <c r="E237" s="157"/>
      <c r="F237" s="157"/>
      <c r="G237" s="157"/>
      <c r="H237" s="158"/>
      <c r="J237" s="33"/>
      <c r="T237" s="32"/>
    </row>
    <row r="238" spans="1:20" s="34" customFormat="1" ht="15.75" customHeight="1" x14ac:dyDescent="0.3">
      <c r="A238" s="152">
        <v>1</v>
      </c>
      <c r="B238" s="153"/>
      <c r="C238" s="39" t="s">
        <v>421</v>
      </c>
      <c r="D238" s="39">
        <f>(31.18)*10.764</f>
        <v>335.62151999999998</v>
      </c>
      <c r="E238" s="39">
        <v>0</v>
      </c>
      <c r="F238" s="39">
        <f>D238+(IF(E238&lt;201,E238,IF(E238&lt;301,E238/2,E238/3)))</f>
        <v>335.62151999999998</v>
      </c>
      <c r="G238" s="39">
        <v>0</v>
      </c>
      <c r="H238" s="39">
        <f>(F238+(IF(G238&lt;101,G238,IF(G238&lt;201,G238/2,IF(G238&lt;=301,G238/3,G238/4)))))*(($H$135)+1)</f>
        <v>503.43227999999999</v>
      </c>
      <c r="I238" s="33"/>
      <c r="L238" s="154"/>
      <c r="M238" s="154"/>
      <c r="N238" s="33"/>
      <c r="T238" s="18"/>
    </row>
    <row r="239" spans="1:20" s="34" customFormat="1" ht="15.75" customHeight="1" x14ac:dyDescent="0.3">
      <c r="A239" s="152">
        <f>A238+1</f>
        <v>2</v>
      </c>
      <c r="B239" s="153"/>
      <c r="C239" s="39" t="s">
        <v>421</v>
      </c>
      <c r="D239" s="39">
        <f>(26.27)*10.764</f>
        <v>282.77027999999996</v>
      </c>
      <c r="E239" s="39">
        <v>0</v>
      </c>
      <c r="F239" s="39">
        <f>D239+(IF(E239&lt;201,E239,IF(E239&lt;301,E239/2,E239/3)))</f>
        <v>282.77027999999996</v>
      </c>
      <c r="G239" s="39">
        <v>0</v>
      </c>
      <c r="H239" s="39">
        <f>(F239+(IF(G239&lt;101,G239,IF(G239&lt;201,G239/2,IF(G239&lt;=301,G239/3,G239/4)))))*(($H$135)+1)</f>
        <v>424.15541999999994</v>
      </c>
      <c r="I239" s="33"/>
      <c r="L239" s="154"/>
      <c r="M239" s="154"/>
      <c r="N239" s="33"/>
      <c r="T239" s="18"/>
    </row>
    <row r="240" spans="1:20" s="34" customFormat="1" ht="15.75" customHeight="1" x14ac:dyDescent="0.3">
      <c r="A240" s="152">
        <f>A239+1</f>
        <v>3</v>
      </c>
      <c r="B240" s="153"/>
      <c r="C240" s="39" t="s">
        <v>421</v>
      </c>
      <c r="D240" s="39">
        <f>(22.41)*10.764</f>
        <v>241.22123999999999</v>
      </c>
      <c r="E240" s="39">
        <v>0</v>
      </c>
      <c r="F240" s="39">
        <f>D240+(IF(E240&lt;201,E240,IF(E240&lt;301,E240/2,E240/3)))</f>
        <v>241.22123999999999</v>
      </c>
      <c r="G240" s="39">
        <v>0</v>
      </c>
      <c r="H240" s="39">
        <f>(F240+(IF(G240&lt;101,G240,IF(G240&lt;201,G240/2,IF(G240&lt;=301,G240/3,G240/4)))))*(($H$135)+1)</f>
        <v>361.83186000000001</v>
      </c>
      <c r="I240" s="33"/>
      <c r="L240" s="154"/>
      <c r="M240" s="154"/>
      <c r="N240" s="33"/>
      <c r="T240" s="18"/>
    </row>
    <row r="241" spans="1:20" s="34" customFormat="1" ht="15.75" customHeight="1" x14ac:dyDescent="0.3">
      <c r="A241" s="152">
        <f t="shared" ref="A241:A248" si="36">A240+1</f>
        <v>4</v>
      </c>
      <c r="B241" s="153"/>
      <c r="C241" s="39" t="s">
        <v>421</v>
      </c>
      <c r="D241" s="39">
        <f>(27.96)*10.764</f>
        <v>300.96143999999998</v>
      </c>
      <c r="E241" s="39">
        <v>0</v>
      </c>
      <c r="F241" s="39">
        <f t="shared" ref="F241:F248" si="37">D241+(IF(E241&lt;201,E241,IF(E241&lt;301,E241/2,E241/3)))</f>
        <v>300.96143999999998</v>
      </c>
      <c r="G241" s="39">
        <v>0</v>
      </c>
      <c r="H241" s="39">
        <f t="shared" ref="H241:H248" si="38">(F241+(IF(G241&lt;101,G241,IF(G241&lt;201,G241/2,IF(G241&lt;=301,G241/3,G241/4)))))*(($H$135)+1)</f>
        <v>451.44215999999994</v>
      </c>
      <c r="I241" s="33"/>
      <c r="L241" s="154"/>
      <c r="M241" s="154"/>
      <c r="N241" s="33"/>
      <c r="T241" s="18"/>
    </row>
    <row r="242" spans="1:20" s="34" customFormat="1" ht="15.75" customHeight="1" x14ac:dyDescent="0.3">
      <c r="A242" s="152">
        <f t="shared" si="36"/>
        <v>5</v>
      </c>
      <c r="B242" s="153"/>
      <c r="C242" s="39" t="s">
        <v>421</v>
      </c>
      <c r="D242" s="39">
        <f>(33.47)*10.764</f>
        <v>360.27107999999998</v>
      </c>
      <c r="E242" s="39">
        <v>0</v>
      </c>
      <c r="F242" s="39">
        <f t="shared" si="37"/>
        <v>360.27107999999998</v>
      </c>
      <c r="G242" s="39">
        <v>0</v>
      </c>
      <c r="H242" s="39">
        <f t="shared" si="38"/>
        <v>540.40661999999998</v>
      </c>
      <c r="I242" s="33"/>
      <c r="L242" s="154"/>
      <c r="M242" s="154"/>
      <c r="N242" s="33"/>
      <c r="T242" s="18"/>
    </row>
    <row r="243" spans="1:20" s="34" customFormat="1" ht="15.75" customHeight="1" x14ac:dyDescent="0.3">
      <c r="A243" s="152">
        <f t="shared" si="36"/>
        <v>6</v>
      </c>
      <c r="B243" s="153"/>
      <c r="C243" s="39" t="s">
        <v>421</v>
      </c>
      <c r="D243" s="39">
        <f>(29.99)*10.764</f>
        <v>322.81235999999996</v>
      </c>
      <c r="E243" s="39">
        <v>0</v>
      </c>
      <c r="F243" s="39">
        <f t="shared" si="37"/>
        <v>322.81235999999996</v>
      </c>
      <c r="G243" s="39">
        <v>0</v>
      </c>
      <c r="H243" s="39">
        <f t="shared" si="38"/>
        <v>484.21853999999996</v>
      </c>
      <c r="I243" s="33"/>
      <c r="L243" s="154"/>
      <c r="M243" s="154"/>
      <c r="N243" s="33"/>
      <c r="T243" s="18"/>
    </row>
    <row r="244" spans="1:20" s="34" customFormat="1" ht="15.75" customHeight="1" x14ac:dyDescent="0.3">
      <c r="A244" s="152">
        <f t="shared" si="36"/>
        <v>7</v>
      </c>
      <c r="B244" s="153"/>
      <c r="C244" s="39" t="s">
        <v>421</v>
      </c>
      <c r="D244" s="39">
        <f>(80.38)*10.764</f>
        <v>865.21031999999991</v>
      </c>
      <c r="E244" s="39">
        <v>0</v>
      </c>
      <c r="F244" s="39">
        <f t="shared" si="37"/>
        <v>865.21031999999991</v>
      </c>
      <c r="G244" s="39">
        <v>0</v>
      </c>
      <c r="H244" s="39">
        <f t="shared" si="38"/>
        <v>1297.8154799999998</v>
      </c>
      <c r="I244" s="33"/>
      <c r="L244" s="154"/>
      <c r="M244" s="154"/>
      <c r="N244" s="33"/>
      <c r="T244" s="18"/>
    </row>
    <row r="245" spans="1:20" s="34" customFormat="1" ht="15.75" customHeight="1" x14ac:dyDescent="0.3">
      <c r="A245" s="152">
        <f t="shared" si="36"/>
        <v>8</v>
      </c>
      <c r="B245" s="153"/>
      <c r="C245" s="39" t="s">
        <v>421</v>
      </c>
      <c r="D245" s="39">
        <f>(50.65)*10.764</f>
        <v>545.19659999999999</v>
      </c>
      <c r="E245" s="39">
        <v>0</v>
      </c>
      <c r="F245" s="39">
        <f t="shared" si="37"/>
        <v>545.19659999999999</v>
      </c>
      <c r="G245" s="39">
        <v>0</v>
      </c>
      <c r="H245" s="39">
        <f t="shared" si="38"/>
        <v>817.79489999999998</v>
      </c>
      <c r="I245" s="33"/>
      <c r="L245" s="154"/>
      <c r="M245" s="154"/>
      <c r="N245" s="33"/>
      <c r="T245" s="18"/>
    </row>
    <row r="246" spans="1:20" s="34" customFormat="1" ht="15.75" customHeight="1" x14ac:dyDescent="0.3">
      <c r="A246" s="152">
        <f t="shared" si="36"/>
        <v>9</v>
      </c>
      <c r="B246" s="153"/>
      <c r="C246" s="39" t="s">
        <v>421</v>
      </c>
      <c r="D246" s="39">
        <f>(58.68)*10.764</f>
        <v>631.63151999999991</v>
      </c>
      <c r="E246" s="39">
        <v>0</v>
      </c>
      <c r="F246" s="39">
        <f t="shared" si="37"/>
        <v>631.63151999999991</v>
      </c>
      <c r="G246" s="39">
        <v>0</v>
      </c>
      <c r="H246" s="39">
        <f t="shared" si="38"/>
        <v>947.44727999999986</v>
      </c>
      <c r="I246" s="33"/>
      <c r="L246" s="154"/>
      <c r="M246" s="154"/>
      <c r="N246" s="33"/>
      <c r="T246" s="18"/>
    </row>
    <row r="247" spans="1:20" s="34" customFormat="1" ht="15.75" customHeight="1" x14ac:dyDescent="0.3">
      <c r="A247" s="152">
        <f t="shared" si="36"/>
        <v>10</v>
      </c>
      <c r="B247" s="153"/>
      <c r="C247" s="39" t="s">
        <v>421</v>
      </c>
      <c r="D247" s="39">
        <f>(40.78)*10.764</f>
        <v>438.95591999999999</v>
      </c>
      <c r="E247" s="39">
        <v>0</v>
      </c>
      <c r="F247" s="39">
        <f t="shared" si="37"/>
        <v>438.95591999999999</v>
      </c>
      <c r="G247" s="39">
        <v>0</v>
      </c>
      <c r="H247" s="39">
        <f t="shared" si="38"/>
        <v>658.43388000000004</v>
      </c>
      <c r="I247" s="33"/>
      <c r="L247" s="154"/>
      <c r="M247" s="154"/>
      <c r="N247" s="33"/>
      <c r="T247" s="18"/>
    </row>
    <row r="248" spans="1:20" s="34" customFormat="1" ht="15.75" customHeight="1" x14ac:dyDescent="0.3">
      <c r="A248" s="152">
        <f t="shared" si="36"/>
        <v>11</v>
      </c>
      <c r="B248" s="153"/>
      <c r="C248" s="39" t="s">
        <v>421</v>
      </c>
      <c r="D248" s="39">
        <f>(69.53)*10.764</f>
        <v>748.42091999999991</v>
      </c>
      <c r="E248" s="39">
        <v>0</v>
      </c>
      <c r="F248" s="39">
        <f t="shared" si="37"/>
        <v>748.42091999999991</v>
      </c>
      <c r="G248" s="39">
        <v>0</v>
      </c>
      <c r="H248" s="39">
        <f t="shared" si="38"/>
        <v>1122.6313799999998</v>
      </c>
      <c r="I248" s="33"/>
      <c r="L248" s="154"/>
      <c r="M248" s="154"/>
      <c r="N248" s="33"/>
      <c r="T248" s="18"/>
    </row>
    <row r="249" spans="1:20" s="34" customFormat="1" ht="37.200000000000003" customHeight="1" x14ac:dyDescent="0.3">
      <c r="A249" s="156" t="s">
        <v>435</v>
      </c>
      <c r="B249" s="157"/>
      <c r="C249" s="157"/>
      <c r="D249" s="157"/>
      <c r="E249" s="157"/>
      <c r="F249" s="157"/>
      <c r="G249" s="157"/>
      <c r="H249" s="158"/>
      <c r="J249" s="33"/>
      <c r="T249" s="32"/>
    </row>
    <row r="250" spans="1:20" s="34" customFormat="1" ht="15.75" customHeight="1" x14ac:dyDescent="0.3">
      <c r="A250" s="152">
        <v>1</v>
      </c>
      <c r="B250" s="153"/>
      <c r="C250" s="39" t="s">
        <v>421</v>
      </c>
      <c r="D250" s="39">
        <f>(60.6)*10.764</f>
        <v>652.29840000000002</v>
      </c>
      <c r="E250" s="39">
        <v>0</v>
      </c>
      <c r="F250" s="39">
        <f>D250+(IF(E250&lt;201,E250,IF(E250&lt;301,E250/2,E250/3)))</f>
        <v>652.29840000000002</v>
      </c>
      <c r="G250" s="39">
        <v>0</v>
      </c>
      <c r="H250" s="39">
        <f>(F250+(IF(G250&lt;101,G250,IF(G250&lt;201,G250/2,IF(G250&lt;=301,G250/3,G250/4)))))*(($H$135)+1)</f>
        <v>978.44759999999997</v>
      </c>
      <c r="I250" s="33"/>
      <c r="L250" s="154"/>
      <c r="M250" s="154"/>
      <c r="N250" s="33"/>
      <c r="T250" s="18"/>
    </row>
    <row r="251" spans="1:20" s="34" customFormat="1" ht="15.75" customHeight="1" x14ac:dyDescent="0.3">
      <c r="A251" s="152" t="s">
        <v>434</v>
      </c>
      <c r="B251" s="153"/>
      <c r="C251" s="256" t="s">
        <v>433</v>
      </c>
      <c r="D251" s="257"/>
      <c r="E251" s="257"/>
      <c r="F251" s="257"/>
      <c r="G251" s="257"/>
      <c r="H251" s="258"/>
      <c r="I251" s="33"/>
      <c r="L251" s="154"/>
      <c r="M251" s="154"/>
      <c r="N251" s="33"/>
      <c r="T251" s="18"/>
    </row>
    <row r="252" spans="1:20" s="34" customFormat="1" ht="15.75" customHeight="1" x14ac:dyDescent="0.3">
      <c r="A252" s="152" t="s">
        <v>434</v>
      </c>
      <c r="B252" s="153"/>
      <c r="C252" s="259"/>
      <c r="D252" s="260"/>
      <c r="E252" s="260"/>
      <c r="F252" s="260"/>
      <c r="G252" s="260"/>
      <c r="H252" s="261"/>
      <c r="I252" s="33"/>
      <c r="L252" s="154"/>
      <c r="M252" s="154"/>
      <c r="N252" s="33"/>
      <c r="T252" s="18"/>
    </row>
    <row r="253" spans="1:20" s="34" customFormat="1" ht="15.75" customHeight="1" x14ac:dyDescent="0.3">
      <c r="A253" s="152" t="s">
        <v>434</v>
      </c>
      <c r="B253" s="153"/>
      <c r="C253" s="259"/>
      <c r="D253" s="260"/>
      <c r="E253" s="260"/>
      <c r="F253" s="260"/>
      <c r="G253" s="260"/>
      <c r="H253" s="261"/>
      <c r="I253" s="33"/>
      <c r="L253" s="154"/>
      <c r="M253" s="154"/>
      <c r="N253" s="33"/>
      <c r="T253" s="18"/>
    </row>
    <row r="254" spans="1:20" s="34" customFormat="1" ht="15.75" customHeight="1" x14ac:dyDescent="0.3">
      <c r="A254" s="152" t="s">
        <v>434</v>
      </c>
      <c r="B254" s="153"/>
      <c r="C254" s="259"/>
      <c r="D254" s="260"/>
      <c r="E254" s="260"/>
      <c r="F254" s="260"/>
      <c r="G254" s="260"/>
      <c r="H254" s="261"/>
      <c r="I254" s="33"/>
      <c r="L254" s="154"/>
      <c r="M254" s="154"/>
      <c r="N254" s="33"/>
      <c r="T254" s="18"/>
    </row>
    <row r="255" spans="1:20" s="34" customFormat="1" ht="15.75" customHeight="1" x14ac:dyDescent="0.3">
      <c r="A255" s="152" t="s">
        <v>434</v>
      </c>
      <c r="B255" s="153"/>
      <c r="C255" s="259"/>
      <c r="D255" s="260"/>
      <c r="E255" s="260"/>
      <c r="F255" s="260"/>
      <c r="G255" s="260"/>
      <c r="H255" s="261"/>
      <c r="I255" s="33"/>
      <c r="L255" s="154"/>
      <c r="M255" s="154"/>
      <c r="N255" s="33"/>
      <c r="T255" s="18"/>
    </row>
    <row r="256" spans="1:20" s="34" customFormat="1" ht="15.75" customHeight="1" x14ac:dyDescent="0.3">
      <c r="A256" s="152" t="s">
        <v>434</v>
      </c>
      <c r="B256" s="153"/>
      <c r="C256" s="259"/>
      <c r="D256" s="260"/>
      <c r="E256" s="260"/>
      <c r="F256" s="260"/>
      <c r="G256" s="260"/>
      <c r="H256" s="261"/>
      <c r="I256" s="33"/>
      <c r="L256" s="154"/>
      <c r="M256" s="154"/>
      <c r="N256" s="33"/>
      <c r="T256" s="18"/>
    </row>
    <row r="257" spans="1:20" s="34" customFormat="1" ht="15.75" customHeight="1" x14ac:dyDescent="0.3">
      <c r="A257" s="152" t="s">
        <v>434</v>
      </c>
      <c r="B257" s="153"/>
      <c r="C257" s="259"/>
      <c r="D257" s="260"/>
      <c r="E257" s="260"/>
      <c r="F257" s="260"/>
      <c r="G257" s="260"/>
      <c r="H257" s="261"/>
      <c r="I257" s="33"/>
      <c r="L257" s="154"/>
      <c r="M257" s="154"/>
      <c r="N257" s="33"/>
      <c r="T257" s="18"/>
    </row>
    <row r="258" spans="1:20" s="34" customFormat="1" ht="15.75" customHeight="1" x14ac:dyDescent="0.3">
      <c r="A258" s="152" t="s">
        <v>434</v>
      </c>
      <c r="B258" s="153"/>
      <c r="C258" s="259"/>
      <c r="D258" s="260"/>
      <c r="E258" s="260"/>
      <c r="F258" s="260"/>
      <c r="G258" s="260"/>
      <c r="H258" s="261"/>
      <c r="I258" s="33"/>
      <c r="L258" s="154"/>
      <c r="M258" s="154"/>
      <c r="N258" s="33"/>
      <c r="T258" s="18"/>
    </row>
    <row r="259" spans="1:20" s="34" customFormat="1" ht="15.75" customHeight="1" x14ac:dyDescent="0.3">
      <c r="A259" s="152" t="s">
        <v>434</v>
      </c>
      <c r="B259" s="153"/>
      <c r="C259" s="262"/>
      <c r="D259" s="263"/>
      <c r="E259" s="263"/>
      <c r="F259" s="263"/>
      <c r="G259" s="263"/>
      <c r="H259" s="264"/>
      <c r="I259" s="33"/>
      <c r="L259" s="154"/>
      <c r="M259" s="154"/>
      <c r="N259" s="33"/>
      <c r="T259" s="18"/>
    </row>
    <row r="260" spans="1:20" s="34" customFormat="1" ht="15.75" customHeight="1" x14ac:dyDescent="0.3">
      <c r="A260" s="152">
        <v>2</v>
      </c>
      <c r="B260" s="153"/>
      <c r="C260" s="39" t="s">
        <v>421</v>
      </c>
      <c r="D260" s="39">
        <f>(64.6)*10.764</f>
        <v>695.35439999999994</v>
      </c>
      <c r="E260" s="39">
        <v>0</v>
      </c>
      <c r="F260" s="39">
        <f t="shared" ref="F260" si="39">D260+(IF(E260&lt;201,E260,IF(E260&lt;301,E260/2,E260/3)))</f>
        <v>695.35439999999994</v>
      </c>
      <c r="G260" s="39">
        <v>0</v>
      </c>
      <c r="H260" s="39">
        <f t="shared" ref="H260" si="40">(F260+(IF(G260&lt;101,G260,IF(G260&lt;201,G260/2,IF(G260&lt;=301,G260/3,G260/4)))))*(($H$135)+1)</f>
        <v>1043.0315999999998</v>
      </c>
      <c r="I260" s="33"/>
      <c r="L260" s="154"/>
      <c r="M260" s="154"/>
      <c r="N260" s="33"/>
      <c r="T260" s="18"/>
    </row>
    <row r="261" spans="1:20" s="34" customFormat="1" x14ac:dyDescent="0.3">
      <c r="A261" s="156" t="s">
        <v>436</v>
      </c>
      <c r="B261" s="157"/>
      <c r="C261" s="157"/>
      <c r="D261" s="157"/>
      <c r="E261" s="157"/>
      <c r="F261" s="157"/>
      <c r="G261" s="157"/>
      <c r="H261" s="158"/>
      <c r="J261" s="33"/>
      <c r="T261" s="32"/>
    </row>
    <row r="262" spans="1:20" s="34" customFormat="1" ht="15.75" customHeight="1" x14ac:dyDescent="0.3">
      <c r="A262" s="152">
        <v>1</v>
      </c>
      <c r="B262" s="153"/>
      <c r="C262" s="39" t="s">
        <v>421</v>
      </c>
      <c r="D262" s="39">
        <f>(55.04)*10.764</f>
        <v>592.45056</v>
      </c>
      <c r="E262" s="39">
        <v>0</v>
      </c>
      <c r="F262" s="39">
        <f>D262+(IF(E262&lt;201,E262,IF(E262&lt;301,E262/2,E262/3)))</f>
        <v>592.45056</v>
      </c>
      <c r="G262" s="39">
        <v>0</v>
      </c>
      <c r="H262" s="39">
        <f>(F262+(IF(G262&lt;101,G262,IF(G262&lt;201,G262/2,IF(G262&lt;=301,G262/3,G262/4)))))*(($H$135)+1)</f>
        <v>888.67583999999999</v>
      </c>
      <c r="I262" s="33"/>
      <c r="L262" s="154"/>
      <c r="M262" s="154"/>
      <c r="N262" s="33"/>
      <c r="T262" s="18"/>
    </row>
    <row r="263" spans="1:20" s="34" customFormat="1" ht="15.75" customHeight="1" x14ac:dyDescent="0.3">
      <c r="A263" s="152">
        <f>A262+1</f>
        <v>2</v>
      </c>
      <c r="B263" s="153"/>
      <c r="C263" s="39" t="s">
        <v>421</v>
      </c>
      <c r="D263" s="39">
        <f>(24.73)*10.764</f>
        <v>266.19371999999998</v>
      </c>
      <c r="E263" s="39">
        <v>0</v>
      </c>
      <c r="F263" s="39">
        <f>D263+(IF(E263&lt;201,E263,IF(E263&lt;301,E263/2,E263/3)))</f>
        <v>266.19371999999998</v>
      </c>
      <c r="G263" s="39">
        <v>0</v>
      </c>
      <c r="H263" s="39">
        <f>(F263+(IF(G263&lt;101,G263,IF(G263&lt;201,G263/2,IF(G263&lt;=301,G263/3,G263/4)))))*(($H$135)+1)</f>
        <v>399.29057999999998</v>
      </c>
      <c r="I263" s="33"/>
      <c r="L263" s="154"/>
      <c r="M263" s="154"/>
      <c r="N263" s="33"/>
      <c r="T263" s="18"/>
    </row>
    <row r="264" spans="1:20" s="34" customFormat="1" ht="15.75" customHeight="1" x14ac:dyDescent="0.3">
      <c r="A264" s="152">
        <f>A263+1</f>
        <v>3</v>
      </c>
      <c r="B264" s="153"/>
      <c r="C264" s="39" t="s">
        <v>421</v>
      </c>
      <c r="D264" s="39">
        <f>(21.66)*10.764</f>
        <v>233.14823999999999</v>
      </c>
      <c r="E264" s="39">
        <v>0</v>
      </c>
      <c r="F264" s="39">
        <f>D264+(IF(E264&lt;201,E264,IF(E264&lt;301,E264/2,E264/3)))</f>
        <v>233.14823999999999</v>
      </c>
      <c r="G264" s="39">
        <v>0</v>
      </c>
      <c r="H264" s="39">
        <f>(F264+(IF(G264&lt;101,G264,IF(G264&lt;201,G264/2,IF(G264&lt;=301,G264/3,G264/4)))))*(($H$135)+1)</f>
        <v>349.72235999999998</v>
      </c>
      <c r="I264" s="33"/>
      <c r="L264" s="154"/>
      <c r="M264" s="154"/>
      <c r="N264" s="33"/>
      <c r="T264" s="18"/>
    </row>
    <row r="265" spans="1:20" s="34" customFormat="1" ht="15.75" customHeight="1" x14ac:dyDescent="0.3">
      <c r="A265" s="152">
        <f t="shared" ref="A265:A271" si="41">A264+1</f>
        <v>4</v>
      </c>
      <c r="B265" s="153"/>
      <c r="C265" s="39" t="s">
        <v>421</v>
      </c>
      <c r="D265" s="39">
        <f>(28.53)*10.764</f>
        <v>307.09692000000001</v>
      </c>
      <c r="E265" s="39">
        <v>0</v>
      </c>
      <c r="F265" s="39">
        <f t="shared" ref="F265:F271" si="42">D265+(IF(E265&lt;201,E265,IF(E265&lt;301,E265/2,E265/3)))</f>
        <v>307.09692000000001</v>
      </c>
      <c r="G265" s="39">
        <v>0</v>
      </c>
      <c r="H265" s="39">
        <f t="shared" ref="H265:H271" si="43">(F265+(IF(G265&lt;101,G265,IF(G265&lt;201,G265/2,IF(G265&lt;=301,G265/3,G265/4)))))*(($H$135)+1)</f>
        <v>460.64538000000005</v>
      </c>
      <c r="I265" s="33"/>
      <c r="L265" s="154"/>
      <c r="M265" s="154"/>
      <c r="N265" s="33"/>
      <c r="T265" s="18"/>
    </row>
    <row r="266" spans="1:20" s="34" customFormat="1" ht="15.75" customHeight="1" x14ac:dyDescent="0.3">
      <c r="A266" s="152">
        <f t="shared" si="41"/>
        <v>5</v>
      </c>
      <c r="B266" s="153"/>
      <c r="C266" s="39" t="s">
        <v>421</v>
      </c>
      <c r="D266" s="39">
        <f>(28.19)*10.764</f>
        <v>303.43716000000001</v>
      </c>
      <c r="E266" s="39">
        <v>0</v>
      </c>
      <c r="F266" s="39">
        <f t="shared" si="42"/>
        <v>303.43716000000001</v>
      </c>
      <c r="G266" s="39">
        <v>0</v>
      </c>
      <c r="H266" s="39">
        <f t="shared" si="43"/>
        <v>455.15574000000004</v>
      </c>
      <c r="I266" s="33"/>
      <c r="L266" s="154"/>
      <c r="M266" s="154"/>
      <c r="N266" s="33"/>
      <c r="T266" s="18"/>
    </row>
    <row r="267" spans="1:20" s="34" customFormat="1" ht="15.75" customHeight="1" x14ac:dyDescent="0.3">
      <c r="A267" s="152" t="s">
        <v>434</v>
      </c>
      <c r="B267" s="153"/>
      <c r="C267" s="152" t="s">
        <v>428</v>
      </c>
      <c r="D267" s="254"/>
      <c r="E267" s="254"/>
      <c r="F267" s="254"/>
      <c r="G267" s="254"/>
      <c r="H267" s="153"/>
      <c r="I267" s="33"/>
      <c r="L267" s="154"/>
      <c r="M267" s="154"/>
      <c r="N267" s="33"/>
      <c r="T267" s="18"/>
    </row>
    <row r="268" spans="1:20" s="34" customFormat="1" ht="15.75" customHeight="1" x14ac:dyDescent="0.3">
      <c r="A268" s="152">
        <v>7</v>
      </c>
      <c r="B268" s="153"/>
      <c r="C268" s="39" t="s">
        <v>421</v>
      </c>
      <c r="D268" s="39">
        <f>(74.57)*10.764</f>
        <v>802.67147999999986</v>
      </c>
      <c r="E268" s="39">
        <v>0</v>
      </c>
      <c r="F268" s="39">
        <f t="shared" si="42"/>
        <v>802.67147999999986</v>
      </c>
      <c r="G268" s="39">
        <v>0</v>
      </c>
      <c r="H268" s="39">
        <f t="shared" si="43"/>
        <v>1204.0072199999997</v>
      </c>
      <c r="I268" s="33"/>
      <c r="L268" s="154"/>
      <c r="M268" s="154"/>
      <c r="N268" s="33"/>
      <c r="T268" s="18"/>
    </row>
    <row r="269" spans="1:20" s="34" customFormat="1" ht="15.75" customHeight="1" x14ac:dyDescent="0.3">
      <c r="A269" s="152">
        <f t="shared" si="41"/>
        <v>8</v>
      </c>
      <c r="B269" s="153"/>
      <c r="C269" s="39" t="s">
        <v>421</v>
      </c>
      <c r="D269" s="39">
        <f>(52.64)*10.764</f>
        <v>566.61695999999995</v>
      </c>
      <c r="E269" s="39">
        <v>0</v>
      </c>
      <c r="F269" s="39">
        <f t="shared" si="42"/>
        <v>566.61695999999995</v>
      </c>
      <c r="G269" s="39">
        <v>0</v>
      </c>
      <c r="H269" s="39">
        <f t="shared" si="43"/>
        <v>849.92543999999998</v>
      </c>
      <c r="I269" s="33"/>
      <c r="L269" s="154"/>
      <c r="M269" s="154"/>
      <c r="N269" s="33"/>
      <c r="T269" s="18"/>
    </row>
    <row r="270" spans="1:20" s="34" customFormat="1" ht="15.75" customHeight="1" x14ac:dyDescent="0.3">
      <c r="A270" s="152">
        <f t="shared" si="41"/>
        <v>9</v>
      </c>
      <c r="B270" s="153"/>
      <c r="C270" s="39" t="s">
        <v>421</v>
      </c>
      <c r="D270" s="39">
        <f>(34.84)*10.764</f>
        <v>375.01776000000001</v>
      </c>
      <c r="E270" s="39">
        <v>0</v>
      </c>
      <c r="F270" s="39">
        <f t="shared" si="42"/>
        <v>375.01776000000001</v>
      </c>
      <c r="G270" s="39">
        <v>0</v>
      </c>
      <c r="H270" s="39">
        <f t="shared" si="43"/>
        <v>562.52664000000004</v>
      </c>
      <c r="I270" s="33"/>
      <c r="L270" s="154"/>
      <c r="M270" s="154"/>
      <c r="N270" s="33"/>
      <c r="T270" s="18"/>
    </row>
    <row r="271" spans="1:20" s="34" customFormat="1" ht="15.75" customHeight="1" x14ac:dyDescent="0.3">
      <c r="A271" s="152">
        <f t="shared" si="41"/>
        <v>10</v>
      </c>
      <c r="B271" s="153"/>
      <c r="C271" s="39" t="s">
        <v>421</v>
      </c>
      <c r="D271" s="39">
        <f>(59.17)*10.764</f>
        <v>636.90588000000002</v>
      </c>
      <c r="E271" s="39">
        <v>0</v>
      </c>
      <c r="F271" s="39">
        <f t="shared" si="42"/>
        <v>636.90588000000002</v>
      </c>
      <c r="G271" s="39">
        <v>0</v>
      </c>
      <c r="H271" s="39">
        <f t="shared" si="43"/>
        <v>955.35882000000004</v>
      </c>
      <c r="I271" s="33"/>
      <c r="L271" s="154"/>
      <c r="M271" s="154"/>
      <c r="N271" s="33"/>
      <c r="T271" s="18"/>
    </row>
    <row r="272" spans="1:20" s="34" customFormat="1" x14ac:dyDescent="0.3">
      <c r="A272" s="156" t="s">
        <v>437</v>
      </c>
      <c r="B272" s="157"/>
      <c r="C272" s="157"/>
      <c r="D272" s="157"/>
      <c r="E272" s="157"/>
      <c r="F272" s="157"/>
      <c r="G272" s="157"/>
      <c r="H272" s="158"/>
      <c r="J272" s="33"/>
      <c r="T272" s="32"/>
    </row>
    <row r="273" spans="1:20" s="34" customFormat="1" ht="15.75" customHeight="1" x14ac:dyDescent="0.3">
      <c r="A273" s="152">
        <v>1</v>
      </c>
      <c r="B273" s="153"/>
      <c r="C273" s="39" t="s">
        <v>421</v>
      </c>
      <c r="D273" s="39">
        <f>(51.69)*10.764</f>
        <v>556.3911599999999</v>
      </c>
      <c r="E273" s="39">
        <v>0</v>
      </c>
      <c r="F273" s="39">
        <f>D273+(IF(E273&lt;201,E273,IF(E273&lt;301,E273/2,E273/3)))</f>
        <v>556.3911599999999</v>
      </c>
      <c r="G273" s="39">
        <v>0</v>
      </c>
      <c r="H273" s="39">
        <f>(F273+(IF(G273&lt;101,G273,IF(G273&lt;201,G273/2,IF(G273&lt;=301,G273/3,G273/4)))))*(($H$135)+1)</f>
        <v>834.58673999999985</v>
      </c>
      <c r="I273" s="33"/>
      <c r="L273" s="154"/>
      <c r="M273" s="154"/>
      <c r="N273" s="33"/>
      <c r="T273" s="18"/>
    </row>
    <row r="274" spans="1:20" s="34" customFormat="1" ht="15.75" customHeight="1" x14ac:dyDescent="0.3">
      <c r="A274" s="152">
        <f>A273+1</f>
        <v>2</v>
      </c>
      <c r="B274" s="153"/>
      <c r="C274" s="39" t="s">
        <v>421</v>
      </c>
      <c r="D274" s="39">
        <f>(23.04)*10.764</f>
        <v>248.00255999999999</v>
      </c>
      <c r="E274" s="39">
        <v>0</v>
      </c>
      <c r="F274" s="39">
        <f>D274+(IF(E274&lt;201,E274,IF(E274&lt;301,E274/2,E274/3)))</f>
        <v>248.00255999999999</v>
      </c>
      <c r="G274" s="39">
        <v>0</v>
      </c>
      <c r="H274" s="39">
        <f>(F274+(IF(G274&lt;101,G274,IF(G274&lt;201,G274/2,IF(G274&lt;=301,G274/3,G274/4)))))*(($H$135)+1)</f>
        <v>372.00383999999997</v>
      </c>
      <c r="I274" s="33"/>
      <c r="L274" s="154"/>
      <c r="M274" s="154"/>
      <c r="N274" s="33"/>
      <c r="T274" s="18"/>
    </row>
    <row r="275" spans="1:20" s="34" customFormat="1" ht="15.75" customHeight="1" x14ac:dyDescent="0.3">
      <c r="A275" s="152">
        <f>A274+1</f>
        <v>3</v>
      </c>
      <c r="B275" s="153"/>
      <c r="C275" s="39" t="s">
        <v>421</v>
      </c>
      <c r="D275" s="39">
        <f>(20.42)*10.764</f>
        <v>219.80088000000001</v>
      </c>
      <c r="E275" s="39">
        <v>0</v>
      </c>
      <c r="F275" s="39">
        <f>D275+(IF(E275&lt;201,E275,IF(E275&lt;301,E275/2,E275/3)))</f>
        <v>219.80088000000001</v>
      </c>
      <c r="G275" s="39">
        <v>0</v>
      </c>
      <c r="H275" s="39">
        <f>(F275+(IF(G275&lt;101,G275,IF(G275&lt;201,G275/2,IF(G275&lt;=301,G275/3,G275/4)))))*(($H$135)+1)</f>
        <v>329.70132000000001</v>
      </c>
      <c r="I275" s="33"/>
      <c r="L275" s="154"/>
      <c r="M275" s="154"/>
      <c r="N275" s="33"/>
      <c r="T275" s="18"/>
    </row>
    <row r="276" spans="1:20" s="34" customFormat="1" ht="15.75" customHeight="1" x14ac:dyDescent="0.3">
      <c r="A276" s="152">
        <f t="shared" ref="A276:A282" si="44">A275+1</f>
        <v>4</v>
      </c>
      <c r="B276" s="153"/>
      <c r="C276" s="39" t="s">
        <v>421</v>
      </c>
      <c r="D276" s="39">
        <f>(27.51)*10.764</f>
        <v>296.11763999999999</v>
      </c>
      <c r="E276" s="39">
        <v>0</v>
      </c>
      <c r="F276" s="39">
        <f t="shared" ref="F276:F282" si="45">D276+(IF(E276&lt;201,E276,IF(E276&lt;301,E276/2,E276/3)))</f>
        <v>296.11763999999999</v>
      </c>
      <c r="G276" s="39">
        <v>0</v>
      </c>
      <c r="H276" s="39">
        <f t="shared" ref="H276:H282" si="46">(F276+(IF(G276&lt;101,G276,IF(G276&lt;201,G276/2,IF(G276&lt;=301,G276/3,G276/4)))))*(($H$135)+1)</f>
        <v>444.17646000000002</v>
      </c>
      <c r="I276" s="33"/>
      <c r="L276" s="154"/>
      <c r="M276" s="154"/>
      <c r="N276" s="33"/>
      <c r="T276" s="18"/>
    </row>
    <row r="277" spans="1:20" s="34" customFormat="1" ht="15.75" customHeight="1" x14ac:dyDescent="0.3">
      <c r="A277" s="152">
        <f t="shared" si="44"/>
        <v>5</v>
      </c>
      <c r="B277" s="153"/>
      <c r="C277" s="39" t="s">
        <v>421</v>
      </c>
      <c r="D277" s="39">
        <f>(24.71)*10.764</f>
        <v>265.97843999999998</v>
      </c>
      <c r="E277" s="39">
        <v>0</v>
      </c>
      <c r="F277" s="39">
        <f t="shared" si="45"/>
        <v>265.97843999999998</v>
      </c>
      <c r="G277" s="39">
        <v>0</v>
      </c>
      <c r="H277" s="39">
        <f t="shared" si="46"/>
        <v>398.96765999999997</v>
      </c>
      <c r="I277" s="33"/>
      <c r="L277" s="154"/>
      <c r="M277" s="154"/>
      <c r="N277" s="33"/>
      <c r="T277" s="18"/>
    </row>
    <row r="278" spans="1:20" s="34" customFormat="1" ht="15.75" customHeight="1" x14ac:dyDescent="0.3">
      <c r="A278" s="152">
        <f t="shared" si="44"/>
        <v>6</v>
      </c>
      <c r="B278" s="153"/>
      <c r="C278" s="39" t="s">
        <v>421</v>
      </c>
      <c r="D278" s="39">
        <f>(67.06)*10.764</f>
        <v>721.83384000000001</v>
      </c>
      <c r="E278" s="39">
        <v>0</v>
      </c>
      <c r="F278" s="39">
        <f t="shared" si="45"/>
        <v>721.83384000000001</v>
      </c>
      <c r="G278" s="39">
        <v>0</v>
      </c>
      <c r="H278" s="39">
        <f t="shared" si="46"/>
        <v>1082.7507599999999</v>
      </c>
      <c r="I278" s="33"/>
      <c r="L278" s="154"/>
      <c r="M278" s="154"/>
      <c r="N278" s="33"/>
      <c r="T278" s="18"/>
    </row>
    <row r="279" spans="1:20" s="34" customFormat="1" ht="15.75" customHeight="1" x14ac:dyDescent="0.3">
      <c r="A279" s="152">
        <f t="shared" si="44"/>
        <v>7</v>
      </c>
      <c r="B279" s="153"/>
      <c r="C279" s="39" t="s">
        <v>421</v>
      </c>
      <c r="D279" s="39">
        <f>(45)*10.764</f>
        <v>484.38</v>
      </c>
      <c r="E279" s="39">
        <v>0</v>
      </c>
      <c r="F279" s="39">
        <f t="shared" si="45"/>
        <v>484.38</v>
      </c>
      <c r="G279" s="39">
        <v>0</v>
      </c>
      <c r="H279" s="39">
        <f t="shared" si="46"/>
        <v>726.56999999999994</v>
      </c>
      <c r="I279" s="33"/>
      <c r="L279" s="154"/>
      <c r="M279" s="154"/>
      <c r="N279" s="33"/>
      <c r="T279" s="18"/>
    </row>
    <row r="280" spans="1:20" s="34" customFormat="1" ht="15.75" customHeight="1" x14ac:dyDescent="0.3">
      <c r="A280" s="152">
        <f t="shared" si="44"/>
        <v>8</v>
      </c>
      <c r="B280" s="153"/>
      <c r="C280" s="39" t="s">
        <v>421</v>
      </c>
      <c r="D280" s="39">
        <f>(50.6)*10.764</f>
        <v>544.65840000000003</v>
      </c>
      <c r="E280" s="39">
        <v>0</v>
      </c>
      <c r="F280" s="39">
        <f t="shared" si="45"/>
        <v>544.65840000000003</v>
      </c>
      <c r="G280" s="39">
        <v>0</v>
      </c>
      <c r="H280" s="39">
        <f t="shared" si="46"/>
        <v>816.98760000000004</v>
      </c>
      <c r="I280" s="33"/>
      <c r="L280" s="154"/>
      <c r="M280" s="154"/>
      <c r="N280" s="33"/>
      <c r="T280" s="18"/>
    </row>
    <row r="281" spans="1:20" s="34" customFormat="1" ht="15.75" customHeight="1" x14ac:dyDescent="0.3">
      <c r="A281" s="152">
        <f t="shared" si="44"/>
        <v>9</v>
      </c>
      <c r="B281" s="153"/>
      <c r="C281" s="39" t="s">
        <v>421</v>
      </c>
      <c r="D281" s="39">
        <f>(33)*10.764</f>
        <v>355.21199999999999</v>
      </c>
      <c r="E281" s="39">
        <v>0</v>
      </c>
      <c r="F281" s="39">
        <f t="shared" si="45"/>
        <v>355.21199999999999</v>
      </c>
      <c r="G281" s="39">
        <v>0</v>
      </c>
      <c r="H281" s="39">
        <f t="shared" si="46"/>
        <v>532.81799999999998</v>
      </c>
      <c r="I281" s="33"/>
      <c r="L281" s="154"/>
      <c r="M281" s="154"/>
      <c r="N281" s="33"/>
      <c r="T281" s="18"/>
    </row>
    <row r="282" spans="1:20" s="34" customFormat="1" ht="15.75" customHeight="1" x14ac:dyDescent="0.3">
      <c r="A282" s="152">
        <f t="shared" si="44"/>
        <v>10</v>
      </c>
      <c r="B282" s="153"/>
      <c r="C282" s="39" t="s">
        <v>421</v>
      </c>
      <c r="D282" s="39">
        <f>(55.06)*10.764</f>
        <v>592.66584</v>
      </c>
      <c r="E282" s="39">
        <v>0</v>
      </c>
      <c r="F282" s="39">
        <f t="shared" si="45"/>
        <v>592.66584</v>
      </c>
      <c r="G282" s="39">
        <v>0</v>
      </c>
      <c r="H282" s="39">
        <f t="shared" si="46"/>
        <v>888.99875999999995</v>
      </c>
      <c r="I282" s="33"/>
      <c r="L282" s="154"/>
      <c r="M282" s="154"/>
      <c r="N282" s="33"/>
      <c r="T282" s="18"/>
    </row>
    <row r="283" spans="1:20" s="34" customFormat="1" x14ac:dyDescent="0.3">
      <c r="A283" s="156" t="s">
        <v>438</v>
      </c>
      <c r="B283" s="157"/>
      <c r="C283" s="157"/>
      <c r="D283" s="157"/>
      <c r="E283" s="157"/>
      <c r="F283" s="157"/>
      <c r="G283" s="157"/>
      <c r="H283" s="158"/>
      <c r="J283" s="33"/>
      <c r="T283" s="32"/>
    </row>
    <row r="284" spans="1:20" s="34" customFormat="1" ht="15.75" customHeight="1" x14ac:dyDescent="0.3">
      <c r="A284" s="152">
        <v>1</v>
      </c>
      <c r="B284" s="153"/>
      <c r="C284" s="39" t="s">
        <v>421</v>
      </c>
      <c r="D284" s="39">
        <f>(49.37)*10.764</f>
        <v>531.41867999999999</v>
      </c>
      <c r="E284" s="39">
        <v>0</v>
      </c>
      <c r="F284" s="39">
        <f>D284+(IF(E284&lt;201,E284,IF(E284&lt;301,E284/2,E284/3)))</f>
        <v>531.41867999999999</v>
      </c>
      <c r="G284" s="39">
        <v>0</v>
      </c>
      <c r="H284" s="39">
        <f>(F284+(IF(G284&lt;101,G284,IF(G284&lt;201,G284/2,IF(G284&lt;=301,G284/3,G284/4)))))*(($H$135)+1)</f>
        <v>797.12801999999999</v>
      </c>
      <c r="I284" s="33"/>
      <c r="L284" s="154"/>
      <c r="M284" s="154"/>
      <c r="N284" s="33"/>
      <c r="T284" s="18"/>
    </row>
    <row r="285" spans="1:20" s="34" customFormat="1" ht="15.75" customHeight="1" x14ac:dyDescent="0.3">
      <c r="A285" s="152">
        <f>A284+1</f>
        <v>2</v>
      </c>
      <c r="B285" s="153"/>
      <c r="C285" s="39" t="s">
        <v>421</v>
      </c>
      <c r="D285" s="39">
        <f>(23.04)*10.764</f>
        <v>248.00255999999999</v>
      </c>
      <c r="E285" s="39">
        <v>0</v>
      </c>
      <c r="F285" s="39">
        <f>D285+(IF(E285&lt;201,E285,IF(E285&lt;301,E285/2,E285/3)))</f>
        <v>248.00255999999999</v>
      </c>
      <c r="G285" s="39">
        <v>0</v>
      </c>
      <c r="H285" s="39">
        <f>(F285+(IF(G285&lt;101,G285,IF(G285&lt;201,G285/2,IF(G285&lt;=301,G285/3,G285/4)))))*(($H$135)+1)</f>
        <v>372.00383999999997</v>
      </c>
      <c r="I285" s="33"/>
      <c r="L285" s="154"/>
      <c r="M285" s="154"/>
      <c r="N285" s="33"/>
      <c r="T285" s="18"/>
    </row>
    <row r="286" spans="1:20" s="34" customFormat="1" ht="15.75" customHeight="1" x14ac:dyDescent="0.3">
      <c r="A286" s="152">
        <f>A285+1</f>
        <v>3</v>
      </c>
      <c r="B286" s="153"/>
      <c r="C286" s="39" t="s">
        <v>421</v>
      </c>
      <c r="D286" s="39">
        <f>(20.42)*10.764</f>
        <v>219.80088000000001</v>
      </c>
      <c r="E286" s="39">
        <v>0</v>
      </c>
      <c r="F286" s="39">
        <f>D286+(IF(E286&lt;201,E286,IF(E286&lt;301,E286/2,E286/3)))</f>
        <v>219.80088000000001</v>
      </c>
      <c r="G286" s="39">
        <v>0</v>
      </c>
      <c r="H286" s="39">
        <f>(F286+(IF(G286&lt;101,G286,IF(G286&lt;201,G286/2,IF(G286&lt;=301,G286/3,G286/4)))))*(($H$135)+1)</f>
        <v>329.70132000000001</v>
      </c>
      <c r="I286" s="33"/>
      <c r="L286" s="154"/>
      <c r="M286" s="154"/>
      <c r="N286" s="33"/>
      <c r="T286" s="18"/>
    </row>
    <row r="287" spans="1:20" s="34" customFormat="1" ht="15.75" customHeight="1" x14ac:dyDescent="0.3">
      <c r="A287" s="152">
        <f t="shared" ref="A287:A293" si="47">A286+1</f>
        <v>4</v>
      </c>
      <c r="B287" s="153"/>
      <c r="C287" s="39" t="s">
        <v>421</v>
      </c>
      <c r="D287" s="39">
        <f>(27.51)*10.764</f>
        <v>296.11763999999999</v>
      </c>
      <c r="E287" s="39">
        <v>0</v>
      </c>
      <c r="F287" s="39">
        <f t="shared" ref="F287:F293" si="48">D287+(IF(E287&lt;201,E287,IF(E287&lt;301,E287/2,E287/3)))</f>
        <v>296.11763999999999</v>
      </c>
      <c r="G287" s="39">
        <v>0</v>
      </c>
      <c r="H287" s="39">
        <f t="shared" ref="H287:H293" si="49">(F287+(IF(G287&lt;101,G287,IF(G287&lt;201,G287/2,IF(G287&lt;=301,G287/3,G287/4)))))*(($H$135)+1)</f>
        <v>444.17646000000002</v>
      </c>
      <c r="I287" s="33"/>
      <c r="L287" s="154"/>
      <c r="M287" s="154"/>
      <c r="N287" s="33"/>
      <c r="T287" s="18"/>
    </row>
    <row r="288" spans="1:20" s="34" customFormat="1" ht="15.75" customHeight="1" x14ac:dyDescent="0.3">
      <c r="A288" s="152">
        <f t="shared" si="47"/>
        <v>5</v>
      </c>
      <c r="B288" s="153"/>
      <c r="C288" s="39" t="s">
        <v>421</v>
      </c>
      <c r="D288" s="39">
        <f>(24.71)*10.764</f>
        <v>265.97843999999998</v>
      </c>
      <c r="E288" s="39">
        <v>0</v>
      </c>
      <c r="F288" s="39">
        <f t="shared" si="48"/>
        <v>265.97843999999998</v>
      </c>
      <c r="G288" s="39">
        <v>0</v>
      </c>
      <c r="H288" s="39">
        <f t="shared" si="49"/>
        <v>398.96765999999997</v>
      </c>
      <c r="I288" s="33"/>
      <c r="L288" s="154"/>
      <c r="M288" s="154"/>
      <c r="N288" s="33"/>
      <c r="T288" s="18"/>
    </row>
    <row r="289" spans="1:20" s="34" customFormat="1" ht="15.75" customHeight="1" x14ac:dyDescent="0.3">
      <c r="A289" s="152">
        <f t="shared" si="47"/>
        <v>6</v>
      </c>
      <c r="B289" s="153"/>
      <c r="C289" s="39" t="s">
        <v>421</v>
      </c>
      <c r="D289" s="39">
        <f>(63.68)*10.764</f>
        <v>685.45151999999996</v>
      </c>
      <c r="E289" s="39">
        <v>0</v>
      </c>
      <c r="F289" s="39">
        <f t="shared" si="48"/>
        <v>685.45151999999996</v>
      </c>
      <c r="G289" s="39">
        <v>0</v>
      </c>
      <c r="H289" s="39">
        <f t="shared" si="49"/>
        <v>1028.1772799999999</v>
      </c>
      <c r="I289" s="33"/>
      <c r="L289" s="154"/>
      <c r="M289" s="154"/>
      <c r="N289" s="33"/>
      <c r="T289" s="18"/>
    </row>
    <row r="290" spans="1:20" s="34" customFormat="1" ht="15.75" customHeight="1" x14ac:dyDescent="0.3">
      <c r="A290" s="152">
        <f t="shared" si="47"/>
        <v>7</v>
      </c>
      <c r="B290" s="153"/>
      <c r="C290" s="39" t="s">
        <v>421</v>
      </c>
      <c r="D290" s="39">
        <f>(45)*10.764</f>
        <v>484.38</v>
      </c>
      <c r="E290" s="39">
        <v>0</v>
      </c>
      <c r="F290" s="39">
        <f t="shared" si="48"/>
        <v>484.38</v>
      </c>
      <c r="G290" s="39">
        <v>0</v>
      </c>
      <c r="H290" s="39">
        <f t="shared" si="49"/>
        <v>726.56999999999994</v>
      </c>
      <c r="I290" s="33"/>
      <c r="L290" s="154"/>
      <c r="M290" s="154"/>
      <c r="N290" s="33"/>
      <c r="T290" s="18"/>
    </row>
    <row r="291" spans="1:20" s="34" customFormat="1" ht="15.75" customHeight="1" x14ac:dyDescent="0.3">
      <c r="A291" s="152">
        <f t="shared" si="47"/>
        <v>8</v>
      </c>
      <c r="B291" s="153"/>
      <c r="C291" s="39" t="s">
        <v>421</v>
      </c>
      <c r="D291" s="39">
        <f>(50.6)*10.764</f>
        <v>544.65840000000003</v>
      </c>
      <c r="E291" s="39">
        <v>0</v>
      </c>
      <c r="F291" s="39">
        <f t="shared" si="48"/>
        <v>544.65840000000003</v>
      </c>
      <c r="G291" s="39">
        <v>0</v>
      </c>
      <c r="H291" s="39">
        <f t="shared" si="49"/>
        <v>816.98760000000004</v>
      </c>
      <c r="I291" s="33"/>
      <c r="L291" s="154"/>
      <c r="M291" s="154"/>
      <c r="N291" s="33"/>
      <c r="T291" s="18"/>
    </row>
    <row r="292" spans="1:20" s="34" customFormat="1" ht="15.75" customHeight="1" x14ac:dyDescent="0.3">
      <c r="A292" s="152">
        <f t="shared" si="47"/>
        <v>9</v>
      </c>
      <c r="B292" s="153"/>
      <c r="C292" s="39" t="s">
        <v>421</v>
      </c>
      <c r="D292" s="39">
        <f>(33)*10.764</f>
        <v>355.21199999999999</v>
      </c>
      <c r="E292" s="39">
        <v>0</v>
      </c>
      <c r="F292" s="39">
        <f t="shared" si="48"/>
        <v>355.21199999999999</v>
      </c>
      <c r="G292" s="39">
        <v>0</v>
      </c>
      <c r="H292" s="39">
        <f t="shared" si="49"/>
        <v>532.81799999999998</v>
      </c>
      <c r="I292" s="33"/>
      <c r="L292" s="154"/>
      <c r="M292" s="154"/>
      <c r="N292" s="33"/>
      <c r="T292" s="18"/>
    </row>
    <row r="293" spans="1:20" s="34" customFormat="1" ht="15.75" customHeight="1" x14ac:dyDescent="0.3">
      <c r="A293" s="152">
        <f t="shared" si="47"/>
        <v>10</v>
      </c>
      <c r="B293" s="153"/>
      <c r="C293" s="39" t="s">
        <v>421</v>
      </c>
      <c r="D293" s="39">
        <f>(52.81)*10.764</f>
        <v>568.44683999999995</v>
      </c>
      <c r="E293" s="39">
        <v>0</v>
      </c>
      <c r="F293" s="39">
        <f t="shared" si="48"/>
        <v>568.44683999999995</v>
      </c>
      <c r="G293" s="39">
        <v>0</v>
      </c>
      <c r="H293" s="39">
        <f t="shared" si="49"/>
        <v>852.67025999999987</v>
      </c>
      <c r="I293" s="33"/>
      <c r="L293" s="154"/>
      <c r="M293" s="154"/>
      <c r="N293" s="33"/>
      <c r="T293" s="18"/>
    </row>
    <row r="294" spans="1:20" s="34" customFormat="1" x14ac:dyDescent="0.3">
      <c r="A294" s="156" t="s">
        <v>439</v>
      </c>
      <c r="B294" s="157"/>
      <c r="C294" s="157"/>
      <c r="D294" s="157"/>
      <c r="E294" s="157"/>
      <c r="F294" s="157"/>
      <c r="G294" s="157"/>
      <c r="H294" s="158"/>
      <c r="J294" s="33"/>
      <c r="T294" s="32"/>
    </row>
    <row r="295" spans="1:20" s="34" customFormat="1" ht="15.75" customHeight="1" x14ac:dyDescent="0.3">
      <c r="A295" s="152">
        <v>1</v>
      </c>
      <c r="B295" s="153"/>
      <c r="C295" s="39" t="s">
        <v>421</v>
      </c>
      <c r="D295" s="39">
        <f>(47.21)*10.764</f>
        <v>508.16843999999998</v>
      </c>
      <c r="E295" s="39">
        <v>0</v>
      </c>
      <c r="F295" s="39">
        <f>D295+(IF(E295&lt;201,E295,IF(E295&lt;301,E295/2,E295/3)))</f>
        <v>508.16843999999998</v>
      </c>
      <c r="G295" s="39">
        <v>0</v>
      </c>
      <c r="H295" s="39">
        <f>(F295+(IF(G295&lt;101,G295,IF(G295&lt;201,G295/2,IF(G295&lt;=301,G295/3,G295/4)))))*(($H$135)+1)</f>
        <v>762.25265999999999</v>
      </c>
      <c r="I295" s="33"/>
      <c r="L295" s="154"/>
      <c r="M295" s="154"/>
      <c r="N295" s="33"/>
      <c r="T295" s="18"/>
    </row>
    <row r="296" spans="1:20" s="34" customFormat="1" ht="15.75" customHeight="1" x14ac:dyDescent="0.3">
      <c r="A296" s="152">
        <f>A295+1</f>
        <v>2</v>
      </c>
      <c r="B296" s="153"/>
      <c r="C296" s="39" t="s">
        <v>421</v>
      </c>
      <c r="D296" s="39">
        <f>(23.04)*10.764</f>
        <v>248.00255999999999</v>
      </c>
      <c r="E296" s="39">
        <v>0</v>
      </c>
      <c r="F296" s="39">
        <f>D296+(IF(E296&lt;201,E296,IF(E296&lt;301,E296/2,E296/3)))</f>
        <v>248.00255999999999</v>
      </c>
      <c r="G296" s="39">
        <v>0</v>
      </c>
      <c r="H296" s="39">
        <f>(F296+(IF(G296&lt;101,G296,IF(G296&lt;201,G296/2,IF(G296&lt;=301,G296/3,G296/4)))))*(($H$135)+1)</f>
        <v>372.00383999999997</v>
      </c>
      <c r="I296" s="33"/>
      <c r="L296" s="154"/>
      <c r="M296" s="154"/>
      <c r="N296" s="33"/>
      <c r="T296" s="18"/>
    </row>
    <row r="297" spans="1:20" s="34" customFormat="1" ht="15.75" customHeight="1" x14ac:dyDescent="0.3">
      <c r="A297" s="152">
        <f>A296+1</f>
        <v>3</v>
      </c>
      <c r="B297" s="153"/>
      <c r="C297" s="39" t="s">
        <v>421</v>
      </c>
      <c r="D297" s="39">
        <f>(20.42)*10.764</f>
        <v>219.80088000000001</v>
      </c>
      <c r="E297" s="39">
        <v>0</v>
      </c>
      <c r="F297" s="39">
        <f>D297+(IF(E297&lt;201,E297,IF(E297&lt;301,E297/2,E297/3)))</f>
        <v>219.80088000000001</v>
      </c>
      <c r="G297" s="39">
        <v>0</v>
      </c>
      <c r="H297" s="39">
        <f>(F297+(IF(G297&lt;101,G297,IF(G297&lt;201,G297/2,IF(G297&lt;=301,G297/3,G297/4)))))*(($H$135)+1)</f>
        <v>329.70132000000001</v>
      </c>
      <c r="I297" s="33"/>
      <c r="L297" s="154"/>
      <c r="M297" s="154"/>
      <c r="N297" s="33"/>
      <c r="T297" s="18"/>
    </row>
    <row r="298" spans="1:20" s="34" customFormat="1" ht="15.75" customHeight="1" x14ac:dyDescent="0.3">
      <c r="A298" s="152">
        <f t="shared" ref="A298:A304" si="50">A297+1</f>
        <v>4</v>
      </c>
      <c r="B298" s="153"/>
      <c r="C298" s="39" t="s">
        <v>421</v>
      </c>
      <c r="D298" s="39">
        <f>(27.51)*10.764</f>
        <v>296.11763999999999</v>
      </c>
      <c r="E298" s="39">
        <v>0</v>
      </c>
      <c r="F298" s="39">
        <f t="shared" ref="F298:F304" si="51">D298+(IF(E298&lt;201,E298,IF(E298&lt;301,E298/2,E298/3)))</f>
        <v>296.11763999999999</v>
      </c>
      <c r="G298" s="39">
        <v>0</v>
      </c>
      <c r="H298" s="39">
        <f t="shared" ref="H298:H304" si="52">(F298+(IF(G298&lt;101,G298,IF(G298&lt;201,G298/2,IF(G298&lt;=301,G298/3,G298/4)))))*(($H$135)+1)</f>
        <v>444.17646000000002</v>
      </c>
      <c r="I298" s="33"/>
      <c r="L298" s="154"/>
      <c r="M298" s="154"/>
      <c r="N298" s="33"/>
      <c r="T298" s="18"/>
    </row>
    <row r="299" spans="1:20" s="34" customFormat="1" ht="15.75" customHeight="1" x14ac:dyDescent="0.3">
      <c r="A299" s="152">
        <f t="shared" si="50"/>
        <v>5</v>
      </c>
      <c r="B299" s="153"/>
      <c r="C299" s="39" t="s">
        <v>421</v>
      </c>
      <c r="D299" s="39">
        <f>(27.31)*10.764</f>
        <v>293.96483999999998</v>
      </c>
      <c r="E299" s="39">
        <v>0</v>
      </c>
      <c r="F299" s="39">
        <f t="shared" si="51"/>
        <v>293.96483999999998</v>
      </c>
      <c r="G299" s="39">
        <v>0</v>
      </c>
      <c r="H299" s="39">
        <f t="shared" si="52"/>
        <v>440.94725999999997</v>
      </c>
      <c r="I299" s="33"/>
      <c r="L299" s="154"/>
      <c r="M299" s="154"/>
      <c r="N299" s="33"/>
      <c r="T299" s="18"/>
    </row>
    <row r="300" spans="1:20" s="34" customFormat="1" ht="15.75" customHeight="1" x14ac:dyDescent="0.3">
      <c r="A300" s="152">
        <f t="shared" si="50"/>
        <v>6</v>
      </c>
      <c r="B300" s="153"/>
      <c r="C300" s="152" t="s">
        <v>428</v>
      </c>
      <c r="D300" s="254"/>
      <c r="E300" s="254"/>
      <c r="F300" s="254"/>
      <c r="G300" s="254"/>
      <c r="H300" s="153"/>
      <c r="I300" s="33"/>
      <c r="L300" s="154"/>
      <c r="M300" s="154"/>
      <c r="N300" s="33"/>
      <c r="T300" s="18"/>
    </row>
    <row r="301" spans="1:20" s="34" customFormat="1" ht="15.75" customHeight="1" x14ac:dyDescent="0.3">
      <c r="A301" s="152">
        <f t="shared" si="50"/>
        <v>7</v>
      </c>
      <c r="B301" s="153"/>
      <c r="C301" s="39" t="s">
        <v>421</v>
      </c>
      <c r="D301" s="39">
        <f>(67.73)*10.764</f>
        <v>729.04571999999996</v>
      </c>
      <c r="E301" s="39">
        <v>0</v>
      </c>
      <c r="F301" s="39">
        <f t="shared" si="51"/>
        <v>729.04571999999996</v>
      </c>
      <c r="G301" s="39">
        <v>0</v>
      </c>
      <c r="H301" s="39">
        <f t="shared" si="52"/>
        <v>1093.5685799999999</v>
      </c>
      <c r="I301" s="33"/>
      <c r="L301" s="154"/>
      <c r="M301" s="154"/>
      <c r="N301" s="33"/>
      <c r="T301" s="18"/>
    </row>
    <row r="302" spans="1:20" s="34" customFormat="1" ht="15.75" customHeight="1" x14ac:dyDescent="0.3">
      <c r="A302" s="152">
        <f t="shared" si="50"/>
        <v>8</v>
      </c>
      <c r="B302" s="153"/>
      <c r="C302" s="39" t="s">
        <v>421</v>
      </c>
      <c r="D302" s="39">
        <f>(50.6)*10.764</f>
        <v>544.65840000000003</v>
      </c>
      <c r="E302" s="39">
        <v>0</v>
      </c>
      <c r="F302" s="39">
        <f t="shared" si="51"/>
        <v>544.65840000000003</v>
      </c>
      <c r="G302" s="39">
        <v>0</v>
      </c>
      <c r="H302" s="39">
        <f t="shared" si="52"/>
        <v>816.98760000000004</v>
      </c>
      <c r="I302" s="33"/>
      <c r="L302" s="154"/>
      <c r="M302" s="154"/>
      <c r="N302" s="33"/>
      <c r="T302" s="18"/>
    </row>
    <row r="303" spans="1:20" s="34" customFormat="1" ht="15.75" customHeight="1" x14ac:dyDescent="0.3">
      <c r="A303" s="152">
        <f t="shared" si="50"/>
        <v>9</v>
      </c>
      <c r="B303" s="153"/>
      <c r="C303" s="39" t="s">
        <v>421</v>
      </c>
      <c r="D303" s="39">
        <f>(33)*10.764</f>
        <v>355.21199999999999</v>
      </c>
      <c r="E303" s="39">
        <v>0</v>
      </c>
      <c r="F303" s="39">
        <f t="shared" si="51"/>
        <v>355.21199999999999</v>
      </c>
      <c r="G303" s="39">
        <v>0</v>
      </c>
      <c r="H303" s="39">
        <f t="shared" si="52"/>
        <v>532.81799999999998</v>
      </c>
      <c r="I303" s="33"/>
      <c r="L303" s="154"/>
      <c r="M303" s="154"/>
      <c r="N303" s="33"/>
      <c r="T303" s="18"/>
    </row>
    <row r="304" spans="1:20" s="34" customFormat="1" ht="15.75" customHeight="1" x14ac:dyDescent="0.3">
      <c r="A304" s="152">
        <f t="shared" si="50"/>
        <v>10</v>
      </c>
      <c r="B304" s="153"/>
      <c r="C304" s="39" t="s">
        <v>421</v>
      </c>
      <c r="D304" s="39">
        <f>(50.57)*10.764</f>
        <v>544.33547999999996</v>
      </c>
      <c r="E304" s="39">
        <v>0</v>
      </c>
      <c r="F304" s="39">
        <f t="shared" si="51"/>
        <v>544.33547999999996</v>
      </c>
      <c r="G304" s="39">
        <v>0</v>
      </c>
      <c r="H304" s="39">
        <f t="shared" si="52"/>
        <v>816.50321999999994</v>
      </c>
      <c r="I304" s="33"/>
      <c r="L304" s="154"/>
      <c r="M304" s="154"/>
      <c r="N304" s="33"/>
      <c r="T304" s="18"/>
    </row>
    <row r="305" spans="1:20" s="34" customFormat="1" x14ac:dyDescent="0.3">
      <c r="A305" s="156" t="s">
        <v>440</v>
      </c>
      <c r="B305" s="157"/>
      <c r="C305" s="157"/>
      <c r="D305" s="157"/>
      <c r="E305" s="157"/>
      <c r="F305" s="157"/>
      <c r="G305" s="157"/>
      <c r="H305" s="158"/>
      <c r="J305" s="33"/>
      <c r="T305" s="32"/>
    </row>
    <row r="306" spans="1:20" s="34" customFormat="1" ht="15.75" customHeight="1" x14ac:dyDescent="0.3">
      <c r="A306" s="152">
        <v>1</v>
      </c>
      <c r="B306" s="153"/>
      <c r="C306" s="39" t="s">
        <v>421</v>
      </c>
      <c r="D306" s="39">
        <f>(44.8)*10.764</f>
        <v>482.22719999999993</v>
      </c>
      <c r="E306" s="39">
        <v>0</v>
      </c>
      <c r="F306" s="39">
        <f>D306+(IF(E306&lt;201,E306,IF(E306&lt;301,E306/2,E306/3)))</f>
        <v>482.22719999999993</v>
      </c>
      <c r="G306" s="39">
        <v>0</v>
      </c>
      <c r="H306" s="39">
        <f>(F306+(IF(G306&lt;101,G306,IF(G306&lt;201,G306/2,IF(G306&lt;=301,G306/3,G306/4)))))*(($H$135)+1)</f>
        <v>723.34079999999994</v>
      </c>
      <c r="I306" s="33"/>
      <c r="L306" s="154"/>
      <c r="M306" s="154"/>
      <c r="N306" s="33"/>
      <c r="T306" s="18"/>
    </row>
    <row r="307" spans="1:20" s="34" customFormat="1" ht="15.75" customHeight="1" x14ac:dyDescent="0.3">
      <c r="A307" s="152">
        <f>A306+1</f>
        <v>2</v>
      </c>
      <c r="B307" s="153"/>
      <c r="C307" s="39" t="s">
        <v>421</v>
      </c>
      <c r="D307" s="39">
        <f>(23.04)*10.764</f>
        <v>248.00255999999999</v>
      </c>
      <c r="E307" s="39">
        <v>0</v>
      </c>
      <c r="F307" s="39">
        <f>D307+(IF(E307&lt;201,E307,IF(E307&lt;301,E307/2,E307/3)))</f>
        <v>248.00255999999999</v>
      </c>
      <c r="G307" s="39">
        <v>0</v>
      </c>
      <c r="H307" s="39">
        <f>(F307+(IF(G307&lt;101,G307,IF(G307&lt;201,G307/2,IF(G307&lt;=301,G307/3,G307/4)))))*(($H$135)+1)</f>
        <v>372.00383999999997</v>
      </c>
      <c r="I307" s="33"/>
      <c r="L307" s="154"/>
      <c r="M307" s="154"/>
      <c r="N307" s="33"/>
      <c r="T307" s="18"/>
    </row>
    <row r="308" spans="1:20" s="34" customFormat="1" ht="15.75" customHeight="1" x14ac:dyDescent="0.3">
      <c r="A308" s="152">
        <f>A307+1</f>
        <v>3</v>
      </c>
      <c r="B308" s="153"/>
      <c r="C308" s="39" t="s">
        <v>421</v>
      </c>
      <c r="D308" s="39">
        <f>(20.42)*10.764</f>
        <v>219.80088000000001</v>
      </c>
      <c r="E308" s="39">
        <v>0</v>
      </c>
      <c r="F308" s="39">
        <f>D308+(IF(E308&lt;201,E308,IF(E308&lt;301,E308/2,E308/3)))</f>
        <v>219.80088000000001</v>
      </c>
      <c r="G308" s="39">
        <v>0</v>
      </c>
      <c r="H308" s="39">
        <f>(F308+(IF(G308&lt;101,G308,IF(G308&lt;201,G308/2,IF(G308&lt;=301,G308/3,G308/4)))))*(($H$135)+1)</f>
        <v>329.70132000000001</v>
      </c>
      <c r="I308" s="33"/>
      <c r="L308" s="154"/>
      <c r="M308" s="154"/>
      <c r="N308" s="33"/>
      <c r="T308" s="18"/>
    </row>
    <row r="309" spans="1:20" s="34" customFormat="1" ht="15.75" customHeight="1" x14ac:dyDescent="0.3">
      <c r="A309" s="152">
        <f t="shared" ref="A309:A315" si="53">A308+1</f>
        <v>4</v>
      </c>
      <c r="B309" s="153"/>
      <c r="C309" s="39" t="s">
        <v>421</v>
      </c>
      <c r="D309" s="39">
        <f>(27.51)*10.764</f>
        <v>296.11763999999999</v>
      </c>
      <c r="E309" s="39">
        <v>0</v>
      </c>
      <c r="F309" s="39">
        <f t="shared" ref="F309:F315" si="54">D309+(IF(E309&lt;201,E309,IF(E309&lt;301,E309/2,E309/3)))</f>
        <v>296.11763999999999</v>
      </c>
      <c r="G309" s="39">
        <v>0</v>
      </c>
      <c r="H309" s="39">
        <f t="shared" ref="H309:H315" si="55">(F309+(IF(G309&lt;101,G309,IF(G309&lt;201,G309/2,IF(G309&lt;=301,G309/3,G309/4)))))*(($H$135)+1)</f>
        <v>444.17646000000002</v>
      </c>
      <c r="I309" s="33"/>
      <c r="L309" s="154"/>
      <c r="M309" s="154"/>
      <c r="N309" s="33"/>
      <c r="T309" s="18"/>
    </row>
    <row r="310" spans="1:20" s="34" customFormat="1" ht="15.75" customHeight="1" x14ac:dyDescent="0.3">
      <c r="A310" s="152">
        <f t="shared" si="53"/>
        <v>5</v>
      </c>
      <c r="B310" s="153"/>
      <c r="C310" s="39" t="s">
        <v>421</v>
      </c>
      <c r="D310" s="39">
        <f>(24.71)*10.764</f>
        <v>265.97843999999998</v>
      </c>
      <c r="E310" s="39">
        <v>0</v>
      </c>
      <c r="F310" s="39">
        <f t="shared" si="54"/>
        <v>265.97843999999998</v>
      </c>
      <c r="G310" s="39">
        <v>0</v>
      </c>
      <c r="H310" s="39">
        <f t="shared" si="55"/>
        <v>398.96765999999997</v>
      </c>
      <c r="I310" s="33"/>
      <c r="L310" s="154"/>
      <c r="M310" s="154"/>
      <c r="N310" s="33"/>
      <c r="T310" s="18"/>
    </row>
    <row r="311" spans="1:20" s="34" customFormat="1" ht="15.75" customHeight="1" x14ac:dyDescent="0.3">
      <c r="A311" s="152">
        <f t="shared" si="53"/>
        <v>6</v>
      </c>
      <c r="B311" s="153"/>
      <c r="C311" s="39" t="s">
        <v>421</v>
      </c>
      <c r="D311" s="39">
        <f>(57.54)*10.764</f>
        <v>619.36055999999996</v>
      </c>
      <c r="E311" s="39">
        <v>0</v>
      </c>
      <c r="F311" s="39">
        <f t="shared" si="54"/>
        <v>619.36055999999996</v>
      </c>
      <c r="G311" s="39">
        <v>0</v>
      </c>
      <c r="H311" s="39">
        <f t="shared" si="55"/>
        <v>929.04083999999989</v>
      </c>
      <c r="I311" s="33"/>
      <c r="L311" s="154"/>
      <c r="M311" s="154"/>
      <c r="N311" s="33"/>
      <c r="T311" s="18"/>
    </row>
    <row r="312" spans="1:20" s="34" customFormat="1" ht="15.75" customHeight="1" x14ac:dyDescent="0.3">
      <c r="A312" s="152">
        <f t="shared" si="53"/>
        <v>7</v>
      </c>
      <c r="B312" s="153"/>
      <c r="C312" s="39" t="s">
        <v>421</v>
      </c>
      <c r="D312" s="39">
        <f>(45)*10.764</f>
        <v>484.38</v>
      </c>
      <c r="E312" s="39">
        <v>0</v>
      </c>
      <c r="F312" s="39">
        <f t="shared" si="54"/>
        <v>484.38</v>
      </c>
      <c r="G312" s="39">
        <v>0</v>
      </c>
      <c r="H312" s="39">
        <f t="shared" si="55"/>
        <v>726.56999999999994</v>
      </c>
      <c r="I312" s="33"/>
      <c r="L312" s="154"/>
      <c r="M312" s="154"/>
      <c r="N312" s="33"/>
      <c r="T312" s="18"/>
    </row>
    <row r="313" spans="1:20" s="34" customFormat="1" ht="15.75" customHeight="1" x14ac:dyDescent="0.3">
      <c r="A313" s="152">
        <f t="shared" si="53"/>
        <v>8</v>
      </c>
      <c r="B313" s="153"/>
      <c r="C313" s="39" t="s">
        <v>421</v>
      </c>
      <c r="D313" s="39">
        <f>(50.6)*10.764</f>
        <v>544.65840000000003</v>
      </c>
      <c r="E313" s="39">
        <v>0</v>
      </c>
      <c r="F313" s="39">
        <f t="shared" si="54"/>
        <v>544.65840000000003</v>
      </c>
      <c r="G313" s="39">
        <v>0</v>
      </c>
      <c r="H313" s="39">
        <f t="shared" si="55"/>
        <v>816.98760000000004</v>
      </c>
      <c r="I313" s="33"/>
      <c r="L313" s="154"/>
      <c r="M313" s="154"/>
      <c r="N313" s="33"/>
      <c r="T313" s="18"/>
    </row>
    <row r="314" spans="1:20" s="34" customFormat="1" ht="15.75" customHeight="1" x14ac:dyDescent="0.3">
      <c r="A314" s="152">
        <f t="shared" si="53"/>
        <v>9</v>
      </c>
      <c r="B314" s="153"/>
      <c r="C314" s="39" t="s">
        <v>421</v>
      </c>
      <c r="D314" s="39">
        <f>(33)*10.764</f>
        <v>355.21199999999999</v>
      </c>
      <c r="E314" s="39">
        <v>0</v>
      </c>
      <c r="F314" s="39">
        <f t="shared" si="54"/>
        <v>355.21199999999999</v>
      </c>
      <c r="G314" s="39">
        <v>0</v>
      </c>
      <c r="H314" s="39">
        <f t="shared" si="55"/>
        <v>532.81799999999998</v>
      </c>
      <c r="I314" s="33"/>
      <c r="L314" s="154"/>
      <c r="M314" s="154"/>
      <c r="N314" s="33"/>
      <c r="T314" s="18"/>
    </row>
    <row r="315" spans="1:20" s="34" customFormat="1" ht="15.75" customHeight="1" x14ac:dyDescent="0.3">
      <c r="A315" s="152">
        <f t="shared" si="53"/>
        <v>10</v>
      </c>
      <c r="B315" s="153"/>
      <c r="C315" s="39" t="s">
        <v>421</v>
      </c>
      <c r="D315" s="39">
        <f>(48.17)*10.764</f>
        <v>518.50188000000003</v>
      </c>
      <c r="E315" s="39">
        <v>0</v>
      </c>
      <c r="F315" s="39">
        <f t="shared" si="54"/>
        <v>518.50188000000003</v>
      </c>
      <c r="G315" s="39">
        <v>0</v>
      </c>
      <c r="H315" s="39">
        <f t="shared" si="55"/>
        <v>777.75282000000004</v>
      </c>
      <c r="I315" s="33"/>
      <c r="L315" s="154"/>
      <c r="M315" s="154"/>
      <c r="N315" s="33"/>
      <c r="T315" s="18"/>
    </row>
    <row r="316" spans="1:20" s="34" customFormat="1" x14ac:dyDescent="0.3">
      <c r="A316" s="156" t="s">
        <v>441</v>
      </c>
      <c r="B316" s="157"/>
      <c r="C316" s="157"/>
      <c r="D316" s="157"/>
      <c r="E316" s="157"/>
      <c r="F316" s="157"/>
      <c r="G316" s="157"/>
      <c r="H316" s="158"/>
      <c r="J316" s="33"/>
      <c r="T316" s="32"/>
    </row>
    <row r="317" spans="1:20" s="34" customFormat="1" ht="15.75" customHeight="1" x14ac:dyDescent="0.3">
      <c r="A317" s="152">
        <v>1</v>
      </c>
      <c r="B317" s="153"/>
      <c r="C317" s="39" t="s">
        <v>421</v>
      </c>
      <c r="D317" s="39">
        <f>(28.37)*10.764</f>
        <v>305.37468000000001</v>
      </c>
      <c r="E317" s="39">
        <v>0</v>
      </c>
      <c r="F317" s="39">
        <f>D317+(IF(E317&lt;201,E317,IF(E317&lt;301,E317/2,E317/3)))</f>
        <v>305.37468000000001</v>
      </c>
      <c r="G317" s="39">
        <v>0</v>
      </c>
      <c r="H317" s="39">
        <f>(F317+(IF(G317&lt;101,G317,IF(G317&lt;201,G317/2,IF(G317&lt;=301,G317/3,G317/4)))))*(($H$135)+1)</f>
        <v>458.06202000000002</v>
      </c>
      <c r="I317" s="33"/>
      <c r="L317" s="154"/>
      <c r="M317" s="154"/>
      <c r="N317" s="33"/>
      <c r="T317" s="18"/>
    </row>
    <row r="318" spans="1:20" s="34" customFormat="1" ht="15.75" customHeight="1" x14ac:dyDescent="0.3">
      <c r="A318" s="152">
        <f>A317+1</f>
        <v>2</v>
      </c>
      <c r="B318" s="153"/>
      <c r="C318" s="39" t="s">
        <v>421</v>
      </c>
      <c r="D318" s="39">
        <f>(23.04)*10.764</f>
        <v>248.00255999999999</v>
      </c>
      <c r="E318" s="39">
        <v>0</v>
      </c>
      <c r="F318" s="39">
        <f>D318+(IF(E318&lt;201,E318,IF(E318&lt;301,E318/2,E318/3)))</f>
        <v>248.00255999999999</v>
      </c>
      <c r="G318" s="39">
        <v>0</v>
      </c>
      <c r="H318" s="39">
        <f>(F318+(IF(G318&lt;101,G318,IF(G318&lt;201,G318/2,IF(G318&lt;=301,G318/3,G318/4)))))*(($H$135)+1)</f>
        <v>372.00383999999997</v>
      </c>
      <c r="I318" s="33"/>
      <c r="L318" s="154"/>
      <c r="M318" s="154"/>
      <c r="N318" s="33"/>
      <c r="T318" s="18"/>
    </row>
    <row r="319" spans="1:20" s="34" customFormat="1" ht="15.75" customHeight="1" x14ac:dyDescent="0.3">
      <c r="A319" s="152">
        <f>A318+1</f>
        <v>3</v>
      </c>
      <c r="B319" s="153"/>
      <c r="C319" s="39" t="s">
        <v>421</v>
      </c>
      <c r="D319" s="39">
        <f>(20.42)*10.764</f>
        <v>219.80088000000001</v>
      </c>
      <c r="E319" s="39">
        <v>0</v>
      </c>
      <c r="F319" s="39">
        <f>D319+(IF(E319&lt;201,E319,IF(E319&lt;301,E319/2,E319/3)))</f>
        <v>219.80088000000001</v>
      </c>
      <c r="G319" s="39">
        <v>0</v>
      </c>
      <c r="H319" s="39">
        <f>(F319+(IF(G319&lt;101,G319,IF(G319&lt;201,G319/2,IF(G319&lt;=301,G319/3,G319/4)))))*(($H$135)+1)</f>
        <v>329.70132000000001</v>
      </c>
      <c r="I319" s="33"/>
      <c r="L319" s="154"/>
      <c r="M319" s="154"/>
      <c r="N319" s="33"/>
      <c r="T319" s="18"/>
    </row>
    <row r="320" spans="1:20" s="34" customFormat="1" ht="15.75" customHeight="1" x14ac:dyDescent="0.3">
      <c r="A320" s="152">
        <f t="shared" ref="A320:A326" si="56">A319+1</f>
        <v>4</v>
      </c>
      <c r="B320" s="153"/>
      <c r="C320" s="39" t="s">
        <v>421</v>
      </c>
      <c r="D320" s="39">
        <f>(27.51)*10.764</f>
        <v>296.11763999999999</v>
      </c>
      <c r="E320" s="39">
        <v>0</v>
      </c>
      <c r="F320" s="39">
        <f t="shared" ref="F320:F326" si="57">D320+(IF(E320&lt;201,E320,IF(E320&lt;301,E320/2,E320/3)))</f>
        <v>296.11763999999999</v>
      </c>
      <c r="G320" s="39">
        <v>0</v>
      </c>
      <c r="H320" s="39">
        <f t="shared" ref="H320:H326" si="58">(F320+(IF(G320&lt;101,G320,IF(G320&lt;201,G320/2,IF(G320&lt;=301,G320/3,G320/4)))))*(($H$135)+1)</f>
        <v>444.17646000000002</v>
      </c>
      <c r="I320" s="33"/>
      <c r="L320" s="154"/>
      <c r="M320" s="154"/>
      <c r="N320" s="33"/>
      <c r="T320" s="18"/>
    </row>
    <row r="321" spans="1:20" s="34" customFormat="1" ht="15.75" customHeight="1" x14ac:dyDescent="0.3">
      <c r="A321" s="152">
        <f t="shared" si="56"/>
        <v>5</v>
      </c>
      <c r="B321" s="153"/>
      <c r="C321" s="39" t="s">
        <v>421</v>
      </c>
      <c r="D321" s="39">
        <f>(24.71)*10.764</f>
        <v>265.97843999999998</v>
      </c>
      <c r="E321" s="39">
        <v>0</v>
      </c>
      <c r="F321" s="39">
        <f t="shared" si="57"/>
        <v>265.97843999999998</v>
      </c>
      <c r="G321" s="39">
        <v>0</v>
      </c>
      <c r="H321" s="39">
        <f t="shared" si="58"/>
        <v>398.96765999999997</v>
      </c>
      <c r="I321" s="33"/>
      <c r="L321" s="154"/>
      <c r="M321" s="154"/>
      <c r="N321" s="33"/>
      <c r="T321" s="18"/>
    </row>
    <row r="322" spans="1:20" s="34" customFormat="1" ht="15.75" customHeight="1" x14ac:dyDescent="0.3">
      <c r="A322" s="152">
        <f t="shared" si="56"/>
        <v>6</v>
      </c>
      <c r="B322" s="153"/>
      <c r="C322" s="39" t="s">
        <v>421</v>
      </c>
      <c r="D322" s="39">
        <f>(53.59)*10.764</f>
        <v>576.84276</v>
      </c>
      <c r="E322" s="39">
        <v>0</v>
      </c>
      <c r="F322" s="39">
        <f t="shared" si="57"/>
        <v>576.84276</v>
      </c>
      <c r="G322" s="39">
        <v>0</v>
      </c>
      <c r="H322" s="39">
        <f t="shared" si="58"/>
        <v>865.26414</v>
      </c>
      <c r="I322" s="33"/>
      <c r="L322" s="154"/>
      <c r="M322" s="154"/>
      <c r="N322" s="33"/>
      <c r="T322" s="18"/>
    </row>
    <row r="323" spans="1:20" s="34" customFormat="1" ht="15.75" customHeight="1" x14ac:dyDescent="0.3">
      <c r="A323" s="152">
        <f t="shared" si="56"/>
        <v>7</v>
      </c>
      <c r="B323" s="153"/>
      <c r="C323" s="39" t="s">
        <v>421</v>
      </c>
      <c r="D323" s="39">
        <f>(45)*10.764</f>
        <v>484.38</v>
      </c>
      <c r="E323" s="39">
        <v>0</v>
      </c>
      <c r="F323" s="39">
        <f t="shared" si="57"/>
        <v>484.38</v>
      </c>
      <c r="G323" s="39">
        <v>0</v>
      </c>
      <c r="H323" s="39">
        <f t="shared" si="58"/>
        <v>726.56999999999994</v>
      </c>
      <c r="I323" s="33"/>
      <c r="L323" s="154"/>
      <c r="M323" s="154"/>
      <c r="N323" s="33"/>
      <c r="T323" s="18"/>
    </row>
    <row r="324" spans="1:20" s="34" customFormat="1" ht="15.75" customHeight="1" x14ac:dyDescent="0.3">
      <c r="A324" s="152">
        <f t="shared" si="56"/>
        <v>8</v>
      </c>
      <c r="B324" s="153"/>
      <c r="C324" s="39" t="s">
        <v>421</v>
      </c>
      <c r="D324" s="39">
        <f>(50.6)*10.764</f>
        <v>544.65840000000003</v>
      </c>
      <c r="E324" s="39">
        <v>0</v>
      </c>
      <c r="F324" s="39">
        <f t="shared" si="57"/>
        <v>544.65840000000003</v>
      </c>
      <c r="G324" s="39">
        <v>0</v>
      </c>
      <c r="H324" s="39">
        <f t="shared" si="58"/>
        <v>816.98760000000004</v>
      </c>
      <c r="I324" s="33"/>
      <c r="L324" s="154"/>
      <c r="M324" s="154"/>
      <c r="N324" s="33"/>
      <c r="T324" s="18"/>
    </row>
    <row r="325" spans="1:20" s="34" customFormat="1" ht="15.75" customHeight="1" x14ac:dyDescent="0.3">
      <c r="A325" s="152">
        <f t="shared" si="56"/>
        <v>9</v>
      </c>
      <c r="B325" s="153"/>
      <c r="C325" s="39" t="s">
        <v>421</v>
      </c>
      <c r="D325" s="39">
        <f>(33)*10.764</f>
        <v>355.21199999999999</v>
      </c>
      <c r="E325" s="39">
        <v>0</v>
      </c>
      <c r="F325" s="39">
        <f t="shared" si="57"/>
        <v>355.21199999999999</v>
      </c>
      <c r="G325" s="39">
        <v>0</v>
      </c>
      <c r="H325" s="39">
        <f t="shared" si="58"/>
        <v>532.81799999999998</v>
      </c>
      <c r="I325" s="33"/>
      <c r="L325" s="154"/>
      <c r="M325" s="154"/>
      <c r="N325" s="33"/>
      <c r="T325" s="18"/>
    </row>
    <row r="326" spans="1:20" s="34" customFormat="1" ht="15.75" customHeight="1" x14ac:dyDescent="0.3">
      <c r="A326" s="152">
        <f t="shared" si="56"/>
        <v>10</v>
      </c>
      <c r="B326" s="153"/>
      <c r="C326" s="39" t="s">
        <v>421</v>
      </c>
      <c r="D326" s="39">
        <f>(31.81)*10.764</f>
        <v>342.40283999999997</v>
      </c>
      <c r="E326" s="39">
        <v>0</v>
      </c>
      <c r="F326" s="39">
        <f t="shared" si="57"/>
        <v>342.40283999999997</v>
      </c>
      <c r="G326" s="39">
        <v>0</v>
      </c>
      <c r="H326" s="39">
        <f t="shared" si="58"/>
        <v>513.60425999999995</v>
      </c>
      <c r="I326" s="33"/>
      <c r="L326" s="154"/>
      <c r="M326" s="154"/>
      <c r="N326" s="33"/>
      <c r="T326" s="18"/>
    </row>
    <row r="327" spans="1:20" s="34" customFormat="1" x14ac:dyDescent="0.3">
      <c r="A327" s="156" t="s">
        <v>442</v>
      </c>
      <c r="B327" s="157"/>
      <c r="C327" s="157"/>
      <c r="D327" s="157"/>
      <c r="E327" s="157"/>
      <c r="F327" s="157"/>
      <c r="G327" s="157"/>
      <c r="H327" s="158"/>
      <c r="J327" s="33"/>
      <c r="T327" s="32"/>
    </row>
    <row r="328" spans="1:20" s="34" customFormat="1" ht="15.75" customHeight="1" x14ac:dyDescent="0.3">
      <c r="A328" s="152">
        <v>1</v>
      </c>
      <c r="B328" s="153"/>
      <c r="C328" s="39" t="s">
        <v>421</v>
      </c>
      <c r="D328" s="39">
        <f>(28.37)*10.764</f>
        <v>305.37468000000001</v>
      </c>
      <c r="E328" s="39">
        <v>0</v>
      </c>
      <c r="F328" s="39">
        <f>D328+(IF(E328&lt;201,E328,IF(E328&lt;301,E328/2,E328/3)))</f>
        <v>305.37468000000001</v>
      </c>
      <c r="G328" s="39">
        <v>0</v>
      </c>
      <c r="H328" s="39">
        <f>(F328+(IF(G328&lt;101,G328,IF(G328&lt;201,G328/2,IF(G328&lt;=301,G328/3,G328/4)))))*(($H$135)+1)</f>
        <v>458.06202000000002</v>
      </c>
      <c r="I328" s="33"/>
      <c r="L328" s="154"/>
      <c r="M328" s="154"/>
      <c r="N328" s="33"/>
      <c r="T328" s="18"/>
    </row>
    <row r="329" spans="1:20" s="34" customFormat="1" ht="15.75" customHeight="1" x14ac:dyDescent="0.3">
      <c r="A329" s="152">
        <f>A328+1</f>
        <v>2</v>
      </c>
      <c r="B329" s="153"/>
      <c r="C329" s="39" t="s">
        <v>421</v>
      </c>
      <c r="D329" s="39">
        <f>(23.04)*10.764</f>
        <v>248.00255999999999</v>
      </c>
      <c r="E329" s="39">
        <v>0</v>
      </c>
      <c r="F329" s="39">
        <f>D329+(IF(E329&lt;201,E329,IF(E329&lt;301,E329/2,E329/3)))</f>
        <v>248.00255999999999</v>
      </c>
      <c r="G329" s="39">
        <v>0</v>
      </c>
      <c r="H329" s="39">
        <f>(F329+(IF(G329&lt;101,G329,IF(G329&lt;201,G329/2,IF(G329&lt;=301,G329/3,G329/4)))))*(($H$135)+1)</f>
        <v>372.00383999999997</v>
      </c>
      <c r="I329" s="33"/>
      <c r="L329" s="154"/>
      <c r="M329" s="154"/>
      <c r="N329" s="33"/>
      <c r="T329" s="18"/>
    </row>
    <row r="330" spans="1:20" s="34" customFormat="1" ht="15.75" customHeight="1" x14ac:dyDescent="0.3">
      <c r="A330" s="152">
        <f>A329+1</f>
        <v>3</v>
      </c>
      <c r="B330" s="153"/>
      <c r="C330" s="39" t="s">
        <v>421</v>
      </c>
      <c r="D330" s="39">
        <f>(20.42)*10.764</f>
        <v>219.80088000000001</v>
      </c>
      <c r="E330" s="39">
        <v>0</v>
      </c>
      <c r="F330" s="39">
        <f>D330+(IF(E330&lt;201,E330,IF(E330&lt;301,E330/2,E330/3)))</f>
        <v>219.80088000000001</v>
      </c>
      <c r="G330" s="39">
        <v>0</v>
      </c>
      <c r="H330" s="39">
        <f>(F330+(IF(G330&lt;101,G330,IF(G330&lt;201,G330/2,IF(G330&lt;=301,G330/3,G330/4)))))*(($H$135)+1)</f>
        <v>329.70132000000001</v>
      </c>
      <c r="I330" s="33"/>
      <c r="L330" s="154"/>
      <c r="M330" s="154"/>
      <c r="N330" s="33"/>
      <c r="T330" s="18"/>
    </row>
    <row r="331" spans="1:20" s="34" customFormat="1" ht="15.75" customHeight="1" x14ac:dyDescent="0.3">
      <c r="A331" s="152">
        <f t="shared" ref="A331:A337" si="59">A330+1</f>
        <v>4</v>
      </c>
      <c r="B331" s="153"/>
      <c r="C331" s="39" t="s">
        <v>421</v>
      </c>
      <c r="D331" s="39">
        <f>(27.51)*10.764</f>
        <v>296.11763999999999</v>
      </c>
      <c r="E331" s="39">
        <v>0</v>
      </c>
      <c r="F331" s="39">
        <f t="shared" ref="F331:F337" si="60">D331+(IF(E331&lt;201,E331,IF(E331&lt;301,E331/2,E331/3)))</f>
        <v>296.11763999999999</v>
      </c>
      <c r="G331" s="39">
        <v>0</v>
      </c>
      <c r="H331" s="39">
        <f t="shared" ref="H331:H337" si="61">(F331+(IF(G331&lt;101,G331,IF(G331&lt;201,G331/2,IF(G331&lt;=301,G331/3,G331/4)))))*(($H$135)+1)</f>
        <v>444.17646000000002</v>
      </c>
      <c r="I331" s="33"/>
      <c r="L331" s="154"/>
      <c r="M331" s="154"/>
      <c r="N331" s="33"/>
      <c r="T331" s="18"/>
    </row>
    <row r="332" spans="1:20" s="34" customFormat="1" ht="15.75" customHeight="1" x14ac:dyDescent="0.3">
      <c r="A332" s="152">
        <f t="shared" si="59"/>
        <v>5</v>
      </c>
      <c r="B332" s="153"/>
      <c r="C332" s="39" t="s">
        <v>421</v>
      </c>
      <c r="D332" s="39">
        <f>(24.71)*10.764</f>
        <v>265.97843999999998</v>
      </c>
      <c r="E332" s="39">
        <v>0</v>
      </c>
      <c r="F332" s="39">
        <f t="shared" si="60"/>
        <v>265.97843999999998</v>
      </c>
      <c r="G332" s="39">
        <v>0</v>
      </c>
      <c r="H332" s="39">
        <f t="shared" si="61"/>
        <v>398.96765999999997</v>
      </c>
      <c r="I332" s="33"/>
      <c r="L332" s="154"/>
      <c r="M332" s="154"/>
      <c r="N332" s="33"/>
      <c r="T332" s="18"/>
    </row>
    <row r="333" spans="1:20" s="34" customFormat="1" ht="15.75" customHeight="1" x14ac:dyDescent="0.3">
      <c r="A333" s="152">
        <f t="shared" si="59"/>
        <v>6</v>
      </c>
      <c r="B333" s="153"/>
      <c r="C333" s="39" t="s">
        <v>421</v>
      </c>
      <c r="D333" s="39">
        <f>(50.22)*10.764</f>
        <v>540.56808000000001</v>
      </c>
      <c r="E333" s="39">
        <v>0</v>
      </c>
      <c r="F333" s="39">
        <f t="shared" si="60"/>
        <v>540.56808000000001</v>
      </c>
      <c r="G333" s="39">
        <v>0</v>
      </c>
      <c r="H333" s="39">
        <f t="shared" si="61"/>
        <v>810.85212000000001</v>
      </c>
      <c r="I333" s="33"/>
      <c r="L333" s="154"/>
      <c r="M333" s="154"/>
      <c r="N333" s="33"/>
      <c r="T333" s="18"/>
    </row>
    <row r="334" spans="1:20" s="34" customFormat="1" ht="15.75" customHeight="1" x14ac:dyDescent="0.3">
      <c r="A334" s="152">
        <f t="shared" si="59"/>
        <v>7</v>
      </c>
      <c r="B334" s="153"/>
      <c r="C334" s="39" t="s">
        <v>421</v>
      </c>
      <c r="D334" s="39">
        <f>(45)*10.764</f>
        <v>484.38</v>
      </c>
      <c r="E334" s="39">
        <v>0</v>
      </c>
      <c r="F334" s="39">
        <f t="shared" si="60"/>
        <v>484.38</v>
      </c>
      <c r="G334" s="39">
        <v>0</v>
      </c>
      <c r="H334" s="39">
        <f t="shared" si="61"/>
        <v>726.56999999999994</v>
      </c>
      <c r="I334" s="33"/>
      <c r="L334" s="154"/>
      <c r="M334" s="154"/>
      <c r="N334" s="33"/>
      <c r="T334" s="18"/>
    </row>
    <row r="335" spans="1:20" s="34" customFormat="1" ht="15.75" customHeight="1" x14ac:dyDescent="0.3">
      <c r="A335" s="152">
        <f t="shared" si="59"/>
        <v>8</v>
      </c>
      <c r="B335" s="153"/>
      <c r="C335" s="39" t="s">
        <v>421</v>
      </c>
      <c r="D335" s="39">
        <f>(50.6)*10.764</f>
        <v>544.65840000000003</v>
      </c>
      <c r="E335" s="39">
        <v>0</v>
      </c>
      <c r="F335" s="39">
        <f t="shared" si="60"/>
        <v>544.65840000000003</v>
      </c>
      <c r="G335" s="39">
        <v>0</v>
      </c>
      <c r="H335" s="39">
        <f t="shared" si="61"/>
        <v>816.98760000000004</v>
      </c>
      <c r="I335" s="33"/>
      <c r="L335" s="154"/>
      <c r="M335" s="154"/>
      <c r="N335" s="33"/>
      <c r="T335" s="18"/>
    </row>
    <row r="336" spans="1:20" s="34" customFormat="1" ht="15.75" customHeight="1" x14ac:dyDescent="0.3">
      <c r="A336" s="152">
        <f t="shared" si="59"/>
        <v>9</v>
      </c>
      <c r="B336" s="153"/>
      <c r="C336" s="39" t="s">
        <v>421</v>
      </c>
      <c r="D336" s="39">
        <f>(33)*10.764</f>
        <v>355.21199999999999</v>
      </c>
      <c r="E336" s="39">
        <v>0</v>
      </c>
      <c r="F336" s="39">
        <f t="shared" si="60"/>
        <v>355.21199999999999</v>
      </c>
      <c r="G336" s="39">
        <v>0</v>
      </c>
      <c r="H336" s="39">
        <f t="shared" si="61"/>
        <v>532.81799999999998</v>
      </c>
      <c r="I336" s="33"/>
      <c r="L336" s="154"/>
      <c r="M336" s="154"/>
      <c r="N336" s="33"/>
      <c r="T336" s="18"/>
    </row>
    <row r="337" spans="1:20" s="34" customFormat="1" ht="15.75" customHeight="1" x14ac:dyDescent="0.3">
      <c r="A337" s="152">
        <f t="shared" si="59"/>
        <v>10</v>
      </c>
      <c r="B337" s="153"/>
      <c r="C337" s="39" t="s">
        <v>421</v>
      </c>
      <c r="D337" s="39">
        <f>(31.81)*10.764</f>
        <v>342.40283999999997</v>
      </c>
      <c r="E337" s="39">
        <v>0</v>
      </c>
      <c r="F337" s="39">
        <f t="shared" si="60"/>
        <v>342.40283999999997</v>
      </c>
      <c r="G337" s="39">
        <v>0</v>
      </c>
      <c r="H337" s="39">
        <f t="shared" si="61"/>
        <v>513.60425999999995</v>
      </c>
      <c r="I337" s="33"/>
      <c r="L337" s="154"/>
      <c r="M337" s="154"/>
      <c r="N337" s="33"/>
      <c r="T337" s="18"/>
    </row>
    <row r="338" spans="1:20" s="34" customFormat="1" x14ac:dyDescent="0.3">
      <c r="A338" s="156" t="s">
        <v>443</v>
      </c>
      <c r="B338" s="157"/>
      <c r="C338" s="157"/>
      <c r="D338" s="157"/>
      <c r="E338" s="157"/>
      <c r="F338" s="157"/>
      <c r="G338" s="157"/>
      <c r="H338" s="158"/>
      <c r="J338" s="33"/>
      <c r="T338" s="32"/>
    </row>
    <row r="339" spans="1:20" s="34" customFormat="1" ht="15.75" customHeight="1" x14ac:dyDescent="0.3">
      <c r="A339" s="152">
        <v>1</v>
      </c>
      <c r="B339" s="153"/>
      <c r="C339" s="39" t="s">
        <v>421</v>
      </c>
      <c r="D339" s="39">
        <f>(28.37)*10.764</f>
        <v>305.37468000000001</v>
      </c>
      <c r="E339" s="39">
        <v>0</v>
      </c>
      <c r="F339" s="39">
        <f>D339+(IF(E339&lt;201,E339,IF(E339&lt;301,E339/2,E339/3)))</f>
        <v>305.37468000000001</v>
      </c>
      <c r="G339" s="39">
        <v>0</v>
      </c>
      <c r="H339" s="39">
        <f>(F339+(IF(G339&lt;101,G339,IF(G339&lt;201,G339/2,IF(G339&lt;=301,G339/3,G339/4)))))*(($H$135)+1)</f>
        <v>458.06202000000002</v>
      </c>
      <c r="I339" s="33"/>
      <c r="L339" s="154"/>
      <c r="M339" s="154"/>
      <c r="N339" s="33"/>
      <c r="T339" s="18"/>
    </row>
    <row r="340" spans="1:20" s="34" customFormat="1" ht="15.75" customHeight="1" x14ac:dyDescent="0.3">
      <c r="A340" s="152">
        <f>A339+1</f>
        <v>2</v>
      </c>
      <c r="B340" s="153"/>
      <c r="C340" s="39" t="s">
        <v>421</v>
      </c>
      <c r="D340" s="39">
        <f>(23.04)*10.764</f>
        <v>248.00255999999999</v>
      </c>
      <c r="E340" s="39">
        <v>0</v>
      </c>
      <c r="F340" s="39">
        <f>D340+(IF(E340&lt;201,E340,IF(E340&lt;301,E340/2,E340/3)))</f>
        <v>248.00255999999999</v>
      </c>
      <c r="G340" s="39">
        <v>0</v>
      </c>
      <c r="H340" s="39">
        <f>(F340+(IF(G340&lt;101,G340,IF(G340&lt;201,G340/2,IF(G340&lt;=301,G340/3,G340/4)))))*(($H$135)+1)</f>
        <v>372.00383999999997</v>
      </c>
      <c r="I340" s="33"/>
      <c r="L340" s="154"/>
      <c r="M340" s="154"/>
      <c r="N340" s="33"/>
      <c r="T340" s="18"/>
    </row>
    <row r="341" spans="1:20" s="34" customFormat="1" ht="15.75" customHeight="1" x14ac:dyDescent="0.3">
      <c r="A341" s="152">
        <f>A340+1</f>
        <v>3</v>
      </c>
      <c r="B341" s="153"/>
      <c r="C341" s="39" t="s">
        <v>421</v>
      </c>
      <c r="D341" s="39">
        <f>(20.42)*10.764</f>
        <v>219.80088000000001</v>
      </c>
      <c r="E341" s="39">
        <v>0</v>
      </c>
      <c r="F341" s="39">
        <f>D341+(IF(E341&lt;201,E341,IF(E341&lt;301,E341/2,E341/3)))</f>
        <v>219.80088000000001</v>
      </c>
      <c r="G341" s="39">
        <v>0</v>
      </c>
      <c r="H341" s="39">
        <f>(F341+(IF(G341&lt;101,G341,IF(G341&lt;201,G341/2,IF(G341&lt;=301,G341/3,G341/4)))))*(($H$135)+1)</f>
        <v>329.70132000000001</v>
      </c>
      <c r="I341" s="33"/>
      <c r="L341" s="154"/>
      <c r="M341" s="154"/>
      <c r="N341" s="33"/>
      <c r="T341" s="18"/>
    </row>
    <row r="342" spans="1:20" s="34" customFormat="1" ht="15.75" customHeight="1" x14ac:dyDescent="0.3">
      <c r="A342" s="152">
        <f t="shared" ref="A342:A348" si="62">A341+1</f>
        <v>4</v>
      </c>
      <c r="B342" s="153"/>
      <c r="C342" s="39" t="s">
        <v>421</v>
      </c>
      <c r="D342" s="39">
        <f>(27.51)*10.764</f>
        <v>296.11763999999999</v>
      </c>
      <c r="E342" s="39">
        <v>0</v>
      </c>
      <c r="F342" s="39">
        <f t="shared" ref="F342:F348" si="63">D342+(IF(E342&lt;201,E342,IF(E342&lt;301,E342/2,E342/3)))</f>
        <v>296.11763999999999</v>
      </c>
      <c r="G342" s="39">
        <v>0</v>
      </c>
      <c r="H342" s="39">
        <f t="shared" ref="H342:H348" si="64">(F342+(IF(G342&lt;101,G342,IF(G342&lt;201,G342/2,IF(G342&lt;=301,G342/3,G342/4)))))*(($H$135)+1)</f>
        <v>444.17646000000002</v>
      </c>
      <c r="I342" s="33"/>
      <c r="L342" s="154"/>
      <c r="M342" s="154"/>
      <c r="N342" s="33"/>
      <c r="T342" s="18"/>
    </row>
    <row r="343" spans="1:20" s="34" customFormat="1" ht="15.75" customHeight="1" x14ac:dyDescent="0.3">
      <c r="A343" s="152">
        <f t="shared" si="62"/>
        <v>5</v>
      </c>
      <c r="B343" s="153"/>
      <c r="C343" s="39" t="s">
        <v>421</v>
      </c>
      <c r="D343" s="39">
        <f>(24.71)*10.764</f>
        <v>265.97843999999998</v>
      </c>
      <c r="E343" s="39">
        <v>0</v>
      </c>
      <c r="F343" s="39">
        <f t="shared" si="63"/>
        <v>265.97843999999998</v>
      </c>
      <c r="G343" s="39">
        <v>0</v>
      </c>
      <c r="H343" s="39">
        <f t="shared" si="64"/>
        <v>398.96765999999997</v>
      </c>
      <c r="I343" s="33"/>
      <c r="L343" s="154"/>
      <c r="M343" s="154"/>
      <c r="N343" s="33"/>
      <c r="T343" s="18"/>
    </row>
    <row r="344" spans="1:20" s="34" customFormat="1" ht="15.75" customHeight="1" x14ac:dyDescent="0.3">
      <c r="A344" s="152">
        <f t="shared" si="62"/>
        <v>6</v>
      </c>
      <c r="B344" s="153"/>
      <c r="C344" s="39" t="s">
        <v>421</v>
      </c>
      <c r="D344" s="39">
        <f>(46.79)*10.764</f>
        <v>503.64755999999994</v>
      </c>
      <c r="E344" s="39">
        <v>0</v>
      </c>
      <c r="F344" s="39">
        <f t="shared" si="63"/>
        <v>503.64755999999994</v>
      </c>
      <c r="G344" s="39">
        <v>0</v>
      </c>
      <c r="H344" s="39">
        <f t="shared" si="64"/>
        <v>755.47133999999994</v>
      </c>
      <c r="I344" s="33"/>
      <c r="L344" s="154"/>
      <c r="M344" s="154"/>
      <c r="N344" s="33"/>
      <c r="T344" s="18"/>
    </row>
    <row r="345" spans="1:20" s="34" customFormat="1" ht="15.75" customHeight="1" x14ac:dyDescent="0.3">
      <c r="A345" s="152">
        <f t="shared" si="62"/>
        <v>7</v>
      </c>
      <c r="B345" s="153"/>
      <c r="C345" s="39" t="s">
        <v>421</v>
      </c>
      <c r="D345" s="39">
        <f>(45)*10.764</f>
        <v>484.38</v>
      </c>
      <c r="E345" s="39">
        <v>0</v>
      </c>
      <c r="F345" s="39">
        <f t="shared" si="63"/>
        <v>484.38</v>
      </c>
      <c r="G345" s="39">
        <v>0</v>
      </c>
      <c r="H345" s="39">
        <f t="shared" si="64"/>
        <v>726.56999999999994</v>
      </c>
      <c r="I345" s="33"/>
      <c r="L345" s="154"/>
      <c r="M345" s="154"/>
      <c r="N345" s="33"/>
      <c r="T345" s="18"/>
    </row>
    <row r="346" spans="1:20" s="34" customFormat="1" ht="15.75" customHeight="1" x14ac:dyDescent="0.3">
      <c r="A346" s="152">
        <f t="shared" si="62"/>
        <v>8</v>
      </c>
      <c r="B346" s="153"/>
      <c r="C346" s="39" t="s">
        <v>421</v>
      </c>
      <c r="D346" s="39">
        <f>(50.6)*10.764</f>
        <v>544.65840000000003</v>
      </c>
      <c r="E346" s="39">
        <v>0</v>
      </c>
      <c r="F346" s="39">
        <f t="shared" si="63"/>
        <v>544.65840000000003</v>
      </c>
      <c r="G346" s="39">
        <v>0</v>
      </c>
      <c r="H346" s="39">
        <f t="shared" si="64"/>
        <v>816.98760000000004</v>
      </c>
      <c r="I346" s="33"/>
      <c r="L346" s="154"/>
      <c r="M346" s="154"/>
      <c r="N346" s="33"/>
      <c r="T346" s="18"/>
    </row>
    <row r="347" spans="1:20" s="34" customFormat="1" ht="15.75" customHeight="1" x14ac:dyDescent="0.3">
      <c r="A347" s="152">
        <f t="shared" si="62"/>
        <v>9</v>
      </c>
      <c r="B347" s="153"/>
      <c r="C347" s="39" t="s">
        <v>421</v>
      </c>
      <c r="D347" s="39">
        <f>(33)*10.764</f>
        <v>355.21199999999999</v>
      </c>
      <c r="E347" s="39">
        <v>0</v>
      </c>
      <c r="F347" s="39">
        <f t="shared" si="63"/>
        <v>355.21199999999999</v>
      </c>
      <c r="G347" s="39">
        <v>0</v>
      </c>
      <c r="H347" s="39">
        <f t="shared" si="64"/>
        <v>532.81799999999998</v>
      </c>
      <c r="I347" s="33"/>
      <c r="L347" s="154"/>
      <c r="M347" s="154"/>
      <c r="N347" s="33"/>
      <c r="T347" s="18"/>
    </row>
    <row r="348" spans="1:20" s="34" customFormat="1" ht="15.75" customHeight="1" x14ac:dyDescent="0.3">
      <c r="A348" s="152">
        <f t="shared" si="62"/>
        <v>10</v>
      </c>
      <c r="B348" s="153"/>
      <c r="C348" s="39" t="s">
        <v>421</v>
      </c>
      <c r="D348" s="39">
        <f>(31.81)*10.764</f>
        <v>342.40283999999997</v>
      </c>
      <c r="E348" s="39">
        <v>0</v>
      </c>
      <c r="F348" s="39">
        <f t="shared" si="63"/>
        <v>342.40283999999997</v>
      </c>
      <c r="G348" s="39">
        <v>0</v>
      </c>
      <c r="H348" s="39">
        <f t="shared" si="64"/>
        <v>513.60425999999995</v>
      </c>
      <c r="I348" s="33"/>
      <c r="L348" s="154"/>
      <c r="M348" s="154"/>
      <c r="N348" s="33"/>
      <c r="T348" s="18"/>
    </row>
    <row r="349" spans="1:20" s="34" customFormat="1" x14ac:dyDescent="0.3">
      <c r="A349" s="156" t="s">
        <v>444</v>
      </c>
      <c r="B349" s="157"/>
      <c r="C349" s="157"/>
      <c r="D349" s="157"/>
      <c r="E349" s="157"/>
      <c r="F349" s="157"/>
      <c r="G349" s="157"/>
      <c r="H349" s="158"/>
      <c r="J349" s="33"/>
      <c r="T349" s="32"/>
    </row>
    <row r="350" spans="1:20" s="34" customFormat="1" ht="15.75" customHeight="1" x14ac:dyDescent="0.3">
      <c r="A350" s="152">
        <v>1</v>
      </c>
      <c r="B350" s="153"/>
      <c r="C350" s="39" t="s">
        <v>421</v>
      </c>
      <c r="D350" s="39">
        <f>(28.37)*10.764</f>
        <v>305.37468000000001</v>
      </c>
      <c r="E350" s="39">
        <v>0</v>
      </c>
      <c r="F350" s="39">
        <f>D350+(IF(E350&lt;201,E350,IF(E350&lt;301,E350/2,E350/3)))</f>
        <v>305.37468000000001</v>
      </c>
      <c r="G350" s="39">
        <v>0</v>
      </c>
      <c r="H350" s="39">
        <f>(F350+(IF(G350&lt;101,G350,IF(G350&lt;201,G350/2,IF(G350&lt;=301,G350/3,G350/4)))))*(($H$135)+1)</f>
        <v>458.06202000000002</v>
      </c>
      <c r="I350" s="33"/>
      <c r="L350" s="154"/>
      <c r="M350" s="154"/>
      <c r="N350" s="33"/>
      <c r="T350" s="18"/>
    </row>
    <row r="351" spans="1:20" s="34" customFormat="1" ht="15.75" customHeight="1" x14ac:dyDescent="0.3">
      <c r="A351" s="152">
        <f>A350+1</f>
        <v>2</v>
      </c>
      <c r="B351" s="153"/>
      <c r="C351" s="39" t="s">
        <v>421</v>
      </c>
      <c r="D351" s="39">
        <f>(23.04)*10.764</f>
        <v>248.00255999999999</v>
      </c>
      <c r="E351" s="39">
        <v>0</v>
      </c>
      <c r="F351" s="39">
        <f>D351+(IF(E351&lt;201,E351,IF(E351&lt;301,E351/2,E351/3)))</f>
        <v>248.00255999999999</v>
      </c>
      <c r="G351" s="39">
        <v>0</v>
      </c>
      <c r="H351" s="39">
        <f>(F351+(IF(G351&lt;101,G351,IF(G351&lt;201,G351/2,IF(G351&lt;=301,G351/3,G351/4)))))*(($H$135)+1)</f>
        <v>372.00383999999997</v>
      </c>
      <c r="I351" s="33"/>
      <c r="L351" s="154"/>
      <c r="M351" s="154"/>
      <c r="N351" s="33"/>
      <c r="T351" s="18"/>
    </row>
    <row r="352" spans="1:20" s="34" customFormat="1" ht="15.75" customHeight="1" x14ac:dyDescent="0.3">
      <c r="A352" s="152">
        <f>A351+1</f>
        <v>3</v>
      </c>
      <c r="B352" s="153"/>
      <c r="C352" s="39" t="s">
        <v>421</v>
      </c>
      <c r="D352" s="39">
        <f>(20.42)*10.764</f>
        <v>219.80088000000001</v>
      </c>
      <c r="E352" s="39">
        <v>0</v>
      </c>
      <c r="F352" s="39">
        <f>D352+(IF(E352&lt;201,E352,IF(E352&lt;301,E352/2,E352/3)))</f>
        <v>219.80088000000001</v>
      </c>
      <c r="G352" s="39">
        <v>0</v>
      </c>
      <c r="H352" s="39">
        <f>(F352+(IF(G352&lt;101,G352,IF(G352&lt;201,G352/2,IF(G352&lt;=301,G352/3,G352/4)))))*(($H$135)+1)</f>
        <v>329.70132000000001</v>
      </c>
      <c r="I352" s="33"/>
      <c r="L352" s="154"/>
      <c r="M352" s="154"/>
      <c r="N352" s="33"/>
      <c r="T352" s="18"/>
    </row>
    <row r="353" spans="1:20" s="34" customFormat="1" ht="15.75" customHeight="1" x14ac:dyDescent="0.3">
      <c r="A353" s="152">
        <f t="shared" ref="A353:A359" si="65">A352+1</f>
        <v>4</v>
      </c>
      <c r="B353" s="153"/>
      <c r="C353" s="39" t="s">
        <v>421</v>
      </c>
      <c r="D353" s="39">
        <f>(27.51)*10.764</f>
        <v>296.11763999999999</v>
      </c>
      <c r="E353" s="39">
        <v>0</v>
      </c>
      <c r="F353" s="39">
        <f t="shared" ref="F353:F359" si="66">D353+(IF(E353&lt;201,E353,IF(E353&lt;301,E353/2,E353/3)))</f>
        <v>296.11763999999999</v>
      </c>
      <c r="G353" s="39">
        <v>0</v>
      </c>
      <c r="H353" s="39">
        <f t="shared" ref="H353:H359" si="67">(F353+(IF(G353&lt;101,G353,IF(G353&lt;201,G353/2,IF(G353&lt;=301,G353/3,G353/4)))))*(($H$135)+1)</f>
        <v>444.17646000000002</v>
      </c>
      <c r="I353" s="33"/>
      <c r="L353" s="154"/>
      <c r="M353" s="154"/>
      <c r="N353" s="33"/>
      <c r="T353" s="18"/>
    </row>
    <row r="354" spans="1:20" s="34" customFormat="1" ht="15.75" customHeight="1" x14ac:dyDescent="0.3">
      <c r="A354" s="152">
        <f t="shared" si="65"/>
        <v>5</v>
      </c>
      <c r="B354" s="153"/>
      <c r="C354" s="39" t="s">
        <v>421</v>
      </c>
      <c r="D354" s="39">
        <f>(28.41)*10.764</f>
        <v>305.80523999999997</v>
      </c>
      <c r="E354" s="39">
        <v>0</v>
      </c>
      <c r="F354" s="39">
        <f t="shared" si="66"/>
        <v>305.80523999999997</v>
      </c>
      <c r="G354" s="39">
        <v>0</v>
      </c>
      <c r="H354" s="39">
        <f t="shared" si="67"/>
        <v>458.70785999999998</v>
      </c>
      <c r="I354" s="33"/>
      <c r="L354" s="154"/>
      <c r="M354" s="154"/>
      <c r="N354" s="33"/>
      <c r="T354" s="18"/>
    </row>
    <row r="355" spans="1:20" s="34" customFormat="1" ht="15.75" customHeight="1" x14ac:dyDescent="0.3">
      <c r="A355" s="152">
        <f t="shared" si="65"/>
        <v>6</v>
      </c>
      <c r="B355" s="153"/>
      <c r="C355" s="152" t="s">
        <v>428</v>
      </c>
      <c r="D355" s="254"/>
      <c r="E355" s="254"/>
      <c r="F355" s="254"/>
      <c r="G355" s="254"/>
      <c r="H355" s="153"/>
      <c r="I355" s="33"/>
      <c r="L355" s="154"/>
      <c r="M355" s="154"/>
      <c r="N355" s="33"/>
      <c r="T355" s="18"/>
    </row>
    <row r="356" spans="1:20" s="34" customFormat="1" ht="15.75" customHeight="1" x14ac:dyDescent="0.3">
      <c r="A356" s="152">
        <f t="shared" si="65"/>
        <v>7</v>
      </c>
      <c r="B356" s="153"/>
      <c r="C356" s="39" t="s">
        <v>421</v>
      </c>
      <c r="D356" s="39">
        <f>(45)*10.764</f>
        <v>484.38</v>
      </c>
      <c r="E356" s="39">
        <v>0</v>
      </c>
      <c r="F356" s="39">
        <f t="shared" si="66"/>
        <v>484.38</v>
      </c>
      <c r="G356" s="39">
        <v>0</v>
      </c>
      <c r="H356" s="39">
        <f t="shared" si="67"/>
        <v>726.56999999999994</v>
      </c>
      <c r="I356" s="33"/>
      <c r="L356" s="154"/>
      <c r="M356" s="154"/>
      <c r="N356" s="33"/>
      <c r="T356" s="18"/>
    </row>
    <row r="357" spans="1:20" s="34" customFormat="1" ht="15.75" customHeight="1" x14ac:dyDescent="0.3">
      <c r="A357" s="152">
        <f t="shared" si="65"/>
        <v>8</v>
      </c>
      <c r="B357" s="153"/>
      <c r="C357" s="39" t="s">
        <v>421</v>
      </c>
      <c r="D357" s="39">
        <f>(50.6)*10.764</f>
        <v>544.65840000000003</v>
      </c>
      <c r="E357" s="39">
        <v>0</v>
      </c>
      <c r="F357" s="39">
        <f t="shared" si="66"/>
        <v>544.65840000000003</v>
      </c>
      <c r="G357" s="39">
        <v>0</v>
      </c>
      <c r="H357" s="39">
        <f t="shared" si="67"/>
        <v>816.98760000000004</v>
      </c>
      <c r="I357" s="33"/>
      <c r="L357" s="154"/>
      <c r="M357" s="154"/>
      <c r="N357" s="33"/>
      <c r="T357" s="18"/>
    </row>
    <row r="358" spans="1:20" s="34" customFormat="1" ht="15.75" customHeight="1" x14ac:dyDescent="0.3">
      <c r="A358" s="152">
        <f t="shared" si="65"/>
        <v>9</v>
      </c>
      <c r="B358" s="153"/>
      <c r="C358" s="39" t="s">
        <v>421</v>
      </c>
      <c r="D358" s="39">
        <f>(33)*10.764</f>
        <v>355.21199999999999</v>
      </c>
      <c r="E358" s="39">
        <v>0</v>
      </c>
      <c r="F358" s="39">
        <f t="shared" si="66"/>
        <v>355.21199999999999</v>
      </c>
      <c r="G358" s="39">
        <v>0</v>
      </c>
      <c r="H358" s="39">
        <f t="shared" si="67"/>
        <v>532.81799999999998</v>
      </c>
      <c r="I358" s="33"/>
      <c r="L358" s="154"/>
      <c r="M358" s="154"/>
      <c r="N358" s="33"/>
      <c r="T358" s="18"/>
    </row>
    <row r="359" spans="1:20" s="34" customFormat="1" ht="15.75" customHeight="1" x14ac:dyDescent="0.3">
      <c r="A359" s="152">
        <f t="shared" si="65"/>
        <v>10</v>
      </c>
      <c r="B359" s="153"/>
      <c r="C359" s="39" t="s">
        <v>421</v>
      </c>
      <c r="D359" s="39">
        <f>(31.81)*10.764</f>
        <v>342.40283999999997</v>
      </c>
      <c r="E359" s="39">
        <v>0</v>
      </c>
      <c r="F359" s="39">
        <f t="shared" si="66"/>
        <v>342.40283999999997</v>
      </c>
      <c r="G359" s="39">
        <v>0</v>
      </c>
      <c r="H359" s="39">
        <f t="shared" si="67"/>
        <v>513.60425999999995</v>
      </c>
      <c r="I359" s="33"/>
      <c r="L359" s="154"/>
      <c r="M359" s="154"/>
      <c r="N359" s="33"/>
      <c r="T359" s="18"/>
    </row>
    <row r="360" spans="1:20" s="34" customFormat="1" x14ac:dyDescent="0.3">
      <c r="A360" s="156" t="s">
        <v>445</v>
      </c>
      <c r="B360" s="157"/>
      <c r="C360" s="157"/>
      <c r="D360" s="157"/>
      <c r="E360" s="157"/>
      <c r="F360" s="157"/>
      <c r="G360" s="157"/>
      <c r="H360" s="158"/>
      <c r="J360" s="33"/>
      <c r="T360" s="32"/>
    </row>
    <row r="361" spans="1:20" s="34" customFormat="1" ht="15.75" customHeight="1" x14ac:dyDescent="0.3">
      <c r="A361" s="152">
        <v>1</v>
      </c>
      <c r="B361" s="153"/>
      <c r="C361" s="39" t="s">
        <v>421</v>
      </c>
      <c r="D361" s="39">
        <f>(28.37)*10.764</f>
        <v>305.37468000000001</v>
      </c>
      <c r="E361" s="39">
        <v>0</v>
      </c>
      <c r="F361" s="39">
        <f>D361+(IF(E361&lt;201,E361,IF(E361&lt;301,E361/2,E361/3)))</f>
        <v>305.37468000000001</v>
      </c>
      <c r="G361" s="39">
        <v>0</v>
      </c>
      <c r="H361" s="39">
        <f>(F361+(IF(G361&lt;101,G361,IF(G361&lt;201,G361/2,IF(G361&lt;=301,G361/3,G361/4)))))*(($H$135)+1)</f>
        <v>458.06202000000002</v>
      </c>
      <c r="I361" s="33"/>
      <c r="L361" s="154"/>
      <c r="M361" s="154"/>
      <c r="N361" s="33"/>
      <c r="T361" s="18"/>
    </row>
    <row r="362" spans="1:20" s="34" customFormat="1" ht="15.75" customHeight="1" x14ac:dyDescent="0.3">
      <c r="A362" s="152">
        <f>A361+1</f>
        <v>2</v>
      </c>
      <c r="B362" s="153"/>
      <c r="C362" s="39" t="s">
        <v>421</v>
      </c>
      <c r="D362" s="39">
        <f>(23.04)*10.764</f>
        <v>248.00255999999999</v>
      </c>
      <c r="E362" s="39">
        <v>0</v>
      </c>
      <c r="F362" s="39">
        <f>D362+(IF(E362&lt;201,E362,IF(E362&lt;301,E362/2,E362/3)))</f>
        <v>248.00255999999999</v>
      </c>
      <c r="G362" s="39">
        <v>0</v>
      </c>
      <c r="H362" s="39">
        <f>(F362+(IF(G362&lt;101,G362,IF(G362&lt;201,G362/2,IF(G362&lt;=301,G362/3,G362/4)))))*(($H$135)+1)</f>
        <v>372.00383999999997</v>
      </c>
      <c r="I362" s="33"/>
      <c r="L362" s="154"/>
      <c r="M362" s="154"/>
      <c r="N362" s="33"/>
      <c r="T362" s="18"/>
    </row>
    <row r="363" spans="1:20" s="34" customFormat="1" ht="15.75" customHeight="1" x14ac:dyDescent="0.3">
      <c r="A363" s="152">
        <f>A362+1</f>
        <v>3</v>
      </c>
      <c r="B363" s="153"/>
      <c r="C363" s="256" t="s">
        <v>446</v>
      </c>
      <c r="D363" s="257"/>
      <c r="E363" s="257"/>
      <c r="F363" s="257"/>
      <c r="G363" s="257"/>
      <c r="H363" s="258"/>
      <c r="I363" s="33"/>
      <c r="L363" s="154"/>
      <c r="M363" s="154"/>
      <c r="N363" s="33"/>
      <c r="T363" s="18"/>
    </row>
    <row r="364" spans="1:20" s="34" customFormat="1" ht="15.75" customHeight="1" x14ac:dyDescent="0.3">
      <c r="A364" s="152">
        <f t="shared" ref="A364:A370" si="68">A363+1</f>
        <v>4</v>
      </c>
      <c r="B364" s="153"/>
      <c r="C364" s="259"/>
      <c r="D364" s="260"/>
      <c r="E364" s="260"/>
      <c r="F364" s="260"/>
      <c r="G364" s="260"/>
      <c r="H364" s="261"/>
      <c r="I364" s="33"/>
      <c r="L364" s="154"/>
      <c r="M364" s="154"/>
      <c r="N364" s="33"/>
      <c r="T364" s="18"/>
    </row>
    <row r="365" spans="1:20" s="34" customFormat="1" ht="15.75" customHeight="1" x14ac:dyDescent="0.3">
      <c r="A365" s="152">
        <f t="shared" si="68"/>
        <v>5</v>
      </c>
      <c r="B365" s="153"/>
      <c r="C365" s="259"/>
      <c r="D365" s="260"/>
      <c r="E365" s="260"/>
      <c r="F365" s="260"/>
      <c r="G365" s="260"/>
      <c r="H365" s="261"/>
      <c r="I365" s="33"/>
      <c r="L365" s="154"/>
      <c r="M365" s="154"/>
      <c r="N365" s="33"/>
      <c r="T365" s="18"/>
    </row>
    <row r="366" spans="1:20" s="34" customFormat="1" ht="15.75" customHeight="1" x14ac:dyDescent="0.3">
      <c r="A366" s="152">
        <f t="shared" si="68"/>
        <v>6</v>
      </c>
      <c r="B366" s="153"/>
      <c r="C366" s="259"/>
      <c r="D366" s="260"/>
      <c r="E366" s="260"/>
      <c r="F366" s="260"/>
      <c r="G366" s="260"/>
      <c r="H366" s="261"/>
      <c r="I366" s="33"/>
      <c r="L366" s="154"/>
      <c r="M366" s="154"/>
      <c r="N366" s="33"/>
      <c r="T366" s="18"/>
    </row>
    <row r="367" spans="1:20" s="34" customFormat="1" ht="15.75" customHeight="1" x14ac:dyDescent="0.3">
      <c r="A367" s="152">
        <f t="shared" si="68"/>
        <v>7</v>
      </c>
      <c r="B367" s="153"/>
      <c r="C367" s="259"/>
      <c r="D367" s="260"/>
      <c r="E367" s="260"/>
      <c r="F367" s="260"/>
      <c r="G367" s="260"/>
      <c r="H367" s="261"/>
      <c r="I367" s="33"/>
      <c r="L367" s="154"/>
      <c r="M367" s="154"/>
      <c r="N367" s="33"/>
      <c r="T367" s="18"/>
    </row>
    <row r="368" spans="1:20" s="34" customFormat="1" ht="15.75" customHeight="1" x14ac:dyDescent="0.3">
      <c r="A368" s="152">
        <f t="shared" si="68"/>
        <v>8</v>
      </c>
      <c r="B368" s="153"/>
      <c r="C368" s="259"/>
      <c r="D368" s="260"/>
      <c r="E368" s="260"/>
      <c r="F368" s="260"/>
      <c r="G368" s="260"/>
      <c r="H368" s="261"/>
      <c r="I368" s="33"/>
      <c r="L368" s="154"/>
      <c r="M368" s="154"/>
      <c r="N368" s="33"/>
      <c r="T368" s="18"/>
    </row>
    <row r="369" spans="1:20" s="34" customFormat="1" ht="15.75" customHeight="1" x14ac:dyDescent="0.3">
      <c r="A369" s="152">
        <f t="shared" si="68"/>
        <v>9</v>
      </c>
      <c r="B369" s="153"/>
      <c r="C369" s="259"/>
      <c r="D369" s="260"/>
      <c r="E369" s="260"/>
      <c r="F369" s="260"/>
      <c r="G369" s="260"/>
      <c r="H369" s="261"/>
      <c r="I369" s="33"/>
      <c r="L369" s="154"/>
      <c r="M369" s="154"/>
      <c r="N369" s="33"/>
      <c r="T369" s="18"/>
    </row>
    <row r="370" spans="1:20" s="34" customFormat="1" ht="15.75" customHeight="1" x14ac:dyDescent="0.3">
      <c r="A370" s="152">
        <f t="shared" si="68"/>
        <v>10</v>
      </c>
      <c r="B370" s="153"/>
      <c r="C370" s="262"/>
      <c r="D370" s="263"/>
      <c r="E370" s="263"/>
      <c r="F370" s="263"/>
      <c r="G370" s="263"/>
      <c r="H370" s="264"/>
      <c r="I370" s="33"/>
      <c r="L370" s="154"/>
      <c r="M370" s="154"/>
      <c r="N370" s="33"/>
      <c r="T370" s="18"/>
    </row>
    <row r="371" spans="1:20" s="34" customFormat="1" ht="16.8" hidden="1" customHeight="1" x14ac:dyDescent="0.3">
      <c r="A371" s="152"/>
      <c r="B371" s="254"/>
      <c r="C371" s="254"/>
      <c r="D371" s="254"/>
      <c r="E371" s="254"/>
      <c r="F371" s="254"/>
      <c r="G371" s="254"/>
      <c r="H371" s="153"/>
      <c r="I371" s="33"/>
      <c r="N371" s="33"/>
    </row>
    <row r="372" spans="1:20" ht="47.25" hidden="1" customHeight="1" x14ac:dyDescent="0.3">
      <c r="A372" s="159" t="s">
        <v>117</v>
      </c>
      <c r="B372" s="122" t="s">
        <v>174</v>
      </c>
      <c r="C372" s="161" t="s">
        <v>53</v>
      </c>
      <c r="D372" s="122" t="s">
        <v>375</v>
      </c>
      <c r="E372" s="122" t="s">
        <v>229</v>
      </c>
      <c r="F372" s="161" t="s">
        <v>54</v>
      </c>
      <c r="G372" s="163" t="s">
        <v>55</v>
      </c>
      <c r="H372" s="57" t="s">
        <v>148</v>
      </c>
      <c r="I372" s="33"/>
      <c r="T372" s="34"/>
    </row>
    <row r="373" spans="1:20" s="34" customFormat="1" hidden="1" x14ac:dyDescent="0.3">
      <c r="A373" s="160"/>
      <c r="B373" s="123"/>
      <c r="C373" s="162"/>
      <c r="D373" s="123"/>
      <c r="E373" s="123"/>
      <c r="F373" s="162"/>
      <c r="G373" s="164"/>
      <c r="H373" s="49">
        <v>0.45</v>
      </c>
      <c r="I373" s="33"/>
    </row>
    <row r="374" spans="1:20" s="34" customFormat="1" hidden="1" x14ac:dyDescent="0.3">
      <c r="A374" s="156" t="s">
        <v>115</v>
      </c>
      <c r="B374" s="157"/>
      <c r="C374" s="157"/>
      <c r="D374" s="157"/>
      <c r="E374" s="157"/>
      <c r="F374" s="157"/>
      <c r="G374" s="157"/>
      <c r="H374" s="158"/>
      <c r="J374" s="33"/>
    </row>
    <row r="375" spans="1:20" s="34" customFormat="1" ht="15.75" hidden="1" customHeight="1" x14ac:dyDescent="0.3">
      <c r="A375" s="152">
        <v>1</v>
      </c>
      <c r="B375" s="153"/>
      <c r="C375" s="39"/>
      <c r="D375" s="39"/>
      <c r="E375" s="39">
        <v>0</v>
      </c>
      <c r="F375" s="39">
        <f>D375+E375</f>
        <v>0</v>
      </c>
      <c r="G375" s="39">
        <v>0</v>
      </c>
      <c r="H375" s="39">
        <f>F375*(($H$373)+1)+(IF(G375&lt;101,G375,IF(G375&lt;201,G375/2,IF(G375&lt;=301,G375/3,G375/4))))</f>
        <v>0</v>
      </c>
      <c r="I375" s="33"/>
      <c r="L375" s="154"/>
      <c r="M375" s="154"/>
      <c r="N375" s="33"/>
    </row>
    <row r="376" spans="1:20" s="34" customFormat="1" ht="15.75" hidden="1" customHeight="1" x14ac:dyDescent="0.3">
      <c r="A376" s="152">
        <f>A375+1</f>
        <v>2</v>
      </c>
      <c r="B376" s="153"/>
      <c r="C376" s="39"/>
      <c r="D376" s="39"/>
      <c r="E376" s="39">
        <v>0</v>
      </c>
      <c r="F376" s="39">
        <f>D376+E376</f>
        <v>0</v>
      </c>
      <c r="G376" s="39">
        <v>0</v>
      </c>
      <c r="H376" s="39">
        <f>F376*(($H$373)+1)+(IF(G376&lt;101,G376,IF(G376&lt;201,G376/2,IF(G376&lt;=301,G376/3,G376/4))))</f>
        <v>0</v>
      </c>
      <c r="I376" s="33"/>
      <c r="L376" s="154"/>
      <c r="M376" s="154"/>
      <c r="N376" s="33"/>
    </row>
    <row r="377" spans="1:20" s="34" customFormat="1" ht="15.75" hidden="1" customHeight="1" x14ac:dyDescent="0.3">
      <c r="A377" s="152">
        <f>A376+1</f>
        <v>3</v>
      </c>
      <c r="B377" s="153"/>
      <c r="C377" s="39"/>
      <c r="D377" s="39"/>
      <c r="E377" s="39">
        <v>0</v>
      </c>
      <c r="F377" s="39">
        <f>D377+E377</f>
        <v>0</v>
      </c>
      <c r="G377" s="39">
        <v>0</v>
      </c>
      <c r="H377" s="39">
        <f>F377*(($H$373)+1)+(IF(G377&lt;101,G377,IF(G377&lt;201,G377/2,IF(G377&lt;=301,G377/3,G377/4))))</f>
        <v>0</v>
      </c>
      <c r="I377" s="33"/>
      <c r="L377" s="154"/>
      <c r="M377" s="154"/>
      <c r="N377" s="33"/>
    </row>
    <row r="378" spans="1:20" s="34" customFormat="1" ht="15.75" hidden="1" customHeight="1" x14ac:dyDescent="0.3">
      <c r="A378" s="152">
        <f>A377+1</f>
        <v>4</v>
      </c>
      <c r="B378" s="153"/>
      <c r="C378" s="39"/>
      <c r="D378" s="39"/>
      <c r="E378" s="39">
        <v>0</v>
      </c>
      <c r="F378" s="39">
        <f>D378+E378</f>
        <v>0</v>
      </c>
      <c r="G378" s="39">
        <v>0</v>
      </c>
      <c r="H378" s="39">
        <f>F378*(($H$373)+1)+(IF(G378&lt;101,G378,IF(G378&lt;201,G378/2,IF(G378&lt;=301,G378/3,G378/4))))</f>
        <v>0</v>
      </c>
      <c r="I378" s="33"/>
      <c r="L378" s="154"/>
      <c r="M378" s="154"/>
      <c r="N378" s="33"/>
      <c r="T378" s="18"/>
    </row>
    <row r="379" spans="1:20" s="34" customFormat="1" hidden="1" x14ac:dyDescent="0.3">
      <c r="A379" s="236" t="s">
        <v>116</v>
      </c>
      <c r="B379" s="236"/>
      <c r="C379" s="236"/>
      <c r="D379" s="236"/>
      <c r="E379" s="236"/>
      <c r="F379" s="236"/>
      <c r="G379" s="236"/>
      <c r="H379" s="236"/>
      <c r="I379" s="33"/>
      <c r="L379" s="154"/>
      <c r="M379" s="154"/>
    </row>
    <row r="380" spans="1:20" s="34" customFormat="1" hidden="1" x14ac:dyDescent="0.3">
      <c r="A380" s="155">
        <f>LEFT(A379,SUM(LEN(A379)-LEN(SUBSTITUTE(A379,{"0","1","2","3","4","5","6","7","8","9"},""))))*100+1</f>
        <v>201</v>
      </c>
      <c r="B380" s="155"/>
      <c r="C380" s="39"/>
      <c r="D380" s="39"/>
      <c r="E380" s="39">
        <v>0</v>
      </c>
      <c r="F380" s="39">
        <f>D380+E380</f>
        <v>0</v>
      </c>
      <c r="G380" s="39">
        <v>0</v>
      </c>
      <c r="H380" s="39">
        <f>F380*(($H$373)+1)+(IF(G380&lt;101,G380,IF(G380&lt;201,G380/2,IF(G380&lt;=301,G380/3,G380/4))))</f>
        <v>0</v>
      </c>
      <c r="I380" s="33"/>
      <c r="N380" s="33"/>
    </row>
    <row r="381" spans="1:20" s="34" customFormat="1" hidden="1" x14ac:dyDescent="0.3">
      <c r="A381" s="155">
        <f>A380+1</f>
        <v>202</v>
      </c>
      <c r="B381" s="155"/>
      <c r="C381" s="39"/>
      <c r="D381" s="39"/>
      <c r="E381" s="39">
        <v>0</v>
      </c>
      <c r="F381" s="39">
        <f>D381+E381</f>
        <v>0</v>
      </c>
      <c r="G381" s="39">
        <v>0</v>
      </c>
      <c r="H381" s="39">
        <f>F381*(($H$373)+1)+(IF(G381&lt;101,G381,IF(G381&lt;201,G381/2,IF(G381&lt;=301,G381/3,G381/4))))</f>
        <v>0</v>
      </c>
      <c r="I381" s="33"/>
      <c r="N381" s="33"/>
    </row>
    <row r="382" spans="1:20" s="34" customFormat="1" hidden="1" x14ac:dyDescent="0.3">
      <c r="A382" s="155">
        <f>A381+1</f>
        <v>203</v>
      </c>
      <c r="B382" s="155"/>
      <c r="C382" s="39"/>
      <c r="D382" s="39"/>
      <c r="E382" s="39">
        <v>0</v>
      </c>
      <c r="F382" s="39">
        <f>D382+E382</f>
        <v>0</v>
      </c>
      <c r="G382" s="39">
        <v>0</v>
      </c>
      <c r="H382" s="39">
        <f>F382*(($H$373)+1)+(IF(G382&lt;101,G382,IF(G382&lt;201,G382/2,IF(G382&lt;=301,G382/3,G382/4))))</f>
        <v>0</v>
      </c>
      <c r="I382" s="33"/>
      <c r="N382" s="33"/>
    </row>
    <row r="383" spans="1:20" s="34" customFormat="1" hidden="1" x14ac:dyDescent="0.3">
      <c r="A383" s="155">
        <f>A382+1</f>
        <v>204</v>
      </c>
      <c r="B383" s="155"/>
      <c r="C383" s="39"/>
      <c r="D383" s="39"/>
      <c r="E383" s="39">
        <v>0</v>
      </c>
      <c r="F383" s="39">
        <f>D383+E383</f>
        <v>0</v>
      </c>
      <c r="G383" s="39">
        <v>0</v>
      </c>
      <c r="H383" s="39">
        <f>F383*(($H$373)+1)+(IF(G383&lt;101,G383,IF(G383&lt;201,G383/2,IF(G383&lt;=301,G383/3,G383/4))))</f>
        <v>0</v>
      </c>
      <c r="I383" s="33"/>
      <c r="N383" s="33"/>
    </row>
    <row r="384" spans="1:20" s="34" customFormat="1" hidden="1" x14ac:dyDescent="0.3">
      <c r="A384" s="155">
        <f>A383+1</f>
        <v>205</v>
      </c>
      <c r="B384" s="155"/>
      <c r="C384" s="39"/>
      <c r="D384" s="39"/>
      <c r="E384" s="39">
        <v>0</v>
      </c>
      <c r="F384" s="39">
        <f>D384+E384</f>
        <v>0</v>
      </c>
      <c r="G384" s="39">
        <v>0</v>
      </c>
      <c r="H384" s="39">
        <f>F384*(($H$373)+1)+(IF(G384&lt;101,G384,IF(G384&lt;201,G384/2,IF(G384&lt;=301,G384/3,G384/4))))</f>
        <v>0</v>
      </c>
      <c r="I384" s="33"/>
      <c r="N384" s="33"/>
    </row>
    <row r="385" spans="1:9" s="34" customFormat="1" ht="15.75" hidden="1" customHeight="1" x14ac:dyDescent="0.3">
      <c r="A385" s="156" t="s">
        <v>149</v>
      </c>
      <c r="B385" s="157"/>
      <c r="C385" s="157"/>
      <c r="D385" s="157"/>
      <c r="E385" s="157"/>
      <c r="F385" s="157"/>
      <c r="G385" s="157"/>
      <c r="H385" s="158"/>
      <c r="I385" s="33"/>
    </row>
    <row r="386" spans="1:9" s="34" customFormat="1" ht="15.75" hidden="1" customHeight="1" x14ac:dyDescent="0.3">
      <c r="A386" s="152" t="str">
        <f ca="1">(SUMPRODUCT(MID(0&amp;(LEFT(A385,SUM(LEN(A385)-LEN(SUBSTITUTE(A385,{"0","1","2"},""))))), LARGE(INDEX(ISNUMBER(--MID((LEFT(A385,SUM(LEN(A385)-LEN(SUBSTITUTE(A385,{"0","1","2"},""))))), ROW(INDIRECT("1:"&amp;LEN((LEFT(A385,SUM(LEN(A385)-LEN(SUBSTITUTE(A385,{"0","1","2"},"")))))))), 1)) * ROW(INDIRECT("1:"&amp;LEN((LEFT(A385,SUM(LEN(A385)-LEN(SUBSTITUTE(A385,{"0","1","2"},"")))))))), 0), ROW(INDIRECT("1:"&amp;LEN((LEFT(A385,SUM(LEN(A385)-LEN(SUBSTITUTE(A385,{"0","1","2"},"")))))))))+1, 1) * 10^ROW(INDIRECT("1:"&amp;LEN((LEFT(A385,SUM(LEN(A385)-LEN(SUBSTITUTE(A385,{"0","1","2"},""))))))))/10))*100+1&amp;""&amp;" ,.., "&amp;""&amp;(SUMPRODUCT(MID(0&amp;(--TRIM(RIGHT(SUBSTITUTE(LEFT(A385,_xlfn.AGGREGATE(16,6,FIND({0,1,2,3,4,5,6,7,8,9},A385,ROW(INDIRECT("1:"&amp;LEN(A385)))),1))," ",REPT(" ",LEN(A385))),LEN(A385)))), LARGE(INDEX(ISNUMBER(--MID((--TRIM(RIGHT(SUBSTITUTE(LEFT(A385,_xlfn.AGGREGATE(16,6,FIND({0,1,2,3,4,5,6,7,8,9},A385,ROW(INDIRECT("1:"&amp;LEN(A385)))),1))," ",REPT(" ",LEN(A385))),LEN(A385)))), ROW(INDIRECT("1:"&amp;LEN((--TRIM(RIGHT(SUBSTITUTE(LEFT(A385,_xlfn.AGGREGATE(16,6,FIND({0,1,2,3,4,5,6,7,8,9},A385,ROW(INDIRECT("1:"&amp;LEN(A385)))),1))," ",REPT(" ",LEN(A385))),LEN(A385))))))), 1)) * ROW(INDIRECT("1:"&amp;LEN((--TRIM(RIGHT(SUBSTITUTE(LEFT(A385,_xlfn.AGGREGATE(16,6,FIND({0,1,2,3,4,5,6,7,8,9},A385,ROW(INDIRECT("1:"&amp;LEN(A385)))),1))," ",REPT(" ",LEN(A385))),LEN(A385))))))), 0), ROW(INDIRECT("1:"&amp;LEN((--TRIM(RIGHT(SUBSTITUTE(LEFT(A385,_xlfn.AGGREGATE(16,6,FIND({0,1,2,3,4,5,6,7,8,9},A385,ROW(INDIRECT("1:"&amp;LEN(A385)))),1))," ",REPT(" ",LEN(A385))),LEN(A385))))))))+1, 1) * 10^ROW(INDIRECT("1:"&amp;LEN((--TRIM(RIGHT(SUBSTITUTE(LEFT(A385,_xlfn.AGGREGATE(16,6,FIND({0,1,2,3,4,5,6,7,8,9},A385,ROW(INDIRECT("1:"&amp;LEN(A385)))),1))," ",REPT(" ",LEN(A385))),LEN(A385)))))))/10))*100+1</f>
        <v>301 ,.., 1501</v>
      </c>
      <c r="B386" s="153"/>
      <c r="C386" s="39"/>
      <c r="D386" s="39"/>
      <c r="E386" s="39">
        <v>0</v>
      </c>
      <c r="F386" s="39">
        <f>D386+E386</f>
        <v>0</v>
      </c>
      <c r="G386" s="39">
        <v>0</v>
      </c>
      <c r="H386" s="39">
        <f>F386*(($H$373)+1)+(IF(G386&lt;101,G386,IF(G386&lt;201,G386/2,IF(G386&lt;=301,G386/3,G386/4))))</f>
        <v>0</v>
      </c>
      <c r="I386" s="33"/>
    </row>
    <row r="387" spans="1:9" s="34" customFormat="1" ht="15.75" hidden="1" customHeight="1" x14ac:dyDescent="0.3">
      <c r="A387" s="152" t="str">
        <f ca="1">(SUMPRODUCT(MID(0&amp;(LEFT(A386,SUM(LEN(A386)-LEN(SUBSTITUTE(A386,{"0","1","2"},""))))), LARGE(INDEX(ISNUMBER(--MID((LEFT(A386,SUM(LEN(A386)-LEN(SUBSTITUTE(A386,{"0","1","2"},""))))), ROW(INDIRECT("1:"&amp;LEN((LEFT(A386,SUM(LEN(A386)-LEN(SUBSTITUTE(A386,{"0","1","2"},"")))))))), 1)) * ROW(INDIRECT("1:"&amp;LEN((LEFT(A386,SUM(LEN(A386)-LEN(SUBSTITUTE(A386,{"0","1","2"},"")))))))), 0), ROW(INDIRECT("1:"&amp;LEN((LEFT(A386,SUM(LEN(A386)-LEN(SUBSTITUTE(A386,{"0","1","2"},"")))))))))+1, 1) * 10^ROW(INDIRECT("1:"&amp;LEN((LEFT(A386,SUM(LEN(A386)-LEN(SUBSTITUTE(A386,{"0","1","2"},""))))))))/10))*1+1&amp;""&amp;" ,.., "&amp;""&amp;(SUMPRODUCT(MID(0&amp;(--TRIM(RIGHT(SUBSTITUTE(LEFT(A386,_xlfn.AGGREGATE(16,6,FIND({0,1,2,3,4,5,6,7,8,9},A386,ROW(INDIRECT("1:"&amp;LEN(A386)))),1))," ",REPT(" ",LEN(A386))),LEN(A386)))), LARGE(INDEX(ISNUMBER(--MID((--TRIM(RIGHT(SUBSTITUTE(LEFT(A386,_xlfn.AGGREGATE(16,6,FIND({0,1,2,3,4,5,6,7,8,9},A386,ROW(INDIRECT("1:"&amp;LEN(A386)))),1))," ",REPT(" ",LEN(A386))),LEN(A386)))), ROW(INDIRECT("1:"&amp;LEN((--TRIM(RIGHT(SUBSTITUTE(LEFT(A386,_xlfn.AGGREGATE(16,6,FIND({0,1,2,3,4,5,6,7,8,9},A386,ROW(INDIRECT("1:"&amp;LEN(A386)))),1))," ",REPT(" ",LEN(A386))),LEN(A386))))))), 1)) * ROW(INDIRECT("1:"&amp;LEN((--TRIM(RIGHT(SUBSTITUTE(LEFT(A386,_xlfn.AGGREGATE(16,6,FIND({0,1,2,3,4,5,6,7,8,9},A386,ROW(INDIRECT("1:"&amp;LEN(A386)))),1))," ",REPT(" ",LEN(A386))),LEN(A386))))))), 0), ROW(INDIRECT("1:"&amp;LEN((--TRIM(RIGHT(SUBSTITUTE(LEFT(A386,_xlfn.AGGREGATE(16,6,FIND({0,1,2,3,4,5,6,7,8,9},A386,ROW(INDIRECT("1:"&amp;LEN(A386)))),1))," ",REPT(" ",LEN(A386))),LEN(A386))))))))+1, 1) * 10^ROW(INDIRECT("1:"&amp;LEN((--TRIM(RIGHT(SUBSTITUTE(LEFT(A386,_xlfn.AGGREGATE(16,6,FIND({0,1,2,3,4,5,6,7,8,9},A386,ROW(INDIRECT("1:"&amp;LEN(A386)))),1))," ",REPT(" ",LEN(A386))),LEN(A386)))))))/10))*1+1</f>
        <v>302 ,.., 1502</v>
      </c>
      <c r="B387" s="153"/>
      <c r="C387" s="39"/>
      <c r="D387" s="39"/>
      <c r="E387" s="39">
        <v>0</v>
      </c>
      <c r="F387" s="39">
        <f>D387+E387</f>
        <v>0</v>
      </c>
      <c r="G387" s="39">
        <v>0</v>
      </c>
      <c r="H387" s="39">
        <f>F387*(($H$373)+1)+(IF(G387&lt;101,G387,IF(G387&lt;201,G387/2,IF(G387&lt;=301,G387/3,G387/4))))</f>
        <v>0</v>
      </c>
      <c r="I387" s="33"/>
    </row>
    <row r="388" spans="1:9" s="34" customFormat="1" ht="15.75" hidden="1" customHeight="1" x14ac:dyDescent="0.3">
      <c r="A388" s="152" t="str">
        <f ca="1">(SUMPRODUCT(MID(0&amp;(LEFT(A387,SUM(LEN(A387)-LEN(SUBSTITUTE(A387,{"0","1","2"},""))))), LARGE(INDEX(ISNUMBER(--MID((LEFT(A387,SUM(LEN(A387)-LEN(SUBSTITUTE(A387,{"0","1","2"},""))))), ROW(INDIRECT("1:"&amp;LEN((LEFT(A387,SUM(LEN(A387)-LEN(SUBSTITUTE(A387,{"0","1","2"},"")))))))), 1)) * ROW(INDIRECT("1:"&amp;LEN((LEFT(A387,SUM(LEN(A387)-LEN(SUBSTITUTE(A387,{"0","1","2"},"")))))))), 0), ROW(INDIRECT("1:"&amp;LEN((LEFT(A387,SUM(LEN(A387)-LEN(SUBSTITUTE(A387,{"0","1","2"},"")))))))))+1, 1) * 10^ROW(INDIRECT("1:"&amp;LEN((LEFT(A387,SUM(LEN(A387)-LEN(SUBSTITUTE(A387,{"0","1","2"},""))))))))/10))*1+1&amp;""&amp;" ,.., "&amp;""&amp;(SUMPRODUCT(MID(0&amp;(--TRIM(RIGHT(SUBSTITUTE(LEFT(A387,_xlfn.AGGREGATE(16,6,FIND({0,1,2,3,4,5,6,7,8,9},A387,ROW(INDIRECT("1:"&amp;LEN(A387)))),1))," ",REPT(" ",LEN(A387))),LEN(A387)))), LARGE(INDEX(ISNUMBER(--MID((--TRIM(RIGHT(SUBSTITUTE(LEFT(A387,_xlfn.AGGREGATE(16,6,FIND({0,1,2,3,4,5,6,7,8,9},A387,ROW(INDIRECT("1:"&amp;LEN(A387)))),1))," ",REPT(" ",LEN(A387))),LEN(A387)))), ROW(INDIRECT("1:"&amp;LEN((--TRIM(RIGHT(SUBSTITUTE(LEFT(A387,_xlfn.AGGREGATE(16,6,FIND({0,1,2,3,4,5,6,7,8,9},A387,ROW(INDIRECT("1:"&amp;LEN(A387)))),1))," ",REPT(" ",LEN(A387))),LEN(A387))))))), 1)) * ROW(INDIRECT("1:"&amp;LEN((--TRIM(RIGHT(SUBSTITUTE(LEFT(A387,_xlfn.AGGREGATE(16,6,FIND({0,1,2,3,4,5,6,7,8,9},A387,ROW(INDIRECT("1:"&amp;LEN(A387)))),1))," ",REPT(" ",LEN(A387))),LEN(A387))))))), 0), ROW(INDIRECT("1:"&amp;LEN((--TRIM(RIGHT(SUBSTITUTE(LEFT(A387,_xlfn.AGGREGATE(16,6,FIND({0,1,2,3,4,5,6,7,8,9},A387,ROW(INDIRECT("1:"&amp;LEN(A387)))),1))," ",REPT(" ",LEN(A387))),LEN(A387))))))))+1, 1) * 10^ROW(INDIRECT("1:"&amp;LEN((--TRIM(RIGHT(SUBSTITUTE(LEFT(A387,_xlfn.AGGREGATE(16,6,FIND({0,1,2,3,4,5,6,7,8,9},A387,ROW(INDIRECT("1:"&amp;LEN(A387)))),1))," ",REPT(" ",LEN(A387))),LEN(A387)))))))/10))*1+1</f>
        <v>303 ,.., 1503</v>
      </c>
      <c r="B388" s="153"/>
      <c r="C388" s="39"/>
      <c r="D388" s="39"/>
      <c r="E388" s="39">
        <v>0</v>
      </c>
      <c r="F388" s="39">
        <f>D388+E388</f>
        <v>0</v>
      </c>
      <c r="G388" s="39">
        <v>0</v>
      </c>
      <c r="H388" s="39">
        <f>F388*(($H$373)+1)+(IF(G388&lt;101,G388,IF(G388&lt;201,G388/2,IF(G388&lt;=301,G388/3,G388/4))))</f>
        <v>0</v>
      </c>
      <c r="I388" s="33"/>
    </row>
    <row r="389" spans="1:9" s="34" customFormat="1" ht="15.75" hidden="1" customHeight="1" x14ac:dyDescent="0.3">
      <c r="A389" s="152" t="str">
        <f ca="1">(SUMPRODUCT(MID(0&amp;(LEFT(A388,SUM(LEN(A388)-LEN(SUBSTITUTE(A388,{"0","1","2"},""))))), LARGE(INDEX(ISNUMBER(--MID((LEFT(A388,SUM(LEN(A388)-LEN(SUBSTITUTE(A388,{"0","1","2"},""))))), ROW(INDIRECT("1:"&amp;LEN((LEFT(A388,SUM(LEN(A388)-LEN(SUBSTITUTE(A388,{"0","1","2"},"")))))))), 1)) * ROW(INDIRECT("1:"&amp;LEN((LEFT(A388,SUM(LEN(A388)-LEN(SUBSTITUTE(A388,{"0","1","2"},"")))))))), 0), ROW(INDIRECT("1:"&amp;LEN((LEFT(A388,SUM(LEN(A388)-LEN(SUBSTITUTE(A388,{"0","1","2"},"")))))))))+1, 1) * 10^ROW(INDIRECT("1:"&amp;LEN((LEFT(A388,SUM(LEN(A388)-LEN(SUBSTITUTE(A388,{"0","1","2"},""))))))))/10))*1+1&amp;""&amp;" ,.., "&amp;""&amp;(SUMPRODUCT(MID(0&amp;(--TRIM(RIGHT(SUBSTITUTE(LEFT(A388,_xlfn.AGGREGATE(16,6,FIND({0,1,2,3,4,5,6,7,8,9},A388,ROW(INDIRECT("1:"&amp;LEN(A388)))),1))," ",REPT(" ",LEN(A388))),LEN(A388)))), LARGE(INDEX(ISNUMBER(--MID((--TRIM(RIGHT(SUBSTITUTE(LEFT(A388,_xlfn.AGGREGATE(16,6,FIND({0,1,2,3,4,5,6,7,8,9},A388,ROW(INDIRECT("1:"&amp;LEN(A388)))),1))," ",REPT(" ",LEN(A388))),LEN(A388)))), ROW(INDIRECT("1:"&amp;LEN((--TRIM(RIGHT(SUBSTITUTE(LEFT(A388,_xlfn.AGGREGATE(16,6,FIND({0,1,2,3,4,5,6,7,8,9},A388,ROW(INDIRECT("1:"&amp;LEN(A388)))),1))," ",REPT(" ",LEN(A388))),LEN(A388))))))), 1)) * ROW(INDIRECT("1:"&amp;LEN((--TRIM(RIGHT(SUBSTITUTE(LEFT(A388,_xlfn.AGGREGATE(16,6,FIND({0,1,2,3,4,5,6,7,8,9},A388,ROW(INDIRECT("1:"&amp;LEN(A388)))),1))," ",REPT(" ",LEN(A388))),LEN(A388))))))), 0), ROW(INDIRECT("1:"&amp;LEN((--TRIM(RIGHT(SUBSTITUTE(LEFT(A388,_xlfn.AGGREGATE(16,6,FIND({0,1,2,3,4,5,6,7,8,9},A388,ROW(INDIRECT("1:"&amp;LEN(A388)))),1))," ",REPT(" ",LEN(A388))),LEN(A388))))))))+1, 1) * 10^ROW(INDIRECT("1:"&amp;LEN((--TRIM(RIGHT(SUBSTITUTE(LEFT(A388,_xlfn.AGGREGATE(16,6,FIND({0,1,2,3,4,5,6,7,8,9},A388,ROW(INDIRECT("1:"&amp;LEN(A388)))),1))," ",REPT(" ",LEN(A388))),LEN(A388)))))))/10))*1+1</f>
        <v>304 ,.., 1504</v>
      </c>
      <c r="B389" s="153"/>
      <c r="C389" s="39"/>
      <c r="D389" s="39"/>
      <c r="E389" s="39">
        <v>0</v>
      </c>
      <c r="F389" s="39">
        <f>D389+E389</f>
        <v>0</v>
      </c>
      <c r="G389" s="39">
        <v>0</v>
      </c>
      <c r="H389" s="39">
        <f>F389*(($H$373)+1)+(IF(G389&lt;101,G389,IF(G389&lt;201,G389/2,IF(G389&lt;=301,G389/3,G389/4))))</f>
        <v>0</v>
      </c>
      <c r="I389" s="33"/>
    </row>
    <row r="390" spans="1:9" s="34" customFormat="1" ht="15.75" hidden="1" customHeight="1" x14ac:dyDescent="0.3">
      <c r="A390" s="152" t="str">
        <f ca="1">(SUMPRODUCT(MID(0&amp;(LEFT(A389,SUM(LEN(A389)-LEN(SUBSTITUTE(A389,{"0","1","2"},""))))), LARGE(INDEX(ISNUMBER(--MID((LEFT(A389,SUM(LEN(A389)-LEN(SUBSTITUTE(A389,{"0","1","2"},""))))), ROW(INDIRECT("1:"&amp;LEN((LEFT(A389,SUM(LEN(A389)-LEN(SUBSTITUTE(A389,{"0","1","2"},"")))))))), 1)) * ROW(INDIRECT("1:"&amp;LEN((LEFT(A389,SUM(LEN(A389)-LEN(SUBSTITUTE(A389,{"0","1","2"},"")))))))), 0), ROW(INDIRECT("1:"&amp;LEN((LEFT(A389,SUM(LEN(A389)-LEN(SUBSTITUTE(A389,{"0","1","2"},"")))))))))+1, 1) * 10^ROW(INDIRECT("1:"&amp;LEN((LEFT(A389,SUM(LEN(A389)-LEN(SUBSTITUTE(A389,{"0","1","2"},""))))))))/10))*1+1&amp;""&amp;" ,.., "&amp;""&amp;(SUMPRODUCT(MID(0&amp;(--TRIM(RIGHT(SUBSTITUTE(LEFT(A389,_xlfn.AGGREGATE(16,6,FIND({0,1,2,3,4,5,6,7,8,9},A389,ROW(INDIRECT("1:"&amp;LEN(A389)))),1))," ",REPT(" ",LEN(A389))),LEN(A389)))), LARGE(INDEX(ISNUMBER(--MID((--TRIM(RIGHT(SUBSTITUTE(LEFT(A389,_xlfn.AGGREGATE(16,6,FIND({0,1,2,3,4,5,6,7,8,9},A389,ROW(INDIRECT("1:"&amp;LEN(A389)))),1))," ",REPT(" ",LEN(A389))),LEN(A389)))), ROW(INDIRECT("1:"&amp;LEN((--TRIM(RIGHT(SUBSTITUTE(LEFT(A389,_xlfn.AGGREGATE(16,6,FIND({0,1,2,3,4,5,6,7,8,9},A389,ROW(INDIRECT("1:"&amp;LEN(A389)))),1))," ",REPT(" ",LEN(A389))),LEN(A389))))))), 1)) * ROW(INDIRECT("1:"&amp;LEN((--TRIM(RIGHT(SUBSTITUTE(LEFT(A389,_xlfn.AGGREGATE(16,6,FIND({0,1,2,3,4,5,6,7,8,9},A389,ROW(INDIRECT("1:"&amp;LEN(A389)))),1))," ",REPT(" ",LEN(A389))),LEN(A389))))))), 0), ROW(INDIRECT("1:"&amp;LEN((--TRIM(RIGHT(SUBSTITUTE(LEFT(A389,_xlfn.AGGREGATE(16,6,FIND({0,1,2,3,4,5,6,7,8,9},A389,ROW(INDIRECT("1:"&amp;LEN(A389)))),1))," ",REPT(" ",LEN(A389))),LEN(A389))))))))+1, 1) * 10^ROW(INDIRECT("1:"&amp;LEN((--TRIM(RIGHT(SUBSTITUTE(LEFT(A389,_xlfn.AGGREGATE(16,6,FIND({0,1,2,3,4,5,6,7,8,9},A389,ROW(INDIRECT("1:"&amp;LEN(A389)))),1))," ",REPT(" ",LEN(A389))),LEN(A389)))))))/10))*1+1</f>
        <v>305 ,.., 1505</v>
      </c>
      <c r="B390" s="153"/>
      <c r="C390" s="39"/>
      <c r="D390" s="39"/>
      <c r="E390" s="39">
        <v>0</v>
      </c>
      <c r="F390" s="39">
        <f>D390+E390</f>
        <v>0</v>
      </c>
      <c r="G390" s="39">
        <v>0</v>
      </c>
      <c r="H390" s="39">
        <f>F390*(($H$373)+1)+(IF(G390&lt;101,G390,IF(G390&lt;201,G390/2,IF(G390&lt;=301,G390/3,G390/4))))</f>
        <v>0</v>
      </c>
      <c r="I390" s="33"/>
    </row>
    <row r="391" spans="1:9" s="34" customFormat="1" hidden="1" x14ac:dyDescent="0.3">
      <c r="A391" s="156" t="s">
        <v>143</v>
      </c>
      <c r="B391" s="157"/>
      <c r="C391" s="157"/>
      <c r="D391" s="157"/>
      <c r="E391" s="157"/>
      <c r="F391" s="157"/>
      <c r="G391" s="157"/>
      <c r="H391" s="158"/>
      <c r="I391" s="33"/>
    </row>
    <row r="392" spans="1:9" s="34" customFormat="1" ht="15.75" hidden="1" customHeight="1" x14ac:dyDescent="0.3">
      <c r="A392" s="152" t="str">
        <f ca="1">(SUMPRODUCT(MID(0&amp;(LEFT(A391,SUM(LEN(A391)-LEN(SUBSTITUTE(A391,{"0","1","2"},""))))), LARGE(INDEX(ISNUMBER(--MID((LEFT(A391,SUM(LEN(A391)-LEN(SUBSTITUTE(A391,{"0","1","2"},""))))), ROW(INDIRECT("1:"&amp;LEN((LEFT(A391,SUM(LEN(A391)-LEN(SUBSTITUTE(A391,{"0","1","2"},"")))))))), 1)) * ROW(INDIRECT("1:"&amp;LEN((LEFT(A391,SUM(LEN(A391)-LEN(SUBSTITUTE(A391,{"0","1","2"},"")))))))), 0), ROW(INDIRECT("1:"&amp;LEN((LEFT(A391,SUM(LEN(A391)-LEN(SUBSTITUTE(A391,{"0","1","2"},"")))))))))+1, 1) * 10^ROW(INDIRECT("1:"&amp;LEN((LEFT(A391,SUM(LEN(A391)-LEN(SUBSTITUTE(A391,{"0","1","2"},""))))))))/10))*100+1&amp;""&amp;" to "&amp;""&amp;(SUMPRODUCT(MID(0&amp;(--TRIM(RIGHT(SUBSTITUTE(LEFT(A391,_xlfn.AGGREGATE(16,6,FIND({0,1,2,3,4,5,6,7,8,9},A391,ROW(INDIRECT("1:"&amp;LEN(A391)))),1))," ",REPT(" ",LEN(A391))),LEN(A391)))), LARGE(INDEX(ISNUMBER(--MID((--TRIM(RIGHT(SUBSTITUTE(LEFT(A391,_xlfn.AGGREGATE(16,6,FIND({0,1,2,3,4,5,6,7,8,9},A391,ROW(INDIRECT("1:"&amp;LEN(A391)))),1))," ",REPT(" ",LEN(A391))),LEN(A391)))), ROW(INDIRECT("1:"&amp;LEN((--TRIM(RIGHT(SUBSTITUTE(LEFT(A391,_xlfn.AGGREGATE(16,6,FIND({0,1,2,3,4,5,6,7,8,9},A391,ROW(INDIRECT("1:"&amp;LEN(A391)))),1))," ",REPT(" ",LEN(A391))),LEN(A391))))))), 1)) * ROW(INDIRECT("1:"&amp;LEN((--TRIM(RIGHT(SUBSTITUTE(LEFT(A391,_xlfn.AGGREGATE(16,6,FIND({0,1,2,3,4,5,6,7,8,9},A391,ROW(INDIRECT("1:"&amp;LEN(A391)))),1))," ",REPT(" ",LEN(A391))),LEN(A391))))))), 0), ROW(INDIRECT("1:"&amp;LEN((--TRIM(RIGHT(SUBSTITUTE(LEFT(A391,_xlfn.AGGREGATE(16,6,FIND({0,1,2,3,4,5,6,7,8,9},A391,ROW(INDIRECT("1:"&amp;LEN(A391)))),1))," ",REPT(" ",LEN(A391))),LEN(A391))))))))+1, 1) * 10^ROW(INDIRECT("1:"&amp;LEN((--TRIM(RIGHT(SUBSTITUTE(LEFT(A391,_xlfn.AGGREGATE(16,6,FIND({0,1,2,3,4,5,6,7,8,9},A391,ROW(INDIRECT("1:"&amp;LEN(A391)))),1))," ",REPT(" ",LEN(A391))),LEN(A391)))))))/10))*100+1</f>
        <v>201 to 501</v>
      </c>
      <c r="B392" s="153"/>
      <c r="C392" s="39"/>
      <c r="D392" s="39"/>
      <c r="E392" s="39">
        <v>0</v>
      </c>
      <c r="F392" s="39">
        <f>D392+E392</f>
        <v>0</v>
      </c>
      <c r="G392" s="39">
        <v>0</v>
      </c>
      <c r="H392" s="39">
        <f>F392*(($H$373)+1)+(IF(G392&lt;101,G392,IF(G392&lt;201,G392/2,IF(G392&lt;=301,G392/3,G392/4))))</f>
        <v>0</v>
      </c>
      <c r="I392" s="33"/>
    </row>
    <row r="393" spans="1:9" s="34" customFormat="1" ht="15.75" hidden="1" customHeight="1" x14ac:dyDescent="0.3">
      <c r="A393" s="152" t="str">
        <f ca="1">(SUMPRODUCT(MID(0&amp;(LEFT(A392,SUM(LEN(A392)-LEN(SUBSTITUTE(A392,{"0","1","2"},""))))), LARGE(INDEX(ISNUMBER(--MID((LEFT(A392,SUM(LEN(A392)-LEN(SUBSTITUTE(A392,{"0","1","2"},""))))), ROW(INDIRECT("1:"&amp;LEN((LEFT(A392,SUM(LEN(A392)-LEN(SUBSTITUTE(A392,{"0","1","2"},"")))))))), 1)) * ROW(INDIRECT("1:"&amp;LEN((LEFT(A392,SUM(LEN(A392)-LEN(SUBSTITUTE(A392,{"0","1","2"},"")))))))), 0), ROW(INDIRECT("1:"&amp;LEN((LEFT(A392,SUM(LEN(A392)-LEN(SUBSTITUTE(A392,{"0","1","2"},"")))))))))+1, 1) * 10^ROW(INDIRECT("1:"&amp;LEN((LEFT(A392,SUM(LEN(A392)-LEN(SUBSTITUTE(A392,{"0","1","2"},""))))))))/10))*1+1&amp;""&amp;" to "&amp;""&amp;(SUMPRODUCT(MID(0&amp;(--TRIM(RIGHT(SUBSTITUTE(LEFT(A392,_xlfn.AGGREGATE(16,6,FIND({0,1,2,3,4,5,6,7,8,9},A392,ROW(INDIRECT("1:"&amp;LEN(A392)))),1))," ",REPT(" ",LEN(A392))),LEN(A392)))), LARGE(INDEX(ISNUMBER(--MID((--TRIM(RIGHT(SUBSTITUTE(LEFT(A392,_xlfn.AGGREGATE(16,6,FIND({0,1,2,3,4,5,6,7,8,9},A392,ROW(INDIRECT("1:"&amp;LEN(A392)))),1))," ",REPT(" ",LEN(A392))),LEN(A392)))), ROW(INDIRECT("1:"&amp;LEN((--TRIM(RIGHT(SUBSTITUTE(LEFT(A392,_xlfn.AGGREGATE(16,6,FIND({0,1,2,3,4,5,6,7,8,9},A392,ROW(INDIRECT("1:"&amp;LEN(A392)))),1))," ",REPT(" ",LEN(A392))),LEN(A392))))))), 1)) * ROW(INDIRECT("1:"&amp;LEN((--TRIM(RIGHT(SUBSTITUTE(LEFT(A392,_xlfn.AGGREGATE(16,6,FIND({0,1,2,3,4,5,6,7,8,9},A392,ROW(INDIRECT("1:"&amp;LEN(A392)))),1))," ",REPT(" ",LEN(A392))),LEN(A392))))))), 0), ROW(INDIRECT("1:"&amp;LEN((--TRIM(RIGHT(SUBSTITUTE(LEFT(A392,_xlfn.AGGREGATE(16,6,FIND({0,1,2,3,4,5,6,7,8,9},A392,ROW(INDIRECT("1:"&amp;LEN(A392)))),1))," ",REPT(" ",LEN(A392))),LEN(A392))))))))+1, 1) * 10^ROW(INDIRECT("1:"&amp;LEN((--TRIM(RIGHT(SUBSTITUTE(LEFT(A392,_xlfn.AGGREGATE(16,6,FIND({0,1,2,3,4,5,6,7,8,9},A392,ROW(INDIRECT("1:"&amp;LEN(A392)))),1))," ",REPT(" ",LEN(A392))),LEN(A392)))))))/10))*1+1</f>
        <v>202 to 502</v>
      </c>
      <c r="B393" s="153"/>
      <c r="C393" s="39"/>
      <c r="D393" s="39"/>
      <c r="E393" s="39">
        <v>0</v>
      </c>
      <c r="F393" s="39">
        <f>D393+E393</f>
        <v>0</v>
      </c>
      <c r="G393" s="39">
        <v>0</v>
      </c>
      <c r="H393" s="39">
        <f>F393*(($H$373)+1)+(IF(G393&lt;101,G393,IF(G393&lt;201,G393/2,IF(G393&lt;=301,G393/3,G393/4))))</f>
        <v>0</v>
      </c>
      <c r="I393" s="33"/>
    </row>
    <row r="394" spans="1:9" s="34" customFormat="1" ht="15.75" hidden="1" customHeight="1" x14ac:dyDescent="0.3">
      <c r="A394" s="152" t="str">
        <f ca="1">(SUMPRODUCT(MID(0&amp;(LEFT(A393,SUM(LEN(A393)-LEN(SUBSTITUTE(A393,{"0","1","2"},""))))), LARGE(INDEX(ISNUMBER(--MID((LEFT(A393,SUM(LEN(A393)-LEN(SUBSTITUTE(A393,{"0","1","2"},""))))), ROW(INDIRECT("1:"&amp;LEN((LEFT(A393,SUM(LEN(A393)-LEN(SUBSTITUTE(A393,{"0","1","2"},"")))))))), 1)) * ROW(INDIRECT("1:"&amp;LEN((LEFT(A393,SUM(LEN(A393)-LEN(SUBSTITUTE(A393,{"0","1","2"},"")))))))), 0), ROW(INDIRECT("1:"&amp;LEN((LEFT(A393,SUM(LEN(A393)-LEN(SUBSTITUTE(A393,{"0","1","2"},"")))))))))+1, 1) * 10^ROW(INDIRECT("1:"&amp;LEN((LEFT(A393,SUM(LEN(A393)-LEN(SUBSTITUTE(A393,{"0","1","2"},""))))))))/10))*1+1&amp;""&amp;" to "&amp;""&amp;(SUMPRODUCT(MID(0&amp;(--TRIM(RIGHT(SUBSTITUTE(LEFT(A393,_xlfn.AGGREGATE(16,6,FIND({0,1,2,3,4,5,6,7,8,9},A393,ROW(INDIRECT("1:"&amp;LEN(A393)))),1))," ",REPT(" ",LEN(A393))),LEN(A393)))), LARGE(INDEX(ISNUMBER(--MID((--TRIM(RIGHT(SUBSTITUTE(LEFT(A393,_xlfn.AGGREGATE(16,6,FIND({0,1,2,3,4,5,6,7,8,9},A393,ROW(INDIRECT("1:"&amp;LEN(A393)))),1))," ",REPT(" ",LEN(A393))),LEN(A393)))), ROW(INDIRECT("1:"&amp;LEN((--TRIM(RIGHT(SUBSTITUTE(LEFT(A393,_xlfn.AGGREGATE(16,6,FIND({0,1,2,3,4,5,6,7,8,9},A393,ROW(INDIRECT("1:"&amp;LEN(A393)))),1))," ",REPT(" ",LEN(A393))),LEN(A393))))))), 1)) * ROW(INDIRECT("1:"&amp;LEN((--TRIM(RIGHT(SUBSTITUTE(LEFT(A393,_xlfn.AGGREGATE(16,6,FIND({0,1,2,3,4,5,6,7,8,9},A393,ROW(INDIRECT("1:"&amp;LEN(A393)))),1))," ",REPT(" ",LEN(A393))),LEN(A393))))))), 0), ROW(INDIRECT("1:"&amp;LEN((--TRIM(RIGHT(SUBSTITUTE(LEFT(A393,_xlfn.AGGREGATE(16,6,FIND({0,1,2,3,4,5,6,7,8,9},A393,ROW(INDIRECT("1:"&amp;LEN(A393)))),1))," ",REPT(" ",LEN(A393))),LEN(A393))))))))+1, 1) * 10^ROW(INDIRECT("1:"&amp;LEN((--TRIM(RIGHT(SUBSTITUTE(LEFT(A393,_xlfn.AGGREGATE(16,6,FIND({0,1,2,3,4,5,6,7,8,9},A393,ROW(INDIRECT("1:"&amp;LEN(A393)))),1))," ",REPT(" ",LEN(A393))),LEN(A393)))))))/10))*1+1</f>
        <v>203 to 503</v>
      </c>
      <c r="B394" s="153"/>
      <c r="C394" s="39"/>
      <c r="D394" s="39"/>
      <c r="E394" s="39">
        <v>0</v>
      </c>
      <c r="F394" s="39">
        <f>D394+E394</f>
        <v>0</v>
      </c>
      <c r="G394" s="39">
        <v>0</v>
      </c>
      <c r="H394" s="39">
        <f>F394*(($H$373)+1)+(IF(G394&lt;101,G394,IF(G394&lt;201,G394/2,IF(G394&lt;=301,G394/3,G394/4))))</f>
        <v>0</v>
      </c>
      <c r="I394" s="33"/>
    </row>
    <row r="395" spans="1:9" s="34" customFormat="1" ht="15.75" hidden="1" customHeight="1" x14ac:dyDescent="0.3">
      <c r="A395" s="152" t="str">
        <f ca="1">(SUMPRODUCT(MID(0&amp;(LEFT(A394,SUM(LEN(A394)-LEN(SUBSTITUTE(A394,{"0","1","2"},""))))), LARGE(INDEX(ISNUMBER(--MID((LEFT(A394,SUM(LEN(A394)-LEN(SUBSTITUTE(A394,{"0","1","2"},""))))), ROW(INDIRECT("1:"&amp;LEN((LEFT(A394,SUM(LEN(A394)-LEN(SUBSTITUTE(A394,{"0","1","2"},"")))))))), 1)) * ROW(INDIRECT("1:"&amp;LEN((LEFT(A394,SUM(LEN(A394)-LEN(SUBSTITUTE(A394,{"0","1","2"},"")))))))), 0), ROW(INDIRECT("1:"&amp;LEN((LEFT(A394,SUM(LEN(A394)-LEN(SUBSTITUTE(A394,{"0","1","2"},"")))))))))+1, 1) * 10^ROW(INDIRECT("1:"&amp;LEN((LEFT(A394,SUM(LEN(A394)-LEN(SUBSTITUTE(A394,{"0","1","2"},""))))))))/10))*1+1&amp;""&amp;" to "&amp;""&amp;(SUMPRODUCT(MID(0&amp;(--TRIM(RIGHT(SUBSTITUTE(LEFT(A394,_xlfn.AGGREGATE(16,6,FIND({0,1,2,3,4,5,6,7,8,9},A394,ROW(INDIRECT("1:"&amp;LEN(A394)))),1))," ",REPT(" ",LEN(A394))),LEN(A394)))), LARGE(INDEX(ISNUMBER(--MID((--TRIM(RIGHT(SUBSTITUTE(LEFT(A394,_xlfn.AGGREGATE(16,6,FIND({0,1,2,3,4,5,6,7,8,9},A394,ROW(INDIRECT("1:"&amp;LEN(A394)))),1))," ",REPT(" ",LEN(A394))),LEN(A394)))), ROW(INDIRECT("1:"&amp;LEN((--TRIM(RIGHT(SUBSTITUTE(LEFT(A394,_xlfn.AGGREGATE(16,6,FIND({0,1,2,3,4,5,6,7,8,9},A394,ROW(INDIRECT("1:"&amp;LEN(A394)))),1))," ",REPT(" ",LEN(A394))),LEN(A394))))))), 1)) * ROW(INDIRECT("1:"&amp;LEN((--TRIM(RIGHT(SUBSTITUTE(LEFT(A394,_xlfn.AGGREGATE(16,6,FIND({0,1,2,3,4,5,6,7,8,9},A394,ROW(INDIRECT("1:"&amp;LEN(A394)))),1))," ",REPT(" ",LEN(A394))),LEN(A394))))))), 0), ROW(INDIRECT("1:"&amp;LEN((--TRIM(RIGHT(SUBSTITUTE(LEFT(A394,_xlfn.AGGREGATE(16,6,FIND({0,1,2,3,4,5,6,7,8,9},A394,ROW(INDIRECT("1:"&amp;LEN(A394)))),1))," ",REPT(" ",LEN(A394))),LEN(A394))))))))+1, 1) * 10^ROW(INDIRECT("1:"&amp;LEN((--TRIM(RIGHT(SUBSTITUTE(LEFT(A394,_xlfn.AGGREGATE(16,6,FIND({0,1,2,3,4,5,6,7,8,9},A394,ROW(INDIRECT("1:"&amp;LEN(A394)))),1))," ",REPT(" ",LEN(A394))),LEN(A394)))))))/10))*1+1</f>
        <v>204 to 504</v>
      </c>
      <c r="B395" s="153"/>
      <c r="C395" s="39"/>
      <c r="D395" s="39"/>
      <c r="E395" s="39">
        <v>0</v>
      </c>
      <c r="F395" s="39">
        <f>D395+E395</f>
        <v>0</v>
      </c>
      <c r="G395" s="39">
        <v>0</v>
      </c>
      <c r="H395" s="39">
        <f>F395*(($H$373)+1)+(IF(G395&lt;101,G395,IF(G395&lt;201,G395/2,IF(G395&lt;=301,G395/3,G395/4))))</f>
        <v>0</v>
      </c>
      <c r="I395" s="33"/>
    </row>
    <row r="396" spans="1:9" s="34" customFormat="1" ht="15.75" hidden="1" customHeight="1" x14ac:dyDescent="0.3">
      <c r="A396" s="152" t="str">
        <f ca="1">(SUMPRODUCT(MID(0&amp;(LEFT(A395,SUM(LEN(A395)-LEN(SUBSTITUTE(A395,{"0","1","2"},""))))), LARGE(INDEX(ISNUMBER(--MID((LEFT(A395,SUM(LEN(A395)-LEN(SUBSTITUTE(A395,{"0","1","2"},""))))), ROW(INDIRECT("1:"&amp;LEN((LEFT(A395,SUM(LEN(A395)-LEN(SUBSTITUTE(A395,{"0","1","2"},"")))))))), 1)) * ROW(INDIRECT("1:"&amp;LEN((LEFT(A395,SUM(LEN(A395)-LEN(SUBSTITUTE(A395,{"0","1","2"},"")))))))), 0), ROW(INDIRECT("1:"&amp;LEN((LEFT(A395,SUM(LEN(A395)-LEN(SUBSTITUTE(A395,{"0","1","2"},"")))))))))+1, 1) * 10^ROW(INDIRECT("1:"&amp;LEN((LEFT(A395,SUM(LEN(A395)-LEN(SUBSTITUTE(A395,{"0","1","2"},""))))))))/10))*1+1&amp;""&amp;" to "&amp;""&amp;(SUMPRODUCT(MID(0&amp;(--TRIM(RIGHT(SUBSTITUTE(LEFT(A395,_xlfn.AGGREGATE(16,6,FIND({0,1,2,3,4,5,6,7,8,9},A395,ROW(INDIRECT("1:"&amp;LEN(A395)))),1))," ",REPT(" ",LEN(A395))),LEN(A395)))), LARGE(INDEX(ISNUMBER(--MID((--TRIM(RIGHT(SUBSTITUTE(LEFT(A395,_xlfn.AGGREGATE(16,6,FIND({0,1,2,3,4,5,6,7,8,9},A395,ROW(INDIRECT("1:"&amp;LEN(A395)))),1))," ",REPT(" ",LEN(A395))),LEN(A395)))), ROW(INDIRECT("1:"&amp;LEN((--TRIM(RIGHT(SUBSTITUTE(LEFT(A395,_xlfn.AGGREGATE(16,6,FIND({0,1,2,3,4,5,6,7,8,9},A395,ROW(INDIRECT("1:"&amp;LEN(A395)))),1))," ",REPT(" ",LEN(A395))),LEN(A395))))))), 1)) * ROW(INDIRECT("1:"&amp;LEN((--TRIM(RIGHT(SUBSTITUTE(LEFT(A395,_xlfn.AGGREGATE(16,6,FIND({0,1,2,3,4,5,6,7,8,9},A395,ROW(INDIRECT("1:"&amp;LEN(A395)))),1))," ",REPT(" ",LEN(A395))),LEN(A395))))))), 0), ROW(INDIRECT("1:"&amp;LEN((--TRIM(RIGHT(SUBSTITUTE(LEFT(A395,_xlfn.AGGREGATE(16,6,FIND({0,1,2,3,4,5,6,7,8,9},A395,ROW(INDIRECT("1:"&amp;LEN(A395)))),1))," ",REPT(" ",LEN(A395))),LEN(A395))))))))+1, 1) * 10^ROW(INDIRECT("1:"&amp;LEN((--TRIM(RIGHT(SUBSTITUTE(LEFT(A395,_xlfn.AGGREGATE(16,6,FIND({0,1,2,3,4,5,6,7,8,9},A395,ROW(INDIRECT("1:"&amp;LEN(A395)))),1))," ",REPT(" ",LEN(A395))),LEN(A395)))))))/10))*1+1</f>
        <v>205 to 505</v>
      </c>
      <c r="B396" s="153"/>
      <c r="C396" s="39"/>
      <c r="D396" s="39"/>
      <c r="E396" s="39">
        <v>0</v>
      </c>
      <c r="F396" s="39">
        <f>D396+E396</f>
        <v>0</v>
      </c>
      <c r="G396" s="39">
        <v>0</v>
      </c>
      <c r="H396" s="39">
        <f>F396*(($H$373)+1)+(IF(G396&lt;101,G396,IF(G396&lt;201,G396/2,IF(G396&lt;=301,G396/3,G396/4))))</f>
        <v>0</v>
      </c>
      <c r="I396" s="33"/>
    </row>
    <row r="397" spans="1:9" s="34" customFormat="1" hidden="1" x14ac:dyDescent="0.3">
      <c r="A397" s="156" t="s">
        <v>144</v>
      </c>
      <c r="B397" s="157"/>
      <c r="C397" s="157"/>
      <c r="D397" s="157"/>
      <c r="E397" s="157"/>
      <c r="F397" s="157"/>
      <c r="G397" s="157"/>
      <c r="H397" s="158"/>
      <c r="I397" s="33"/>
    </row>
    <row r="398" spans="1:9" s="34" customFormat="1" ht="15.75" hidden="1" customHeight="1" x14ac:dyDescent="0.3">
      <c r="A398" s="152" t="str">
        <f ca="1">(SUMPRODUCT(MID(0&amp;(LEFT(A397,SUM(LEN(A397)-LEN(SUBSTITUTE(A397,{"0","1","2"},""))))), LARGE(INDEX(ISNUMBER(--MID((LEFT(A397,SUM(LEN(A397)-LEN(SUBSTITUTE(A397,{"0","1","2"},""))))), ROW(INDIRECT("1:"&amp;LEN((LEFT(A397,SUM(LEN(A397)-LEN(SUBSTITUTE(A397,{"0","1","2"},"")))))))), 1)) * ROW(INDIRECT("1:"&amp;LEN((LEFT(A397,SUM(LEN(A397)-LEN(SUBSTITUTE(A397,{"0","1","2"},"")))))))), 0), ROW(INDIRECT("1:"&amp;LEN((LEFT(A397,SUM(LEN(A397)-LEN(SUBSTITUTE(A397,{"0","1","2"},"")))))))))+1, 1) * 10^ROW(INDIRECT("1:"&amp;LEN((LEFT(A397,SUM(LEN(A397)-LEN(SUBSTITUTE(A397,{"0","1","2"},""))))))))/10))*100+1&amp;""&amp;" &amp; "&amp;""&amp;(SUMPRODUCT(MID(0&amp;(--TRIM(RIGHT(SUBSTITUTE(LEFT(A397,_xlfn.AGGREGATE(16,6,FIND({0,1,2,3,4,5,6,7,8,9},A397,ROW(INDIRECT("1:"&amp;LEN(A397)))),1))," ",REPT(" ",LEN(A397))),LEN(A397)))), LARGE(INDEX(ISNUMBER(--MID((--TRIM(RIGHT(SUBSTITUTE(LEFT(A397,_xlfn.AGGREGATE(16,6,FIND({0,1,2,3,4,5,6,7,8,9},A397,ROW(INDIRECT("1:"&amp;LEN(A397)))),1))," ",REPT(" ",LEN(A397))),LEN(A397)))), ROW(INDIRECT("1:"&amp;LEN((--TRIM(RIGHT(SUBSTITUTE(LEFT(A397,_xlfn.AGGREGATE(16,6,FIND({0,1,2,3,4,5,6,7,8,9},A397,ROW(INDIRECT("1:"&amp;LEN(A397)))),1))," ",REPT(" ",LEN(A397))),LEN(A397))))))), 1)) * ROW(INDIRECT("1:"&amp;LEN((--TRIM(RIGHT(SUBSTITUTE(LEFT(A397,_xlfn.AGGREGATE(16,6,FIND({0,1,2,3,4,5,6,7,8,9},A397,ROW(INDIRECT("1:"&amp;LEN(A397)))),1))," ",REPT(" ",LEN(A397))),LEN(A397))))))), 0), ROW(INDIRECT("1:"&amp;LEN((--TRIM(RIGHT(SUBSTITUTE(LEFT(A397,_xlfn.AGGREGATE(16,6,FIND({0,1,2,3,4,5,6,7,8,9},A397,ROW(INDIRECT("1:"&amp;LEN(A397)))),1))," ",REPT(" ",LEN(A397))),LEN(A397))))))))+1, 1) * 10^ROW(INDIRECT("1:"&amp;LEN((--TRIM(RIGHT(SUBSTITUTE(LEFT(A397,_xlfn.AGGREGATE(16,6,FIND({0,1,2,3,4,5,6,7,8,9},A397,ROW(INDIRECT("1:"&amp;LEN(A397)))),1))," ",REPT(" ",LEN(A397))),LEN(A397)))))))/10))*100+1</f>
        <v>201 &amp; 501</v>
      </c>
      <c r="B398" s="153"/>
      <c r="C398" s="39"/>
      <c r="D398" s="39"/>
      <c r="E398" s="39">
        <v>0</v>
      </c>
      <c r="F398" s="39">
        <f>D398+E398</f>
        <v>0</v>
      </c>
      <c r="G398" s="39">
        <v>0</v>
      </c>
      <c r="H398" s="39">
        <f>F398*(($H$373)+1)+(IF(G398&lt;101,G398,IF(G398&lt;201,G398/2,IF(G398&lt;=301,G398/3,G398/4))))</f>
        <v>0</v>
      </c>
      <c r="I398" s="33"/>
    </row>
    <row r="399" spans="1:9" s="34" customFormat="1" ht="15.75" hidden="1" customHeight="1" x14ac:dyDescent="0.3">
      <c r="A399" s="152" t="str">
        <f ca="1">(SUMPRODUCT(MID(0&amp;(LEFT(A398,SUM(LEN(A398)-LEN(SUBSTITUTE(A398,{"0","1","2"},""))))), LARGE(INDEX(ISNUMBER(--MID((LEFT(A398,SUM(LEN(A398)-LEN(SUBSTITUTE(A398,{"0","1","2"},""))))), ROW(INDIRECT("1:"&amp;LEN((LEFT(A398,SUM(LEN(A398)-LEN(SUBSTITUTE(A398,{"0","1","2"},"")))))))), 1)) * ROW(INDIRECT("1:"&amp;LEN((LEFT(A398,SUM(LEN(A398)-LEN(SUBSTITUTE(A398,{"0","1","2"},"")))))))), 0), ROW(INDIRECT("1:"&amp;LEN((LEFT(A398,SUM(LEN(A398)-LEN(SUBSTITUTE(A398,{"0","1","2"},"")))))))))+1, 1) * 10^ROW(INDIRECT("1:"&amp;LEN((LEFT(A398,SUM(LEN(A398)-LEN(SUBSTITUTE(A398,{"0","1","2"},""))))))))/10))*1+1&amp;""&amp;" &amp; "&amp;""&amp;(SUMPRODUCT(MID(0&amp;(--TRIM(RIGHT(SUBSTITUTE(LEFT(A398,_xlfn.AGGREGATE(16,6,FIND({0,1,2,3,4,5,6,7,8,9},A398,ROW(INDIRECT("1:"&amp;LEN(A398)))),1))," ",REPT(" ",LEN(A398))),LEN(A398)))), LARGE(INDEX(ISNUMBER(--MID((--TRIM(RIGHT(SUBSTITUTE(LEFT(A398,_xlfn.AGGREGATE(16,6,FIND({0,1,2,3,4,5,6,7,8,9},A398,ROW(INDIRECT("1:"&amp;LEN(A398)))),1))," ",REPT(" ",LEN(A398))),LEN(A398)))), ROW(INDIRECT("1:"&amp;LEN((--TRIM(RIGHT(SUBSTITUTE(LEFT(A398,_xlfn.AGGREGATE(16,6,FIND({0,1,2,3,4,5,6,7,8,9},A398,ROW(INDIRECT("1:"&amp;LEN(A398)))),1))," ",REPT(" ",LEN(A398))),LEN(A398))))))), 1)) * ROW(INDIRECT("1:"&amp;LEN((--TRIM(RIGHT(SUBSTITUTE(LEFT(A398,_xlfn.AGGREGATE(16,6,FIND({0,1,2,3,4,5,6,7,8,9},A398,ROW(INDIRECT("1:"&amp;LEN(A398)))),1))," ",REPT(" ",LEN(A398))),LEN(A398))))))), 0), ROW(INDIRECT("1:"&amp;LEN((--TRIM(RIGHT(SUBSTITUTE(LEFT(A398,_xlfn.AGGREGATE(16,6,FIND({0,1,2,3,4,5,6,7,8,9},A398,ROW(INDIRECT("1:"&amp;LEN(A398)))),1))," ",REPT(" ",LEN(A398))),LEN(A398))))))))+1, 1) * 10^ROW(INDIRECT("1:"&amp;LEN((--TRIM(RIGHT(SUBSTITUTE(LEFT(A398,_xlfn.AGGREGATE(16,6,FIND({0,1,2,3,4,5,6,7,8,9},A398,ROW(INDIRECT("1:"&amp;LEN(A398)))),1))," ",REPT(" ",LEN(A398))),LEN(A398)))))))/10))*1+1</f>
        <v>202 &amp; 502</v>
      </c>
      <c r="B399" s="153"/>
      <c r="C399" s="39"/>
      <c r="D399" s="39"/>
      <c r="E399" s="39">
        <v>0</v>
      </c>
      <c r="F399" s="39">
        <f>D399+E399</f>
        <v>0</v>
      </c>
      <c r="G399" s="39">
        <v>0</v>
      </c>
      <c r="H399" s="39">
        <f>F399*(($H$373)+1)+(IF(G399&lt;101,G399,IF(G399&lt;201,G399/2,IF(G399&lt;=301,G399/3,G399/4))))</f>
        <v>0</v>
      </c>
      <c r="I399" s="33"/>
    </row>
    <row r="400" spans="1:9" s="34" customFormat="1" ht="15.75" hidden="1" customHeight="1" x14ac:dyDescent="0.3">
      <c r="A400" s="152" t="str">
        <f ca="1">(SUMPRODUCT(MID(0&amp;(LEFT(A399,SUM(LEN(A399)-LEN(SUBSTITUTE(A399,{"0","1","2"},""))))), LARGE(INDEX(ISNUMBER(--MID((LEFT(A399,SUM(LEN(A399)-LEN(SUBSTITUTE(A399,{"0","1","2"},""))))), ROW(INDIRECT("1:"&amp;LEN((LEFT(A399,SUM(LEN(A399)-LEN(SUBSTITUTE(A399,{"0","1","2"},"")))))))), 1)) * ROW(INDIRECT("1:"&amp;LEN((LEFT(A399,SUM(LEN(A399)-LEN(SUBSTITUTE(A399,{"0","1","2"},"")))))))), 0), ROW(INDIRECT("1:"&amp;LEN((LEFT(A399,SUM(LEN(A399)-LEN(SUBSTITUTE(A399,{"0","1","2"},"")))))))))+1, 1) * 10^ROW(INDIRECT("1:"&amp;LEN((LEFT(A399,SUM(LEN(A399)-LEN(SUBSTITUTE(A399,{"0","1","2"},""))))))))/10))*1+1&amp;""&amp;" &amp; "&amp;""&amp;(SUMPRODUCT(MID(0&amp;(--TRIM(RIGHT(SUBSTITUTE(LEFT(A399,_xlfn.AGGREGATE(16,6,FIND({0,1,2,3,4,5,6,7,8,9},A399,ROW(INDIRECT("1:"&amp;LEN(A399)))),1))," ",REPT(" ",LEN(A399))),LEN(A399)))), LARGE(INDEX(ISNUMBER(--MID((--TRIM(RIGHT(SUBSTITUTE(LEFT(A399,_xlfn.AGGREGATE(16,6,FIND({0,1,2,3,4,5,6,7,8,9},A399,ROW(INDIRECT("1:"&amp;LEN(A399)))),1))," ",REPT(" ",LEN(A399))),LEN(A399)))), ROW(INDIRECT("1:"&amp;LEN((--TRIM(RIGHT(SUBSTITUTE(LEFT(A399,_xlfn.AGGREGATE(16,6,FIND({0,1,2,3,4,5,6,7,8,9},A399,ROW(INDIRECT("1:"&amp;LEN(A399)))),1))," ",REPT(" ",LEN(A399))),LEN(A399))))))), 1)) * ROW(INDIRECT("1:"&amp;LEN((--TRIM(RIGHT(SUBSTITUTE(LEFT(A399,_xlfn.AGGREGATE(16,6,FIND({0,1,2,3,4,5,6,7,8,9},A399,ROW(INDIRECT("1:"&amp;LEN(A399)))),1))," ",REPT(" ",LEN(A399))),LEN(A399))))))), 0), ROW(INDIRECT("1:"&amp;LEN((--TRIM(RIGHT(SUBSTITUTE(LEFT(A399,_xlfn.AGGREGATE(16,6,FIND({0,1,2,3,4,5,6,7,8,9},A399,ROW(INDIRECT("1:"&amp;LEN(A399)))),1))," ",REPT(" ",LEN(A399))),LEN(A399))))))))+1, 1) * 10^ROW(INDIRECT("1:"&amp;LEN((--TRIM(RIGHT(SUBSTITUTE(LEFT(A399,_xlfn.AGGREGATE(16,6,FIND({0,1,2,3,4,5,6,7,8,9},A399,ROW(INDIRECT("1:"&amp;LEN(A399)))),1))," ",REPT(" ",LEN(A399))),LEN(A399)))))))/10))*1+1</f>
        <v>203 &amp; 503</v>
      </c>
      <c r="B400" s="153"/>
      <c r="C400" s="39"/>
      <c r="D400" s="39"/>
      <c r="E400" s="39">
        <v>0</v>
      </c>
      <c r="F400" s="39">
        <f>D400+E400</f>
        <v>0</v>
      </c>
      <c r="G400" s="39">
        <v>0</v>
      </c>
      <c r="H400" s="39">
        <f>F400*(($H$373)+1)+(IF(G400&lt;101,G400,IF(G400&lt;201,G400/2,IF(G400&lt;=301,G400/3,G400/4))))</f>
        <v>0</v>
      </c>
      <c r="I400" s="33"/>
    </row>
    <row r="401" spans="1:20" s="34" customFormat="1" ht="15.75" hidden="1" customHeight="1" x14ac:dyDescent="0.3">
      <c r="A401" s="152" t="str">
        <f ca="1">(SUMPRODUCT(MID(0&amp;(LEFT(A400,SUM(LEN(A400)-LEN(SUBSTITUTE(A400,{"0","1","2"},""))))), LARGE(INDEX(ISNUMBER(--MID((LEFT(A400,SUM(LEN(A400)-LEN(SUBSTITUTE(A400,{"0","1","2"},""))))), ROW(INDIRECT("1:"&amp;LEN((LEFT(A400,SUM(LEN(A400)-LEN(SUBSTITUTE(A400,{"0","1","2"},"")))))))), 1)) * ROW(INDIRECT("1:"&amp;LEN((LEFT(A400,SUM(LEN(A400)-LEN(SUBSTITUTE(A400,{"0","1","2"},"")))))))), 0), ROW(INDIRECT("1:"&amp;LEN((LEFT(A400,SUM(LEN(A400)-LEN(SUBSTITUTE(A400,{"0","1","2"},"")))))))))+1, 1) * 10^ROW(INDIRECT("1:"&amp;LEN((LEFT(A400,SUM(LEN(A400)-LEN(SUBSTITUTE(A400,{"0","1","2"},""))))))))/10))*1+1&amp;""&amp;" &amp; "&amp;""&amp;(SUMPRODUCT(MID(0&amp;(--TRIM(RIGHT(SUBSTITUTE(LEFT(A400,_xlfn.AGGREGATE(16,6,FIND({0,1,2,3,4,5,6,7,8,9},A400,ROW(INDIRECT("1:"&amp;LEN(A400)))),1))," ",REPT(" ",LEN(A400))),LEN(A400)))), LARGE(INDEX(ISNUMBER(--MID((--TRIM(RIGHT(SUBSTITUTE(LEFT(A400,_xlfn.AGGREGATE(16,6,FIND({0,1,2,3,4,5,6,7,8,9},A400,ROW(INDIRECT("1:"&amp;LEN(A400)))),1))," ",REPT(" ",LEN(A400))),LEN(A400)))), ROW(INDIRECT("1:"&amp;LEN((--TRIM(RIGHT(SUBSTITUTE(LEFT(A400,_xlfn.AGGREGATE(16,6,FIND({0,1,2,3,4,5,6,7,8,9},A400,ROW(INDIRECT("1:"&amp;LEN(A400)))),1))," ",REPT(" ",LEN(A400))),LEN(A400))))))), 1)) * ROW(INDIRECT("1:"&amp;LEN((--TRIM(RIGHT(SUBSTITUTE(LEFT(A400,_xlfn.AGGREGATE(16,6,FIND({0,1,2,3,4,5,6,7,8,9},A400,ROW(INDIRECT("1:"&amp;LEN(A400)))),1))," ",REPT(" ",LEN(A400))),LEN(A400))))))), 0), ROW(INDIRECT("1:"&amp;LEN((--TRIM(RIGHT(SUBSTITUTE(LEFT(A400,_xlfn.AGGREGATE(16,6,FIND({0,1,2,3,4,5,6,7,8,9},A400,ROW(INDIRECT("1:"&amp;LEN(A400)))),1))," ",REPT(" ",LEN(A400))),LEN(A400))))))))+1, 1) * 10^ROW(INDIRECT("1:"&amp;LEN((--TRIM(RIGHT(SUBSTITUTE(LEFT(A400,_xlfn.AGGREGATE(16,6,FIND({0,1,2,3,4,5,6,7,8,9},A400,ROW(INDIRECT("1:"&amp;LEN(A400)))),1))," ",REPT(" ",LEN(A400))),LEN(A400)))))))/10))*1+1</f>
        <v>204 &amp; 504</v>
      </c>
      <c r="B401" s="153"/>
      <c r="C401" s="39"/>
      <c r="D401" s="39"/>
      <c r="E401" s="39">
        <v>0</v>
      </c>
      <c r="F401" s="39">
        <f>D401+E401</f>
        <v>0</v>
      </c>
      <c r="G401" s="39">
        <v>0</v>
      </c>
      <c r="H401" s="39">
        <f>F401*(($H$373)+1)+(IF(G401&lt;101,G401,IF(G401&lt;201,G401/2,IF(G401&lt;=301,G401/3,G401/4))))</f>
        <v>0</v>
      </c>
      <c r="I401" s="33"/>
    </row>
    <row r="402" spans="1:20" s="34" customFormat="1" ht="15.75" hidden="1" customHeight="1" x14ac:dyDescent="0.3">
      <c r="A402" s="152" t="str">
        <f ca="1">(SUMPRODUCT(MID(0&amp;(LEFT(A401,SUM(LEN(A401)-LEN(SUBSTITUTE(A401,{"0","1","2"},""))))), LARGE(INDEX(ISNUMBER(--MID((LEFT(A401,SUM(LEN(A401)-LEN(SUBSTITUTE(A401,{"0","1","2"},""))))), ROW(INDIRECT("1:"&amp;LEN((LEFT(A401,SUM(LEN(A401)-LEN(SUBSTITUTE(A401,{"0","1","2"},"")))))))), 1)) * ROW(INDIRECT("1:"&amp;LEN((LEFT(A401,SUM(LEN(A401)-LEN(SUBSTITUTE(A401,{"0","1","2"},"")))))))), 0), ROW(INDIRECT("1:"&amp;LEN((LEFT(A401,SUM(LEN(A401)-LEN(SUBSTITUTE(A401,{"0","1","2"},"")))))))))+1, 1) * 10^ROW(INDIRECT("1:"&amp;LEN((LEFT(A401,SUM(LEN(A401)-LEN(SUBSTITUTE(A401,{"0","1","2"},""))))))))/10))*1+1&amp;""&amp;" &amp; "&amp;""&amp;(SUMPRODUCT(MID(0&amp;(--TRIM(RIGHT(SUBSTITUTE(LEFT(A401,_xlfn.AGGREGATE(16,6,FIND({0,1,2,3,4,5,6,7,8,9},A401,ROW(INDIRECT("1:"&amp;LEN(A401)))),1))," ",REPT(" ",LEN(A401))),LEN(A401)))), LARGE(INDEX(ISNUMBER(--MID((--TRIM(RIGHT(SUBSTITUTE(LEFT(A401,_xlfn.AGGREGATE(16,6,FIND({0,1,2,3,4,5,6,7,8,9},A401,ROW(INDIRECT("1:"&amp;LEN(A401)))),1))," ",REPT(" ",LEN(A401))),LEN(A401)))), ROW(INDIRECT("1:"&amp;LEN((--TRIM(RIGHT(SUBSTITUTE(LEFT(A401,_xlfn.AGGREGATE(16,6,FIND({0,1,2,3,4,5,6,7,8,9},A401,ROW(INDIRECT("1:"&amp;LEN(A401)))),1))," ",REPT(" ",LEN(A401))),LEN(A401))))))), 1)) * ROW(INDIRECT("1:"&amp;LEN((--TRIM(RIGHT(SUBSTITUTE(LEFT(A401,_xlfn.AGGREGATE(16,6,FIND({0,1,2,3,4,5,6,7,8,9},A401,ROW(INDIRECT("1:"&amp;LEN(A401)))),1))," ",REPT(" ",LEN(A401))),LEN(A401))))))), 0), ROW(INDIRECT("1:"&amp;LEN((--TRIM(RIGHT(SUBSTITUTE(LEFT(A401,_xlfn.AGGREGATE(16,6,FIND({0,1,2,3,4,5,6,7,8,9},A401,ROW(INDIRECT("1:"&amp;LEN(A401)))),1))," ",REPT(" ",LEN(A401))),LEN(A401))))))))+1, 1) * 10^ROW(INDIRECT("1:"&amp;LEN((--TRIM(RIGHT(SUBSTITUTE(LEFT(A401,_xlfn.AGGREGATE(16,6,FIND({0,1,2,3,4,5,6,7,8,9},A401,ROW(INDIRECT("1:"&amp;LEN(A401)))),1))," ",REPT(" ",LEN(A401))),LEN(A401)))))))/10))*1+1</f>
        <v>205 &amp; 505</v>
      </c>
      <c r="B402" s="153"/>
      <c r="C402" s="39"/>
      <c r="D402" s="39"/>
      <c r="E402" s="39">
        <v>0</v>
      </c>
      <c r="F402" s="39">
        <f>D402+E402</f>
        <v>0</v>
      </c>
      <c r="G402" s="39">
        <v>0</v>
      </c>
      <c r="H402" s="39">
        <f>F402*(($H$373)+1)+(IF(G402&lt;101,G402,IF(G402&lt;201,G402/2,IF(G402&lt;=301,G402/3,G402/4))))</f>
        <v>0</v>
      </c>
      <c r="I402" s="33"/>
    </row>
    <row r="403" spans="1:20" s="32" customFormat="1" x14ac:dyDescent="0.3">
      <c r="A403" s="244" t="s">
        <v>63</v>
      </c>
      <c r="B403" s="244"/>
      <c r="C403" s="244"/>
      <c r="D403" s="244"/>
      <c r="E403" s="244"/>
      <c r="F403" s="244"/>
      <c r="G403" s="244"/>
      <c r="H403" s="244"/>
      <c r="T403" s="34"/>
    </row>
    <row r="404" spans="1:20" s="32" customFormat="1" x14ac:dyDescent="0.3">
      <c r="A404" s="41" t="s">
        <v>153</v>
      </c>
      <c r="B404" s="124" t="s">
        <v>463</v>
      </c>
      <c r="C404" s="125"/>
      <c r="D404" s="125"/>
      <c r="E404" s="125"/>
      <c r="F404" s="125"/>
      <c r="G404" s="125"/>
      <c r="H404" s="126"/>
      <c r="T404" s="34"/>
    </row>
    <row r="405" spans="1:20" s="32" customFormat="1" hidden="1" x14ac:dyDescent="0.3">
      <c r="A405" s="41" t="s">
        <v>153</v>
      </c>
      <c r="B405" s="124" t="str">
        <f>(IF(H372="Saleable area Loading :","We have considered Saleable area of Flats as per our Calculation.","We considered Saleable area of Flat as per Builder area Sheet."))</f>
        <v>We have considered Saleable area of Flats as per our Calculation.</v>
      </c>
      <c r="C405" s="125"/>
      <c r="D405" s="125"/>
      <c r="E405" s="125"/>
      <c r="F405" s="125"/>
      <c r="G405" s="125"/>
      <c r="H405" s="126"/>
      <c r="T405" s="34"/>
    </row>
    <row r="406" spans="1:20" s="32" customFormat="1" x14ac:dyDescent="0.3">
      <c r="A406" s="41" t="s">
        <v>153</v>
      </c>
      <c r="B406" s="124" t="str">
        <f>(IF(H134="Saleable area Loading :","We have considered Saleable area of Commercial as per our Calculation.","We considered Saleable area of Commercial as per Builder area Sheet."))</f>
        <v>We have considered Saleable area of Commercial as per our Calculation.</v>
      </c>
      <c r="C406" s="125"/>
      <c r="D406" s="125"/>
      <c r="E406" s="125"/>
      <c r="F406" s="125"/>
      <c r="G406" s="125"/>
      <c r="H406" s="126"/>
      <c r="T406" s="34"/>
    </row>
    <row r="407" spans="1:20" s="32" customFormat="1" x14ac:dyDescent="0.3">
      <c r="A407" s="41" t="s">
        <v>153</v>
      </c>
      <c r="B407" s="149" t="s">
        <v>120</v>
      </c>
      <c r="C407" s="150"/>
      <c r="D407" s="150"/>
      <c r="E407" s="150"/>
      <c r="F407" s="150"/>
      <c r="G407" s="150"/>
      <c r="H407" s="151"/>
      <c r="T407" s="34"/>
    </row>
    <row r="408" spans="1:20" s="32" customFormat="1" x14ac:dyDescent="0.3">
      <c r="A408" s="41" t="s">
        <v>153</v>
      </c>
      <c r="B408" s="124" t="s">
        <v>451</v>
      </c>
      <c r="C408" s="125"/>
      <c r="D408" s="125"/>
      <c r="E408" s="125"/>
      <c r="F408" s="125"/>
      <c r="G408" s="125"/>
      <c r="H408" s="126"/>
      <c r="T408" s="34"/>
    </row>
    <row r="409" spans="1:20" s="32" customFormat="1" x14ac:dyDescent="0.3">
      <c r="A409" s="41" t="s">
        <v>153</v>
      </c>
      <c r="B409" s="149" t="s">
        <v>152</v>
      </c>
      <c r="C409" s="150"/>
      <c r="D409" s="150"/>
      <c r="E409" s="150"/>
      <c r="F409" s="150"/>
      <c r="G409" s="150"/>
      <c r="H409" s="151"/>
    </row>
    <row r="410" spans="1:20" s="32" customFormat="1" x14ac:dyDescent="0.3">
      <c r="A410" s="41" t="s">
        <v>153</v>
      </c>
      <c r="B410" s="149" t="s">
        <v>121</v>
      </c>
      <c r="C410" s="150"/>
      <c r="D410" s="150"/>
      <c r="E410" s="150"/>
      <c r="F410" s="150"/>
      <c r="G410" s="150"/>
      <c r="H410" s="151"/>
    </row>
    <row r="411" spans="1:20" s="32" customFormat="1" ht="34.5" customHeight="1" x14ac:dyDescent="0.3">
      <c r="A411" s="41" t="s">
        <v>153</v>
      </c>
      <c r="B411" s="124" t="s">
        <v>154</v>
      </c>
      <c r="C411" s="125"/>
      <c r="D411" s="125"/>
      <c r="E411" s="125"/>
      <c r="F411" s="125"/>
      <c r="G411" s="125"/>
      <c r="H411" s="126"/>
    </row>
    <row r="412" spans="1:20" s="32" customFormat="1" x14ac:dyDescent="0.3">
      <c r="A412" s="41" t="s">
        <v>153</v>
      </c>
      <c r="B412" s="149" t="s">
        <v>122</v>
      </c>
      <c r="C412" s="150"/>
      <c r="D412" s="150"/>
      <c r="E412" s="150"/>
      <c r="F412" s="150"/>
      <c r="G412" s="150"/>
      <c r="H412" s="151"/>
    </row>
    <row r="413" spans="1:20" s="32" customFormat="1" ht="32.25" hidden="1" customHeight="1" x14ac:dyDescent="0.3">
      <c r="A413" s="41" t="s">
        <v>153</v>
      </c>
      <c r="B413" s="117" t="s">
        <v>175</v>
      </c>
      <c r="C413" s="118"/>
      <c r="D413" s="118"/>
      <c r="E413" s="118"/>
      <c r="F413" s="118"/>
      <c r="G413" s="118"/>
      <c r="H413" s="119"/>
    </row>
    <row r="414" spans="1:20" s="32" customFormat="1" ht="38.25" hidden="1" customHeight="1" x14ac:dyDescent="0.3">
      <c r="A414" s="41" t="s">
        <v>153</v>
      </c>
      <c r="B414" s="117" t="s">
        <v>347</v>
      </c>
      <c r="C414" s="118"/>
      <c r="D414" s="118"/>
      <c r="E414" s="118"/>
      <c r="F414" s="118"/>
      <c r="G414" s="118"/>
      <c r="H414" s="119"/>
    </row>
    <row r="415" spans="1:20" s="32" customFormat="1" hidden="1" x14ac:dyDescent="0.3">
      <c r="A415" s="41" t="s">
        <v>153</v>
      </c>
      <c r="B415" s="117" t="s">
        <v>349</v>
      </c>
      <c r="C415" s="118"/>
      <c r="D415" s="118"/>
      <c r="E415" s="118"/>
      <c r="F415" s="118"/>
      <c r="G415" s="118"/>
      <c r="H415" s="119"/>
    </row>
    <row r="416" spans="1:20" s="32" customFormat="1" hidden="1" x14ac:dyDescent="0.3">
      <c r="A416" s="41" t="s">
        <v>153</v>
      </c>
      <c r="B416" s="117" t="str">
        <f ca="1">IF(G53&gt;EDATE(E3,-48),"NO REMARK FOR CC","REMARK FOR CC")</f>
        <v>NO REMARK FOR CC</v>
      </c>
      <c r="C416" s="118"/>
      <c r="D416" s="118"/>
      <c r="E416" s="118"/>
      <c r="F416" s="118"/>
      <c r="G416" s="118"/>
      <c r="H416" s="119"/>
    </row>
    <row r="417" spans="1:20" s="32" customFormat="1" ht="81.75" hidden="1" customHeight="1" x14ac:dyDescent="0.3">
      <c r="A417" s="41" t="s">
        <v>153</v>
      </c>
      <c r="B417" s="117" t="s">
        <v>350</v>
      </c>
      <c r="C417" s="118"/>
      <c r="D417" s="118"/>
      <c r="E417" s="118"/>
      <c r="F417" s="118"/>
      <c r="G417" s="118"/>
      <c r="H417" s="119"/>
    </row>
    <row r="418" spans="1:20" x14ac:dyDescent="0.3">
      <c r="A418" s="103" t="s">
        <v>56</v>
      </c>
      <c r="B418" s="103"/>
      <c r="C418" s="103"/>
      <c r="D418" s="103"/>
      <c r="E418" s="103"/>
      <c r="F418" s="103"/>
      <c r="G418" s="103"/>
      <c r="H418" s="103"/>
      <c r="T418" s="32"/>
    </row>
    <row r="419" spans="1:20" x14ac:dyDescent="0.3">
      <c r="A419" s="111" t="s">
        <v>57</v>
      </c>
      <c r="B419" s="111"/>
      <c r="C419" s="111"/>
      <c r="D419" s="111"/>
      <c r="E419" s="111"/>
      <c r="F419" s="111"/>
      <c r="G419" s="111"/>
      <c r="H419" s="111"/>
      <c r="T419" s="32"/>
    </row>
    <row r="420" spans="1:20" ht="15.75" customHeight="1" x14ac:dyDescent="0.3">
      <c r="A420" s="242" t="s">
        <v>58</v>
      </c>
      <c r="B420" s="242"/>
      <c r="C420" s="242"/>
      <c r="D420" s="242"/>
      <c r="E420" s="242"/>
      <c r="F420" s="242"/>
      <c r="G420" s="242"/>
      <c r="H420" s="242"/>
      <c r="T420" s="32"/>
    </row>
    <row r="421" spans="1:20" x14ac:dyDescent="0.3">
      <c r="A421" s="111" t="s">
        <v>59</v>
      </c>
      <c r="B421" s="111"/>
      <c r="C421" s="111"/>
      <c r="D421" s="111"/>
      <c r="E421" s="111"/>
      <c r="F421" s="111"/>
      <c r="G421" s="111"/>
      <c r="H421" s="111"/>
      <c r="T421" s="32"/>
    </row>
    <row r="422" spans="1:20" x14ac:dyDescent="0.3">
      <c r="A422" s="111" t="s">
        <v>60</v>
      </c>
      <c r="B422" s="111"/>
      <c r="C422" s="111"/>
      <c r="D422" s="111"/>
      <c r="E422" s="111"/>
      <c r="F422" s="111"/>
      <c r="G422" s="111"/>
      <c r="H422" s="111"/>
      <c r="T422" s="32"/>
    </row>
    <row r="423" spans="1:20" x14ac:dyDescent="0.3">
      <c r="A423" s="111" t="s">
        <v>123</v>
      </c>
      <c r="B423" s="111"/>
      <c r="C423" s="111"/>
      <c r="D423" s="111"/>
      <c r="E423" s="111"/>
      <c r="F423" s="111"/>
      <c r="G423" s="111"/>
      <c r="H423" s="111"/>
      <c r="T423" s="32"/>
    </row>
    <row r="424" spans="1:20" ht="33.9" customHeight="1" x14ac:dyDescent="0.3">
      <c r="A424" s="112" t="s">
        <v>124</v>
      </c>
      <c r="B424" s="112"/>
      <c r="C424" s="112"/>
      <c r="D424" s="112"/>
      <c r="E424" s="112"/>
      <c r="F424" s="112"/>
      <c r="G424" s="112"/>
      <c r="H424" s="112"/>
    </row>
    <row r="425" spans="1:20" x14ac:dyDescent="0.3">
      <c r="A425" s="235" t="s">
        <v>72</v>
      </c>
      <c r="B425" s="235"/>
      <c r="C425" s="235" t="s">
        <v>453</v>
      </c>
      <c r="D425" s="235"/>
      <c r="E425" s="235" t="s">
        <v>102</v>
      </c>
      <c r="F425" s="235"/>
      <c r="G425" s="235" t="s">
        <v>452</v>
      </c>
      <c r="H425" s="235"/>
    </row>
    <row r="426" spans="1:20" x14ac:dyDescent="0.3">
      <c r="A426" s="234" t="s">
        <v>74</v>
      </c>
      <c r="B426" s="234"/>
      <c r="C426" s="234"/>
      <c r="D426" s="234"/>
      <c r="E426" s="234"/>
      <c r="F426" s="234"/>
      <c r="G426" s="234"/>
      <c r="H426" s="234"/>
    </row>
    <row r="427" spans="1:20" x14ac:dyDescent="0.3">
      <c r="A427" s="234"/>
      <c r="B427" s="234"/>
      <c r="C427" s="234"/>
      <c r="D427" s="234"/>
      <c r="E427" s="234"/>
      <c r="F427" s="234"/>
      <c r="G427" s="234"/>
      <c r="H427" s="234"/>
    </row>
    <row r="428" spans="1:20" x14ac:dyDescent="0.3">
      <c r="A428" s="234"/>
      <c r="B428" s="234"/>
      <c r="C428" s="234"/>
      <c r="D428" s="234"/>
      <c r="E428" s="234"/>
      <c r="F428" s="234"/>
      <c r="G428" s="234"/>
      <c r="H428" s="234"/>
    </row>
    <row r="429" spans="1:20" x14ac:dyDescent="0.3">
      <c r="A429" s="234"/>
      <c r="B429" s="234"/>
      <c r="C429" s="234"/>
      <c r="D429" s="234"/>
      <c r="E429" s="234"/>
      <c r="F429" s="234"/>
      <c r="G429" s="234"/>
      <c r="H429" s="234"/>
    </row>
    <row r="430" spans="1:20" x14ac:dyDescent="0.3">
      <c r="A430" s="35" t="s">
        <v>61</v>
      </c>
      <c r="B430" s="36"/>
      <c r="C430" s="36"/>
      <c r="D430" s="35" t="str">
        <f>E9</f>
        <v>Vedant Connect</v>
      </c>
      <c r="F430" s="36"/>
      <c r="G430" s="36"/>
      <c r="H430" s="36"/>
    </row>
    <row r="431" spans="1:20" x14ac:dyDescent="0.3">
      <c r="A431" s="36"/>
      <c r="B431" s="36"/>
      <c r="C431" s="36"/>
      <c r="D431" s="36"/>
      <c r="E431" s="36"/>
      <c r="F431" s="36"/>
      <c r="G431" s="36"/>
      <c r="H431" s="36"/>
    </row>
    <row r="432" spans="1:20" x14ac:dyDescent="0.3">
      <c r="A432" s="36"/>
      <c r="B432" s="36"/>
      <c r="C432" s="36"/>
      <c r="D432" s="36"/>
      <c r="E432" s="36"/>
      <c r="F432" s="36"/>
      <c r="G432" s="36"/>
      <c r="H432" s="36"/>
    </row>
    <row r="433" ht="15" customHeight="1" x14ac:dyDescent="0.3"/>
    <row r="472" spans="1:1" x14ac:dyDescent="0.3">
      <c r="A472" s="38" t="s">
        <v>162</v>
      </c>
    </row>
    <row r="514" spans="1:1" x14ac:dyDescent="0.3">
      <c r="A514" s="38" t="s">
        <v>62</v>
      </c>
    </row>
  </sheetData>
  <mergeCells count="800">
    <mergeCell ref="A367:B367"/>
    <mergeCell ref="L367:M367"/>
    <mergeCell ref="A368:B368"/>
    <mergeCell ref="L368:M368"/>
    <mergeCell ref="A369:B369"/>
    <mergeCell ref="L369:M369"/>
    <mergeCell ref="A370:B370"/>
    <mergeCell ref="L370:M370"/>
    <mergeCell ref="C363:H370"/>
    <mergeCell ref="A363:B363"/>
    <mergeCell ref="L363:M363"/>
    <mergeCell ref="A364:B364"/>
    <mergeCell ref="L364:M364"/>
    <mergeCell ref="A365:B365"/>
    <mergeCell ref="L365:M365"/>
    <mergeCell ref="A366:B366"/>
    <mergeCell ref="L366:M366"/>
    <mergeCell ref="A361:B361"/>
    <mergeCell ref="L361:M361"/>
    <mergeCell ref="A362:B362"/>
    <mergeCell ref="L362:M362"/>
    <mergeCell ref="A353:B353"/>
    <mergeCell ref="L353:M353"/>
    <mergeCell ref="A354:B354"/>
    <mergeCell ref="L354:M354"/>
    <mergeCell ref="A355:B355"/>
    <mergeCell ref="L355:M355"/>
    <mergeCell ref="A356:B356"/>
    <mergeCell ref="L356:M356"/>
    <mergeCell ref="A357:B357"/>
    <mergeCell ref="L357:M357"/>
    <mergeCell ref="A358:B358"/>
    <mergeCell ref="L358:M358"/>
    <mergeCell ref="A359:B359"/>
    <mergeCell ref="L359:M359"/>
    <mergeCell ref="C355:H355"/>
    <mergeCell ref="A360:H360"/>
    <mergeCell ref="A348:B348"/>
    <mergeCell ref="L348:M348"/>
    <mergeCell ref="A349:H349"/>
    <mergeCell ref="A350:B350"/>
    <mergeCell ref="L350:M350"/>
    <mergeCell ref="A351:B351"/>
    <mergeCell ref="L351:M351"/>
    <mergeCell ref="A352:B352"/>
    <mergeCell ref="L352:M352"/>
    <mergeCell ref="A343:B343"/>
    <mergeCell ref="L343:M343"/>
    <mergeCell ref="A344:B344"/>
    <mergeCell ref="L344:M344"/>
    <mergeCell ref="A345:B345"/>
    <mergeCell ref="L345:M345"/>
    <mergeCell ref="A346:B346"/>
    <mergeCell ref="L346:M346"/>
    <mergeCell ref="A347:B347"/>
    <mergeCell ref="L347:M347"/>
    <mergeCell ref="A338:H338"/>
    <mergeCell ref="A339:B339"/>
    <mergeCell ref="L339:M339"/>
    <mergeCell ref="A340:B340"/>
    <mergeCell ref="L340:M340"/>
    <mergeCell ref="A341:B341"/>
    <mergeCell ref="L341:M341"/>
    <mergeCell ref="A342:B342"/>
    <mergeCell ref="L342:M342"/>
    <mergeCell ref="A333:B333"/>
    <mergeCell ref="L333:M333"/>
    <mergeCell ref="A334:B334"/>
    <mergeCell ref="L334:M334"/>
    <mergeCell ref="A335:B335"/>
    <mergeCell ref="L335:M335"/>
    <mergeCell ref="A336:B336"/>
    <mergeCell ref="L336:M336"/>
    <mergeCell ref="A337:B337"/>
    <mergeCell ref="L337:M337"/>
    <mergeCell ref="A328:B328"/>
    <mergeCell ref="L328:M328"/>
    <mergeCell ref="A329:B329"/>
    <mergeCell ref="L329:M329"/>
    <mergeCell ref="A330:B330"/>
    <mergeCell ref="L330:M330"/>
    <mergeCell ref="A331:B331"/>
    <mergeCell ref="L331:M331"/>
    <mergeCell ref="A332:B332"/>
    <mergeCell ref="L332:M332"/>
    <mergeCell ref="A323:B323"/>
    <mergeCell ref="L323:M323"/>
    <mergeCell ref="A324:B324"/>
    <mergeCell ref="L324:M324"/>
    <mergeCell ref="A325:B325"/>
    <mergeCell ref="L325:M325"/>
    <mergeCell ref="A326:B326"/>
    <mergeCell ref="L326:M326"/>
    <mergeCell ref="A327:H327"/>
    <mergeCell ref="A318:B318"/>
    <mergeCell ref="L318:M318"/>
    <mergeCell ref="A319:B319"/>
    <mergeCell ref="L319:M319"/>
    <mergeCell ref="A320:B320"/>
    <mergeCell ref="L320:M320"/>
    <mergeCell ref="A321:B321"/>
    <mergeCell ref="L321:M321"/>
    <mergeCell ref="A322:B322"/>
    <mergeCell ref="L322:M322"/>
    <mergeCell ref="A313:B313"/>
    <mergeCell ref="L313:M313"/>
    <mergeCell ref="A314:B314"/>
    <mergeCell ref="L314:M314"/>
    <mergeCell ref="A315:B315"/>
    <mergeCell ref="L315:M315"/>
    <mergeCell ref="A316:H316"/>
    <mergeCell ref="A317:B317"/>
    <mergeCell ref="L317:M317"/>
    <mergeCell ref="A308:B308"/>
    <mergeCell ref="L308:M308"/>
    <mergeCell ref="A309:B309"/>
    <mergeCell ref="L309:M309"/>
    <mergeCell ref="A310:B310"/>
    <mergeCell ref="L310:M310"/>
    <mergeCell ref="A311:B311"/>
    <mergeCell ref="L311:M311"/>
    <mergeCell ref="A312:B312"/>
    <mergeCell ref="L312:M312"/>
    <mergeCell ref="A303:B303"/>
    <mergeCell ref="L303:M303"/>
    <mergeCell ref="A304:B304"/>
    <mergeCell ref="L304:M304"/>
    <mergeCell ref="C300:H300"/>
    <mergeCell ref="A305:H305"/>
    <mergeCell ref="A306:B306"/>
    <mergeCell ref="L306:M306"/>
    <mergeCell ref="A307:B307"/>
    <mergeCell ref="L307:M307"/>
    <mergeCell ref="A298:B298"/>
    <mergeCell ref="L298:M298"/>
    <mergeCell ref="A299:B299"/>
    <mergeCell ref="L299:M299"/>
    <mergeCell ref="A300:B300"/>
    <mergeCell ref="L300:M300"/>
    <mergeCell ref="A301:B301"/>
    <mergeCell ref="L301:M301"/>
    <mergeCell ref="A302:B302"/>
    <mergeCell ref="L302:M302"/>
    <mergeCell ref="A293:B293"/>
    <mergeCell ref="L293:M293"/>
    <mergeCell ref="A294:H294"/>
    <mergeCell ref="A295:B295"/>
    <mergeCell ref="L295:M295"/>
    <mergeCell ref="A296:B296"/>
    <mergeCell ref="L296:M296"/>
    <mergeCell ref="A297:B297"/>
    <mergeCell ref="L297:M297"/>
    <mergeCell ref="A288:B288"/>
    <mergeCell ref="L288:M288"/>
    <mergeCell ref="A289:B289"/>
    <mergeCell ref="L289:M289"/>
    <mergeCell ref="A290:B290"/>
    <mergeCell ref="L290:M290"/>
    <mergeCell ref="A291:B291"/>
    <mergeCell ref="L291:M291"/>
    <mergeCell ref="A292:B292"/>
    <mergeCell ref="L292:M292"/>
    <mergeCell ref="A283:H283"/>
    <mergeCell ref="A284:B284"/>
    <mergeCell ref="L284:M284"/>
    <mergeCell ref="A285:B285"/>
    <mergeCell ref="L285:M285"/>
    <mergeCell ref="A286:B286"/>
    <mergeCell ref="L286:M286"/>
    <mergeCell ref="A287:B287"/>
    <mergeCell ref="L287:M287"/>
    <mergeCell ref="A279:B279"/>
    <mergeCell ref="L279:M279"/>
    <mergeCell ref="A280:B280"/>
    <mergeCell ref="L280:M280"/>
    <mergeCell ref="A281:B281"/>
    <mergeCell ref="L281:M281"/>
    <mergeCell ref="A282:B282"/>
    <mergeCell ref="L282:M282"/>
    <mergeCell ref="A274:B274"/>
    <mergeCell ref="L274:M274"/>
    <mergeCell ref="A275:B275"/>
    <mergeCell ref="L275:M275"/>
    <mergeCell ref="A276:B276"/>
    <mergeCell ref="L276:M276"/>
    <mergeCell ref="A277:B277"/>
    <mergeCell ref="L277:M277"/>
    <mergeCell ref="A278:B278"/>
    <mergeCell ref="L278:M278"/>
    <mergeCell ref="A270:B270"/>
    <mergeCell ref="L270:M270"/>
    <mergeCell ref="A271:B271"/>
    <mergeCell ref="L271:M271"/>
    <mergeCell ref="C267:H267"/>
    <mergeCell ref="A272:H272"/>
    <mergeCell ref="A273:B273"/>
    <mergeCell ref="L273:M273"/>
    <mergeCell ref="A265:B265"/>
    <mergeCell ref="L265:M265"/>
    <mergeCell ref="A266:B266"/>
    <mergeCell ref="L266:M266"/>
    <mergeCell ref="A267:B267"/>
    <mergeCell ref="L267:M267"/>
    <mergeCell ref="A268:B268"/>
    <mergeCell ref="L268:M268"/>
    <mergeCell ref="A269:B269"/>
    <mergeCell ref="L269:M269"/>
    <mergeCell ref="A260:B260"/>
    <mergeCell ref="L260:M260"/>
    <mergeCell ref="C251:H259"/>
    <mergeCell ref="A261:H261"/>
    <mergeCell ref="A262:B262"/>
    <mergeCell ref="L262:M262"/>
    <mergeCell ref="A263:B263"/>
    <mergeCell ref="L263:M263"/>
    <mergeCell ref="A264:B264"/>
    <mergeCell ref="L264:M264"/>
    <mergeCell ref="A255:B255"/>
    <mergeCell ref="L255:M255"/>
    <mergeCell ref="A256:B256"/>
    <mergeCell ref="L256:M256"/>
    <mergeCell ref="A257:B257"/>
    <mergeCell ref="L257:M257"/>
    <mergeCell ref="A258:B258"/>
    <mergeCell ref="L258:M258"/>
    <mergeCell ref="A259:B259"/>
    <mergeCell ref="L259:M259"/>
    <mergeCell ref="A250:B250"/>
    <mergeCell ref="L250:M250"/>
    <mergeCell ref="A251:B251"/>
    <mergeCell ref="L251:M251"/>
    <mergeCell ref="A252:B252"/>
    <mergeCell ref="L252:M252"/>
    <mergeCell ref="A253:B253"/>
    <mergeCell ref="L253:M253"/>
    <mergeCell ref="A254:B254"/>
    <mergeCell ref="L254:M254"/>
    <mergeCell ref="A245:B245"/>
    <mergeCell ref="L245:M245"/>
    <mergeCell ref="A246:B246"/>
    <mergeCell ref="L246:M246"/>
    <mergeCell ref="A247:B247"/>
    <mergeCell ref="L247:M247"/>
    <mergeCell ref="A248:B248"/>
    <mergeCell ref="L248:M248"/>
    <mergeCell ref="A249:H249"/>
    <mergeCell ref="A240:B240"/>
    <mergeCell ref="L240:M240"/>
    <mergeCell ref="A241:B241"/>
    <mergeCell ref="L241:M241"/>
    <mergeCell ref="A242:B242"/>
    <mergeCell ref="L242:M242"/>
    <mergeCell ref="A243:B243"/>
    <mergeCell ref="L243:M243"/>
    <mergeCell ref="A244:B244"/>
    <mergeCell ref="L244:M244"/>
    <mergeCell ref="A235:B235"/>
    <mergeCell ref="L235:M235"/>
    <mergeCell ref="A236:B236"/>
    <mergeCell ref="L236:M236"/>
    <mergeCell ref="A237:H237"/>
    <mergeCell ref="A238:B238"/>
    <mergeCell ref="L238:M238"/>
    <mergeCell ref="A239:B239"/>
    <mergeCell ref="L239:M239"/>
    <mergeCell ref="A230:B230"/>
    <mergeCell ref="L230:M230"/>
    <mergeCell ref="A231:B231"/>
    <mergeCell ref="L231:M231"/>
    <mergeCell ref="A232:B232"/>
    <mergeCell ref="L232:M232"/>
    <mergeCell ref="A233:B233"/>
    <mergeCell ref="L233:M233"/>
    <mergeCell ref="A234:B234"/>
    <mergeCell ref="L234:M234"/>
    <mergeCell ref="A225:H225"/>
    <mergeCell ref="A226:B226"/>
    <mergeCell ref="L226:M226"/>
    <mergeCell ref="A227:B227"/>
    <mergeCell ref="L227:M227"/>
    <mergeCell ref="A228:B228"/>
    <mergeCell ref="L228:M228"/>
    <mergeCell ref="A229:B229"/>
    <mergeCell ref="L229:M229"/>
    <mergeCell ref="A221:B221"/>
    <mergeCell ref="L221:M221"/>
    <mergeCell ref="A222:B222"/>
    <mergeCell ref="L222:M222"/>
    <mergeCell ref="A223:B223"/>
    <mergeCell ref="L223:M223"/>
    <mergeCell ref="A224:B224"/>
    <mergeCell ref="L224:M224"/>
    <mergeCell ref="A216:B216"/>
    <mergeCell ref="L216:M216"/>
    <mergeCell ref="A217:B217"/>
    <mergeCell ref="L217:M217"/>
    <mergeCell ref="A218:B218"/>
    <mergeCell ref="L218:M218"/>
    <mergeCell ref="A219:B219"/>
    <mergeCell ref="L219:M219"/>
    <mergeCell ref="A220:B220"/>
    <mergeCell ref="L220:M220"/>
    <mergeCell ref="A211:B211"/>
    <mergeCell ref="L211:M211"/>
    <mergeCell ref="A212:B212"/>
    <mergeCell ref="L212:M212"/>
    <mergeCell ref="C207:H207"/>
    <mergeCell ref="A213:H213"/>
    <mergeCell ref="A214:B214"/>
    <mergeCell ref="L214:M214"/>
    <mergeCell ref="A215:B215"/>
    <mergeCell ref="L215:M215"/>
    <mergeCell ref="A206:B206"/>
    <mergeCell ref="L206:M206"/>
    <mergeCell ref="A207:B207"/>
    <mergeCell ref="L207:M207"/>
    <mergeCell ref="A208:B208"/>
    <mergeCell ref="L208:M208"/>
    <mergeCell ref="A209:B209"/>
    <mergeCell ref="L209:M209"/>
    <mergeCell ref="A210:B210"/>
    <mergeCell ref="L210:M210"/>
    <mergeCell ref="A201:B201"/>
    <mergeCell ref="L201:M201"/>
    <mergeCell ref="A202:B202"/>
    <mergeCell ref="L202:M202"/>
    <mergeCell ref="A203:B203"/>
    <mergeCell ref="L203:M203"/>
    <mergeCell ref="A204:B204"/>
    <mergeCell ref="L204:M204"/>
    <mergeCell ref="A205:B205"/>
    <mergeCell ref="L205:M205"/>
    <mergeCell ref="A196:B196"/>
    <mergeCell ref="L196:M196"/>
    <mergeCell ref="A197:B197"/>
    <mergeCell ref="L197:M197"/>
    <mergeCell ref="A198:B198"/>
    <mergeCell ref="L198:M198"/>
    <mergeCell ref="A199:B199"/>
    <mergeCell ref="L199:M199"/>
    <mergeCell ref="A200:H200"/>
    <mergeCell ref="A191:B191"/>
    <mergeCell ref="L191:M191"/>
    <mergeCell ref="A192:B192"/>
    <mergeCell ref="L192:M192"/>
    <mergeCell ref="A193:B193"/>
    <mergeCell ref="L193:M193"/>
    <mergeCell ref="A194:B194"/>
    <mergeCell ref="L194:M194"/>
    <mergeCell ref="A195:B195"/>
    <mergeCell ref="L195:M195"/>
    <mergeCell ref="A186:B186"/>
    <mergeCell ref="L186:M186"/>
    <mergeCell ref="A187:H187"/>
    <mergeCell ref="A188:B188"/>
    <mergeCell ref="L188:M188"/>
    <mergeCell ref="A189:B189"/>
    <mergeCell ref="L189:M189"/>
    <mergeCell ref="A190:B190"/>
    <mergeCell ref="L190:M190"/>
    <mergeCell ref="A181:B181"/>
    <mergeCell ref="L181:M181"/>
    <mergeCell ref="A182:B182"/>
    <mergeCell ref="L182:M182"/>
    <mergeCell ref="A183:B183"/>
    <mergeCell ref="L183:M183"/>
    <mergeCell ref="A184:B184"/>
    <mergeCell ref="L184:M184"/>
    <mergeCell ref="A185:B185"/>
    <mergeCell ref="L185:M185"/>
    <mergeCell ref="A176:B176"/>
    <mergeCell ref="L176:M176"/>
    <mergeCell ref="A177:B177"/>
    <mergeCell ref="L177:M177"/>
    <mergeCell ref="A178:B178"/>
    <mergeCell ref="L178:M178"/>
    <mergeCell ref="A179:B179"/>
    <mergeCell ref="L179:M179"/>
    <mergeCell ref="A180:B180"/>
    <mergeCell ref="L180:M180"/>
    <mergeCell ref="A171:B171"/>
    <mergeCell ref="L171:M171"/>
    <mergeCell ref="A172:B172"/>
    <mergeCell ref="L172:M172"/>
    <mergeCell ref="A173:B173"/>
    <mergeCell ref="L173:M173"/>
    <mergeCell ref="A174:H174"/>
    <mergeCell ref="A175:B175"/>
    <mergeCell ref="L175:M175"/>
    <mergeCell ref="A166:B166"/>
    <mergeCell ref="L166:M166"/>
    <mergeCell ref="A167:B167"/>
    <mergeCell ref="L167:M167"/>
    <mergeCell ref="A168:B168"/>
    <mergeCell ref="L168:M168"/>
    <mergeCell ref="A169:B169"/>
    <mergeCell ref="L169:M169"/>
    <mergeCell ref="A170:B170"/>
    <mergeCell ref="L170:M170"/>
    <mergeCell ref="A161:H161"/>
    <mergeCell ref="A162:B162"/>
    <mergeCell ref="L162:M162"/>
    <mergeCell ref="A163:B163"/>
    <mergeCell ref="L163:M163"/>
    <mergeCell ref="A164:B164"/>
    <mergeCell ref="L164:M164"/>
    <mergeCell ref="A165:B165"/>
    <mergeCell ref="L165:M165"/>
    <mergeCell ref="E129:F129"/>
    <mergeCell ref="C144:H144"/>
    <mergeCell ref="C145:H145"/>
    <mergeCell ref="A151:H151"/>
    <mergeCell ref="L142:M142"/>
    <mergeCell ref="A143:H143"/>
    <mergeCell ref="A144:B144"/>
    <mergeCell ref="L144:M144"/>
    <mergeCell ref="A145:B145"/>
    <mergeCell ref="L145:M145"/>
    <mergeCell ref="A146:B146"/>
    <mergeCell ref="L146:M146"/>
    <mergeCell ref="A147:B147"/>
    <mergeCell ref="L147:M147"/>
    <mergeCell ref="L148:M148"/>
    <mergeCell ref="A149:B149"/>
    <mergeCell ref="L149:M149"/>
    <mergeCell ref="A150:B150"/>
    <mergeCell ref="L150:M150"/>
    <mergeCell ref="F134:F135"/>
    <mergeCell ref="B134:B135"/>
    <mergeCell ref="A134:A135"/>
    <mergeCell ref="A89:B89"/>
    <mergeCell ref="A84:B84"/>
    <mergeCell ref="A83:B83"/>
    <mergeCell ref="E79:F79"/>
    <mergeCell ref="A81:B81"/>
    <mergeCell ref="E127:F127"/>
    <mergeCell ref="A86:B86"/>
    <mergeCell ref="A107:E107"/>
    <mergeCell ref="F107:H107"/>
    <mergeCell ref="A116:E116"/>
    <mergeCell ref="F116:H116"/>
    <mergeCell ref="A117:E117"/>
    <mergeCell ref="F117:H117"/>
    <mergeCell ref="A118:E118"/>
    <mergeCell ref="F118:H118"/>
    <mergeCell ref="C123:D123"/>
    <mergeCell ref="E123:F123"/>
    <mergeCell ref="G93:H93"/>
    <mergeCell ref="I15:P15"/>
    <mergeCell ref="F115:H115"/>
    <mergeCell ref="F113:H113"/>
    <mergeCell ref="A387:B387"/>
    <mergeCell ref="A133:H133"/>
    <mergeCell ref="G122:H122"/>
    <mergeCell ref="A114:E114"/>
    <mergeCell ref="A139:B139"/>
    <mergeCell ref="A63:B63"/>
    <mergeCell ref="C63:E63"/>
    <mergeCell ref="D65:H65"/>
    <mergeCell ref="F114:H114"/>
    <mergeCell ref="E122:F122"/>
    <mergeCell ref="A122:B122"/>
    <mergeCell ref="A124:B124"/>
    <mergeCell ref="C127:D127"/>
    <mergeCell ref="D73:H73"/>
    <mergeCell ref="D66:H66"/>
    <mergeCell ref="G63:H63"/>
    <mergeCell ref="A56:B57"/>
    <mergeCell ref="A371:H371"/>
    <mergeCell ref="A85:B85"/>
    <mergeCell ref="A51:B51"/>
    <mergeCell ref="G129:H129"/>
    <mergeCell ref="A423:H423"/>
    <mergeCell ref="A420:H420"/>
    <mergeCell ref="A380:B380"/>
    <mergeCell ref="A127:B127"/>
    <mergeCell ref="D372:D373"/>
    <mergeCell ref="E372:E373"/>
    <mergeCell ref="F105:H105"/>
    <mergeCell ref="G123:H123"/>
    <mergeCell ref="F112:H112"/>
    <mergeCell ref="C122:D122"/>
    <mergeCell ref="C130:D130"/>
    <mergeCell ref="A374:H374"/>
    <mergeCell ref="A389:B389"/>
    <mergeCell ref="B408:H408"/>
    <mergeCell ref="A398:B398"/>
    <mergeCell ref="A399:B399"/>
    <mergeCell ref="A402:B402"/>
    <mergeCell ref="B416:H416"/>
    <mergeCell ref="B415:H415"/>
    <mergeCell ref="F108:H108"/>
    <mergeCell ref="A112:E112"/>
    <mergeCell ref="A419:H419"/>
    <mergeCell ref="A111:E111"/>
    <mergeCell ref="A403:H403"/>
    <mergeCell ref="B413:H413"/>
    <mergeCell ref="A131:B131"/>
    <mergeCell ref="A108:E108"/>
    <mergeCell ref="A104:E104"/>
    <mergeCell ref="F109:H109"/>
    <mergeCell ref="A390:B390"/>
    <mergeCell ref="A109:E109"/>
    <mergeCell ref="A378:B378"/>
    <mergeCell ref="B411:H411"/>
    <mergeCell ref="G134:G135"/>
    <mergeCell ref="A393:B393"/>
    <mergeCell ref="A401:B401"/>
    <mergeCell ref="B404:H404"/>
    <mergeCell ref="B405:H405"/>
    <mergeCell ref="B407:H407"/>
    <mergeCell ref="F104:H104"/>
    <mergeCell ref="F110:H110"/>
    <mergeCell ref="A375:B375"/>
    <mergeCell ref="A141:B141"/>
    <mergeCell ref="A140:B140"/>
    <mergeCell ref="F111:H111"/>
    <mergeCell ref="A395:B395"/>
    <mergeCell ref="A396:B396"/>
    <mergeCell ref="C129:D129"/>
    <mergeCell ref="A11:D11"/>
    <mergeCell ref="E11:H11"/>
    <mergeCell ref="A23:D24"/>
    <mergeCell ref="A113:E113"/>
    <mergeCell ref="A426:H429"/>
    <mergeCell ref="A425:B425"/>
    <mergeCell ref="E425:F425"/>
    <mergeCell ref="C425:D425"/>
    <mergeCell ref="G425:H425"/>
    <mergeCell ref="A121:H121"/>
    <mergeCell ref="A119:E119"/>
    <mergeCell ref="F119:H119"/>
    <mergeCell ref="A120:E120"/>
    <mergeCell ref="F120:H120"/>
    <mergeCell ref="A379:H379"/>
    <mergeCell ref="A128:B128"/>
    <mergeCell ref="A388:B388"/>
    <mergeCell ref="A123:B123"/>
    <mergeCell ref="A421:H421"/>
    <mergeCell ref="A126:H126"/>
    <mergeCell ref="A424:H424"/>
    <mergeCell ref="A422:H422"/>
    <mergeCell ref="A418:H418"/>
    <mergeCell ref="G127:H127"/>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E14:H14"/>
    <mergeCell ref="A15:D15"/>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6:B36"/>
    <mergeCell ref="C36:E36"/>
    <mergeCell ref="A37:B37"/>
    <mergeCell ref="C37:E37"/>
    <mergeCell ref="A42:D42"/>
    <mergeCell ref="A73:C73"/>
    <mergeCell ref="D74:H74"/>
    <mergeCell ref="A41:H41"/>
    <mergeCell ref="F37:H37"/>
    <mergeCell ref="C52:E52"/>
    <mergeCell ref="C51:E51"/>
    <mergeCell ref="G51:H51"/>
    <mergeCell ref="A52:B52"/>
    <mergeCell ref="G58:H58"/>
    <mergeCell ref="G60:H60"/>
    <mergeCell ref="G52:H52"/>
    <mergeCell ref="C50:H50"/>
    <mergeCell ref="A75:C75"/>
    <mergeCell ref="D75:H75"/>
    <mergeCell ref="A74:C74"/>
    <mergeCell ref="A60:B62"/>
    <mergeCell ref="C62:H62"/>
    <mergeCell ref="C60:E61"/>
    <mergeCell ref="E44:H44"/>
    <mergeCell ref="A44:D44"/>
    <mergeCell ref="A40:B40"/>
    <mergeCell ref="A39:B39"/>
    <mergeCell ref="C39:H39"/>
    <mergeCell ref="C57:H57"/>
    <mergeCell ref="A53:B55"/>
    <mergeCell ref="C56:E56"/>
    <mergeCell ref="C53:E54"/>
    <mergeCell ref="C58:E58"/>
    <mergeCell ref="G56:H56"/>
    <mergeCell ref="A58:B59"/>
    <mergeCell ref="E42:H42"/>
    <mergeCell ref="A47:D47"/>
    <mergeCell ref="A48:D48"/>
    <mergeCell ref="A45:D45"/>
    <mergeCell ref="E45:H45"/>
    <mergeCell ref="E46:H46"/>
    <mergeCell ref="E47:H47"/>
    <mergeCell ref="C40:H40"/>
    <mergeCell ref="E48:H48"/>
    <mergeCell ref="A49:H49"/>
    <mergeCell ref="A43:D43"/>
    <mergeCell ref="E43:H43"/>
    <mergeCell ref="A46:D46"/>
    <mergeCell ref="A50:B50"/>
    <mergeCell ref="A132:H132"/>
    <mergeCell ref="A98:B98"/>
    <mergeCell ref="A100:B100"/>
    <mergeCell ref="A102:B102"/>
    <mergeCell ref="A103:B103"/>
    <mergeCell ref="A101:B101"/>
    <mergeCell ref="A68:C68"/>
    <mergeCell ref="A38:H38"/>
    <mergeCell ref="L141:M141"/>
    <mergeCell ref="L140:M140"/>
    <mergeCell ref="L139:M139"/>
    <mergeCell ref="A87:B87"/>
    <mergeCell ref="C128:D128"/>
    <mergeCell ref="E128:F128"/>
    <mergeCell ref="G128:H128"/>
    <mergeCell ref="A105:E105"/>
    <mergeCell ref="A90:B90"/>
    <mergeCell ref="C90:H90"/>
    <mergeCell ref="A137:H137"/>
    <mergeCell ref="E134:E135"/>
    <mergeCell ref="A94:B94"/>
    <mergeCell ref="C92:H92"/>
    <mergeCell ref="A95:B95"/>
    <mergeCell ref="A96:B96"/>
    <mergeCell ref="G131:H131"/>
    <mergeCell ref="C55:H55"/>
    <mergeCell ref="A65:C65"/>
    <mergeCell ref="A69:C69"/>
    <mergeCell ref="A70:C70"/>
    <mergeCell ref="D69:H69"/>
    <mergeCell ref="A66:C66"/>
    <mergeCell ref="G61:H61"/>
    <mergeCell ref="A79:B79"/>
    <mergeCell ref="D70:H70"/>
    <mergeCell ref="C59:H59"/>
    <mergeCell ref="D67:H67"/>
    <mergeCell ref="A67:C67"/>
    <mergeCell ref="A129:B129"/>
    <mergeCell ref="C131:D131"/>
    <mergeCell ref="G94:H103"/>
    <mergeCell ref="A97:B97"/>
    <mergeCell ref="F106:H106"/>
    <mergeCell ref="A106:E106"/>
    <mergeCell ref="E131:F131"/>
    <mergeCell ref="A92:B92"/>
    <mergeCell ref="A80:B80"/>
    <mergeCell ref="G79:H79"/>
    <mergeCell ref="A88:B88"/>
    <mergeCell ref="B409:H409"/>
    <mergeCell ref="A394:B394"/>
    <mergeCell ref="A383:B383"/>
    <mergeCell ref="D134:D135"/>
    <mergeCell ref="A386:B386"/>
    <mergeCell ref="A391:H391"/>
    <mergeCell ref="A385:H385"/>
    <mergeCell ref="A400:B400"/>
    <mergeCell ref="A397:H397"/>
    <mergeCell ref="A372:A373"/>
    <mergeCell ref="F372:F373"/>
    <mergeCell ref="A136:H136"/>
    <mergeCell ref="A142:B142"/>
    <mergeCell ref="A148:B148"/>
    <mergeCell ref="A156:B156"/>
    <mergeCell ref="A152:B152"/>
    <mergeCell ref="A153:B153"/>
    <mergeCell ref="A154:B154"/>
    <mergeCell ref="A155:B155"/>
    <mergeCell ref="A157:B157"/>
    <mergeCell ref="A158:B158"/>
    <mergeCell ref="A159:B159"/>
    <mergeCell ref="C372:C373"/>
    <mergeCell ref="G372:G373"/>
    <mergeCell ref="B412:H412"/>
    <mergeCell ref="B410:H410"/>
    <mergeCell ref="A138:B138"/>
    <mergeCell ref="L379:M379"/>
    <mergeCell ref="A384:B384"/>
    <mergeCell ref="A381:B381"/>
    <mergeCell ref="A382:B382"/>
    <mergeCell ref="A392:B392"/>
    <mergeCell ref="L378:M378"/>
    <mergeCell ref="L375:M375"/>
    <mergeCell ref="A376:B376"/>
    <mergeCell ref="L376:M376"/>
    <mergeCell ref="A377:B377"/>
    <mergeCell ref="L377:M377"/>
    <mergeCell ref="L152:M152"/>
    <mergeCell ref="L153:M153"/>
    <mergeCell ref="L154:M154"/>
    <mergeCell ref="L155:M155"/>
    <mergeCell ref="L156:M156"/>
    <mergeCell ref="L157:M157"/>
    <mergeCell ref="L158:M158"/>
    <mergeCell ref="L159:M159"/>
    <mergeCell ref="A160:B160"/>
    <mergeCell ref="L160:M160"/>
    <mergeCell ref="B417:H417"/>
    <mergeCell ref="C134:C135"/>
    <mergeCell ref="B372:B373"/>
    <mergeCell ref="B406:H406"/>
    <mergeCell ref="A93:B93"/>
    <mergeCell ref="E93:F93"/>
    <mergeCell ref="E94:F103"/>
    <mergeCell ref="A82:B82"/>
    <mergeCell ref="E80:F89"/>
    <mergeCell ref="G80:H89"/>
    <mergeCell ref="B414:H414"/>
    <mergeCell ref="A110:E110"/>
    <mergeCell ref="A130:B130"/>
    <mergeCell ref="E130:F130"/>
    <mergeCell ref="A115:E115"/>
    <mergeCell ref="G130:H130"/>
    <mergeCell ref="C124:D124"/>
    <mergeCell ref="E124:F124"/>
    <mergeCell ref="G124:H124"/>
    <mergeCell ref="A125:B125"/>
    <mergeCell ref="C125:D125"/>
    <mergeCell ref="E125:F125"/>
    <mergeCell ref="G125:H125"/>
    <mergeCell ref="A99:B99"/>
    <mergeCell ref="D68:H68"/>
    <mergeCell ref="G54:H54"/>
    <mergeCell ref="G53:H53"/>
    <mergeCell ref="A64:H64"/>
    <mergeCell ref="A78:B78"/>
    <mergeCell ref="A76:B76"/>
    <mergeCell ref="C76:H76"/>
    <mergeCell ref="A71:C71"/>
    <mergeCell ref="D71:H71"/>
    <mergeCell ref="C78:H78"/>
    <mergeCell ref="A72:C72"/>
    <mergeCell ref="D72:H72"/>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34:E135" xr:uid="{00000000-0002-0000-0000-000003000000}">
      <formula1>"Attached Loft area,Attached Otla area,Attached Mezzanine area"</formula1>
    </dataValidation>
    <dataValidation type="list" allowBlank="1" showInputMessage="1" showErrorMessage="1" sqref="G425:H425" xr:uid="{00000000-0002-0000-0000-000004000000}">
      <formula1>"Kunal Kadam,Pranita Mhatre,Shruti Fule,Pooja Kawale,Gaurav Panchal,Shruti Tathare, Dipti Gothawade,Saurav Panse, Sachin Sawant"</formula1>
    </dataValidation>
    <dataValidation type="list" allowBlank="1" showInputMessage="1" showErrorMessage="1" sqref="F104:H104" xr:uid="{00000000-0002-0000-0000-000005000000}">
      <formula1>"On Saleable Area,On Builtup Area,On Carpet Area,On Plot Area"</formula1>
    </dataValidation>
    <dataValidation type="list" allowBlank="1" showInputMessage="1" showErrorMessage="1" sqref="F119:H119" xr:uid="{00000000-0002-0000-0000-000006000000}">
      <formula1>OFFSET($S$104,1,MATCH($G20,$S$104:$W$104,0)-1,15,1)</formula1>
    </dataValidation>
    <dataValidation type="list" allowBlank="1" showInputMessage="1" showErrorMessage="1" sqref="B134:B135" xr:uid="{00000000-0002-0000-0000-000007000000}">
      <formula1>"Shop No. (Sale Plan),Sale / Rehab,Sale / Mhada"</formula1>
    </dataValidation>
    <dataValidation type="list" allowBlank="1" showInputMessage="1" showErrorMessage="1" sqref="B372:B373"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372:E373" xr:uid="{00000000-0002-0000-0000-00000B000000}">
      <formula1>"Fungible area,Balcony Area,Chajja Area,Cornice Area,AP Area,WS Area"</formula1>
    </dataValidation>
    <dataValidation type="list" allowBlank="1" showInputMessage="1" showErrorMessage="1" sqref="H373 H135"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50:H50" xr:uid="{00000000-0002-0000-0000-00000E000000}">
      <formula1>OFFSET($S$50,1,MATCH($G20,$S$50:$W$50,0)-1,15,1)</formula1>
    </dataValidation>
    <dataValidation type="list" allowBlank="1" showInputMessage="1" showErrorMessage="1" sqref="H134 H372" xr:uid="{00000000-0002-0000-0000-00000F000000}">
      <formula1>"Saleable area Loading :,Builder Saleable Area"</formula1>
    </dataValidation>
    <dataValidation type="list" allowBlank="1" showInputMessage="1" showErrorMessage="1" sqref="D134:D135" xr:uid="{00000000-0002-0000-0000-000010000000}">
      <formula1>"Carpet area,RERA Carpet area"</formula1>
    </dataValidation>
    <dataValidation type="list" allowBlank="1" showInputMessage="1" showErrorMessage="1" sqref="D372:D373" xr:uid="{00000000-0002-0000-0000-000011000000}">
      <formula1>"Carpet Area,Carpet + Encl Balcony Area,RERA Carpet area"</formula1>
    </dataValidation>
  </dataValidations>
  <hyperlinks>
    <hyperlink ref="C40" r:id="rId1" xr:uid="{F8F0FEAC-867E-400B-8EF1-393453C3EDB3}"/>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5" manualBreakCount="5">
    <brk id="75" max="16383" man="1"/>
    <brk id="120" max="16383" man="1"/>
    <brk id="429" max="16383" man="1"/>
    <brk id="471" max="16383" man="1"/>
    <brk id="51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65" t="s">
        <v>103</v>
      </c>
      <c r="C3" s="265"/>
      <c r="D3" s="265"/>
      <c r="E3" s="265"/>
      <c r="F3" s="265"/>
      <c r="G3" s="265"/>
      <c r="H3" s="265"/>
    </row>
    <row r="4" spans="1:9" x14ac:dyDescent="0.3">
      <c r="A4" s="2"/>
      <c r="B4" s="3" t="s">
        <v>104</v>
      </c>
      <c r="C4" s="3" t="s">
        <v>105</v>
      </c>
      <c r="D4" s="3" t="s">
        <v>64</v>
      </c>
      <c r="E4" s="3" t="s">
        <v>106</v>
      </c>
      <c r="F4" s="3" t="s">
        <v>112</v>
      </c>
      <c r="G4" s="3" t="s">
        <v>113</v>
      </c>
      <c r="H4" s="3" t="s">
        <v>107</v>
      </c>
    </row>
    <row r="5" spans="1:9" ht="15" customHeight="1" x14ac:dyDescent="0.3">
      <c r="A5" s="2"/>
      <c r="B5" s="5" t="s">
        <v>108</v>
      </c>
      <c r="C5" s="6"/>
      <c r="D5" s="5"/>
      <c r="E5" s="5"/>
      <c r="F5" s="7">
        <f>E5*1.6</f>
        <v>0</v>
      </c>
      <c r="G5" s="7" t="e">
        <f>H5/F5</f>
        <v>#DIV/0!</v>
      </c>
      <c r="H5" s="8"/>
    </row>
    <row r="6" spans="1:9" x14ac:dyDescent="0.3">
      <c r="A6" s="2"/>
      <c r="B6" s="5" t="s">
        <v>108</v>
      </c>
      <c r="C6" s="9"/>
      <c r="D6" s="5"/>
      <c r="E6" s="5"/>
      <c r="F6" s="7">
        <f t="shared" ref="F6:F11" si="0">E6*1.6</f>
        <v>0</v>
      </c>
      <c r="G6" s="7" t="e">
        <f t="shared" ref="G6:G11" si="1">H6/F6</f>
        <v>#DIV/0!</v>
      </c>
      <c r="H6" s="8"/>
    </row>
    <row r="7" spans="1:9" ht="15" customHeight="1" x14ac:dyDescent="0.3">
      <c r="A7" s="2"/>
      <c r="B7" s="5" t="s">
        <v>108</v>
      </c>
      <c r="C7" s="6"/>
      <c r="D7" s="5"/>
      <c r="E7" s="5"/>
      <c r="F7" s="7">
        <f t="shared" si="0"/>
        <v>0</v>
      </c>
      <c r="G7" s="7" t="e">
        <f t="shared" si="1"/>
        <v>#DIV/0!</v>
      </c>
      <c r="H7" s="8"/>
    </row>
    <row r="8" spans="1:9" x14ac:dyDescent="0.3">
      <c r="A8" s="2"/>
      <c r="B8" s="5" t="s">
        <v>108</v>
      </c>
      <c r="C8" s="9"/>
      <c r="D8" s="5"/>
      <c r="E8" s="5"/>
      <c r="F8" s="7">
        <f t="shared" si="0"/>
        <v>0</v>
      </c>
      <c r="G8" s="7" t="e">
        <f t="shared" si="1"/>
        <v>#DIV/0!</v>
      </c>
      <c r="H8" s="8"/>
    </row>
    <row r="9" spans="1:9" ht="15" customHeight="1" x14ac:dyDescent="0.3">
      <c r="A9" s="2"/>
      <c r="B9" s="5" t="s">
        <v>108</v>
      </c>
      <c r="C9" s="9"/>
      <c r="D9" s="5"/>
      <c r="E9" s="5"/>
      <c r="F9" s="7">
        <f t="shared" si="0"/>
        <v>0</v>
      </c>
      <c r="G9" s="7" t="e">
        <f t="shared" si="1"/>
        <v>#DIV/0!</v>
      </c>
      <c r="H9" s="8"/>
    </row>
    <row r="10" spans="1:9" ht="15" customHeight="1" x14ac:dyDescent="0.3">
      <c r="A10" s="2"/>
      <c r="B10" s="5" t="s">
        <v>109</v>
      </c>
      <c r="C10" s="6"/>
      <c r="D10" s="5"/>
      <c r="E10" s="5"/>
      <c r="F10" s="7">
        <f t="shared" si="0"/>
        <v>0</v>
      </c>
      <c r="G10" s="7" t="e">
        <f t="shared" si="1"/>
        <v>#DIV/0!</v>
      </c>
      <c r="H10" s="8"/>
    </row>
    <row r="11" spans="1:9" ht="15" customHeight="1" x14ac:dyDescent="0.3">
      <c r="A11" s="2"/>
      <c r="B11" s="5" t="s">
        <v>109</v>
      </c>
      <c r="C11" s="6"/>
      <c r="D11" s="5"/>
      <c r="E11" s="5"/>
      <c r="F11" s="7">
        <f t="shared" si="0"/>
        <v>0</v>
      </c>
      <c r="G11" s="7" t="e">
        <f t="shared" si="1"/>
        <v>#DIV/0!</v>
      </c>
      <c r="H11" s="8"/>
    </row>
    <row r="12" spans="1:9" ht="15" customHeight="1" x14ac:dyDescent="0.3">
      <c r="A12" s="2"/>
      <c r="B12" s="10" t="s">
        <v>110</v>
      </c>
      <c r="C12" s="5"/>
      <c r="D12" s="5"/>
      <c r="E12" s="5"/>
      <c r="F12" s="5"/>
      <c r="G12" s="11" t="e">
        <f>AVERAGE(G5:G11)</f>
        <v>#DIV/0!</v>
      </c>
      <c r="H12" s="5"/>
    </row>
    <row r="13" spans="1:9" ht="15" customHeight="1" x14ac:dyDescent="0.3">
      <c r="B13" s="10" t="s">
        <v>111</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47"/>
      <c r="C4" s="47" t="s">
        <v>10</v>
      </c>
      <c r="D4" s="48" t="s">
        <v>176</v>
      </c>
      <c r="E4" s="48" t="s">
        <v>186</v>
      </c>
      <c r="F4" s="48" t="s">
        <v>170</v>
      </c>
      <c r="G4" s="48" t="s">
        <v>191</v>
      </c>
      <c r="H4" s="48" t="s">
        <v>209</v>
      </c>
      <c r="J4" t="s">
        <v>191</v>
      </c>
      <c r="K4" t="s">
        <v>207</v>
      </c>
    </row>
    <row r="5" spans="2:11" x14ac:dyDescent="0.3">
      <c r="B5" s="47"/>
      <c r="C5" s="47"/>
      <c r="D5" s="48" t="s">
        <v>177</v>
      </c>
      <c r="E5" s="48" t="s">
        <v>184</v>
      </c>
      <c r="F5" s="48" t="s">
        <v>206</v>
      </c>
      <c r="G5" s="48" t="s">
        <v>192</v>
      </c>
      <c r="H5" s="48" t="s">
        <v>210</v>
      </c>
    </row>
    <row r="6" spans="2:11" x14ac:dyDescent="0.3">
      <c r="B6" s="47"/>
      <c r="C6" s="47"/>
      <c r="D6" s="48" t="s">
        <v>178</v>
      </c>
      <c r="E6" s="48" t="s">
        <v>185</v>
      </c>
      <c r="F6" s="48" t="s">
        <v>207</v>
      </c>
      <c r="G6" s="48" t="s">
        <v>193</v>
      </c>
      <c r="H6" s="48" t="s">
        <v>223</v>
      </c>
    </row>
    <row r="7" spans="2:11" x14ac:dyDescent="0.3">
      <c r="B7" s="47"/>
      <c r="C7" s="47"/>
      <c r="D7" s="48" t="s">
        <v>179</v>
      </c>
      <c r="E7" s="48" t="s">
        <v>187</v>
      </c>
      <c r="F7" s="48" t="s">
        <v>208</v>
      </c>
      <c r="G7" s="48" t="s">
        <v>194</v>
      </c>
      <c r="H7" s="48" t="s">
        <v>211</v>
      </c>
    </row>
    <row r="8" spans="2:11" x14ac:dyDescent="0.3">
      <c r="B8" s="47"/>
      <c r="C8" s="47"/>
      <c r="D8" s="48" t="s">
        <v>180</v>
      </c>
      <c r="E8" s="48" t="s">
        <v>188</v>
      </c>
      <c r="F8" s="48"/>
      <c r="G8" s="48" t="s">
        <v>195</v>
      </c>
      <c r="H8" s="48" t="s">
        <v>212</v>
      </c>
    </row>
    <row r="9" spans="2:11" x14ac:dyDescent="0.3">
      <c r="B9" s="47"/>
      <c r="C9" s="47"/>
      <c r="D9" s="48" t="s">
        <v>181</v>
      </c>
      <c r="E9" s="48" t="s">
        <v>186</v>
      </c>
      <c r="F9" s="48"/>
      <c r="G9" s="48" t="s">
        <v>196</v>
      </c>
      <c r="H9" s="48" t="s">
        <v>213</v>
      </c>
    </row>
    <row r="10" spans="2:11" x14ac:dyDescent="0.3">
      <c r="B10" s="47"/>
      <c r="C10" s="47"/>
      <c r="D10" s="48" t="s">
        <v>182</v>
      </c>
      <c r="E10" s="48" t="s">
        <v>189</v>
      </c>
      <c r="F10" s="48"/>
      <c r="G10" s="48" t="s">
        <v>197</v>
      </c>
      <c r="H10" s="48" t="s">
        <v>214</v>
      </c>
    </row>
    <row r="11" spans="2:11" x14ac:dyDescent="0.3">
      <c r="B11" s="47"/>
      <c r="C11" s="47"/>
      <c r="D11" s="48" t="s">
        <v>183</v>
      </c>
      <c r="E11" s="48" t="s">
        <v>190</v>
      </c>
      <c r="F11" s="48"/>
      <c r="G11" s="48" t="s">
        <v>198</v>
      </c>
      <c r="H11" s="48" t="s">
        <v>215</v>
      </c>
    </row>
    <row r="12" spans="2:11" x14ac:dyDescent="0.3">
      <c r="B12" s="47"/>
      <c r="C12" s="47"/>
      <c r="D12" s="48"/>
      <c r="E12" s="48"/>
      <c r="F12" s="48"/>
      <c r="G12" s="48" t="s">
        <v>199</v>
      </c>
      <c r="H12" s="48" t="s">
        <v>216</v>
      </c>
    </row>
    <row r="13" spans="2:11" x14ac:dyDescent="0.3">
      <c r="B13" s="47"/>
      <c r="C13" s="47"/>
      <c r="D13" s="48"/>
      <c r="E13" s="48"/>
      <c r="F13" s="48"/>
      <c r="G13" s="48" t="s">
        <v>200</v>
      </c>
      <c r="H13" s="48" t="s">
        <v>217</v>
      </c>
    </row>
    <row r="14" spans="2:11" x14ac:dyDescent="0.3">
      <c r="B14" s="47"/>
      <c r="C14" s="47"/>
      <c r="D14" s="48"/>
      <c r="E14" s="48"/>
      <c r="F14" s="48"/>
      <c r="G14" s="48" t="s">
        <v>201</v>
      </c>
      <c r="H14" s="48" t="s">
        <v>218</v>
      </c>
    </row>
    <row r="15" spans="2:11" x14ac:dyDescent="0.3">
      <c r="B15" s="47"/>
      <c r="C15" s="47"/>
      <c r="D15" s="48"/>
      <c r="E15" s="48"/>
      <c r="F15" s="48"/>
      <c r="G15" s="48" t="s">
        <v>202</v>
      </c>
      <c r="H15" s="48" t="s">
        <v>219</v>
      </c>
    </row>
    <row r="16" spans="2:11" x14ac:dyDescent="0.3">
      <c r="B16" s="47"/>
      <c r="C16" s="47"/>
      <c r="D16" s="48"/>
      <c r="E16" s="48"/>
      <c r="F16" s="48"/>
      <c r="G16" s="48" t="s">
        <v>203</v>
      </c>
      <c r="H16" s="48" t="s">
        <v>220</v>
      </c>
    </row>
    <row r="17" spans="2:8" x14ac:dyDescent="0.3">
      <c r="B17" s="47"/>
      <c r="C17" s="47"/>
      <c r="D17" s="48"/>
      <c r="E17" s="48"/>
      <c r="F17" s="48"/>
      <c r="G17" s="48" t="s">
        <v>204</v>
      </c>
      <c r="H17" s="48" t="s">
        <v>221</v>
      </c>
    </row>
    <row r="18" spans="2:8" x14ac:dyDescent="0.3">
      <c r="B18" s="47"/>
      <c r="C18" s="47"/>
      <c r="D18" s="48"/>
      <c r="E18" s="48"/>
      <c r="F18" s="48"/>
      <c r="G18" s="48" t="s">
        <v>205</v>
      </c>
      <c r="H18" s="48" t="s">
        <v>222</v>
      </c>
    </row>
    <row r="24" spans="2:8" x14ac:dyDescent="0.3">
      <c r="C24" t="s">
        <v>167</v>
      </c>
    </row>
    <row r="25" spans="2:8" x14ac:dyDescent="0.3">
      <c r="C25" t="s">
        <v>224</v>
      </c>
    </row>
    <row r="26" spans="2:8" x14ac:dyDescent="0.3">
      <c r="C26" t="s">
        <v>225</v>
      </c>
    </row>
    <row r="27" spans="2:8" x14ac:dyDescent="0.3">
      <c r="C27" t="s">
        <v>226</v>
      </c>
    </row>
    <row r="28" spans="2:8" x14ac:dyDescent="0.3">
      <c r="C28" t="s">
        <v>227</v>
      </c>
    </row>
    <row r="29" spans="2:8" x14ac:dyDescent="0.3">
      <c r="C29" t="s">
        <v>228</v>
      </c>
    </row>
    <row r="30" spans="2:8" x14ac:dyDescent="0.3">
      <c r="C30" t="s">
        <v>167</v>
      </c>
    </row>
    <row r="33" spans="3:11" x14ac:dyDescent="0.3">
      <c r="J33">
        <v>1</v>
      </c>
      <c r="K33">
        <v>2</v>
      </c>
    </row>
    <row r="34" spans="3:11" x14ac:dyDescent="0.3">
      <c r="C34" s="50" t="s">
        <v>234</v>
      </c>
      <c r="D34" s="48" t="s">
        <v>232</v>
      </c>
      <c r="E34" s="48" t="s">
        <v>237</v>
      </c>
      <c r="F34" s="48" t="s">
        <v>235</v>
      </c>
      <c r="G34" s="48" t="s">
        <v>236</v>
      </c>
      <c r="H34" s="48" t="s">
        <v>238</v>
      </c>
      <c r="J34" t="s">
        <v>191</v>
      </c>
      <c r="K34" t="s">
        <v>207</v>
      </c>
    </row>
    <row r="35" spans="3:11" x14ac:dyDescent="0.3">
      <c r="C35" s="47" t="s">
        <v>233</v>
      </c>
      <c r="D35" s="48" t="s">
        <v>168</v>
      </c>
      <c r="E35" s="48" t="s">
        <v>242</v>
      </c>
      <c r="F35" s="48" t="s">
        <v>244</v>
      </c>
      <c r="G35" s="48" t="s">
        <v>246</v>
      </c>
      <c r="H35" s="48"/>
    </row>
    <row r="36" spans="3:11" x14ac:dyDescent="0.3">
      <c r="C36" s="47"/>
      <c r="D36" s="48" t="s">
        <v>239</v>
      </c>
      <c r="E36" s="48" t="s">
        <v>243</v>
      </c>
      <c r="F36" s="48" t="s">
        <v>245</v>
      </c>
      <c r="G36" s="48" t="s">
        <v>247</v>
      </c>
      <c r="H36" s="48"/>
    </row>
    <row r="37" spans="3:11" x14ac:dyDescent="0.3">
      <c r="C37" s="47"/>
      <c r="D37" s="48" t="s">
        <v>240</v>
      </c>
      <c r="E37" s="48"/>
      <c r="F37" s="48"/>
      <c r="G37" s="48" t="s">
        <v>248</v>
      </c>
      <c r="H37" s="48"/>
    </row>
    <row r="38" spans="3:11" x14ac:dyDescent="0.3">
      <c r="C38" s="47"/>
      <c r="D38" s="48" t="s">
        <v>241</v>
      </c>
      <c r="E38" s="48"/>
      <c r="F38" s="48"/>
      <c r="G38" s="48" t="s">
        <v>248</v>
      </c>
      <c r="H38" s="48"/>
    </row>
    <row r="39" spans="3:11" x14ac:dyDescent="0.3">
      <c r="C39" s="47"/>
      <c r="D39" s="48"/>
      <c r="E39" s="48"/>
      <c r="F39" s="48"/>
      <c r="G39" s="48" t="s">
        <v>249</v>
      </c>
      <c r="H39" s="48"/>
    </row>
    <row r="40" spans="3:11" x14ac:dyDescent="0.3">
      <c r="C40" s="47"/>
      <c r="D40" s="48"/>
      <c r="E40" s="48"/>
      <c r="F40" s="48"/>
      <c r="G40" s="48" t="s">
        <v>250</v>
      </c>
      <c r="H40" s="48"/>
    </row>
    <row r="41" spans="3:11" x14ac:dyDescent="0.3">
      <c r="C41" s="47"/>
      <c r="D41" s="48"/>
      <c r="E41" s="48"/>
      <c r="F41" s="48"/>
      <c r="G41" s="48"/>
      <c r="H41" s="48"/>
    </row>
    <row r="43" spans="3:11" x14ac:dyDescent="0.3">
      <c r="C43" t="s">
        <v>251</v>
      </c>
    </row>
    <row r="44" spans="3:11" x14ac:dyDescent="0.3">
      <c r="C44" t="s">
        <v>170</v>
      </c>
      <c r="D44" t="s">
        <v>252</v>
      </c>
    </row>
    <row r="45" spans="3:11" x14ac:dyDescent="0.3">
      <c r="D45" t="s">
        <v>253</v>
      </c>
    </row>
    <row r="46" spans="3:11" x14ac:dyDescent="0.3">
      <c r="D46" t="s">
        <v>254</v>
      </c>
    </row>
    <row r="47" spans="3:11" x14ac:dyDescent="0.3">
      <c r="D47" t="s">
        <v>255</v>
      </c>
    </row>
    <row r="48" spans="3:11" x14ac:dyDescent="0.3">
      <c r="D48" t="s">
        <v>256</v>
      </c>
    </row>
    <row r="49" spans="3:4" x14ac:dyDescent="0.3">
      <c r="C49" t="s">
        <v>176</v>
      </c>
      <c r="D49" t="s">
        <v>257</v>
      </c>
    </row>
    <row r="50" spans="3:4" x14ac:dyDescent="0.3">
      <c r="D50" t="s">
        <v>258</v>
      </c>
    </row>
    <row r="51" spans="3:4" x14ac:dyDescent="0.3">
      <c r="D51" t="s">
        <v>259</v>
      </c>
    </row>
    <row r="52" spans="3:4" x14ac:dyDescent="0.3">
      <c r="D52" t="s">
        <v>262</v>
      </c>
    </row>
    <row r="53" spans="3:4" x14ac:dyDescent="0.3">
      <c r="D53" t="s">
        <v>260</v>
      </c>
    </row>
    <row r="54" spans="3:4" x14ac:dyDescent="0.3">
      <c r="D54" t="s">
        <v>261</v>
      </c>
    </row>
    <row r="55" spans="3:4" x14ac:dyDescent="0.3">
      <c r="D55" t="s">
        <v>263</v>
      </c>
    </row>
    <row r="56" spans="3:4" x14ac:dyDescent="0.3">
      <c r="D56" t="s">
        <v>264</v>
      </c>
    </row>
    <row r="57" spans="3:4" x14ac:dyDescent="0.3">
      <c r="D57" t="s">
        <v>265</v>
      </c>
    </row>
    <row r="58" spans="3:4" x14ac:dyDescent="0.3">
      <c r="D58" t="s">
        <v>267</v>
      </c>
    </row>
    <row r="59" spans="3:4" x14ac:dyDescent="0.3">
      <c r="D59" t="s">
        <v>276</v>
      </c>
    </row>
    <row r="60" spans="3:4" x14ac:dyDescent="0.3">
      <c r="C60" t="s">
        <v>191</v>
      </c>
      <c r="D60" t="s">
        <v>268</v>
      </c>
    </row>
    <row r="61" spans="3:4" x14ac:dyDescent="0.3">
      <c r="D61" t="s">
        <v>266</v>
      </c>
    </row>
    <row r="62" spans="3:4" x14ac:dyDescent="0.3">
      <c r="D62" t="s">
        <v>256</v>
      </c>
    </row>
    <row r="63" spans="3:4" x14ac:dyDescent="0.3">
      <c r="D63" t="s">
        <v>269</v>
      </c>
    </row>
    <row r="64" spans="3:4" x14ac:dyDescent="0.3">
      <c r="D64" t="s">
        <v>270</v>
      </c>
    </row>
    <row r="65" spans="3:4" x14ac:dyDescent="0.3">
      <c r="D65" t="s">
        <v>271</v>
      </c>
    </row>
    <row r="66" spans="3:4" x14ac:dyDescent="0.3">
      <c r="D66" t="s">
        <v>272</v>
      </c>
    </row>
    <row r="67" spans="3:4" x14ac:dyDescent="0.3">
      <c r="C67" t="s">
        <v>186</v>
      </c>
      <c r="D67" t="s">
        <v>273</v>
      </c>
    </row>
    <row r="68" spans="3:4" x14ac:dyDescent="0.3">
      <c r="D68" t="s">
        <v>274</v>
      </c>
    </row>
    <row r="69" spans="3:4" x14ac:dyDescent="0.3">
      <c r="D69" t="s">
        <v>275</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topLeftCell="A43" zoomScaleNormal="100" workbookViewId="0">
      <selection activeCell="C57" sqref="C57"/>
    </sheetView>
  </sheetViews>
  <sheetFormatPr defaultRowHeight="14.4" x14ac:dyDescent="0.3"/>
  <cols>
    <col min="2" max="2" width="3" bestFit="1" customWidth="1"/>
    <col min="3" max="3" width="155.33203125" customWidth="1"/>
  </cols>
  <sheetData>
    <row r="2" spans="2:3" ht="15" customHeight="1" x14ac:dyDescent="0.3">
      <c r="B2" s="51">
        <v>1</v>
      </c>
      <c r="C2" s="53" t="s">
        <v>281</v>
      </c>
    </row>
    <row r="3" spans="2:3" x14ac:dyDescent="0.3">
      <c r="B3" s="51">
        <v>2</v>
      </c>
      <c r="C3" s="52" t="s">
        <v>282</v>
      </c>
    </row>
    <row r="4" spans="2:3" x14ac:dyDescent="0.3">
      <c r="B4" s="51">
        <v>3</v>
      </c>
      <c r="C4" s="51" t="s">
        <v>283</v>
      </c>
    </row>
    <row r="5" spans="2:3" x14ac:dyDescent="0.3">
      <c r="B5" s="51">
        <v>4</v>
      </c>
      <c r="C5" s="52" t="s">
        <v>284</v>
      </c>
    </row>
    <row r="6" spans="2:3" x14ac:dyDescent="0.3">
      <c r="B6" s="51">
        <v>5</v>
      </c>
      <c r="C6" s="51" t="s">
        <v>285</v>
      </c>
    </row>
    <row r="7" spans="2:3" x14ac:dyDescent="0.3">
      <c r="B7" s="51">
        <v>6</v>
      </c>
      <c r="C7" s="52" t="s">
        <v>286</v>
      </c>
    </row>
    <row r="8" spans="2:3" ht="72" x14ac:dyDescent="0.3">
      <c r="B8" s="51">
        <v>7</v>
      </c>
      <c r="C8" s="52" t="s">
        <v>287</v>
      </c>
    </row>
    <row r="9" spans="2:3" x14ac:dyDescent="0.3">
      <c r="B9" s="51">
        <v>8</v>
      </c>
      <c r="C9" s="51" t="s">
        <v>288</v>
      </c>
    </row>
    <row r="10" spans="2:3" x14ac:dyDescent="0.3">
      <c r="B10" s="51">
        <v>9</v>
      </c>
      <c r="C10" s="51" t="s">
        <v>289</v>
      </c>
    </row>
    <row r="11" spans="2:3" x14ac:dyDescent="0.3">
      <c r="B11" s="51">
        <v>10</v>
      </c>
      <c r="C11" s="51" t="s">
        <v>290</v>
      </c>
    </row>
    <row r="12" spans="2:3" x14ac:dyDescent="0.3">
      <c r="B12" s="51">
        <v>11</v>
      </c>
      <c r="C12" s="51" t="s">
        <v>291</v>
      </c>
    </row>
    <row r="13" spans="2:3" x14ac:dyDescent="0.3">
      <c r="B13" s="51">
        <v>12</v>
      </c>
      <c r="C13" s="51" t="s">
        <v>292</v>
      </c>
    </row>
    <row r="14" spans="2:3" x14ac:dyDescent="0.3">
      <c r="B14" s="51">
        <v>13</v>
      </c>
      <c r="C14" s="51" t="s">
        <v>293</v>
      </c>
    </row>
    <row r="15" spans="2:3" x14ac:dyDescent="0.3">
      <c r="B15" s="51">
        <v>14</v>
      </c>
      <c r="C15" s="51" t="s">
        <v>283</v>
      </c>
    </row>
    <row r="16" spans="2:3" x14ac:dyDescent="0.3">
      <c r="B16" s="51">
        <v>15</v>
      </c>
      <c r="C16" s="51" t="s">
        <v>295</v>
      </c>
    </row>
    <row r="17" spans="2:3" x14ac:dyDescent="0.3">
      <c r="B17" s="70">
        <v>16</v>
      </c>
      <c r="C17" s="56" t="s">
        <v>296</v>
      </c>
    </row>
    <row r="18" spans="2:3" x14ac:dyDescent="0.3">
      <c r="B18" s="55">
        <v>17</v>
      </c>
      <c r="C18" s="56" t="s">
        <v>297</v>
      </c>
    </row>
    <row r="19" spans="2:3" x14ac:dyDescent="0.3">
      <c r="B19" s="54">
        <v>18</v>
      </c>
      <c r="C19" s="51" t="s">
        <v>298</v>
      </c>
    </row>
    <row r="20" spans="2:3" x14ac:dyDescent="0.3">
      <c r="B20" s="55">
        <v>19</v>
      </c>
      <c r="C20" s="51" t="s">
        <v>334</v>
      </c>
    </row>
    <row r="21" spans="2:3" x14ac:dyDescent="0.3">
      <c r="B21" s="51">
        <v>20</v>
      </c>
      <c r="C21" s="51" t="s">
        <v>299</v>
      </c>
    </row>
    <row r="22" spans="2:3" x14ac:dyDescent="0.3">
      <c r="B22" s="55">
        <v>21</v>
      </c>
      <c r="C22" s="51" t="s">
        <v>298</v>
      </c>
    </row>
    <row r="23" spans="2:3" s="65" customFormat="1" ht="29.25" customHeight="1" x14ac:dyDescent="0.3">
      <c r="B23" s="64">
        <v>22</v>
      </c>
      <c r="C23" s="53" t="s">
        <v>326</v>
      </c>
    </row>
    <row r="24" spans="2:3" s="65" customFormat="1" ht="30.75" customHeight="1" x14ac:dyDescent="0.3">
      <c r="B24" s="66">
        <v>23</v>
      </c>
      <c r="C24" s="53" t="s">
        <v>327</v>
      </c>
    </row>
    <row r="25" spans="2:3" x14ac:dyDescent="0.3">
      <c r="B25" s="51">
        <v>24</v>
      </c>
      <c r="C25" s="51" t="s">
        <v>330</v>
      </c>
    </row>
    <row r="26" spans="2:3" x14ac:dyDescent="0.3">
      <c r="B26" s="55">
        <v>25</v>
      </c>
      <c r="C26" s="51" t="s">
        <v>328</v>
      </c>
    </row>
    <row r="27" spans="2:3" x14ac:dyDescent="0.3">
      <c r="B27" s="66">
        <v>26</v>
      </c>
      <c r="C27" s="51" t="s">
        <v>329</v>
      </c>
    </row>
    <row r="28" spans="2:3" x14ac:dyDescent="0.3">
      <c r="B28" s="55">
        <v>27</v>
      </c>
      <c r="C28" s="51" t="s">
        <v>331</v>
      </c>
    </row>
    <row r="29" spans="2:3" ht="43.2" x14ac:dyDescent="0.3">
      <c r="B29" s="69">
        <v>28</v>
      </c>
      <c r="C29" s="52" t="s">
        <v>332</v>
      </c>
    </row>
    <row r="30" spans="2:3" x14ac:dyDescent="0.3">
      <c r="B30" s="66">
        <v>29</v>
      </c>
      <c r="C30" s="51" t="s">
        <v>333</v>
      </c>
    </row>
    <row r="31" spans="2:3" ht="28.8" x14ac:dyDescent="0.3">
      <c r="B31" s="66">
        <v>30</v>
      </c>
      <c r="C31" s="52" t="s">
        <v>335</v>
      </c>
    </row>
    <row r="32" spans="2:3" x14ac:dyDescent="0.3">
      <c r="B32" s="66">
        <v>31</v>
      </c>
      <c r="C32" s="51" t="s">
        <v>336</v>
      </c>
    </row>
    <row r="33" spans="2:4" x14ac:dyDescent="0.3">
      <c r="B33" s="66">
        <v>32</v>
      </c>
      <c r="C33" s="51" t="s">
        <v>337</v>
      </c>
    </row>
    <row r="34" spans="2:4" ht="36.75" customHeight="1" x14ac:dyDescent="0.3">
      <c r="B34" s="66">
        <v>33</v>
      </c>
      <c r="C34" s="56" t="s">
        <v>338</v>
      </c>
    </row>
    <row r="35" spans="2:4" x14ac:dyDescent="0.3">
      <c r="B35" s="64">
        <v>34</v>
      </c>
      <c r="C35" s="51" t="s">
        <v>346</v>
      </c>
    </row>
    <row r="36" spans="2:4" ht="57.6" x14ac:dyDescent="0.3">
      <c r="B36" s="64">
        <v>35</v>
      </c>
      <c r="C36" s="52" t="s">
        <v>350</v>
      </c>
    </row>
    <row r="37" spans="2:4" x14ac:dyDescent="0.3">
      <c r="B37" s="51">
        <v>36</v>
      </c>
      <c r="C37" s="52" t="s">
        <v>361</v>
      </c>
    </row>
    <row r="38" spans="2:4" x14ac:dyDescent="0.3">
      <c r="B38" s="51">
        <f t="shared" ref="B38:B44" si="0">B37+1</f>
        <v>37</v>
      </c>
      <c r="C38" s="51" t="s">
        <v>357</v>
      </c>
    </row>
    <row r="39" spans="2:4" x14ac:dyDescent="0.3">
      <c r="B39" s="51">
        <f t="shared" si="0"/>
        <v>38</v>
      </c>
      <c r="C39" s="51" t="s">
        <v>358</v>
      </c>
    </row>
    <row r="40" spans="2:4" x14ac:dyDescent="0.3">
      <c r="B40" s="51">
        <f t="shared" si="0"/>
        <v>39</v>
      </c>
      <c r="C40" s="51" t="s">
        <v>359</v>
      </c>
    </row>
    <row r="41" spans="2:4" x14ac:dyDescent="0.3">
      <c r="B41" s="51">
        <f t="shared" si="0"/>
        <v>40</v>
      </c>
      <c r="C41" s="51" t="s">
        <v>360</v>
      </c>
    </row>
    <row r="42" spans="2:4" ht="29.4" thickBot="1" x14ac:dyDescent="0.35">
      <c r="B42" s="73">
        <f t="shared" si="0"/>
        <v>41</v>
      </c>
      <c r="C42" s="74" t="s">
        <v>362</v>
      </c>
    </row>
    <row r="43" spans="2:4" ht="28.8" x14ac:dyDescent="0.3">
      <c r="B43" s="77">
        <f t="shared" si="0"/>
        <v>42</v>
      </c>
      <c r="C43" s="82" t="s">
        <v>367</v>
      </c>
      <c r="D43" t="s">
        <v>368</v>
      </c>
    </row>
    <row r="44" spans="2:4" ht="15" thickBot="1" x14ac:dyDescent="0.35">
      <c r="B44" s="79">
        <f t="shared" si="0"/>
        <v>43</v>
      </c>
      <c r="C44" s="81" t="s">
        <v>363</v>
      </c>
    </row>
    <row r="45" spans="2:4" ht="15" thickBot="1" x14ac:dyDescent="0.35">
      <c r="B45" s="75">
        <f t="shared" ref="B45:B54" si="1">B44+1</f>
        <v>44</v>
      </c>
      <c r="C45" s="76" t="s">
        <v>364</v>
      </c>
    </row>
    <row r="46" spans="2:4" ht="28.8" x14ac:dyDescent="0.3">
      <c r="B46" s="77">
        <f t="shared" si="1"/>
        <v>45</v>
      </c>
      <c r="C46" s="78" t="s">
        <v>365</v>
      </c>
    </row>
    <row r="47" spans="2:4" ht="15" thickBot="1" x14ac:dyDescent="0.35">
      <c r="B47" s="79">
        <f t="shared" si="1"/>
        <v>46</v>
      </c>
      <c r="C47" s="80" t="s">
        <v>366</v>
      </c>
    </row>
    <row r="48" spans="2:4" x14ac:dyDescent="0.3">
      <c r="B48" s="83">
        <f t="shared" si="1"/>
        <v>47</v>
      </c>
      <c r="C48" s="84" t="s">
        <v>369</v>
      </c>
    </row>
    <row r="49" spans="2:6" x14ac:dyDescent="0.3">
      <c r="B49" s="83">
        <f t="shared" si="1"/>
        <v>48</v>
      </c>
      <c r="C49" s="84" t="s">
        <v>370</v>
      </c>
    </row>
    <row r="50" spans="2:6" x14ac:dyDescent="0.3">
      <c r="B50" s="83">
        <f t="shared" si="1"/>
        <v>49</v>
      </c>
      <c r="C50" s="84" t="s">
        <v>372</v>
      </c>
      <c r="D50" t="s">
        <v>371</v>
      </c>
    </row>
    <row r="51" spans="2:6" ht="28.8" x14ac:dyDescent="0.3">
      <c r="B51" s="85">
        <f t="shared" si="1"/>
        <v>50</v>
      </c>
      <c r="C51" s="86" t="s">
        <v>373</v>
      </c>
    </row>
    <row r="52" spans="2:6" x14ac:dyDescent="0.3">
      <c r="B52" s="85">
        <f t="shared" si="1"/>
        <v>51</v>
      </c>
      <c r="C52" s="87" t="s">
        <v>376</v>
      </c>
      <c r="D52" t="s">
        <v>377</v>
      </c>
    </row>
    <row r="53" spans="2:6" x14ac:dyDescent="0.3">
      <c r="B53" s="85">
        <f t="shared" si="1"/>
        <v>52</v>
      </c>
      <c r="C53" s="87" t="s">
        <v>379</v>
      </c>
      <c r="D53" t="s">
        <v>380</v>
      </c>
    </row>
    <row r="54" spans="2:6" ht="28.8" x14ac:dyDescent="0.3">
      <c r="B54" s="85">
        <f t="shared" si="1"/>
        <v>53</v>
      </c>
      <c r="C54" s="56" t="s">
        <v>384</v>
      </c>
      <c r="D54" t="s">
        <v>383</v>
      </c>
    </row>
    <row r="55" spans="2:6" ht="28.8" x14ac:dyDescent="0.3">
      <c r="B55">
        <v>54</v>
      </c>
      <c r="C55" s="89" t="s">
        <v>385</v>
      </c>
      <c r="D55" s="266" t="s">
        <v>386</v>
      </c>
      <c r="E55" s="267"/>
      <c r="F55" s="267"/>
    </row>
  </sheetData>
  <mergeCells count="1">
    <mergeCell ref="D55:F55"/>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09375" defaultRowHeight="14.4" x14ac:dyDescent="0.3"/>
  <cols>
    <col min="1" max="1" width="9.109375" style="47"/>
    <col min="2" max="2" width="12.33203125" style="47" customWidth="1"/>
    <col min="3" max="16384" width="9.109375" style="47"/>
  </cols>
  <sheetData>
    <row r="2" spans="1:12" x14ac:dyDescent="0.3">
      <c r="B2" s="58" t="s">
        <v>300</v>
      </c>
      <c r="C2" s="268"/>
      <c r="D2" s="268"/>
    </row>
    <row r="3" spans="1:12" x14ac:dyDescent="0.3">
      <c r="D3" s="59"/>
      <c r="E3" s="59"/>
      <c r="F3" s="59"/>
      <c r="G3" s="59"/>
      <c r="H3" s="59"/>
      <c r="I3" s="59"/>
    </row>
    <row r="4" spans="1:12" x14ac:dyDescent="0.3">
      <c r="A4" s="58" t="s">
        <v>64</v>
      </c>
      <c r="B4" s="60" t="s">
        <v>301</v>
      </c>
      <c r="C4" s="269" t="s">
        <v>302</v>
      </c>
      <c r="D4" s="269"/>
      <c r="E4" s="269"/>
      <c r="F4" s="60"/>
      <c r="G4" s="270" t="s">
        <v>303</v>
      </c>
      <c r="H4" s="270"/>
      <c r="I4" s="270"/>
      <c r="J4" s="271" t="s">
        <v>304</v>
      </c>
      <c r="K4" s="271"/>
      <c r="L4" s="271"/>
    </row>
    <row r="5" spans="1:12" x14ac:dyDescent="0.3">
      <c r="A5" s="58"/>
      <c r="B5" s="60"/>
      <c r="C5" s="60" t="s">
        <v>305</v>
      </c>
      <c r="D5" s="60" t="s">
        <v>306</v>
      </c>
      <c r="E5" s="60" t="s">
        <v>307</v>
      </c>
      <c r="F5" s="60"/>
      <c r="G5" s="60" t="s">
        <v>305</v>
      </c>
      <c r="H5" s="60" t="s">
        <v>306</v>
      </c>
      <c r="I5" s="60" t="s">
        <v>307</v>
      </c>
      <c r="J5" s="60" t="s">
        <v>305</v>
      </c>
      <c r="K5" s="60" t="s">
        <v>306</v>
      </c>
      <c r="L5" s="60" t="s">
        <v>307</v>
      </c>
    </row>
    <row r="6" spans="1:12" x14ac:dyDescent="0.3">
      <c r="B6" s="48" t="s">
        <v>308</v>
      </c>
      <c r="C6" s="48"/>
      <c r="D6" s="48"/>
      <c r="E6" s="48">
        <f>C6*D6</f>
        <v>0</v>
      </c>
      <c r="F6" s="48" t="s">
        <v>325</v>
      </c>
      <c r="G6" s="48"/>
      <c r="H6" s="48"/>
      <c r="I6" s="48">
        <f>G6*H6</f>
        <v>0</v>
      </c>
      <c r="J6" s="48"/>
      <c r="K6" s="48"/>
      <c r="L6" s="48">
        <f>J6*K6</f>
        <v>0</v>
      </c>
    </row>
    <row r="7" spans="1:12" x14ac:dyDescent="0.3">
      <c r="B7" s="48"/>
      <c r="C7" s="48"/>
      <c r="D7" s="48"/>
      <c r="E7" s="48">
        <f t="shared" ref="E7:E41" si="0">C7*D7</f>
        <v>0</v>
      </c>
      <c r="F7" s="48" t="s">
        <v>325</v>
      </c>
      <c r="G7" s="48"/>
      <c r="H7" s="48"/>
      <c r="I7" s="48">
        <f t="shared" ref="I7:I35" si="1">G7*H7</f>
        <v>0</v>
      </c>
      <c r="J7" s="48"/>
      <c r="K7" s="48"/>
      <c r="L7" s="48">
        <f t="shared" ref="L7:L35" si="2">J7*K7</f>
        <v>0</v>
      </c>
    </row>
    <row r="8" spans="1:12" x14ac:dyDescent="0.3">
      <c r="B8" s="48"/>
      <c r="C8" s="48"/>
      <c r="D8" s="48"/>
      <c r="E8" s="48">
        <f t="shared" si="0"/>
        <v>0</v>
      </c>
      <c r="F8" s="48"/>
      <c r="G8" s="48"/>
      <c r="H8" s="48"/>
      <c r="I8" s="48">
        <f t="shared" si="1"/>
        <v>0</v>
      </c>
      <c r="J8" s="48"/>
      <c r="K8" s="48"/>
      <c r="L8" s="48">
        <f t="shared" si="2"/>
        <v>0</v>
      </c>
    </row>
    <row r="9" spans="1:12" x14ac:dyDescent="0.3">
      <c r="B9" s="48"/>
      <c r="C9" s="48"/>
      <c r="D9" s="48"/>
      <c r="E9" s="48">
        <f t="shared" si="0"/>
        <v>0</v>
      </c>
      <c r="F9" s="48" t="s">
        <v>309</v>
      </c>
      <c r="G9" s="48"/>
      <c r="H9" s="48"/>
      <c r="I9" s="48">
        <f t="shared" si="1"/>
        <v>0</v>
      </c>
      <c r="J9" s="48"/>
      <c r="K9" s="48"/>
      <c r="L9" s="48">
        <f t="shared" si="2"/>
        <v>0</v>
      </c>
    </row>
    <row r="10" spans="1:12" x14ac:dyDescent="0.3">
      <c r="B10" s="48" t="s">
        <v>310</v>
      </c>
      <c r="C10" s="48"/>
      <c r="D10" s="48"/>
      <c r="E10" s="48">
        <f t="shared" si="0"/>
        <v>0</v>
      </c>
      <c r="F10" s="48" t="s">
        <v>309</v>
      </c>
      <c r="G10" s="48"/>
      <c r="H10" s="48"/>
      <c r="I10" s="48">
        <f t="shared" si="1"/>
        <v>0</v>
      </c>
      <c r="J10" s="48"/>
      <c r="K10" s="48"/>
      <c r="L10" s="48">
        <f t="shared" si="2"/>
        <v>0</v>
      </c>
    </row>
    <row r="11" spans="1:12" x14ac:dyDescent="0.3">
      <c r="B11" s="48"/>
      <c r="C11" s="48"/>
      <c r="D11" s="48"/>
      <c r="E11" s="48">
        <f t="shared" si="0"/>
        <v>0</v>
      </c>
      <c r="F11" s="48" t="s">
        <v>311</v>
      </c>
      <c r="G11" s="48"/>
      <c r="H11" s="48"/>
      <c r="I11" s="48">
        <f t="shared" si="1"/>
        <v>0</v>
      </c>
      <c r="J11" s="48"/>
      <c r="K11" s="48"/>
      <c r="L11" s="48">
        <f t="shared" si="2"/>
        <v>0</v>
      </c>
    </row>
    <row r="12" spans="1:12" x14ac:dyDescent="0.3">
      <c r="B12" s="48"/>
      <c r="C12" s="48"/>
      <c r="D12" s="48"/>
      <c r="E12" s="48">
        <f t="shared" si="0"/>
        <v>0</v>
      </c>
      <c r="F12" s="48"/>
      <c r="G12" s="48"/>
      <c r="H12" s="48"/>
      <c r="I12" s="48">
        <f t="shared" si="1"/>
        <v>0</v>
      </c>
      <c r="J12" s="48"/>
      <c r="K12" s="48"/>
      <c r="L12" s="48">
        <f t="shared" si="2"/>
        <v>0</v>
      </c>
    </row>
    <row r="13" spans="1:12" x14ac:dyDescent="0.3">
      <c r="B13" s="48"/>
      <c r="C13" s="48"/>
      <c r="D13" s="48"/>
      <c r="E13" s="48">
        <f t="shared" si="0"/>
        <v>0</v>
      </c>
      <c r="F13" s="48"/>
      <c r="G13" s="48"/>
      <c r="H13" s="48"/>
      <c r="I13" s="48">
        <f t="shared" si="1"/>
        <v>0</v>
      </c>
      <c r="J13" s="48"/>
      <c r="K13" s="48"/>
      <c r="L13" s="48">
        <f t="shared" si="2"/>
        <v>0</v>
      </c>
    </row>
    <row r="14" spans="1:12" x14ac:dyDescent="0.3">
      <c r="B14" s="48" t="s">
        <v>312</v>
      </c>
      <c r="C14" s="48"/>
      <c r="D14" s="48"/>
      <c r="E14" s="48">
        <f t="shared" si="0"/>
        <v>0</v>
      </c>
      <c r="F14" s="48" t="s">
        <v>309</v>
      </c>
      <c r="G14" s="48"/>
      <c r="H14" s="48"/>
      <c r="I14" s="48">
        <f t="shared" si="1"/>
        <v>0</v>
      </c>
      <c r="J14" s="48"/>
      <c r="K14" s="48"/>
      <c r="L14" s="48">
        <f t="shared" si="2"/>
        <v>0</v>
      </c>
    </row>
    <row r="15" spans="1:12" x14ac:dyDescent="0.3">
      <c r="B15" s="48"/>
      <c r="C15" s="48"/>
      <c r="D15" s="48"/>
      <c r="E15" s="48">
        <f t="shared" si="0"/>
        <v>0</v>
      </c>
      <c r="F15" s="48" t="s">
        <v>311</v>
      </c>
      <c r="G15" s="48"/>
      <c r="H15" s="48"/>
      <c r="I15" s="48">
        <f t="shared" si="1"/>
        <v>0</v>
      </c>
      <c r="J15" s="48"/>
      <c r="K15" s="48"/>
      <c r="L15" s="48">
        <f t="shared" si="2"/>
        <v>0</v>
      </c>
    </row>
    <row r="16" spans="1:12" x14ac:dyDescent="0.3">
      <c r="B16" s="48"/>
      <c r="C16" s="48"/>
      <c r="D16" s="48"/>
      <c r="E16" s="48">
        <f t="shared" si="0"/>
        <v>0</v>
      </c>
      <c r="F16" s="48"/>
      <c r="G16" s="48"/>
      <c r="H16" s="48"/>
      <c r="I16" s="48">
        <f t="shared" si="1"/>
        <v>0</v>
      </c>
      <c r="J16" s="48"/>
      <c r="K16" s="48"/>
      <c r="L16" s="48">
        <f t="shared" si="2"/>
        <v>0</v>
      </c>
    </row>
    <row r="17" spans="2:12" x14ac:dyDescent="0.3">
      <c r="B17" s="48"/>
      <c r="C17" s="48"/>
      <c r="D17" s="48"/>
      <c r="E17" s="48">
        <f t="shared" si="0"/>
        <v>0</v>
      </c>
      <c r="F17" s="48"/>
      <c r="G17" s="48"/>
      <c r="H17" s="48"/>
      <c r="I17" s="48">
        <f t="shared" si="1"/>
        <v>0</v>
      </c>
      <c r="J17" s="48"/>
      <c r="K17" s="48"/>
      <c r="L17" s="48">
        <f t="shared" si="2"/>
        <v>0</v>
      </c>
    </row>
    <row r="18" spans="2:12" x14ac:dyDescent="0.3">
      <c r="B18" s="48" t="s">
        <v>313</v>
      </c>
      <c r="C18" s="48"/>
      <c r="D18" s="48"/>
      <c r="E18" s="48">
        <f t="shared" si="0"/>
        <v>0</v>
      </c>
      <c r="F18" s="48" t="s">
        <v>309</v>
      </c>
      <c r="G18" s="48"/>
      <c r="H18" s="48"/>
      <c r="I18" s="48">
        <f t="shared" si="1"/>
        <v>0</v>
      </c>
      <c r="J18" s="48"/>
      <c r="K18" s="48"/>
      <c r="L18" s="48">
        <f t="shared" si="2"/>
        <v>0</v>
      </c>
    </row>
    <row r="19" spans="2:12" x14ac:dyDescent="0.3">
      <c r="B19" s="48"/>
      <c r="C19" s="48"/>
      <c r="D19" s="48"/>
      <c r="E19" s="48">
        <f t="shared" si="0"/>
        <v>0</v>
      </c>
      <c r="F19" s="48" t="s">
        <v>311</v>
      </c>
      <c r="G19" s="48"/>
      <c r="H19" s="48"/>
      <c r="I19" s="48">
        <f t="shared" si="1"/>
        <v>0</v>
      </c>
      <c r="J19" s="48"/>
      <c r="K19" s="48"/>
      <c r="L19" s="48">
        <f t="shared" si="2"/>
        <v>0</v>
      </c>
    </row>
    <row r="20" spans="2:12" x14ac:dyDescent="0.3">
      <c r="B20" s="48"/>
      <c r="C20" s="48"/>
      <c r="D20" s="48"/>
      <c r="E20" s="48">
        <f t="shared" si="0"/>
        <v>0</v>
      </c>
      <c r="F20" s="48"/>
      <c r="G20" s="48"/>
      <c r="H20" s="48"/>
      <c r="I20" s="48">
        <f t="shared" si="1"/>
        <v>0</v>
      </c>
      <c r="J20" s="48"/>
      <c r="K20" s="48"/>
      <c r="L20" s="48">
        <f t="shared" si="2"/>
        <v>0</v>
      </c>
    </row>
    <row r="21" spans="2:12" x14ac:dyDescent="0.3">
      <c r="B21" s="48" t="s">
        <v>314</v>
      </c>
      <c r="C21" s="48"/>
      <c r="D21" s="48"/>
      <c r="E21" s="48">
        <f t="shared" si="0"/>
        <v>0</v>
      </c>
      <c r="F21" s="48" t="s">
        <v>309</v>
      </c>
      <c r="G21" s="48"/>
      <c r="H21" s="48"/>
      <c r="I21" s="48">
        <f t="shared" si="1"/>
        <v>0</v>
      </c>
      <c r="J21" s="48"/>
      <c r="K21" s="48"/>
      <c r="L21" s="48">
        <f t="shared" si="2"/>
        <v>0</v>
      </c>
    </row>
    <row r="22" spans="2:12" x14ac:dyDescent="0.3">
      <c r="B22" s="48"/>
      <c r="C22" s="48"/>
      <c r="D22" s="48"/>
      <c r="E22" s="48">
        <f t="shared" si="0"/>
        <v>0</v>
      </c>
      <c r="F22" s="48" t="s">
        <v>311</v>
      </c>
      <c r="G22" s="48"/>
      <c r="H22" s="48"/>
      <c r="I22" s="48">
        <f t="shared" si="1"/>
        <v>0</v>
      </c>
      <c r="J22" s="48"/>
      <c r="K22" s="48"/>
      <c r="L22" s="48">
        <f t="shared" si="2"/>
        <v>0</v>
      </c>
    </row>
    <row r="23" spans="2:12" x14ac:dyDescent="0.3">
      <c r="B23" s="48"/>
      <c r="C23" s="48"/>
      <c r="D23" s="48"/>
      <c r="E23" s="48">
        <f t="shared" si="0"/>
        <v>0</v>
      </c>
      <c r="F23" s="48"/>
      <c r="G23" s="48"/>
      <c r="H23" s="48"/>
      <c r="I23" s="48">
        <f t="shared" si="1"/>
        <v>0</v>
      </c>
      <c r="J23" s="48"/>
      <c r="K23" s="48"/>
      <c r="L23" s="48">
        <f t="shared" si="2"/>
        <v>0</v>
      </c>
    </row>
    <row r="24" spans="2:12" x14ac:dyDescent="0.3">
      <c r="B24" s="48" t="s">
        <v>315</v>
      </c>
      <c r="C24" s="48"/>
      <c r="D24" s="48"/>
      <c r="E24" s="48">
        <f t="shared" si="0"/>
        <v>0</v>
      </c>
      <c r="F24" s="48" t="s">
        <v>316</v>
      </c>
      <c r="G24" s="48"/>
      <c r="H24" s="48"/>
      <c r="I24" s="48">
        <f t="shared" si="1"/>
        <v>0</v>
      </c>
      <c r="J24" s="48"/>
      <c r="K24" s="48"/>
      <c r="L24" s="48">
        <f t="shared" si="2"/>
        <v>0</v>
      </c>
    </row>
    <row r="25" spans="2:12" x14ac:dyDescent="0.3">
      <c r="B25" s="48"/>
      <c r="C25" s="48"/>
      <c r="D25" s="48"/>
      <c r="E25" s="48">
        <f>C25*D25</f>
        <v>0</v>
      </c>
      <c r="F25" s="48" t="s">
        <v>316</v>
      </c>
      <c r="G25" s="48"/>
      <c r="H25" s="48"/>
      <c r="I25" s="48">
        <f>G25*H25</f>
        <v>0</v>
      </c>
      <c r="J25" s="48"/>
      <c r="K25" s="48"/>
      <c r="L25" s="48">
        <f>J25*K25</f>
        <v>0</v>
      </c>
    </row>
    <row r="26" spans="2:12" x14ac:dyDescent="0.3">
      <c r="B26" s="48"/>
      <c r="C26" s="48"/>
      <c r="D26" s="48"/>
      <c r="E26" s="48">
        <f>C26*D26</f>
        <v>0</v>
      </c>
      <c r="F26" s="48" t="s">
        <v>316</v>
      </c>
      <c r="G26" s="48"/>
      <c r="H26" s="48"/>
      <c r="I26" s="48">
        <f>G26*H26</f>
        <v>0</v>
      </c>
      <c r="J26" s="48"/>
      <c r="K26" s="48"/>
      <c r="L26" s="48">
        <f>J26*K26</f>
        <v>0</v>
      </c>
    </row>
    <row r="27" spans="2:12" x14ac:dyDescent="0.3">
      <c r="B27" s="48"/>
      <c r="C27" s="48"/>
      <c r="D27" s="48"/>
      <c r="E27" s="48">
        <f>C27*D27</f>
        <v>0</v>
      </c>
      <c r="F27" s="48" t="s">
        <v>316</v>
      </c>
      <c r="G27" s="48"/>
      <c r="H27" s="48"/>
      <c r="I27" s="48">
        <f>G27*H27</f>
        <v>0</v>
      </c>
      <c r="J27" s="48"/>
      <c r="K27" s="48"/>
      <c r="L27" s="48">
        <f>J27*K27</f>
        <v>0</v>
      </c>
    </row>
    <row r="28" spans="2:12" x14ac:dyDescent="0.3">
      <c r="B28" s="48" t="s">
        <v>317</v>
      </c>
      <c r="C28" s="48"/>
      <c r="D28" s="48"/>
      <c r="E28" s="48">
        <f t="shared" si="0"/>
        <v>0</v>
      </c>
      <c r="F28" s="48" t="s">
        <v>316</v>
      </c>
      <c r="G28" s="48"/>
      <c r="H28" s="48"/>
      <c r="I28" s="48">
        <f t="shared" si="1"/>
        <v>0</v>
      </c>
      <c r="J28" s="48"/>
      <c r="K28" s="48"/>
      <c r="L28" s="48">
        <f t="shared" si="2"/>
        <v>0</v>
      </c>
    </row>
    <row r="29" spans="2:12" x14ac:dyDescent="0.3">
      <c r="B29" s="48" t="s">
        <v>318</v>
      </c>
      <c r="C29" s="48"/>
      <c r="D29" s="48"/>
      <c r="E29" s="48">
        <f t="shared" si="0"/>
        <v>0</v>
      </c>
      <c r="F29" s="48" t="s">
        <v>316</v>
      </c>
      <c r="G29" s="48"/>
      <c r="H29" s="48"/>
      <c r="I29" s="48">
        <f t="shared" si="1"/>
        <v>0</v>
      </c>
      <c r="J29" s="48"/>
      <c r="K29" s="48"/>
      <c r="L29" s="48">
        <f t="shared" si="2"/>
        <v>0</v>
      </c>
    </row>
    <row r="30" spans="2:12" x14ac:dyDescent="0.3">
      <c r="B30" s="48" t="s">
        <v>322</v>
      </c>
      <c r="C30" s="48"/>
      <c r="D30" s="48"/>
      <c r="E30" s="48">
        <f t="shared" si="0"/>
        <v>0</v>
      </c>
      <c r="F30" s="48"/>
      <c r="G30" s="48"/>
      <c r="H30" s="48"/>
      <c r="I30" s="48">
        <f t="shared" si="1"/>
        <v>0</v>
      </c>
      <c r="J30" s="48"/>
      <c r="K30" s="48"/>
      <c r="L30" s="48">
        <f t="shared" si="2"/>
        <v>0</v>
      </c>
    </row>
    <row r="31" spans="2:12" x14ac:dyDescent="0.3">
      <c r="B31" s="48"/>
      <c r="C31" s="48"/>
      <c r="D31" s="48"/>
      <c r="E31" s="48">
        <f>C31*D31</f>
        <v>0</v>
      </c>
      <c r="F31" s="48"/>
      <c r="G31" s="48"/>
      <c r="H31" s="48"/>
      <c r="I31" s="48">
        <f>G31*H31</f>
        <v>0</v>
      </c>
      <c r="J31" s="48"/>
      <c r="K31" s="48"/>
      <c r="L31" s="48">
        <f>J31*K31</f>
        <v>0</v>
      </c>
    </row>
    <row r="32" spans="2:12" x14ac:dyDescent="0.3">
      <c r="B32" s="48"/>
      <c r="C32" s="48"/>
      <c r="D32" s="48"/>
      <c r="E32" s="48">
        <f>C32*D32</f>
        <v>0</v>
      </c>
      <c r="F32" s="48"/>
      <c r="G32" s="48"/>
      <c r="H32" s="48"/>
      <c r="I32" s="48">
        <f>G32*H32</f>
        <v>0</v>
      </c>
      <c r="J32" s="48"/>
      <c r="K32" s="48"/>
      <c r="L32" s="48">
        <f>J32*K32</f>
        <v>0</v>
      </c>
    </row>
    <row r="33" spans="2:12" x14ac:dyDescent="0.3">
      <c r="B33" s="48" t="s">
        <v>319</v>
      </c>
      <c r="C33" s="48"/>
      <c r="D33" s="48"/>
      <c r="E33" s="48">
        <f t="shared" si="0"/>
        <v>0</v>
      </c>
      <c r="F33" s="48"/>
      <c r="G33" s="48"/>
      <c r="H33" s="48"/>
      <c r="I33" s="48">
        <f t="shared" si="1"/>
        <v>0</v>
      </c>
      <c r="J33" s="48"/>
      <c r="K33" s="48"/>
      <c r="L33" s="48">
        <f t="shared" si="2"/>
        <v>0</v>
      </c>
    </row>
    <row r="34" spans="2:12" x14ac:dyDescent="0.3">
      <c r="B34" s="48" t="s">
        <v>323</v>
      </c>
      <c r="C34" s="48"/>
      <c r="D34" s="48"/>
      <c r="E34" s="48">
        <f t="shared" si="0"/>
        <v>0</v>
      </c>
      <c r="F34" s="48"/>
      <c r="G34" s="48"/>
      <c r="H34" s="48"/>
      <c r="I34" s="48">
        <f t="shared" si="1"/>
        <v>0</v>
      </c>
      <c r="J34" s="48"/>
      <c r="K34" s="48"/>
      <c r="L34" s="48">
        <f t="shared" si="2"/>
        <v>0</v>
      </c>
    </row>
    <row r="35" spans="2:12" x14ac:dyDescent="0.3">
      <c r="B35" s="48" t="s">
        <v>320</v>
      </c>
      <c r="C35" s="48"/>
      <c r="D35" s="48"/>
      <c r="E35" s="48">
        <f t="shared" si="0"/>
        <v>0</v>
      </c>
      <c r="F35" s="48"/>
      <c r="G35" s="48"/>
      <c r="H35" s="48"/>
      <c r="I35" s="48">
        <f t="shared" si="1"/>
        <v>0</v>
      </c>
      <c r="J35" s="48"/>
      <c r="K35" s="48"/>
      <c r="L35" s="48">
        <f t="shared" si="2"/>
        <v>0</v>
      </c>
    </row>
    <row r="36" spans="2:12" x14ac:dyDescent="0.3">
      <c r="B36" s="48" t="s">
        <v>321</v>
      </c>
      <c r="C36" s="48"/>
      <c r="D36" s="48"/>
      <c r="E36" s="48">
        <f t="shared" si="0"/>
        <v>0</v>
      </c>
      <c r="F36" s="48"/>
      <c r="G36" s="48"/>
      <c r="H36" s="48"/>
      <c r="I36" s="48">
        <f t="shared" ref="I36:I41" si="3">G36*H36</f>
        <v>0</v>
      </c>
      <c r="J36" s="48"/>
      <c r="K36" s="48"/>
      <c r="L36" s="48">
        <f t="shared" ref="L36:L41" si="4">J36*K36</f>
        <v>0</v>
      </c>
    </row>
    <row r="37" spans="2:12" x14ac:dyDescent="0.3">
      <c r="B37" s="48"/>
      <c r="C37" s="48"/>
      <c r="D37" s="48"/>
      <c r="E37" s="48">
        <f>C37*D37</f>
        <v>0</v>
      </c>
      <c r="F37" s="48"/>
      <c r="G37" s="48"/>
      <c r="H37" s="48"/>
      <c r="I37" s="48">
        <f t="shared" si="3"/>
        <v>0</v>
      </c>
      <c r="J37" s="48"/>
      <c r="K37" s="48"/>
      <c r="L37" s="48">
        <f t="shared" si="4"/>
        <v>0</v>
      </c>
    </row>
    <row r="38" spans="2:12" x14ac:dyDescent="0.3">
      <c r="B38" s="48" t="s">
        <v>324</v>
      </c>
      <c r="C38" s="48"/>
      <c r="D38" s="48"/>
      <c r="E38" s="48">
        <f>C38*D38</f>
        <v>0</v>
      </c>
      <c r="F38" s="48"/>
      <c r="G38" s="48"/>
      <c r="H38" s="48"/>
      <c r="I38" s="48">
        <f t="shared" si="3"/>
        <v>0</v>
      </c>
      <c r="J38" s="48"/>
      <c r="K38" s="48"/>
      <c r="L38" s="48">
        <f t="shared" si="4"/>
        <v>0</v>
      </c>
    </row>
    <row r="39" spans="2:12" x14ac:dyDescent="0.3">
      <c r="B39" s="48"/>
      <c r="C39" s="48"/>
      <c r="D39" s="48"/>
      <c r="E39" s="48">
        <f t="shared" si="0"/>
        <v>0</v>
      </c>
      <c r="F39" s="48"/>
      <c r="G39" s="48"/>
      <c r="H39" s="48"/>
      <c r="I39" s="48">
        <f t="shared" si="3"/>
        <v>0</v>
      </c>
      <c r="J39" s="48"/>
      <c r="K39" s="48"/>
      <c r="L39" s="48">
        <f t="shared" si="4"/>
        <v>0</v>
      </c>
    </row>
    <row r="40" spans="2:12" x14ac:dyDescent="0.3">
      <c r="B40" s="48"/>
      <c r="C40" s="48"/>
      <c r="D40" s="48"/>
      <c r="E40" s="48">
        <f t="shared" si="0"/>
        <v>0</v>
      </c>
      <c r="F40" s="48"/>
      <c r="G40" s="48"/>
      <c r="H40" s="48"/>
      <c r="I40" s="48">
        <f t="shared" si="3"/>
        <v>0</v>
      </c>
      <c r="J40" s="48"/>
      <c r="K40" s="48"/>
      <c r="L40" s="48">
        <f t="shared" si="4"/>
        <v>0</v>
      </c>
    </row>
    <row r="41" spans="2:12" x14ac:dyDescent="0.3">
      <c r="B41" s="48"/>
      <c r="C41" s="48"/>
      <c r="D41" s="48"/>
      <c r="E41" s="48">
        <f t="shared" si="0"/>
        <v>0</v>
      </c>
      <c r="F41" s="48"/>
      <c r="G41" s="48"/>
      <c r="H41" s="48"/>
      <c r="I41" s="48">
        <f t="shared" si="3"/>
        <v>0</v>
      </c>
      <c r="J41" s="48"/>
      <c r="K41" s="48"/>
      <c r="L41" s="48">
        <f t="shared" si="4"/>
        <v>0</v>
      </c>
    </row>
    <row r="42" spans="2:12" x14ac:dyDescent="0.3">
      <c r="B42" s="48" t="s">
        <v>150</v>
      </c>
      <c r="C42" s="48"/>
      <c r="D42" s="48">
        <f>E42*10.764</f>
        <v>0</v>
      </c>
      <c r="E42" s="63">
        <f>SUM(E6:E41)</f>
        <v>0</v>
      </c>
      <c r="F42" s="48"/>
      <c r="G42" s="48"/>
      <c r="H42" s="48">
        <f>I42*10.764</f>
        <v>0</v>
      </c>
      <c r="I42" s="62">
        <f>SUM(I6:I41)</f>
        <v>0</v>
      </c>
      <c r="J42" s="48"/>
      <c r="K42" s="48">
        <f>L42*10.764</f>
        <v>0</v>
      </c>
      <c r="L42" s="61">
        <f>SUM(L6:L41)</f>
        <v>0</v>
      </c>
    </row>
    <row r="44" spans="2:12" x14ac:dyDescent="0.3">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2025-09-08T09:39:20Z</cp:lastPrinted>
  <dcterms:created xsi:type="dcterms:W3CDTF">2019-07-16T09:29:46Z</dcterms:created>
  <dcterms:modified xsi:type="dcterms:W3CDTF">2025-09-08T09:39:21Z</dcterms:modified>
</cp:coreProperties>
</file>