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D:\Kunal\Sept 25\Jio\"/>
    </mc:Choice>
  </mc:AlternateContent>
  <xr:revisionPtr revIDLastSave="0" documentId="13_ncr:1_{CC332169-D9AA-45FC-AE43-E3DBC4EA52AD}" xr6:coauthVersionLast="47" xr6:coauthVersionMax="47" xr10:uidLastSave="{00000000-0000-0000-0000-000000000000}"/>
  <bookViews>
    <workbookView xWindow="-108" yWindow="-108" windowWidth="23256" windowHeight="12456" tabRatio="725" xr2:uid="{00000000-000D-0000-FFFF-FFFF00000000}"/>
  </bookViews>
  <sheets>
    <sheet name="Report" sheetId="1" r:id="rId1"/>
    <sheet name="valuation" sheetId="5" r:id="rId2"/>
    <sheet name="Research" sheetId="4" r:id="rId3"/>
    <sheet name="Remarks" sheetId="6" r:id="rId4"/>
    <sheet name="Area Calculation" sheetId="7" r:id="rId5"/>
  </sheets>
  <definedNames>
    <definedName name="_xlnm.Print_Area" localSheetId="0">Report!$A$1:$H$580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55" i="1" l="1"/>
  <c r="G155" i="1"/>
  <c r="G153" i="1"/>
  <c r="G154" i="1"/>
  <c r="G334" i="1"/>
  <c r="G332" i="1"/>
  <c r="G330" i="1"/>
  <c r="D330" i="1"/>
  <c r="D334" i="1"/>
  <c r="D332" i="1"/>
  <c r="G241" i="1"/>
  <c r="D241" i="1"/>
  <c r="G239" i="1"/>
  <c r="D239" i="1"/>
  <c r="G237" i="1"/>
  <c r="D237" i="1"/>
  <c r="I282" i="1"/>
  <c r="I190" i="1"/>
  <c r="C106" i="1"/>
  <c r="C107" i="1" s="1"/>
  <c r="E272" i="1"/>
  <c r="D272" i="1"/>
  <c r="E271" i="1"/>
  <c r="D271" i="1"/>
  <c r="E281" i="1"/>
  <c r="D281" i="1"/>
  <c r="E275" i="1"/>
  <c r="D275" i="1"/>
  <c r="E268" i="1"/>
  <c r="D268" i="1"/>
  <c r="E267" i="1"/>
  <c r="D267" i="1"/>
  <c r="E269" i="1"/>
  <c r="D269" i="1"/>
  <c r="E265" i="1"/>
  <c r="D265" i="1"/>
  <c r="E261" i="1"/>
  <c r="D261" i="1"/>
  <c r="E263" i="1"/>
  <c r="D263" i="1"/>
  <c r="E262" i="1"/>
  <c r="D262" i="1"/>
  <c r="E260" i="1"/>
  <c r="D260" i="1"/>
  <c r="E259" i="1"/>
  <c r="D259" i="1"/>
  <c r="D256" i="1"/>
  <c r="D254" i="1"/>
  <c r="C149" i="1" s="1"/>
  <c r="D253" i="1"/>
  <c r="E257" i="1"/>
  <c r="D257" i="1"/>
  <c r="E256" i="1"/>
  <c r="E254" i="1"/>
  <c r="E253" i="1"/>
  <c r="C108" i="1" l="1"/>
  <c r="F253" i="1"/>
  <c r="L253" i="1"/>
  <c r="K253" i="1"/>
  <c r="I55" i="1"/>
  <c r="I52" i="1"/>
  <c r="I334" i="1" l="1"/>
  <c r="J146" i="1"/>
  <c r="J140" i="1"/>
  <c r="J139" i="1"/>
  <c r="L129" i="1"/>
  <c r="L128" i="1"/>
  <c r="L127" i="1"/>
  <c r="L126" i="1"/>
  <c r="J201" i="1"/>
  <c r="L123" i="1"/>
  <c r="L122" i="1"/>
  <c r="L121" i="1"/>
  <c r="J173" i="1"/>
  <c r="I75" i="1"/>
  <c r="K166" i="1"/>
  <c r="I182" i="1"/>
  <c r="F334" i="1"/>
  <c r="H334" i="1" s="1"/>
  <c r="F332" i="1"/>
  <c r="H332" i="1" s="1"/>
  <c r="F330" i="1"/>
  <c r="H330" i="1" s="1"/>
  <c r="F341" i="1"/>
  <c r="H341" i="1" s="1"/>
  <c r="F340" i="1"/>
  <c r="H340" i="1" s="1"/>
  <c r="F339" i="1"/>
  <c r="H339" i="1" s="1"/>
  <c r="F338" i="1"/>
  <c r="H338" i="1" s="1"/>
  <c r="F337" i="1"/>
  <c r="H337" i="1" s="1"/>
  <c r="F336" i="1"/>
  <c r="H336" i="1" s="1"/>
  <c r="I217" i="1"/>
  <c r="I203" i="1"/>
  <c r="K245" i="1"/>
  <c r="K227" i="1"/>
  <c r="K212" i="1"/>
  <c r="K184" i="1"/>
  <c r="I319" i="1"/>
  <c r="I301" i="1"/>
  <c r="I369" i="1"/>
  <c r="I362" i="1"/>
  <c r="I355" i="1"/>
  <c r="E327" i="1"/>
  <c r="D327" i="1"/>
  <c r="E326" i="1"/>
  <c r="D326" i="1"/>
  <c r="E324" i="1"/>
  <c r="D324" i="1"/>
  <c r="E323" i="1"/>
  <c r="D323" i="1"/>
  <c r="E321" i="1"/>
  <c r="D321" i="1"/>
  <c r="E320" i="1"/>
  <c r="D320" i="1"/>
  <c r="E318" i="1"/>
  <c r="D318" i="1"/>
  <c r="E317" i="1"/>
  <c r="D317" i="1"/>
  <c r="E312" i="1"/>
  <c r="D312" i="1"/>
  <c r="D311" i="1"/>
  <c r="E311" i="1"/>
  <c r="D310" i="1"/>
  <c r="E310" i="1"/>
  <c r="E308" i="1"/>
  <c r="D308" i="1"/>
  <c r="F317" i="1" l="1"/>
  <c r="H317" i="1" s="1"/>
  <c r="F320" i="1"/>
  <c r="H320" i="1" s="1"/>
  <c r="F323" i="1"/>
  <c r="H323" i="1" s="1"/>
  <c r="F324" i="1"/>
  <c r="H324" i="1" s="1"/>
  <c r="F326" i="1"/>
  <c r="H326" i="1" s="1"/>
  <c r="F318" i="1"/>
  <c r="H318" i="1" s="1"/>
  <c r="F327" i="1"/>
  <c r="H327" i="1" s="1"/>
  <c r="F321" i="1"/>
  <c r="H321" i="1" s="1"/>
  <c r="F312" i="1"/>
  <c r="H312" i="1" s="1"/>
  <c r="F311" i="1"/>
  <c r="H311" i="1" s="1"/>
  <c r="F310" i="1"/>
  <c r="H310" i="1" s="1"/>
  <c r="F308" i="1"/>
  <c r="H308" i="1" s="1"/>
  <c r="E306" i="1"/>
  <c r="D306" i="1"/>
  <c r="E305" i="1"/>
  <c r="D305" i="1"/>
  <c r="E304" i="1"/>
  <c r="D304" i="1"/>
  <c r="E303" i="1"/>
  <c r="D303" i="1"/>
  <c r="E302" i="1"/>
  <c r="D302" i="1"/>
  <c r="E300" i="1"/>
  <c r="D300" i="1"/>
  <c r="E299" i="1"/>
  <c r="D299" i="1"/>
  <c r="E298" i="1"/>
  <c r="D298" i="1"/>
  <c r="E296" i="1"/>
  <c r="D296" i="1"/>
  <c r="E293" i="1"/>
  <c r="D293" i="1"/>
  <c r="E292" i="1"/>
  <c r="D292" i="1"/>
  <c r="E291" i="1"/>
  <c r="D291" i="1"/>
  <c r="E289" i="1"/>
  <c r="D289" i="1"/>
  <c r="F289" i="1" s="1"/>
  <c r="H289" i="1" s="1"/>
  <c r="E287" i="1"/>
  <c r="D287" i="1"/>
  <c r="E286" i="1"/>
  <c r="D286" i="1"/>
  <c r="E285" i="1"/>
  <c r="D285" i="1"/>
  <c r="E284" i="1"/>
  <c r="D284" i="1"/>
  <c r="E283" i="1"/>
  <c r="D283" i="1"/>
  <c r="F269" i="1"/>
  <c r="H269" i="1" s="1"/>
  <c r="F268" i="1"/>
  <c r="H268" i="1" s="1"/>
  <c r="F267" i="1"/>
  <c r="H267" i="1" s="1"/>
  <c r="E280" i="1"/>
  <c r="D280" i="1"/>
  <c r="E279" i="1"/>
  <c r="D279" i="1"/>
  <c r="E278" i="1"/>
  <c r="E277" i="1"/>
  <c r="E274" i="1"/>
  <c r="E273" i="1"/>
  <c r="D274" i="1"/>
  <c r="D273" i="1"/>
  <c r="D278" i="1"/>
  <c r="D277" i="1"/>
  <c r="F265" i="1"/>
  <c r="H265" i="1" s="1"/>
  <c r="F281" i="1"/>
  <c r="H281" i="1" s="1"/>
  <c r="F275" i="1"/>
  <c r="H275" i="1" s="1"/>
  <c r="F272" i="1"/>
  <c r="H272" i="1" s="1"/>
  <c r="F271" i="1"/>
  <c r="H271" i="1" s="1"/>
  <c r="F263" i="1"/>
  <c r="H263" i="1" s="1"/>
  <c r="F262" i="1"/>
  <c r="H262" i="1" s="1"/>
  <c r="F260" i="1"/>
  <c r="H260" i="1" s="1"/>
  <c r="F259" i="1"/>
  <c r="H259" i="1" s="1"/>
  <c r="F261" i="1"/>
  <c r="H261" i="1" s="1"/>
  <c r="F241" i="1"/>
  <c r="H241" i="1" s="1"/>
  <c r="F239" i="1"/>
  <c r="H239" i="1" s="1"/>
  <c r="F237" i="1"/>
  <c r="H237" i="1" s="1"/>
  <c r="E234" i="1"/>
  <c r="D234" i="1"/>
  <c r="E233" i="1"/>
  <c r="D233" i="1"/>
  <c r="E231" i="1"/>
  <c r="D231" i="1"/>
  <c r="E230" i="1"/>
  <c r="D230" i="1"/>
  <c r="E228" i="1"/>
  <c r="D228" i="1"/>
  <c r="F228" i="1" s="1"/>
  <c r="H228" i="1" s="1"/>
  <c r="E227" i="1"/>
  <c r="D227" i="1"/>
  <c r="E225" i="1"/>
  <c r="D225" i="1"/>
  <c r="E224" i="1"/>
  <c r="D224" i="1"/>
  <c r="E222" i="1"/>
  <c r="D222" i="1"/>
  <c r="F222" i="1" s="1"/>
  <c r="H222" i="1" s="1"/>
  <c r="E221" i="1"/>
  <c r="D221" i="1"/>
  <c r="E219" i="1"/>
  <c r="D219" i="1"/>
  <c r="E218" i="1"/>
  <c r="D218" i="1"/>
  <c r="F218" i="1" s="1"/>
  <c r="H218" i="1" s="1"/>
  <c r="E216" i="1"/>
  <c r="D216" i="1"/>
  <c r="E215" i="1"/>
  <c r="D215" i="1"/>
  <c r="E209" i="1"/>
  <c r="D209" i="1"/>
  <c r="E208" i="1"/>
  <c r="D208" i="1"/>
  <c r="E206" i="1"/>
  <c r="D206" i="1"/>
  <c r="E205" i="1"/>
  <c r="D205" i="1"/>
  <c r="E204" i="1"/>
  <c r="D204" i="1"/>
  <c r="E201" i="1"/>
  <c r="D201" i="1"/>
  <c r="E200" i="1"/>
  <c r="D200" i="1"/>
  <c r="F200" i="1" s="1"/>
  <c r="H200" i="1" s="1"/>
  <c r="E197" i="1"/>
  <c r="D197" i="1"/>
  <c r="E196" i="1"/>
  <c r="D196" i="1"/>
  <c r="E193" i="1"/>
  <c r="D193" i="1"/>
  <c r="E192" i="1"/>
  <c r="D192" i="1"/>
  <c r="E191" i="1"/>
  <c r="D191" i="1"/>
  <c r="E188" i="1"/>
  <c r="D188" i="1"/>
  <c r="E187" i="1"/>
  <c r="D187" i="1"/>
  <c r="E185" i="1"/>
  <c r="E184" i="1"/>
  <c r="E183" i="1"/>
  <c r="D185" i="1"/>
  <c r="D184" i="1"/>
  <c r="D183" i="1"/>
  <c r="E181" i="1"/>
  <c r="D181" i="1"/>
  <c r="E180" i="1"/>
  <c r="D180" i="1"/>
  <c r="E179" i="1"/>
  <c r="D179" i="1"/>
  <c r="D396" i="1"/>
  <c r="F396" i="1" s="1"/>
  <c r="H396" i="1" s="1"/>
  <c r="D395" i="1"/>
  <c r="F395" i="1" s="1"/>
  <c r="H395" i="1" s="1"/>
  <c r="D394" i="1"/>
  <c r="F394" i="1" s="1"/>
  <c r="H394" i="1" s="1"/>
  <c r="D393" i="1"/>
  <c r="F393" i="1" s="1"/>
  <c r="H393" i="1" s="1"/>
  <c r="D388" i="1"/>
  <c r="F388" i="1" s="1"/>
  <c r="H388" i="1" s="1"/>
  <c r="D387" i="1"/>
  <c r="F387" i="1" s="1"/>
  <c r="H387" i="1" s="1"/>
  <c r="D386" i="1"/>
  <c r="F386" i="1" s="1"/>
  <c r="H386" i="1" s="1"/>
  <c r="D385" i="1"/>
  <c r="F385" i="1" s="1"/>
  <c r="H385" i="1" s="1"/>
  <c r="D384" i="1"/>
  <c r="F384" i="1" s="1"/>
  <c r="H384" i="1" s="1"/>
  <c r="D380" i="1"/>
  <c r="F380" i="1" s="1"/>
  <c r="H380" i="1" s="1"/>
  <c r="D379" i="1"/>
  <c r="F379" i="1" s="1"/>
  <c r="H379" i="1" s="1"/>
  <c r="D378" i="1"/>
  <c r="D377" i="1"/>
  <c r="F377" i="1" s="1"/>
  <c r="H377" i="1" s="1"/>
  <c r="F378" i="1"/>
  <c r="H378" i="1" s="1"/>
  <c r="D375" i="1"/>
  <c r="F375" i="1" s="1"/>
  <c r="H375" i="1" s="1"/>
  <c r="D374" i="1"/>
  <c r="F374" i="1" s="1"/>
  <c r="H374" i="1" s="1"/>
  <c r="D373" i="1"/>
  <c r="F373" i="1" s="1"/>
  <c r="H373" i="1" s="1"/>
  <c r="D372" i="1"/>
  <c r="F372" i="1" s="1"/>
  <c r="H372" i="1" s="1"/>
  <c r="D371" i="1"/>
  <c r="F371" i="1" s="1"/>
  <c r="H371" i="1" s="1"/>
  <c r="D370" i="1"/>
  <c r="F370" i="1" s="1"/>
  <c r="H370" i="1" s="1"/>
  <c r="D367" i="1"/>
  <c r="D366" i="1"/>
  <c r="F366" i="1" s="1"/>
  <c r="H366" i="1" s="1"/>
  <c r="D365" i="1"/>
  <c r="F365" i="1" s="1"/>
  <c r="H365" i="1" s="1"/>
  <c r="D364" i="1"/>
  <c r="F364" i="1" s="1"/>
  <c r="H364" i="1" s="1"/>
  <c r="D363" i="1"/>
  <c r="F363" i="1" s="1"/>
  <c r="H363" i="1" s="1"/>
  <c r="D361" i="1"/>
  <c r="F361" i="1" s="1"/>
  <c r="H361" i="1" s="1"/>
  <c r="D360" i="1"/>
  <c r="F360" i="1" s="1"/>
  <c r="H360" i="1" s="1"/>
  <c r="D359" i="1"/>
  <c r="F359" i="1" s="1"/>
  <c r="H359" i="1" s="1"/>
  <c r="D358" i="1"/>
  <c r="F358" i="1" s="1"/>
  <c r="H358" i="1" s="1"/>
  <c r="D357" i="1"/>
  <c r="F357" i="1" s="1"/>
  <c r="H357" i="1" s="1"/>
  <c r="D356" i="1"/>
  <c r="F356" i="1" s="1"/>
  <c r="H356" i="1" s="1"/>
  <c r="D354" i="1"/>
  <c r="F354" i="1" s="1"/>
  <c r="H354" i="1" s="1"/>
  <c r="D353" i="1"/>
  <c r="F353" i="1" s="1"/>
  <c r="H353" i="1" s="1"/>
  <c r="D352" i="1"/>
  <c r="F352" i="1" s="1"/>
  <c r="H352" i="1" s="1"/>
  <c r="D351" i="1"/>
  <c r="F351" i="1" s="1"/>
  <c r="H351" i="1" s="1"/>
  <c r="D350" i="1"/>
  <c r="F350" i="1" s="1"/>
  <c r="H350" i="1" s="1"/>
  <c r="D349" i="1"/>
  <c r="F403" i="1"/>
  <c r="H403" i="1" s="1"/>
  <c r="F402" i="1"/>
  <c r="H402" i="1" s="1"/>
  <c r="C148" i="1" l="1"/>
  <c r="F302" i="1"/>
  <c r="H302" i="1" s="1"/>
  <c r="C150" i="1"/>
  <c r="F306" i="1"/>
  <c r="H306" i="1" s="1"/>
  <c r="F283" i="1"/>
  <c r="H283" i="1" s="1"/>
  <c r="F287" i="1"/>
  <c r="H287" i="1" s="1"/>
  <c r="F254" i="1"/>
  <c r="H254" i="1" s="1"/>
  <c r="F256" i="1"/>
  <c r="H256" i="1" s="1"/>
  <c r="F257" i="1"/>
  <c r="H257" i="1" s="1"/>
  <c r="F286" i="1"/>
  <c r="H286" i="1" s="1"/>
  <c r="F291" i="1"/>
  <c r="H291" i="1" s="1"/>
  <c r="F292" i="1"/>
  <c r="H292" i="1" s="1"/>
  <c r="F299" i="1"/>
  <c r="H299" i="1" s="1"/>
  <c r="F196" i="1"/>
  <c r="H196" i="1" s="1"/>
  <c r="F209" i="1"/>
  <c r="H209" i="1" s="1"/>
  <c r="F230" i="1"/>
  <c r="H230" i="1" s="1"/>
  <c r="F284" i="1"/>
  <c r="H284" i="1" s="1"/>
  <c r="F285" i="1"/>
  <c r="H285" i="1" s="1"/>
  <c r="F367" i="1"/>
  <c r="C152" i="1"/>
  <c r="F300" i="1"/>
  <c r="H300" i="1" s="1"/>
  <c r="F349" i="1"/>
  <c r="C151" i="1"/>
  <c r="C154" i="1" s="1"/>
  <c r="F280" i="1"/>
  <c r="H280" i="1" s="1"/>
  <c r="F296" i="1"/>
  <c r="H296" i="1" s="1"/>
  <c r="F304" i="1"/>
  <c r="H304" i="1" s="1"/>
  <c r="F191" i="1"/>
  <c r="H191" i="1" s="1"/>
  <c r="F278" i="1"/>
  <c r="H278" i="1" s="1"/>
  <c r="F274" i="1"/>
  <c r="H274" i="1" s="1"/>
  <c r="F185" i="1"/>
  <c r="H185" i="1" s="1"/>
  <c r="F221" i="1"/>
  <c r="H221" i="1" s="1"/>
  <c r="F180" i="1"/>
  <c r="H180" i="1" s="1"/>
  <c r="F233" i="1"/>
  <c r="H233" i="1" s="1"/>
  <c r="F181" i="1"/>
  <c r="H181" i="1" s="1"/>
  <c r="F234" i="1"/>
  <c r="H234" i="1" s="1"/>
  <c r="F298" i="1"/>
  <c r="H298" i="1" s="1"/>
  <c r="F305" i="1"/>
  <c r="H305" i="1" s="1"/>
  <c r="F225" i="1"/>
  <c r="H225" i="1" s="1"/>
  <c r="F227" i="1"/>
  <c r="H227" i="1" s="1"/>
  <c r="F277" i="1"/>
  <c r="H277" i="1" s="1"/>
  <c r="F208" i="1"/>
  <c r="H208" i="1" s="1"/>
  <c r="F273" i="1"/>
  <c r="F179" i="1"/>
  <c r="F293" i="1"/>
  <c r="H293" i="1" s="1"/>
  <c r="F303" i="1"/>
  <c r="H303" i="1" s="1"/>
  <c r="F231" i="1"/>
  <c r="H231" i="1" s="1"/>
  <c r="F216" i="1"/>
  <c r="H216" i="1" s="1"/>
  <c r="F279" i="1"/>
  <c r="H279" i="1" s="1"/>
  <c r="F197" i="1"/>
  <c r="H197" i="1" s="1"/>
  <c r="F219" i="1"/>
  <c r="H219" i="1" s="1"/>
  <c r="F224" i="1"/>
  <c r="H224" i="1" s="1"/>
  <c r="F187" i="1"/>
  <c r="H187" i="1" s="1"/>
  <c r="F192" i="1"/>
  <c r="H192" i="1" s="1"/>
  <c r="F215" i="1"/>
  <c r="H215" i="1" s="1"/>
  <c r="F204" i="1"/>
  <c r="H204" i="1" s="1"/>
  <c r="F193" i="1"/>
  <c r="H193" i="1" s="1"/>
  <c r="F206" i="1"/>
  <c r="H206" i="1" s="1"/>
  <c r="F205" i="1"/>
  <c r="H205" i="1" s="1"/>
  <c r="F183" i="1"/>
  <c r="H183" i="1" s="1"/>
  <c r="F184" i="1"/>
  <c r="H184" i="1" s="1"/>
  <c r="F188" i="1"/>
  <c r="H188" i="1" s="1"/>
  <c r="F201" i="1"/>
  <c r="H201" i="1" s="1"/>
  <c r="C86" i="1"/>
  <c r="H87" i="1" a="1"/>
  <c r="C153" i="1" l="1"/>
  <c r="C155" i="1" s="1"/>
  <c r="E148" i="1"/>
  <c r="H87" i="1"/>
  <c r="E150" i="1"/>
  <c r="H253" i="1"/>
  <c r="G149" i="1" s="1"/>
  <c r="E149" i="1"/>
  <c r="E154" i="1" s="1"/>
  <c r="H179" i="1"/>
  <c r="G148" i="1" s="1"/>
  <c r="H273" i="1"/>
  <c r="G150" i="1" s="1"/>
  <c r="H349" i="1"/>
  <c r="G151" i="1" s="1"/>
  <c r="E151" i="1"/>
  <c r="H367" i="1"/>
  <c r="G152" i="1" s="1"/>
  <c r="E152" i="1"/>
  <c r="F161" i="1"/>
  <c r="B38" i="6"/>
  <c r="B39" i="6" s="1"/>
  <c r="B40" i="6" s="1"/>
  <c r="B41" i="6" s="1"/>
  <c r="B42" i="6" s="1"/>
  <c r="B43" i="6" s="1"/>
  <c r="B44" i="6" s="1"/>
  <c r="B45" i="6" s="1"/>
  <c r="B46" i="6" s="1"/>
  <c r="B47" i="6" s="1"/>
  <c r="B48" i="6" s="1"/>
  <c r="B49" i="6" s="1"/>
  <c r="B50" i="6" s="1"/>
  <c r="B51" i="6" s="1"/>
  <c r="B52" i="6" s="1"/>
  <c r="B53" i="6" s="1"/>
  <c r="B54" i="6" s="1"/>
  <c r="E153" i="1" l="1"/>
  <c r="H161" i="1"/>
  <c r="L41" i="7" l="1"/>
  <c r="I41" i="7"/>
  <c r="E41" i="7"/>
  <c r="L40" i="7"/>
  <c r="I40" i="7"/>
  <c r="E40" i="7"/>
  <c r="L39" i="7"/>
  <c r="I39" i="7"/>
  <c r="E39" i="7"/>
  <c r="L38" i="7"/>
  <c r="I38" i="7"/>
  <c r="E38" i="7"/>
  <c r="L37" i="7"/>
  <c r="I37" i="7"/>
  <c r="E37" i="7"/>
  <c r="L36" i="7"/>
  <c r="I36" i="7"/>
  <c r="E36" i="7"/>
  <c r="L35" i="7"/>
  <c r="I35" i="7"/>
  <c r="E35" i="7"/>
  <c r="L34" i="7"/>
  <c r="I34" i="7"/>
  <c r="E34" i="7"/>
  <c r="L33" i="7"/>
  <c r="I33" i="7"/>
  <c r="E33" i="7"/>
  <c r="L32" i="7"/>
  <c r="I32" i="7"/>
  <c r="E32" i="7"/>
  <c r="L31" i="7"/>
  <c r="I31" i="7"/>
  <c r="E31" i="7"/>
  <c r="L30" i="7"/>
  <c r="I30" i="7"/>
  <c r="E30" i="7"/>
  <c r="L29" i="7"/>
  <c r="I29" i="7"/>
  <c r="E29" i="7"/>
  <c r="L28" i="7"/>
  <c r="I28" i="7"/>
  <c r="E28" i="7"/>
  <c r="L27" i="7"/>
  <c r="I27" i="7"/>
  <c r="E27" i="7"/>
  <c r="L26" i="7"/>
  <c r="I26" i="7"/>
  <c r="E26" i="7"/>
  <c r="L25" i="7"/>
  <c r="I25" i="7"/>
  <c r="E25" i="7"/>
  <c r="L24" i="7"/>
  <c r="I24" i="7"/>
  <c r="E24" i="7"/>
  <c r="L23" i="7"/>
  <c r="I23" i="7"/>
  <c r="E23" i="7"/>
  <c r="L22" i="7"/>
  <c r="I22" i="7"/>
  <c r="E22" i="7"/>
  <c r="L21" i="7"/>
  <c r="I21" i="7"/>
  <c r="E21" i="7"/>
  <c r="L20" i="7"/>
  <c r="I20" i="7"/>
  <c r="E20" i="7"/>
  <c r="L19" i="7"/>
  <c r="I19" i="7"/>
  <c r="E19" i="7"/>
  <c r="L18" i="7"/>
  <c r="I18" i="7"/>
  <c r="E18" i="7"/>
  <c r="L17" i="7"/>
  <c r="I17" i="7"/>
  <c r="E17" i="7"/>
  <c r="L16" i="7"/>
  <c r="I16" i="7"/>
  <c r="E16" i="7"/>
  <c r="L15" i="7"/>
  <c r="I15" i="7"/>
  <c r="E15" i="7"/>
  <c r="L14" i="7"/>
  <c r="I14" i="7"/>
  <c r="E14" i="7"/>
  <c r="L13" i="7"/>
  <c r="I13" i="7"/>
  <c r="E13" i="7"/>
  <c r="L12" i="7"/>
  <c r="I12" i="7"/>
  <c r="E12" i="7"/>
  <c r="L11" i="7"/>
  <c r="I11" i="7"/>
  <c r="E11" i="7"/>
  <c r="L10" i="7"/>
  <c r="I10" i="7"/>
  <c r="E10" i="7"/>
  <c r="L9" i="7"/>
  <c r="I9" i="7"/>
  <c r="E9" i="7"/>
  <c r="L8" i="7"/>
  <c r="I8" i="7"/>
  <c r="E8" i="7"/>
  <c r="L7" i="7"/>
  <c r="I7" i="7"/>
  <c r="E7" i="7"/>
  <c r="L6" i="7"/>
  <c r="I6" i="7"/>
  <c r="E6" i="7"/>
  <c r="F11" i="5"/>
  <c r="G11" i="5" s="1"/>
  <c r="F10" i="5"/>
  <c r="G10" i="5" s="1"/>
  <c r="F9" i="5"/>
  <c r="G9" i="5" s="1"/>
  <c r="F8" i="5"/>
  <c r="G8" i="5" s="1"/>
  <c r="F7" i="5"/>
  <c r="G7" i="5" s="1"/>
  <c r="F6" i="5"/>
  <c r="G6" i="5" s="1"/>
  <c r="F5" i="5"/>
  <c r="G5" i="5" s="1"/>
  <c r="G12" i="5" s="1"/>
  <c r="D455" i="1"/>
  <c r="B431" i="1"/>
  <c r="B430" i="1"/>
  <c r="F427" i="1"/>
  <c r="H427" i="1" s="1"/>
  <c r="F426" i="1"/>
  <c r="H426" i="1" s="1"/>
  <c r="F425" i="1"/>
  <c r="H425" i="1" s="1"/>
  <c r="F424" i="1"/>
  <c r="H424" i="1" s="1"/>
  <c r="F423" i="1"/>
  <c r="H423" i="1" s="1"/>
  <c r="F421" i="1"/>
  <c r="H421" i="1" s="1"/>
  <c r="F420" i="1"/>
  <c r="H420" i="1" s="1"/>
  <c r="F419" i="1"/>
  <c r="H419" i="1" s="1"/>
  <c r="F418" i="1"/>
  <c r="H418" i="1" s="1"/>
  <c r="F417" i="1"/>
  <c r="H417" i="1" s="1"/>
  <c r="F415" i="1"/>
  <c r="H415" i="1" s="1"/>
  <c r="F414" i="1"/>
  <c r="H414" i="1" s="1"/>
  <c r="F413" i="1"/>
  <c r="H413" i="1" s="1"/>
  <c r="F412" i="1"/>
  <c r="H412" i="1" s="1"/>
  <c r="F411" i="1"/>
  <c r="H411" i="1" s="1"/>
  <c r="F409" i="1"/>
  <c r="H409" i="1" s="1"/>
  <c r="F408" i="1"/>
  <c r="H408" i="1" s="1"/>
  <c r="F407" i="1"/>
  <c r="H407" i="1" s="1"/>
  <c r="F406" i="1"/>
  <c r="H406" i="1" s="1"/>
  <c r="F405" i="1"/>
  <c r="H405" i="1" s="1"/>
  <c r="A405" i="1"/>
  <c r="A406" i="1" s="1"/>
  <c r="A407" i="1" s="1"/>
  <c r="A408" i="1" s="1"/>
  <c r="A409" i="1" s="1"/>
  <c r="F401" i="1"/>
  <c r="H401" i="1" s="1"/>
  <c r="F400" i="1"/>
  <c r="H400" i="1" s="1"/>
  <c r="F399" i="1"/>
  <c r="H399" i="1" s="1"/>
  <c r="F398" i="1"/>
  <c r="H398" i="1" s="1"/>
  <c r="F164" i="1"/>
  <c r="H164" i="1" s="1"/>
  <c r="F163" i="1"/>
  <c r="H163" i="1" s="1"/>
  <c r="F162" i="1"/>
  <c r="H162" i="1" s="1"/>
  <c r="A162" i="1"/>
  <c r="A163" i="1" s="1"/>
  <c r="A164" i="1" s="1"/>
  <c r="F140" i="1"/>
  <c r="C114" i="1"/>
  <c r="C100" i="1"/>
  <c r="B87" i="1"/>
  <c r="D80" i="1"/>
  <c r="D73" i="1"/>
  <c r="K61" i="1"/>
  <c r="G51" i="1"/>
  <c r="C51" i="1"/>
  <c r="E44" i="1"/>
  <c r="E45" i="1" s="1"/>
  <c r="S33" i="1"/>
  <c r="E31" i="1"/>
  <c r="E28" i="1"/>
  <c r="E26" i="1"/>
  <c r="C16" i="1"/>
  <c r="I15" i="1"/>
  <c r="Z13" i="1"/>
  <c r="E8" i="1"/>
  <c r="E3" i="1"/>
  <c r="B440" i="1" s="1"/>
  <c r="A411" i="1"/>
  <c r="H101" i="1"/>
  <c r="A423" i="1"/>
  <c r="A417" i="1"/>
  <c r="H115" i="1"/>
  <c r="E42" i="7" l="1"/>
  <c r="B115" i="1"/>
  <c r="I42" i="7"/>
  <c r="H42" i="7" s="1"/>
  <c r="L42" i="7"/>
  <c r="K42" i="7" s="1"/>
  <c r="J100" i="1"/>
  <c r="J102" i="1" s="1"/>
  <c r="D109" i="1"/>
  <c r="D108" i="1"/>
  <c r="D113" i="1"/>
  <c r="D107" i="1"/>
  <c r="J103" i="1"/>
  <c r="D112" i="1"/>
  <c r="J105" i="1"/>
  <c r="C104" i="1" s="1"/>
  <c r="D106" i="1"/>
  <c r="D111" i="1"/>
  <c r="J104" i="1"/>
  <c r="D110" i="1"/>
  <c r="D124" i="1"/>
  <c r="J118" i="1"/>
  <c r="J114" i="1"/>
  <c r="J116" i="1" s="1"/>
  <c r="J117" i="1"/>
  <c r="D122" i="1"/>
  <c r="D127" i="1"/>
  <c r="D121" i="1"/>
  <c r="D126" i="1"/>
  <c r="D120" i="1"/>
  <c r="D123" i="1"/>
  <c r="J119" i="1"/>
  <c r="C118" i="1" s="1"/>
  <c r="D118" i="1" s="1"/>
  <c r="D125" i="1"/>
  <c r="D42" i="7"/>
  <c r="L61" i="1"/>
  <c r="B101" i="1"/>
  <c r="J96" i="1"/>
  <c r="J97" i="1"/>
  <c r="I58" i="1"/>
  <c r="A424" i="1"/>
  <c r="A412" i="1"/>
  <c r="A418" i="1"/>
  <c r="D98" i="1" l="1"/>
  <c r="D92" i="1"/>
  <c r="J92" i="1"/>
  <c r="J93" i="1" s="1"/>
  <c r="J98" i="1" s="1"/>
  <c r="J91" i="1"/>
  <c r="C90" i="1" s="1"/>
  <c r="D90" i="1" s="1"/>
  <c r="D97" i="1"/>
  <c r="D96" i="1"/>
  <c r="J86" i="1"/>
  <c r="J88" i="1" s="1"/>
  <c r="D95" i="1"/>
  <c r="D99" i="1"/>
  <c r="D93" i="1"/>
  <c r="J90" i="1"/>
  <c r="J89" i="1"/>
  <c r="D94" i="1"/>
  <c r="J125" i="1"/>
  <c r="D44" i="7"/>
  <c r="E44" i="7"/>
  <c r="J120" i="1"/>
  <c r="J121" i="1" s="1"/>
  <c r="J126" i="1" s="1"/>
  <c r="D104" i="1"/>
  <c r="J106" i="1"/>
  <c r="J107" i="1" s="1"/>
  <c r="J112" i="1" s="1"/>
  <c r="J111" i="1"/>
  <c r="J110" i="1"/>
  <c r="A425" i="1"/>
  <c r="A419" i="1"/>
  <c r="A413" i="1"/>
  <c r="J108" i="1" l="1"/>
  <c r="J109" i="1" s="1"/>
  <c r="J122" i="1"/>
  <c r="J123" i="1" s="1"/>
  <c r="J124" i="1" s="1"/>
  <c r="J94" i="1"/>
  <c r="J95" i="1" s="1"/>
  <c r="A420" i="1"/>
  <c r="A414" i="1"/>
  <c r="A426" i="1"/>
  <c r="J113" i="1" l="1"/>
  <c r="C105" i="1" s="1"/>
  <c r="E104" i="1" s="1"/>
  <c r="J127" i="1"/>
  <c r="C119" i="1" s="1"/>
  <c r="J99" i="1"/>
  <c r="C91" i="1" s="1"/>
  <c r="A415" i="1"/>
  <c r="A421" i="1"/>
  <c r="A427" i="1"/>
  <c r="D105" i="1" l="1"/>
  <c r="I101" i="1" s="1"/>
  <c r="I102" i="1" s="1"/>
  <c r="G104" i="1"/>
  <c r="J101" i="1"/>
  <c r="G118" i="1"/>
  <c r="J115" i="1"/>
  <c r="D119" i="1"/>
  <c r="I115" i="1" s="1"/>
  <c r="E118" i="1"/>
  <c r="E90" i="1"/>
  <c r="D91" i="1"/>
  <c r="I87" i="1" s="1"/>
  <c r="G90" i="1"/>
  <c r="D84" i="1" s="1"/>
  <c r="J87" i="1"/>
  <c r="I100" i="1" l="1"/>
  <c r="C102" i="1" s="1"/>
  <c r="I116" i="1"/>
  <c r="I114" i="1" s="1"/>
  <c r="C116" i="1" s="1"/>
  <c r="D85" i="1"/>
  <c r="F85" i="1"/>
  <c r="I88" i="1"/>
  <c r="I86" i="1" s="1"/>
  <c r="C8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Sachin</author>
    <author>SACHIN</author>
  </authors>
  <commentList>
    <comment ref="E12" authorId="0" shapeId="0" xr:uid="{00000000-0006-0000-0000-000001000000}">
      <text>
        <r>
          <rPr>
            <b/>
            <sz val="9"/>
            <color indexed="81"/>
            <rFont val="Tahoma"/>
            <family val="2"/>
          </rPr>
          <t>Sachin:</t>
        </r>
        <r>
          <rPr>
            <sz val="9"/>
            <color indexed="81"/>
            <rFont val="Tahoma"/>
            <family val="2"/>
          </rPr>
          <t xml:space="preserve">
Building No. 
Tower No.
Wing 
Bunglow No., etc</t>
        </r>
      </text>
    </comment>
    <comment ref="E13" authorId="0" shapeId="0" xr:uid="{00000000-0006-0000-0000-000002000000}">
      <text>
        <r>
          <rPr>
            <b/>
            <sz val="9"/>
            <color indexed="81"/>
            <rFont val="Tahoma"/>
            <family val="2"/>
          </rPr>
          <t>Sachin:</t>
        </r>
        <r>
          <rPr>
            <sz val="9"/>
            <color indexed="81"/>
            <rFont val="Tahoma"/>
            <family val="2"/>
          </rPr>
          <t xml:space="preserve">
If exisiting Building is provided write it or else
NA</t>
        </r>
      </text>
    </comment>
    <comment ref="C62" authorId="1" shapeId="0" xr:uid="{00000000-0006-0000-0000-000003000000}">
      <text>
        <r>
          <rPr>
            <b/>
            <sz val="9"/>
            <color indexed="81"/>
            <rFont val="Tahoma"/>
            <family val="2"/>
          </rPr>
          <t>SACHIN:</t>
        </r>
        <r>
          <rPr>
            <sz val="9"/>
            <color indexed="81"/>
            <rFont val="Tahoma"/>
            <family val="2"/>
          </rPr>
          <t xml:space="preserve">
Floor with height</t>
        </r>
      </text>
    </comment>
    <comment ref="C64" authorId="1" shapeId="0" xr:uid="{00000000-0006-0000-0000-000004000000}">
      <text>
        <r>
          <rPr>
            <b/>
            <sz val="9"/>
            <color indexed="81"/>
            <rFont val="Tahoma"/>
            <family val="2"/>
          </rPr>
          <t>SACHIN:</t>
        </r>
        <r>
          <rPr>
            <sz val="9"/>
            <color indexed="81"/>
            <rFont val="Tahoma"/>
            <family val="2"/>
          </rPr>
          <t xml:space="preserve">
Survey Nos.</t>
        </r>
      </text>
    </comment>
    <comment ref="D73" authorId="0" shapeId="0" xr:uid="{00000000-0006-0000-0000-000005000000}">
      <text>
        <r>
          <rPr>
            <b/>
            <sz val="9"/>
            <color indexed="81"/>
            <rFont val="Tahoma"/>
            <family val="2"/>
          </rPr>
          <t>Sachin:</t>
        </r>
        <r>
          <rPr>
            <sz val="9"/>
            <color indexed="81"/>
            <rFont val="Tahoma"/>
            <family val="2"/>
          </rPr>
          <t xml:space="preserve">
If multiple building in project or complex just mention builtup of required building</t>
        </r>
      </text>
    </comment>
    <comment ref="F133" authorId="1" shapeId="0" xr:uid="{00000000-0006-0000-0000-000006000000}">
      <text>
        <r>
          <rPr>
            <b/>
            <sz val="9"/>
            <color indexed="81"/>
            <rFont val="Tahoma"/>
            <family val="2"/>
          </rPr>
          <t>SACHIN:</t>
        </r>
        <r>
          <rPr>
            <sz val="9"/>
            <color indexed="81"/>
            <rFont val="Tahoma"/>
            <family val="2"/>
          </rPr>
          <t xml:space="preserve">
Other charges should be given on basis of location amenties builder type n should not exceed above 12 lakhs or 8% of flat value</t>
        </r>
      </text>
    </comment>
    <comment ref="H167" authorId="1" shapeId="0" xr:uid="{00000000-0006-0000-0000-000007000000}">
      <text>
        <r>
          <rPr>
            <b/>
            <sz val="9"/>
            <color indexed="81"/>
            <rFont val="Tahoma"/>
            <family val="2"/>
          </rPr>
          <t>SACHIN:</t>
        </r>
        <r>
          <rPr>
            <sz val="9"/>
            <color indexed="81"/>
            <rFont val="Tahoma"/>
            <family val="2"/>
          </rPr>
          <t xml:space="preserve">
Give loading of 50% for A Category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SACHIN</author>
  </authors>
  <commentList>
    <comment ref="C9" authorId="0" shapeId="0" xr:uid="{00000000-0006-0000-0300-000001000000}">
      <text>
        <r>
          <rPr>
            <b/>
            <sz val="9"/>
            <color indexed="81"/>
            <rFont val="Tahoma"/>
            <family val="2"/>
          </rPr>
          <t>SACHIN:</t>
        </r>
        <r>
          <rPr>
            <sz val="9"/>
            <color indexed="81"/>
            <rFont val="Tahoma"/>
            <family val="2"/>
          </rPr>
          <t xml:space="preserve">
If banker changes the rate</t>
        </r>
      </text>
    </comment>
    <comment ref="C10" authorId="0" shapeId="0" xr:uid="{00000000-0006-0000-0300-000002000000}">
      <text>
        <r>
          <rPr>
            <b/>
            <sz val="9"/>
            <color indexed="81"/>
            <rFont val="Tahoma"/>
            <family val="2"/>
          </rPr>
          <t>SACHIN:</t>
        </r>
        <r>
          <rPr>
            <sz val="9"/>
            <color indexed="81"/>
            <rFont val="Tahoma"/>
            <family val="2"/>
          </rPr>
          <t xml:space="preserve">
If we change the rate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<sst xmlns="http://schemas.openxmlformats.org/spreadsheetml/2006/main" count="1104" uniqueCount="517">
  <si>
    <t xml:space="preserve">Valuation Report </t>
  </si>
  <si>
    <t>Date:</t>
  </si>
  <si>
    <t>CPC Name:</t>
  </si>
  <si>
    <t>Date Of Property Visit</t>
  </si>
  <si>
    <t>Name of the builder group</t>
  </si>
  <si>
    <t>Name of the builder company</t>
  </si>
  <si>
    <t>Name of the Project</t>
  </si>
  <si>
    <t>Name / No of the Building</t>
  </si>
  <si>
    <t>RERA No.</t>
  </si>
  <si>
    <t xml:space="preserve">Project location details       </t>
  </si>
  <si>
    <t>Road</t>
  </si>
  <si>
    <t>District</t>
  </si>
  <si>
    <t>City</t>
  </si>
  <si>
    <t>Pin Code</t>
  </si>
  <si>
    <t xml:space="preserve">Distance from city centre: </t>
  </si>
  <si>
    <t>all available at  1 to 2 km.</t>
  </si>
  <si>
    <t>Does property have Electricity / Water / Drainage Connection</t>
  </si>
  <si>
    <t>Yes</t>
  </si>
  <si>
    <t>Class of locality</t>
  </si>
  <si>
    <t>Nature of land with topographical condtion</t>
  </si>
  <si>
    <t>Plane</t>
  </si>
  <si>
    <t xml:space="preserve">Nature of the locality </t>
  </si>
  <si>
    <t>Quality of infrastructure in vicinity</t>
  </si>
  <si>
    <t>Good</t>
  </si>
  <si>
    <t>East</t>
  </si>
  <si>
    <t>West</t>
  </si>
  <si>
    <t>South</t>
  </si>
  <si>
    <t>North</t>
  </si>
  <si>
    <t>NA</t>
  </si>
  <si>
    <t>At site</t>
  </si>
  <si>
    <t xml:space="preserve">Approved usage of the Property:                                                                                                                                             </t>
  </si>
  <si>
    <t>No</t>
  </si>
  <si>
    <t>Area Statement Details :</t>
  </si>
  <si>
    <t>Total land area of the project in Sq. Mt.</t>
  </si>
  <si>
    <t>Permissible FSI</t>
  </si>
  <si>
    <t>Permissible TDR/Paid FSI</t>
  </si>
  <si>
    <t>Total FSI availaible for the project</t>
  </si>
  <si>
    <t>Total number of Buildings</t>
  </si>
  <si>
    <t xml:space="preserve">Approval Detail : Plan approval </t>
  </si>
  <si>
    <t xml:space="preserve">Layout Approval No     </t>
  </si>
  <si>
    <t>Dated</t>
  </si>
  <si>
    <t xml:space="preserve">Approved Floor plan No.  </t>
  </si>
  <si>
    <t xml:space="preserve">O. Certificate No.: </t>
  </si>
  <si>
    <t>Expected Completion</t>
  </si>
  <si>
    <t>Building wise Construction details</t>
  </si>
  <si>
    <t>Approved no of units</t>
  </si>
  <si>
    <t>Approved no of Floors</t>
  </si>
  <si>
    <t>Type of Work</t>
  </si>
  <si>
    <t>Plinth</t>
  </si>
  <si>
    <t xml:space="preserve">Recommended rate of Parking </t>
  </si>
  <si>
    <t>Distressed valuation of the Property</t>
  </si>
  <si>
    <t>Building &amp; Wing</t>
  </si>
  <si>
    <t>Total Carpet Area</t>
  </si>
  <si>
    <t>Total Saleable Area</t>
  </si>
  <si>
    <t>Description</t>
  </si>
  <si>
    <t>Gross Carpet area</t>
  </si>
  <si>
    <t>Attached Terrace area</t>
  </si>
  <si>
    <t>Undertaking :</t>
  </si>
  <si>
    <t>1) We have personally visited the property &amp; identified the same based on the documents provided.</t>
  </si>
  <si>
    <t>2) I/We have no direct or Indirect Interest in the property being valued</t>
  </si>
  <si>
    <t>3) The information furnished above is true and correct to my/our knowledge.</t>
  </si>
  <si>
    <t>4) Legal title of the property is not verified by us.</t>
  </si>
  <si>
    <t xml:space="preserve">PHOTOGRAPHS OF PROPERTY : 
</t>
  </si>
  <si>
    <t>Google Map :</t>
  </si>
  <si>
    <t xml:space="preserve">Remarks:  </t>
  </si>
  <si>
    <t>Flat</t>
  </si>
  <si>
    <t>Residential Area Details :</t>
  </si>
  <si>
    <t>Podium</t>
  </si>
  <si>
    <t>Ground</t>
  </si>
  <si>
    <t>Locality/Village</t>
  </si>
  <si>
    <t>Taluka</t>
  </si>
  <si>
    <t>Commercial Area Details :</t>
  </si>
  <si>
    <t>Accessibility to the Project from the City: (Proximity to civic amenities like school, hospital, market, etc.)</t>
  </si>
  <si>
    <t>Inspected By :</t>
  </si>
  <si>
    <t>No. of Units</t>
  </si>
  <si>
    <t>Authorized Signatory
Name &amp; Seal of the agency</t>
  </si>
  <si>
    <t>Floors</t>
  </si>
  <si>
    <t>Type of Structure</t>
  </si>
  <si>
    <t>RCC Frame Structure</t>
  </si>
  <si>
    <t>Complition %</t>
  </si>
  <si>
    <t>Disbursement %</t>
  </si>
  <si>
    <t>Progress %</t>
  </si>
  <si>
    <t xml:space="preserve">Material laying at Site: </t>
  </si>
  <si>
    <t>Projected life of the structure</t>
  </si>
  <si>
    <t xml:space="preserve">Quality of construction: </t>
  </si>
  <si>
    <t>Proposed no of Floors</t>
  </si>
  <si>
    <t xml:space="preserve">Stage of construction: </t>
  </si>
  <si>
    <t>Approved area of building (Sq.Mt)</t>
  </si>
  <si>
    <t>Total Approved Builtup area of the project (Sq.Mt)</t>
  </si>
  <si>
    <t>Restrictive Covenants in regard to Land Use</t>
  </si>
  <si>
    <t>Boundries</t>
  </si>
  <si>
    <t>Development Charges</t>
  </si>
  <si>
    <t>Club Charges</t>
  </si>
  <si>
    <t>Gas Connection Charges</t>
  </si>
  <si>
    <t>Water, Electricity, Drainages, Sewerage Connection</t>
  </si>
  <si>
    <t>Society Formation Charges</t>
  </si>
  <si>
    <t>Advance Maintenance Charges</t>
  </si>
  <si>
    <t>Excavation in process</t>
  </si>
  <si>
    <t>Excavation Completed</t>
  </si>
  <si>
    <t>Footing in Process</t>
  </si>
  <si>
    <t>Footing Completed</t>
  </si>
  <si>
    <t>Plinth completed</t>
  </si>
  <si>
    <t>NA
Approved upto : NA</t>
  </si>
  <si>
    <t>Report By :</t>
  </si>
  <si>
    <t>Market Research Data</t>
  </si>
  <si>
    <t>Source</t>
  </si>
  <si>
    <t>Distance from proposed property</t>
  </si>
  <si>
    <t>Net Carpet</t>
  </si>
  <si>
    <t>Market Value</t>
  </si>
  <si>
    <t>Magic Brick</t>
  </si>
  <si>
    <t>99 Acres</t>
  </si>
  <si>
    <t>Average</t>
  </si>
  <si>
    <t xml:space="preserve">Valuation Adopted </t>
  </si>
  <si>
    <t>Saleable Area</t>
  </si>
  <si>
    <t>Rate on Saleable</t>
  </si>
  <si>
    <t xml:space="preserve">Wheather the construction is as per approved Building plan : </t>
  </si>
  <si>
    <t>Ground Floor</t>
  </si>
  <si>
    <t>2nd Floor</t>
  </si>
  <si>
    <r>
      <t xml:space="preserve">Shop No.
</t>
    </r>
    <r>
      <rPr>
        <b/>
        <sz val="11"/>
        <color rgb="FF000000"/>
        <rFont val="Times New Roman"/>
        <family val="1"/>
      </rPr>
      <t>(Approved Plan)</t>
    </r>
  </si>
  <si>
    <r>
      <t xml:space="preserve">Flat No.
</t>
    </r>
    <r>
      <rPr>
        <b/>
        <sz val="11"/>
        <color rgb="FF000000"/>
        <rFont val="Times New Roman"/>
        <family val="1"/>
      </rPr>
      <t>(Approved Plan)</t>
    </r>
  </si>
  <si>
    <t>Valid Upto 
Date</t>
  </si>
  <si>
    <t>Nearby Landmark</t>
  </si>
  <si>
    <t>We considered Carpet area as per Approved Plan.</t>
  </si>
  <si>
    <t>We have considered rate by verifying it from market inquire.</t>
  </si>
  <si>
    <t>Car parking is subjected to authentic documentation.</t>
  </si>
  <si>
    <t>5) Gross carpet area =  Net Carpet area + Fungible area.</t>
  </si>
  <si>
    <t>6) Fungible Area= Enclosed Balcony + Flower Bed + Covered Balcony + Service Slab + Duct + Chajja + Wheather Shed area.</t>
  </si>
  <si>
    <t>Excavation</t>
  </si>
  <si>
    <t>RCC (Including podiums)</t>
  </si>
  <si>
    <t>Brickwork &amp; Internal Plaster</t>
  </si>
  <si>
    <t>Flooring &amp; Fitting</t>
  </si>
  <si>
    <t>External Plaster &amp; Plumbing</t>
  </si>
  <si>
    <t>Building Common Amenities</t>
  </si>
  <si>
    <t>Possession</t>
  </si>
  <si>
    <t>Ext. Plaster &amp; Plumbing</t>
  </si>
  <si>
    <t>Brickwork</t>
  </si>
  <si>
    <t>Internal Plaster</t>
  </si>
  <si>
    <t>Painting &amp; Wooden</t>
  </si>
  <si>
    <t>Slab/Floor</t>
  </si>
  <si>
    <t>Construction details:</t>
  </si>
  <si>
    <t>Piling Work in process</t>
  </si>
  <si>
    <t>Basement</t>
  </si>
  <si>
    <t>Basement 2</t>
  </si>
  <si>
    <t>Basement 3</t>
  </si>
  <si>
    <t>Basement 4</t>
  </si>
  <si>
    <t>2nd to 5th Floor</t>
  </si>
  <si>
    <t>2nd &amp; 5th Floor</t>
  </si>
  <si>
    <t>Basement 1</t>
  </si>
  <si>
    <t>Plinth in process</t>
  </si>
  <si>
    <t xml:space="preserve">Violations Observed if any : </t>
  </si>
  <si>
    <t>Saleable area Loading :</t>
  </si>
  <si>
    <t>3rd, 5th, 7th, 9th, 11th, 13th, 15th Floor</t>
  </si>
  <si>
    <t>Total</t>
  </si>
  <si>
    <t>Name of Municipal Corporation/Authority</t>
  </si>
  <si>
    <t>We have considered proposed No. of Floor for Stage Calculation.</t>
  </si>
  <si>
    <t>*</t>
  </si>
  <si>
    <t>Recommended rate should be considered as all inclusive rate if other charges are not mentioned. (Excluding GST &amp; other government Taxes)</t>
  </si>
  <si>
    <t>Attached Loft area</t>
  </si>
  <si>
    <t xml:space="preserve">Recommended Rates of the Property : </t>
  </si>
  <si>
    <t>Recommended rate of the Shop Per Sq. Ft.</t>
  </si>
  <si>
    <t>Recommended rate of the Flat Per Sq. Ft.</t>
  </si>
  <si>
    <t>Recommended rate of the Office Per Sq. Ft.</t>
  </si>
  <si>
    <t>On Saleable Area</t>
  </si>
  <si>
    <t>Location Link</t>
  </si>
  <si>
    <t>Locality</t>
  </si>
  <si>
    <t>Layout :</t>
  </si>
  <si>
    <t>Latitude, Longitude</t>
  </si>
  <si>
    <t>Grand Total</t>
  </si>
  <si>
    <t>Provided Contact Details (Name &amp; Contact No.)</t>
  </si>
  <si>
    <t>Site Person - Contact Details (Name &amp; Contact No.)</t>
  </si>
  <si>
    <t>Approved Plans, CC, Sale Plans, Builder Saleable Area, Cost Sheet, Airport Noc, Railway Noc, OC</t>
  </si>
  <si>
    <t>Axis Goregaon</t>
  </si>
  <si>
    <t>Name / No of the Existing Building</t>
  </si>
  <si>
    <t>Mumbai</t>
  </si>
  <si>
    <t>As per Layout</t>
  </si>
  <si>
    <t xml:space="preserve">Details of Residential &amp; Commercials in Building   </t>
  </si>
  <si>
    <t>CTS No</t>
  </si>
  <si>
    <t>Shop No. (Sale Plan)</t>
  </si>
  <si>
    <t xml:space="preserve">As the project is redevelopement project but rehab statement or rehab flats is not mentioned approved layout plan &amp; floor plan.
</t>
  </si>
  <si>
    <t xml:space="preserve">Thane </t>
  </si>
  <si>
    <t>Thane</t>
  </si>
  <si>
    <t>Shahpur</t>
  </si>
  <si>
    <t>Kalyan</t>
  </si>
  <si>
    <t>Bhiwandi</t>
  </si>
  <si>
    <t>Ulhasnagar</t>
  </si>
  <si>
    <t>Ambernath</t>
  </si>
  <si>
    <t>Murbad</t>
  </si>
  <si>
    <t>Mokhada</t>
  </si>
  <si>
    <t>Talasari</t>
  </si>
  <si>
    <t>Palghar</t>
  </si>
  <si>
    <t>Vasai</t>
  </si>
  <si>
    <t>Vikramgad</t>
  </si>
  <si>
    <t>Dahanu</t>
  </si>
  <si>
    <t>Wada</t>
  </si>
  <si>
    <t>Raigad</t>
  </si>
  <si>
    <t>Alibag</t>
  </si>
  <si>
    <t>Panvel</t>
  </si>
  <si>
    <t>Uran</t>
  </si>
  <si>
    <t>Karjat</t>
  </si>
  <si>
    <t>Khalapur</t>
  </si>
  <si>
    <t>Pen</t>
  </si>
  <si>
    <t>Sudhagad</t>
  </si>
  <si>
    <t>Mahad</t>
  </si>
  <si>
    <t>Roha</t>
  </si>
  <si>
    <t>Mangaon</t>
  </si>
  <si>
    <t>Poladpur</t>
  </si>
  <si>
    <t>Mahasala</t>
  </si>
  <si>
    <t>Shriwardhan</t>
  </si>
  <si>
    <t>Murud</t>
  </si>
  <si>
    <t>Andheri</t>
  </si>
  <si>
    <t>Borivali</t>
  </si>
  <si>
    <t>Kurla</t>
  </si>
  <si>
    <t>Pune</t>
  </si>
  <si>
    <t>Pune City</t>
  </si>
  <si>
    <t>Khed</t>
  </si>
  <si>
    <t>Baramati</t>
  </si>
  <si>
    <t>Junnar</t>
  </si>
  <si>
    <t>Shirur</t>
  </si>
  <si>
    <t>Indapur</t>
  </si>
  <si>
    <t>Daund</t>
  </si>
  <si>
    <t>Mawal</t>
  </si>
  <si>
    <t>Ambegaon</t>
  </si>
  <si>
    <t>Purandhar</t>
  </si>
  <si>
    <t>Bhor</t>
  </si>
  <si>
    <t>Mulshi</t>
  </si>
  <si>
    <t>Velhe</t>
  </si>
  <si>
    <t>Haveli</t>
  </si>
  <si>
    <t>Approved Plans, CC</t>
  </si>
  <si>
    <t>Approved Plans, CC, Sale Plans</t>
  </si>
  <si>
    <t>Approved Plans, CC, Sale Plans, Builder Saleable Area</t>
  </si>
  <si>
    <t>Approved Plans, CC, Sale Plans, Builder Saleable Area, Cost Sheet,</t>
  </si>
  <si>
    <t>Approved Plans, CC, Builder Saleable Area,</t>
  </si>
  <si>
    <t>Carpet area</t>
  </si>
  <si>
    <t>Bank Name:</t>
  </si>
  <si>
    <t>Axis Bank</t>
  </si>
  <si>
    <t>Branch</t>
  </si>
  <si>
    <t>Bank</t>
  </si>
  <si>
    <t>Cent Bank</t>
  </si>
  <si>
    <t>Indiabulls Housing Finance Ltd</t>
  </si>
  <si>
    <t>PNB Housing Finance Limited</t>
  </si>
  <si>
    <t>ABFHL</t>
  </si>
  <si>
    <t>Axis Thane</t>
  </si>
  <si>
    <t>Axis Sanpada</t>
  </si>
  <si>
    <t>Axis Badlapur</t>
  </si>
  <si>
    <t>PNB Thane</t>
  </si>
  <si>
    <t>PNB Borivali</t>
  </si>
  <si>
    <t>Cent Kalyan</t>
  </si>
  <si>
    <t>Cent Belapur</t>
  </si>
  <si>
    <t>IBHF Kalyan</t>
  </si>
  <si>
    <t>IBHF Badlapur</t>
  </si>
  <si>
    <t>IBHF Vashi</t>
  </si>
  <si>
    <t>IBHF Thane</t>
  </si>
  <si>
    <t>IBHF Andheri</t>
  </si>
  <si>
    <t>Authorites</t>
  </si>
  <si>
    <t>Slum Rehabilitation Authority (SRA)</t>
  </si>
  <si>
    <t>Municipal Corporation of Greater Mumbai (MCGM)</t>
  </si>
  <si>
    <t>Maharashtra Housing and Area Development Authority(MHADA)</t>
  </si>
  <si>
    <t>Mumbai Metropolitan Region Development Authority (MMRDA)</t>
  </si>
  <si>
    <t>Maharashtra State Road Development Corporation Limited (MSRDC)</t>
  </si>
  <si>
    <t>Navi Mumbai Municipal Corporation (NMMC)</t>
  </si>
  <si>
    <t>Thane Muncipal Cooperation (TMC)</t>
  </si>
  <si>
    <t>Kalyan Dombivli Municipal Corporation (KMDC)</t>
  </si>
  <si>
    <t>Kulgoan Badlapur Municipal Council</t>
  </si>
  <si>
    <t>Town Planning Thane</t>
  </si>
  <si>
    <t>Ambernath Municipal Council (AMC)</t>
  </si>
  <si>
    <t>Ulhasnagar Municipal Corporation</t>
  </si>
  <si>
    <t>Nagar Rachana Ani Mulya Nirdharan Vibhag Thane</t>
  </si>
  <si>
    <t>Bhiwandi Nizampur City Municipal Corporation</t>
  </si>
  <si>
    <t>City and Industrial Development Corporation (CIDCO)</t>
  </si>
  <si>
    <t>Maharashtra Industrial Development Corporation (MIDC)</t>
  </si>
  <si>
    <t>Panvel Municipal Corporation</t>
  </si>
  <si>
    <t>Navi Mumbai Airport Influence Notified Area (NAINA)</t>
  </si>
  <si>
    <t>Pen Municipal Council</t>
  </si>
  <si>
    <t>Raigad Zilha Parishad</t>
  </si>
  <si>
    <t>Roha Municipal Council</t>
  </si>
  <si>
    <t>Vasai-Virar City Municipal Corporation. (VVCMC)</t>
  </si>
  <si>
    <t>Collector Of Palghar</t>
  </si>
  <si>
    <t>Town Planner, Palghar</t>
  </si>
  <si>
    <t>Mira-Bhayandar Municipal Corporation</t>
  </si>
  <si>
    <t>Documents Provided</t>
  </si>
  <si>
    <t>Does the boundaries at site match, as mentioned in the Documentation: NA</t>
  </si>
  <si>
    <t xml:space="preserve">Fire Noc No
Valid Up to: </t>
  </si>
  <si>
    <t xml:space="preserve">Environmental Clearance Certificate (EC) No
Valid Up for: </t>
  </si>
  <si>
    <t xml:space="preserve">As per RERA, completion period of project Yashwant Height is expired on 30/06/2021 but still project is under construction.
</t>
  </si>
  <si>
    <t>Validity of CC is expired on 31/01/2021. Please provide latest CC.</t>
  </si>
  <si>
    <t>Construction work is same as last visit but work is in process at the time of visit. (Slow Speed)</t>
  </si>
  <si>
    <t>As per CRZ Norms, The said plot is coming under list of plots affected by CRZ. Ref Letter No. CIDCO/PLNG/ACP(BP)/2021/895/E-19416 Date : 09/03/2021.</t>
  </si>
  <si>
    <t>Construction work has increased from last visit but no active work was found during site visit</t>
  </si>
  <si>
    <t>As per Approved Floor plan, Wing A consist of 62 units ( Rehab = 40 units &amp; Sale = 22 Units),  but which unit no should be considered as rehab or sale is not mentioned in Approved plan.</t>
  </si>
  <si>
    <t>If stage is not identifibale due to external Visit,
1. Confirm with visitor that internal visit was possible or not, if internal visit possible ask visitor to to revisit
2. If internal visit not possible in category A Builders, if stage is not possible to increase mention below remark Since internal visit were not permitted, we were unable to determine building progress from an external visit; so, we are maintaining the same progress as in the previous report (dtd.    )
3. If Stage is identifiable increase the stage. Mention internal visit is not allowed in Remark</t>
  </si>
  <si>
    <r>
      <t xml:space="preserve">Recommended Rates / Other charges of the Property have been revised on </t>
    </r>
    <r>
      <rPr>
        <b/>
        <sz val="11"/>
        <color rgb="FF000000"/>
        <rFont val="Calibri"/>
        <family val="2"/>
      </rPr>
      <t>23/10/2023</t>
    </r>
    <r>
      <rPr>
        <sz val="11"/>
        <color rgb="FF000000"/>
        <rFont val="Calibri"/>
        <family val="2"/>
      </rPr>
      <t>.</t>
    </r>
  </si>
  <si>
    <t>Other charges/ Rate has been revised as per market inquiry (on 12/10/2023)</t>
  </si>
  <si>
    <t>Cementry of Hindu, Muslim, &amp; Christian Religion is located in 150 to 200m from project</t>
  </si>
  <si>
    <t>There is a road on the west side of the project, and a creek is next to the other side of the road.</t>
  </si>
  <si>
    <t>We have updated revised approved plans &amp; CC (on 15/12/2022).</t>
  </si>
  <si>
    <t>High Tension lines are passing through project (name)</t>
  </si>
  <si>
    <t>Collector Of Raigad</t>
  </si>
  <si>
    <t>As the project is redevelopement project but rehab statement or rehab flats is not mentioned approved layout plan &amp; floor plan.</t>
  </si>
  <si>
    <t>Construction work was stopped since visit 04/12/2017, but during 07/10/2021 site visit some construction activity was seen on site (Single room flooring work was seen)</t>
  </si>
  <si>
    <t>Builder is selling Bare Shell Office units</t>
  </si>
  <si>
    <t>We did not consider the terrace area attached to the 1st floor flats because it was not shown in the approved plans. However, it was shown in the sale plan.</t>
  </si>
  <si>
    <t>Since the project has received first CC on 17/01/2020, But construction work of Wing A is not yet started. Please provide revised approved CC for Wing A.</t>
  </si>
  <si>
    <t xml:space="preserve">Floor No </t>
  </si>
  <si>
    <t>Discription</t>
  </si>
  <si>
    <t>Carpet</t>
  </si>
  <si>
    <t>Fungible</t>
  </si>
  <si>
    <t>Terrace</t>
  </si>
  <si>
    <t>L</t>
  </si>
  <si>
    <t>W</t>
  </si>
  <si>
    <t>A</t>
  </si>
  <si>
    <t>Hall</t>
  </si>
  <si>
    <t>CB</t>
  </si>
  <si>
    <t>kitch</t>
  </si>
  <si>
    <t>FB</t>
  </si>
  <si>
    <t>Bed1</t>
  </si>
  <si>
    <t>Bed2</t>
  </si>
  <si>
    <t>Bed3</t>
  </si>
  <si>
    <t>Bed4</t>
  </si>
  <si>
    <t>DB</t>
  </si>
  <si>
    <t>toilet2</t>
  </si>
  <si>
    <t>toilet3</t>
  </si>
  <si>
    <t>passage1</t>
  </si>
  <si>
    <t>passage3</t>
  </si>
  <si>
    <t>passage4</t>
  </si>
  <si>
    <t>toilet4</t>
  </si>
  <si>
    <t>passage2</t>
  </si>
  <si>
    <t>Servant room</t>
  </si>
  <si>
    <t>Balcony</t>
  </si>
  <si>
    <r>
      <t xml:space="preserve">A sale or rehab statement is not provided along with approved floor plans. But as per a letter provided by the Bank Official on </t>
    </r>
    <r>
      <rPr>
        <b/>
        <sz val="11"/>
        <color rgb="FF000000"/>
        <rFont val="Calibri"/>
        <family val="2"/>
      </rPr>
      <t>whatsapp</t>
    </r>
    <r>
      <rPr>
        <sz val="11"/>
        <color rgb="FF000000"/>
        <rFont val="Calibri"/>
        <family val="2"/>
      </rPr>
      <t xml:space="preserve"> A wing is a rehab wing, and B wing is a sale wing. The same letter is attached below.</t>
    </r>
  </si>
  <si>
    <r>
      <t xml:space="preserve">A sale or rehab statement is not provided along with approved floor plans. But as per a letter provided by the Bank Official on </t>
    </r>
    <r>
      <rPr>
        <b/>
        <sz val="11"/>
        <color rgb="FF000000"/>
        <rFont val="Calibri"/>
        <family val="2"/>
      </rPr>
      <t>whatsapp</t>
    </r>
    <r>
      <rPr>
        <sz val="11"/>
        <color rgb="FF000000"/>
        <rFont val="Calibri"/>
        <family val="2"/>
      </rPr>
      <t>, 5 shops &amp; 6 Flats are Rehab Flats. The same letter is attached below.</t>
    </r>
  </si>
  <si>
    <t>As Flat No. 201, 202, 203 &amp; 204 consists of large terrace area but dimension of that area is not mentioned. Therefore we have not considered terrace area for that flat.</t>
  </si>
  <si>
    <t>Electric Lines are passing above the project</t>
  </si>
  <si>
    <t>High tension lines are passing nearby project Project Name. Please provide Power Noc.</t>
  </si>
  <si>
    <t>We have release report on the basis of other vendor report.</t>
  </si>
  <si>
    <t>As per the last site visit dtd. 06/03/2024, internal visit was not allowed. Hence, the construction percentage given in the report was as per site met person i.e. 1st slab completed.
As per the visit dtd 10/06/2024, we have observed that only plinth work is completed. But higher construction stage is already given in last report i.e. 1st slab completed Hence, we are maintaining the same construction percentage as of previous report.</t>
  </si>
  <si>
    <t>Recommended Rates / Other charges of the Property (Commercial) have been revised on 23/10/2023 on basis of Cost sheet provided to us on mail by bank official, which is attached below</t>
  </si>
  <si>
    <t>As building have received First CC on 08/05/2015 still building is still under construction.</t>
  </si>
  <si>
    <t>Provided plans doesnot consist of Owner &amp; Architect Signature, 
We are releasing report after verbel discussion with Bank Officials about above Query.</t>
  </si>
  <si>
    <t>We have not drafted Unit No. 4, Office No. 107, 207, 307 &amp; 407 due to improper dimentions n shape of that unit.</t>
  </si>
  <si>
    <t>We are releasing report on MIDC Approved plans &amp; Combined Approval Letter.</t>
  </si>
  <si>
    <t>As the project is redevelopement project but rehab statement or rehab flats is not mentioned approved layout plan &amp; floor plan. But builder rehab tenant list is provided on mail by bank officials which is attached below</t>
  </si>
  <si>
    <t>SCL Kalyan</t>
  </si>
  <si>
    <t>SCL Badlapur</t>
  </si>
  <si>
    <t>SCL Vashi</t>
  </si>
  <si>
    <t>SCL Thane</t>
  </si>
  <si>
    <t>SCL Andheri</t>
  </si>
  <si>
    <t>SCL Borivali</t>
  </si>
  <si>
    <t>SCL Virar</t>
  </si>
  <si>
    <t>As per Approved Floor Plan, In C to E wing on Ground floor Shop No. 19 &amp; 20 are merged into single shop.</t>
  </si>
  <si>
    <t>Palghar Muncipal Council</t>
  </si>
  <si>
    <t xml:space="preserve">We have given Valuation for Sale Flats and Shops only.
</t>
  </si>
  <si>
    <t>There are guest houses, villas, resorts, etc. in a range of 200 to 300 meters.
There are few residential buildings available in the surrounding areas. (within 500 meters)
There are inadequate transportation options to get to the project and the area is not
developed</t>
  </si>
  <si>
    <t xml:space="preserve">Valid upto Dated </t>
  </si>
  <si>
    <t>PNB Panvel</t>
  </si>
  <si>
    <t>Building Details Floor Wise</t>
  </si>
  <si>
    <t>Sammaan Capital Limited</t>
  </si>
  <si>
    <t>Thane Municipal Corporation (TMC)</t>
  </si>
  <si>
    <t>Construction stage is reduced due to revision in proposed structure of project.</t>
  </si>
  <si>
    <t>Construction percentage has been reduced due to the construction work being processed in two parts.</t>
  </si>
  <si>
    <t xml:space="preserve">The project has received CC on 07/06/2019, But construction work is not yet Completed. </t>
  </si>
  <si>
    <t>Some flats are occupied by tenants but finishing work is in process at the time of visit.</t>
  </si>
  <si>
    <t>The       project is not registered on RERA site, Beacause land area of project is less than 500 Sq.Mt</t>
  </si>
  <si>
    <t>As per site visit dtd.23/01/2025 we have observed that the construction work is not done as per approved floor plan. (Extra Terrace Area are Constructed for flats)
According to the approved 1st floor plan, terrace area is not attached to Flat No.3, 4 &amp; 5, But on site terrace area is already constructed.</t>
  </si>
  <si>
    <t>Remark No. 42 is resolved by corrigendum (i.e. correction letter) provided by authority regarding survey nos. letter attached below.</t>
  </si>
  <si>
    <t>As per approved Floor plans does not consist of Unit Numbering, We have considered unit numbering from sale plan provided by site meet person during site visit.</t>
  </si>
  <si>
    <t>As per New version of RERA portal project consist of single building - Hasha Heights
As per Old version of RERA portal project consist of Two buildings- Hasha Heights &amp; Kunti Heights</t>
  </si>
  <si>
    <t>Remark No.11 is solved. we were asked to follow the old version of RERA by the bank official builder letter provided on the mail is attached below.</t>
  </si>
  <si>
    <t xml:space="preserve">As per approved plan &amp; CC,  project consists of Survey No.40, H.No.2A, Plot No.3 &amp; 4.  
But as per RERA, project consists of Survey No.40/B, Plot No.3 &amp; 4.  </t>
  </si>
  <si>
    <t>Vishw apartment</t>
  </si>
  <si>
    <t>The approved large land parcel layout plan does not consist of survey number, therefore we have referred Survey No. from Title Certificate.</t>
  </si>
  <si>
    <t>As per the discussion with the bank official, Builder provided approved EC on whatsapp for a large land parcel.</t>
  </si>
  <si>
    <t>Mahindra Vista Phase 1 &amp; 2</t>
  </si>
  <si>
    <t>As per the approved floor plan, out of 1199 flats, there are 132 flats that are "I to R" flats. Please check from your end.</t>
  </si>
  <si>
    <t>As per the approved plans &amp; RERA in the project Shikara Heights Phase I consist of " Wing A, B, C " for Sale &amp; " Wing D " for Rehab
Therefore we have not considered Rehab Wing D in APF Report.</t>
  </si>
  <si>
    <t>As per Google Maps, we have observed that some plants or trees are surrounding of theproject (it plants might be mangroves also).</t>
  </si>
  <si>
    <t>The Royal Bay</t>
  </si>
  <si>
    <t>Office No. 1031, Wing J, Akshar Business Park, Plot No. 03 Sector 25, Near APMC Market, Vashi, Navi Mumbai, Maharashtra 400703 TEL: 022-46090378/79/80
E mail : vsjcapf@gmail.com. Web site : www.vsjadon.com</t>
  </si>
  <si>
    <t xml:space="preserve">As per the revised approved plan dated 08/09/2022, the approved structure of Wing A is reduced to Gr + 1st to 14th Floor (earlier it was Wing A = Gr + 1st to 15th Floor) </t>
  </si>
  <si>
    <t>Balaji Govind</t>
  </si>
  <si>
    <t>Jio Finance</t>
  </si>
  <si>
    <t>JFL Koparkhairane</t>
  </si>
  <si>
    <t>The Domus Prive</t>
  </si>
  <si>
    <t>As per the approved floor plan dtd.22/07/2024, the building height is 61.55 Mtrs (Upto OHT), which is reached up to his maximum height limit of 61.73 Mtrs with reference to the airport
NOC.</t>
  </si>
  <si>
    <t>As per visit dtd 13/08/2025, we have observed that construction work of Shop no. 1, 2, 3, 6, 7, 8 from Building No. 1 and Shop no. 11, 12, 13, 16, 17 from Building No. 2 are Completed.Therefore it can be considered as Progress 100% and Disbursement 100%.</t>
  </si>
  <si>
    <t>Remark if shops construction is asked</t>
  </si>
  <si>
    <t>P51900048675</t>
  </si>
  <si>
    <t>Shreepati Skies (R R Chaturvedi)</t>
  </si>
  <si>
    <t>Aaradhya Avaan</t>
  </si>
  <si>
    <t>Mrs. Pushpa Jadhav 9820598783</t>
  </si>
  <si>
    <t>Tardeo Division D Ward</t>
  </si>
  <si>
    <t>Chikhalwadi</t>
  </si>
  <si>
    <t>Tukaram Javaji Marg / Bhatia Hospital Lane</t>
  </si>
  <si>
    <t>https://maps.app.goo.gl/PzVqnmLCM7VjPbtq5</t>
  </si>
  <si>
    <t>18.966103,72.814422</t>
  </si>
  <si>
    <t>Grant Road</t>
  </si>
  <si>
    <t>0.85KM from Grant Road Railway Station</t>
  </si>
  <si>
    <t>Wallace Apartment</t>
  </si>
  <si>
    <t>12.20M (40'00'') Wide Tukaram Javaji Road</t>
  </si>
  <si>
    <t>Other Plot</t>
  </si>
  <si>
    <t>U/C Building</t>
  </si>
  <si>
    <t>Tardeo Apartment / Bhatia Hospital</t>
  </si>
  <si>
    <t>03 Buildings</t>
  </si>
  <si>
    <t>EB/8870/D/A/337/3/Amend</t>
  </si>
  <si>
    <t>EB/8870/D/A/FCC/2/Amend</t>
  </si>
  <si>
    <t>This C.C. is further extended up to top of 61st upper floor level in Wing ‘A’ only i.e. full C.C. including OHT+LMR as per Amended plan dt. 18.10.2023.</t>
  </si>
  <si>
    <t xml:space="preserve">Commencement-CC No
Valid Up to: </t>
  </si>
  <si>
    <t>EB/8870/D/A/CFO/1/Amend</t>
  </si>
  <si>
    <t>Wing A  (Sale Wing) = 3B + G + 9P + 10th to 17th Parking level + 18th Amenity + 1st to 61st Floor (Height = 271.90mtr)
Wing B (Sale Wing) = 3B + G + 9P + 10th to 17th Parking level + 18th Amenity + 1st to 58th Floor (Height = 261.40mtr)
Wing C (Rehab Wing) = 4B + G + 1st to 38th Floor (Height = 119.95mtr)</t>
  </si>
  <si>
    <t>SIA/MH/INFRA2/414233/2023</t>
  </si>
  <si>
    <t>Sale Wing A &amp; B = 3B + G + 9P + 10th to 17th Robotic Parking + 18th Club House + 1st to 61st Floor
Rehab Wing C = 4B + 1st to 38th Floor + Terrace + OHT &amp; LMR</t>
  </si>
  <si>
    <t>AAI/RHQ/WR/DoAS/Auth./JUHU/WEST/B/101221/628498/34</t>
  </si>
  <si>
    <t>As per RERA - 31/12/2030</t>
  </si>
  <si>
    <t>Wing A  (Sale Wing) = 3B + G + 9P + 10th to 17th Parking level + 18th Amenity + 1st to 61st Floor
Wing B (Sale Wing) = 3B + G + 9P + 10th to 17th Parking level + 18th Amenity + 1st to 58th Floor
Wing C (Rehab Wing) = 4B + G + 1st to 38th Floor</t>
  </si>
  <si>
    <t>Rooftop Swimming Pool, Clubhouse, Kid's Play Area, Indoor Games, Terracce Garden, Fire Sprinklers, Gymnasium, Indoor Games, Grand Entrance Lobby, 24/7 Security, Jogging Track, Earthquake Resistant</t>
  </si>
  <si>
    <r>
      <t xml:space="preserve">Proposed Amenities :                                                                                                                                                                                                                         </t>
    </r>
    <r>
      <rPr>
        <b/>
        <sz val="12"/>
        <color theme="1"/>
        <rFont val="Times New Roman"/>
        <family val="1"/>
      </rPr>
      <t xml:space="preserve">                                               </t>
    </r>
  </si>
  <si>
    <t>https://aaradhyaavaantardeo.com/?gad_source=1&amp;gad_campaignid=21333104348&amp;gbraid=0AAAAA9vg9TrwWzTHYUSJy1dQ0TpA6OT_V&amp;gclid=EAIaIQobChMI3Z3PvqG_jwMVwNE8Ah2HKQAhEAAYASAAEgJrqPD_BwE</t>
  </si>
  <si>
    <t>Wing A = 3B + G + 17P + 18th Amenity + 1st to 61st Floor</t>
  </si>
  <si>
    <t>Wing C = 4B + G + 1st to 38th Floor</t>
  </si>
  <si>
    <t>1st Basemnet Floor For Society Office, Panel Room &amp; Parking</t>
  </si>
  <si>
    <t>2nd Basement Floor For Pump Room &amp; Parking</t>
  </si>
  <si>
    <t>3rd Basement Floor For OWC, Panel Room &amp; Parking</t>
  </si>
  <si>
    <t>4th Basement Floor For Service Room, Panel Room &amp; Parking</t>
  </si>
  <si>
    <t>Wing C</t>
  </si>
  <si>
    <t>Ground Floor For Entrance Lobby, Fitness Center, Panel Room &amp; Parking</t>
  </si>
  <si>
    <t>1st Floor For Residential</t>
  </si>
  <si>
    <t>Sale / Rehab</t>
  </si>
  <si>
    <t>Rehab</t>
  </si>
  <si>
    <t>1BHK</t>
  </si>
  <si>
    <t>2BHK</t>
  </si>
  <si>
    <t>3BHK</t>
  </si>
  <si>
    <t>4BHK</t>
  </si>
  <si>
    <t>5BHK</t>
  </si>
  <si>
    <t>2nd to 6th, 8th to 13th, 15th to 18th Floor</t>
  </si>
  <si>
    <t>7th, 14th &amp; 28th Floor For Part Refuge Area</t>
  </si>
  <si>
    <t>Refuge Area</t>
  </si>
  <si>
    <t>Sale</t>
  </si>
  <si>
    <t>19th &amp; 20th, 22nd to 27th, 29th to 34th, 36th &amp; 37th Floor</t>
  </si>
  <si>
    <t>21st Floor For Part Refuge Area</t>
  </si>
  <si>
    <t>35th Floor For Part Refuge Area</t>
  </si>
  <si>
    <t>38th Floor (Part Fitness Center)</t>
  </si>
  <si>
    <t>Fitness Center</t>
  </si>
  <si>
    <t>Wing A</t>
  </si>
  <si>
    <t>1st Basement Floor For Parking</t>
  </si>
  <si>
    <t>2nd &amp; 3rd Basement Floor For Meter Room &amp; Parking</t>
  </si>
  <si>
    <t>Ground Floor For Entrance Lobby, Fire Control Room, Meter Room &amp; Parking</t>
  </si>
  <si>
    <t>1st Podium Floor For Parking</t>
  </si>
  <si>
    <t>2nd to 8th Podium Floor For Parking</t>
  </si>
  <si>
    <t>9th Podium Floor For Robotic Car Entry &amp; Parking</t>
  </si>
  <si>
    <t>18th Level Floor For Club House</t>
  </si>
  <si>
    <t>1st to 3rd Floor For Residential</t>
  </si>
  <si>
    <t>4th to 6th, 8th to 12th Floor</t>
  </si>
  <si>
    <t>7th Floor For Part Refuge Area</t>
  </si>
  <si>
    <t>14th Floor For Part Refuge Area</t>
  </si>
  <si>
    <t>26th &amp; 27th, 29th to 32nd Floor</t>
  </si>
  <si>
    <t>28th Floor For Part Refuge Area</t>
  </si>
  <si>
    <t>34th Floor for Fitness Center/ Yogalaya &amp; Pool Deck</t>
  </si>
  <si>
    <t>35th Floor for Fitness Center/ Yogalaya &amp; Refuge Area</t>
  </si>
  <si>
    <t>36th to 38th Floor</t>
  </si>
  <si>
    <t>39th to 41st, 43rd to 48th &amp; 50th Floor</t>
  </si>
  <si>
    <t>42nd &amp; 49th Floor For Part Refuge Area</t>
  </si>
  <si>
    <t>51st to 54th Floor</t>
  </si>
  <si>
    <t xml:space="preserve"> 55th Floor</t>
  </si>
  <si>
    <t>56th Floor For Part Refuge Area</t>
  </si>
  <si>
    <t>57th Floor</t>
  </si>
  <si>
    <t>58th Service Floor</t>
  </si>
  <si>
    <t>59th Floor</t>
  </si>
  <si>
    <t>60th Floor</t>
  </si>
  <si>
    <t>61st Floor</t>
  </si>
  <si>
    <t>1st to 8th Level (i.e 10th to 17th Floor) Podium Floor For Robotic Car Parking</t>
  </si>
  <si>
    <t>Mezzanine Floor</t>
  </si>
  <si>
    <t>Wing B</t>
  </si>
  <si>
    <t>1st Basement Floor For Pump Room &amp; Parking</t>
  </si>
  <si>
    <t>2nd &amp; 3rd Basement Floor For Meter Room, Pump Room &amp; Parking</t>
  </si>
  <si>
    <t>Void</t>
  </si>
  <si>
    <t>4th to 6th, 8th to 10th Floor</t>
  </si>
  <si>
    <t>11th Floor</t>
  </si>
  <si>
    <t>12th Floor</t>
  </si>
  <si>
    <t xml:space="preserve">20th Floor For Service </t>
  </si>
  <si>
    <t xml:space="preserve">33rd Floor For Service </t>
  </si>
  <si>
    <t>We considered Gross carpet area = Net carpet + Deck Area.</t>
  </si>
  <si>
    <t>Gaurav Panchal</t>
  </si>
  <si>
    <t>55th Floor For Refuge &amp; Service Area</t>
  </si>
  <si>
    <t>56th Floor</t>
  </si>
  <si>
    <t>58th Floor</t>
  </si>
  <si>
    <t xml:space="preserve">Wing C </t>
  </si>
  <si>
    <t>RERA Carpet area</t>
  </si>
  <si>
    <t>Deck Area</t>
  </si>
  <si>
    <t xml:space="preserve">Karan Misal	</t>
  </si>
  <si>
    <t>https://aaradhya-avaan-tardeo.in/?gad_source=1&amp;gad_campaignid=22594453809&amp;gbraid=0AAAAA-XzrkDYd03JlPR0ONgqCBoP0fOo6&amp;gclid=Cj0KCQjw5onGBhDeARIsAFK6QJYEmbc6ZLHNZH3sJbgDGVGPUtrrjx06aZE-5FZJUX2bzHRwMef1dqEaAt3IEALw_wcB</t>
  </si>
  <si>
    <t>Old structure was  G + 1 chawl</t>
  </si>
  <si>
    <t>Airport Noc site elevation not mentioned in letter</t>
  </si>
  <si>
    <t>Refered From RERA Site</t>
  </si>
  <si>
    <t>Chawl</t>
  </si>
  <si>
    <t>Wing A to C</t>
  </si>
  <si>
    <t>EB/8870/D/A/FCC/1/Amend</t>
  </si>
  <si>
    <t>This C.C. is extended up to top of 58th upper floor level in Wing B only i.e. full C.C. including OHT+LMR as per Amended plan dt. 18.10.2023.</t>
  </si>
  <si>
    <t>This CC is extended upto top of 38th floor + LMR + OHT for Wing C i.e. Full CC for Rehab Wing C only as per amended approved plans dated 18.10.2023.</t>
  </si>
  <si>
    <t>EB/8870/D/A/FCC/1/New</t>
  </si>
  <si>
    <t>Floor Rise Rate from 5th Habitual Floor</t>
  </si>
  <si>
    <t>JUHU/WEST/B/101221/628498</t>
  </si>
  <si>
    <t>Site Elevation (AMSL) = 4.84 M
Permissible Top Elevation (AMSL) = 255.32 M</t>
  </si>
  <si>
    <t xml:space="preserve">Airport Noc No
Valid Up for: 
</t>
  </si>
  <si>
    <t xml:space="preserve">Revised Airport Noc No
Valid Up for: 
</t>
  </si>
  <si>
    <t>Permissible Top Elevation (AMSL) = 312M</t>
  </si>
  <si>
    <t>Wing B = 3B + G + 17P + 18th Amenity + 1st to 61st Floor</t>
  </si>
  <si>
    <t>Deck Counted in MOFA CA</t>
  </si>
  <si>
    <t>We have referred approved plan, CC, Fire Noc, EC &amp; Airport NOC from MCGM site.</t>
  </si>
  <si>
    <t>flat 1 to 4 - Referred from sale RERA CA  of 4th to 6th &amp; 8th to 10th floor of  Wing B</t>
  </si>
  <si>
    <t>Flat 5 - referred from 13th, 15th to 19th, 22nd to 25th floor of wing B</t>
  </si>
  <si>
    <t xml:space="preserve">Referred from 14th floor refuge </t>
  </si>
  <si>
    <t>flat 1 - Referred from sale RERA CA  of 4th to 6th &amp; 8th to 10th floor of  Wing B</t>
  </si>
  <si>
    <t xml:space="preserve">Wing A, B &amp; C = Construction work is in process at the time of Visit. (Internal visit not allowed)
</t>
  </si>
  <si>
    <t>13th, 15th to 19th, 22nd to 25th Floor</t>
  </si>
  <si>
    <t>20th Floor For Service Area</t>
  </si>
  <si>
    <t>Total Sale Flats</t>
  </si>
  <si>
    <t>Total Rehab Flats</t>
  </si>
  <si>
    <t xml:space="preserve">Sale Flats - 279, Rehab Flats - 266,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</si>
</sst>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_(* #,##0.00_);_(* \(#,##0.00\);_(* &quot;-&quot;??_);_(@_)"/>
    <numFmt numFmtId="165" formatCode="0.0"/>
    <numFmt numFmtId="166" formatCode="_(* #,##0_);_(* \(#,##0\);_(* &quot;-&quot;??_);_(@_)"/>
    <numFmt numFmtId="167" formatCode="_ * #,##0_ ;_ * \-#,##0_ ;_ * &quot;-&quot;??_ ;_ @_ "/>
  </numFmts>
  <fonts count="33"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b/>
      <sz val="11"/>
      <color indexed="8"/>
      <name val="Times New Roman"/>
      <family val="1"/>
    </font>
    <font>
      <sz val="11"/>
      <color indexed="8"/>
      <name val="Calibri"/>
      <family val="2"/>
    </font>
    <font>
      <sz val="12"/>
      <color indexed="8"/>
      <name val="Times New Roman"/>
      <family val="1"/>
    </font>
    <font>
      <sz val="12"/>
      <color theme="1"/>
      <name val="Times New Roman"/>
      <family val="1"/>
    </font>
    <font>
      <b/>
      <sz val="12"/>
      <color indexed="8"/>
      <name val="Times New Roman"/>
      <family val="1"/>
    </font>
    <font>
      <b/>
      <sz val="11"/>
      <color theme="1"/>
      <name val="Calibri"/>
      <family val="2"/>
      <scheme val="minor"/>
    </font>
    <font>
      <b/>
      <sz val="12"/>
      <color theme="1"/>
      <name val="Times New Roman"/>
      <family val="1"/>
    </font>
    <font>
      <b/>
      <sz val="11.5"/>
      <color indexed="8"/>
      <name val="Times New Roman"/>
      <family val="1"/>
    </font>
    <font>
      <sz val="12"/>
      <name val="Times New Roman"/>
      <family val="1"/>
    </font>
    <font>
      <b/>
      <sz val="12"/>
      <name val="Times New Roman"/>
      <family val="1"/>
    </font>
    <font>
      <sz val="11"/>
      <name val="Times New Roman"/>
      <family val="1"/>
    </font>
    <font>
      <sz val="12"/>
      <color rgb="FFFF0000"/>
      <name val="Times New Roman"/>
      <family val="1"/>
    </font>
    <font>
      <sz val="11"/>
      <color theme="1"/>
      <name val="Times New Roman"/>
      <family val="1"/>
    </font>
    <font>
      <b/>
      <sz val="12"/>
      <color rgb="FFFF0000"/>
      <name val="Times New Roman"/>
      <family val="1"/>
    </font>
    <font>
      <sz val="11"/>
      <color rgb="FF000000"/>
      <name val="Times New Roman"/>
      <family val="1"/>
    </font>
    <font>
      <sz val="11"/>
      <color rgb="FFFF0000"/>
      <name val="Calibri"/>
      <family val="2"/>
      <scheme val="minor"/>
    </font>
    <font>
      <sz val="11"/>
      <color rgb="FFFF0000"/>
      <name val="Calibri"/>
      <family val="2"/>
    </font>
    <font>
      <sz val="10"/>
      <name val="Arial"/>
      <family val="2"/>
    </font>
    <font>
      <sz val="11"/>
      <color rgb="FF000000"/>
      <name val="Calibri"/>
      <family val="2"/>
    </font>
    <font>
      <b/>
      <sz val="11"/>
      <color rgb="FF000000"/>
      <name val="Times New Roman"/>
      <family val="1"/>
    </font>
    <font>
      <sz val="10"/>
      <color theme="1"/>
      <name val="Times New Roman"/>
      <family val="1"/>
    </font>
    <font>
      <sz val="11"/>
      <name val="Calibri"/>
      <family val="2"/>
    </font>
    <font>
      <sz val="11"/>
      <color theme="0"/>
      <name val="Calibri"/>
      <family val="2"/>
    </font>
    <font>
      <u/>
      <sz val="11"/>
      <color theme="10"/>
      <name val="Calibri"/>
      <family val="2"/>
    </font>
    <font>
      <sz val="9"/>
      <color indexed="81"/>
      <name val="Tahoma"/>
      <family val="2"/>
    </font>
    <font>
      <b/>
      <sz val="9"/>
      <color indexed="81"/>
      <name val="Tahoma"/>
      <family val="2"/>
    </font>
    <font>
      <b/>
      <sz val="11"/>
      <color rgb="FF000000"/>
      <name val="Calibri"/>
      <family val="2"/>
    </font>
    <font>
      <b/>
      <sz val="11"/>
      <color rgb="FFFF0000"/>
      <name val="Times New Roman"/>
      <family val="1"/>
    </font>
    <font>
      <b/>
      <sz val="18"/>
      <color rgb="FFFF0000"/>
      <name val="Times New Roman"/>
      <family val="1"/>
    </font>
  </fonts>
  <fills count="6">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9" tint="0.79998168889431442"/>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style="thin">
        <color indexed="64"/>
      </right>
      <top/>
      <bottom/>
      <diagonal/>
    </border>
  </borders>
  <cellStyleXfs count="11">
    <xf numFmtId="0" fontId="0" fillId="0" borderId="0"/>
    <xf numFmtId="0" fontId="3" fillId="0" borderId="0"/>
    <xf numFmtId="0" fontId="5" fillId="0" borderId="0"/>
    <xf numFmtId="0" fontId="2" fillId="0" borderId="0"/>
    <xf numFmtId="0" fontId="5" fillId="0" borderId="0"/>
    <xf numFmtId="0" fontId="1" fillId="0" borderId="0"/>
    <xf numFmtId="164" fontId="5" fillId="0" borderId="0" applyFont="0" applyFill="0" applyBorder="0" applyAlignment="0" applyProtection="0"/>
    <xf numFmtId="0" fontId="21" fillId="0" borderId="0"/>
    <xf numFmtId="9" fontId="22" fillId="0" borderId="0" applyFont="0" applyFill="0" applyBorder="0" applyAlignment="0" applyProtection="0"/>
    <xf numFmtId="43" fontId="22" fillId="0" borderId="0" applyFont="0" applyFill="0" applyBorder="0" applyAlignment="0" applyProtection="0"/>
    <xf numFmtId="0" fontId="27" fillId="0" borderId="0" applyNumberFormat="0" applyFill="0" applyBorder="0" applyAlignment="0" applyProtection="0"/>
  </cellStyleXfs>
  <cellXfs count="319">
    <xf numFmtId="0" fontId="0" fillId="0" borderId="0" xfId="0"/>
    <xf numFmtId="0" fontId="5" fillId="0" borderId="0" xfId="4"/>
    <xf numFmtId="0" fontId="1" fillId="0" borderId="0" xfId="5"/>
    <xf numFmtId="0" fontId="9" fillId="0" borderId="1" xfId="5" applyFont="1" applyBorder="1" applyAlignment="1">
      <alignment horizontal="center" vertical="top" wrapText="1"/>
    </xf>
    <xf numFmtId="0" fontId="20" fillId="0" borderId="0" xfId="4" applyFont="1"/>
    <xf numFmtId="0" fontId="1" fillId="0" borderId="1" xfId="5" applyBorder="1" applyAlignment="1">
      <alignment horizontal="center" vertical="center"/>
    </xf>
    <xf numFmtId="0" fontId="1" fillId="0" borderId="1" xfId="5" applyBorder="1" applyAlignment="1">
      <alignment horizontal="left" vertical="center"/>
    </xf>
    <xf numFmtId="1" fontId="1" fillId="0" borderId="1" xfId="5" applyNumberFormat="1" applyBorder="1" applyAlignment="1">
      <alignment horizontal="center" vertical="center"/>
    </xf>
    <xf numFmtId="166" fontId="1" fillId="0" borderId="1" xfId="6" applyNumberFormat="1" applyFont="1" applyBorder="1" applyAlignment="1">
      <alignment horizontal="right" vertical="center"/>
    </xf>
    <xf numFmtId="0" fontId="1" fillId="0" borderId="1" xfId="5" applyBorder="1" applyAlignment="1">
      <alignment horizontal="left" vertical="center" wrapText="1"/>
    </xf>
    <xf numFmtId="0" fontId="9" fillId="0" borderId="1" xfId="5" applyFont="1" applyBorder="1" applyAlignment="1">
      <alignment horizontal="center" vertical="center"/>
    </xf>
    <xf numFmtId="1" fontId="19" fillId="0" borderId="1" xfId="5" applyNumberFormat="1" applyFont="1" applyBorder="1" applyAlignment="1">
      <alignment horizontal="center" vertical="center"/>
    </xf>
    <xf numFmtId="0" fontId="5" fillId="0" borderId="1" xfId="4" applyBorder="1" applyAlignment="1">
      <alignment horizontal="center" vertical="center"/>
    </xf>
    <xf numFmtId="0" fontId="18" fillId="0" borderId="0" xfId="0" applyFont="1" applyProtection="1">
      <protection hidden="1"/>
    </xf>
    <xf numFmtId="0" fontId="18" fillId="0" borderId="11" xfId="0" applyFont="1" applyBorder="1" applyProtection="1">
      <protection hidden="1"/>
    </xf>
    <xf numFmtId="0" fontId="12" fillId="0" borderId="4" xfId="1" applyFont="1" applyBorder="1" applyAlignment="1" applyProtection="1">
      <alignment horizontal="center" vertical="top"/>
      <protection locked="0"/>
    </xf>
    <xf numFmtId="0" fontId="12" fillId="0" borderId="5" xfId="1" applyFont="1" applyBorder="1" applyAlignment="1" applyProtection="1">
      <alignment horizontal="center" vertical="top"/>
      <protection locked="0"/>
    </xf>
    <xf numFmtId="0" fontId="6" fillId="0" borderId="1" xfId="1" applyFont="1" applyBorder="1" applyAlignment="1" applyProtection="1">
      <alignment vertical="top" wrapText="1"/>
      <protection locked="0"/>
    </xf>
    <xf numFmtId="0" fontId="7" fillId="0" borderId="0" xfId="1" applyFont="1"/>
    <xf numFmtId="0" fontId="15" fillId="0" borderId="0" xfId="1" applyFont="1"/>
    <xf numFmtId="0" fontId="12" fillId="0" borderId="0" xfId="1" applyFont="1"/>
    <xf numFmtId="1" fontId="7" fillId="0" borderId="0" xfId="1" applyNumberFormat="1" applyFont="1"/>
    <xf numFmtId="14" fontId="7" fillId="0" borderId="0" xfId="1" applyNumberFormat="1" applyFont="1"/>
    <xf numFmtId="0" fontId="7" fillId="0" borderId="0" xfId="1" applyFont="1" applyProtection="1">
      <protection hidden="1"/>
    </xf>
    <xf numFmtId="0" fontId="24" fillId="0" borderId="0" xfId="1" applyFont="1"/>
    <xf numFmtId="0" fontId="7" fillId="0" borderId="10" xfId="1" applyFont="1" applyBorder="1"/>
    <xf numFmtId="0" fontId="18" fillId="0" borderId="10" xfId="0" applyFont="1" applyBorder="1" applyProtection="1">
      <protection hidden="1"/>
    </xf>
    <xf numFmtId="1" fontId="0" fillId="0" borderId="10" xfId="0" applyNumberFormat="1" applyBorder="1"/>
    <xf numFmtId="1" fontId="0" fillId="0" borderId="10" xfId="0" applyNumberFormat="1" applyBorder="1" applyAlignment="1">
      <alignment horizontal="right"/>
    </xf>
    <xf numFmtId="1" fontId="0" fillId="0" borderId="12" xfId="0" applyNumberFormat="1" applyBorder="1"/>
    <xf numFmtId="0" fontId="16" fillId="0" borderId="0" xfId="1" applyFont="1"/>
    <xf numFmtId="0" fontId="6" fillId="0" borderId="0" xfId="2" applyFont="1"/>
    <xf numFmtId="0" fontId="7" fillId="0" borderId="0" xfId="0" applyFont="1" applyAlignment="1">
      <alignment horizontal="center" vertical="center"/>
    </xf>
    <xf numFmtId="1" fontId="7" fillId="0" borderId="0" xfId="1" applyNumberFormat="1" applyFont="1" applyAlignment="1">
      <alignment horizontal="center" vertical="center"/>
    </xf>
    <xf numFmtId="0" fontId="7" fillId="0" borderId="0" xfId="1" applyFont="1" applyAlignment="1">
      <alignment horizontal="center" vertical="center"/>
    </xf>
    <xf numFmtId="0" fontId="8" fillId="0" borderId="0" xfId="1" applyFont="1" applyAlignment="1" applyProtection="1">
      <alignment vertical="top"/>
      <protection locked="0"/>
    </xf>
    <xf numFmtId="0" fontId="8" fillId="0" borderId="0" xfId="1" applyFont="1" applyAlignment="1" applyProtection="1">
      <alignment vertical="top" wrapText="1"/>
      <protection locked="0"/>
    </xf>
    <xf numFmtId="0" fontId="7" fillId="0" borderId="0" xfId="1" applyFont="1" applyProtection="1">
      <protection locked="0"/>
    </xf>
    <xf numFmtId="0" fontId="10" fillId="0" borderId="0" xfId="1" applyFont="1" applyProtection="1">
      <protection locked="0"/>
    </xf>
    <xf numFmtId="1" fontId="6" fillId="0" borderId="1" xfId="1" applyNumberFormat="1" applyFont="1" applyBorder="1" applyAlignment="1" applyProtection="1">
      <alignment horizontal="center" vertical="center" wrapText="1"/>
      <protection locked="0"/>
    </xf>
    <xf numFmtId="0" fontId="8" fillId="0" borderId="1" xfId="1" applyFont="1" applyBorder="1" applyAlignment="1" applyProtection="1">
      <alignment vertical="top"/>
      <protection locked="0"/>
    </xf>
    <xf numFmtId="1" fontId="6" fillId="0" borderId="1" xfId="0" applyNumberFormat="1" applyFont="1" applyBorder="1" applyAlignment="1" applyProtection="1">
      <alignment horizontal="center" vertical="center" wrapText="1"/>
      <protection locked="0"/>
    </xf>
    <xf numFmtId="0" fontId="12" fillId="0" borderId="1" xfId="1" applyFont="1" applyBorder="1" applyAlignment="1" applyProtection="1">
      <alignment horizontal="center" vertical="top"/>
      <protection locked="0"/>
    </xf>
    <xf numFmtId="0" fontId="25" fillId="2" borderId="30" xfId="0" applyFont="1" applyFill="1" applyBorder="1"/>
    <xf numFmtId="0" fontId="26" fillId="0" borderId="31" xfId="0" applyFont="1" applyBorder="1"/>
    <xf numFmtId="0" fontId="26" fillId="0" borderId="1" xfId="0" applyFont="1" applyBorder="1"/>
    <xf numFmtId="0" fontId="26" fillId="0" borderId="5" xfId="0" applyFont="1" applyBorder="1"/>
    <xf numFmtId="0" fontId="0" fillId="0" borderId="0" xfId="0" applyAlignment="1">
      <alignment horizontal="center" vertical="center"/>
    </xf>
    <xf numFmtId="0" fontId="0" fillId="0" borderId="1" xfId="0" applyBorder="1" applyAlignment="1">
      <alignment horizontal="center" vertical="center"/>
    </xf>
    <xf numFmtId="9" fontId="17" fillId="0" borderId="16" xfId="8" applyFont="1" applyFill="1" applyBorder="1" applyAlignment="1" applyProtection="1">
      <alignment horizontal="center" vertical="top" wrapText="1"/>
      <protection locked="0"/>
    </xf>
    <xf numFmtId="0" fontId="0" fillId="0" borderId="0" xfId="0" applyAlignment="1">
      <alignment horizontal="center"/>
    </xf>
    <xf numFmtId="0" fontId="0" fillId="0" borderId="1" xfId="0" applyBorder="1"/>
    <xf numFmtId="0" fontId="0" fillId="0" borderId="1" xfId="0" applyBorder="1" applyAlignment="1">
      <alignment wrapText="1"/>
    </xf>
    <xf numFmtId="0" fontId="0" fillId="0" borderId="1" xfId="0" applyBorder="1" applyAlignment="1">
      <alignment horizontal="left" vertical="top" wrapText="1"/>
    </xf>
    <xf numFmtId="0" fontId="0" fillId="0" borderId="25" xfId="0" applyBorder="1"/>
    <xf numFmtId="0" fontId="0" fillId="0" borderId="8" xfId="0" applyBorder="1"/>
    <xf numFmtId="0" fontId="0" fillId="0" borderId="1" xfId="0" applyBorder="1" applyAlignment="1">
      <alignment vertical="top" wrapText="1"/>
    </xf>
    <xf numFmtId="1" fontId="8" fillId="0" borderId="3" xfId="1" applyNumberFormat="1" applyFont="1" applyBorder="1" applyAlignment="1" applyProtection="1">
      <alignment horizontal="center" vertical="top" wrapText="1"/>
      <protection locked="0"/>
    </xf>
    <xf numFmtId="1" fontId="17" fillId="0" borderId="3" xfId="1" applyNumberFormat="1" applyFont="1" applyBorder="1" applyAlignment="1" applyProtection="1">
      <alignment horizontal="center" vertical="top" wrapText="1"/>
      <protection locked="0"/>
    </xf>
    <xf numFmtId="0" fontId="0" fillId="2" borderId="1" xfId="0" applyFill="1" applyBorder="1" applyAlignment="1">
      <alignment horizontal="center" vertical="center"/>
    </xf>
    <xf numFmtId="0" fontId="0" fillId="0" borderId="2" xfId="0" applyBorder="1" applyAlignment="1">
      <alignment horizontal="center" vertical="center"/>
    </xf>
    <xf numFmtId="0" fontId="9" fillId="0" borderId="1" xfId="0" applyFont="1" applyBorder="1" applyAlignment="1">
      <alignment horizontal="center" vertical="center"/>
    </xf>
    <xf numFmtId="0" fontId="0" fillId="5" borderId="1" xfId="0" applyFill="1" applyBorder="1" applyAlignment="1">
      <alignment horizontal="center" vertical="center"/>
    </xf>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0" fillId="0" borderId="1" xfId="0" applyBorder="1" applyAlignment="1">
      <alignment horizontal="left" vertical="top"/>
    </xf>
    <xf numFmtId="0" fontId="0" fillId="0" borderId="0" xfId="0" applyAlignment="1">
      <alignment horizontal="left" vertical="top"/>
    </xf>
    <xf numFmtId="0" fontId="0" fillId="0" borderId="8" xfId="0" applyBorder="1" applyAlignment="1">
      <alignment horizontal="left" vertical="top"/>
    </xf>
    <xf numFmtId="0" fontId="12" fillId="0" borderId="1" xfId="1" applyFont="1" applyBorder="1"/>
    <xf numFmtId="0" fontId="7" fillId="0" borderId="1" xfId="1" applyFont="1" applyBorder="1"/>
    <xf numFmtId="0" fontId="0" fillId="0" borderId="8" xfId="0" applyBorder="1" applyAlignment="1">
      <alignment vertical="top"/>
    </xf>
    <xf numFmtId="0" fontId="0" fillId="0" borderId="25" xfId="0" applyBorder="1" applyAlignment="1">
      <alignment horizontal="center" vertical="top"/>
    </xf>
    <xf numFmtId="0" fontId="15" fillId="2" borderId="0" xfId="1" applyFont="1" applyFill="1"/>
    <xf numFmtId="14" fontId="12" fillId="0" borderId="0" xfId="1" applyNumberFormat="1" applyFont="1"/>
    <xf numFmtId="0" fontId="0" fillId="0" borderId="3" xfId="0" applyBorder="1" applyAlignment="1">
      <alignment vertical="top"/>
    </xf>
    <xf numFmtId="0" fontId="0" fillId="0" borderId="3" xfId="0" applyBorder="1" applyAlignment="1">
      <alignment wrapText="1"/>
    </xf>
    <xf numFmtId="0" fontId="0" fillId="0" borderId="25" xfId="0" applyBorder="1" applyAlignment="1">
      <alignment vertical="top"/>
    </xf>
    <xf numFmtId="0" fontId="0" fillId="0" borderId="26" xfId="0" applyBorder="1" applyAlignment="1">
      <alignment vertical="top" wrapText="1"/>
    </xf>
    <xf numFmtId="0" fontId="0" fillId="0" borderId="34" xfId="0" applyBorder="1" applyAlignment="1">
      <alignment vertical="top"/>
    </xf>
    <xf numFmtId="0" fontId="0" fillId="0" borderId="35" xfId="0" applyBorder="1" applyAlignment="1">
      <alignment vertical="top" wrapText="1"/>
    </xf>
    <xf numFmtId="0" fontId="0" fillId="0" borderId="36" xfId="0" applyBorder="1" applyAlignment="1">
      <alignment vertical="top"/>
    </xf>
    <xf numFmtId="0" fontId="0" fillId="0" borderId="12" xfId="0" applyBorder="1" applyAlignment="1">
      <alignment vertical="top" wrapText="1"/>
    </xf>
    <xf numFmtId="0" fontId="0" fillId="0" borderId="12" xfId="0" applyBorder="1" applyAlignment="1">
      <alignment vertical="top"/>
    </xf>
    <xf numFmtId="0" fontId="0" fillId="0" borderId="35" xfId="0" applyBorder="1" applyAlignment="1">
      <alignment horizontal="left" wrapText="1"/>
    </xf>
    <xf numFmtId="0" fontId="0" fillId="0" borderId="16" xfId="0" applyBorder="1" applyAlignment="1">
      <alignment vertical="top"/>
    </xf>
    <xf numFmtId="0" fontId="0" fillId="0" borderId="16" xfId="0" applyBorder="1" applyAlignment="1">
      <alignment vertical="top" wrapText="1"/>
    </xf>
    <xf numFmtId="0" fontId="0" fillId="0" borderId="1" xfId="0" applyBorder="1" applyAlignment="1">
      <alignment vertical="top"/>
    </xf>
    <xf numFmtId="0" fontId="0" fillId="0" borderId="9" xfId="0" applyBorder="1" applyAlignment="1">
      <alignment wrapText="1"/>
    </xf>
    <xf numFmtId="0" fontId="0" fillId="0" borderId="9" xfId="0" applyBorder="1" applyAlignment="1">
      <alignment vertical="top" wrapText="1"/>
    </xf>
    <xf numFmtId="16" fontId="7" fillId="0" borderId="0" xfId="1" applyNumberFormat="1" applyFont="1"/>
    <xf numFmtId="0" fontId="0" fillId="0" borderId="37" xfId="0" applyBorder="1" applyAlignment="1">
      <alignment vertical="top" wrapText="1"/>
    </xf>
    <xf numFmtId="1" fontId="8" fillId="0" borderId="1" xfId="1" applyNumberFormat="1" applyFont="1" applyBorder="1" applyAlignment="1" applyProtection="1">
      <alignment horizontal="center" vertical="center" wrapText="1"/>
      <protection locked="0"/>
    </xf>
    <xf numFmtId="0" fontId="27" fillId="0" borderId="0" xfId="10"/>
    <xf numFmtId="2" fontId="7" fillId="0" borderId="0" xfId="1" applyNumberFormat="1" applyFont="1" applyAlignment="1">
      <alignment horizontal="center" vertical="center"/>
    </xf>
    <xf numFmtId="0" fontId="32" fillId="0" borderId="0" xfId="1" applyFont="1"/>
    <xf numFmtId="1" fontId="15" fillId="0" borderId="25" xfId="1" applyNumberFormat="1" applyFont="1" applyBorder="1" applyAlignment="1">
      <alignment vertical="center"/>
    </xf>
    <xf numFmtId="1" fontId="15" fillId="0" borderId="0" xfId="1" applyNumberFormat="1" applyFont="1" applyAlignment="1">
      <alignment vertical="center"/>
    </xf>
    <xf numFmtId="9" fontId="10" fillId="0" borderId="16" xfId="8" applyFont="1" applyFill="1" applyBorder="1" applyAlignment="1" applyProtection="1">
      <alignment horizontal="center" vertical="top" wrapText="1"/>
      <protection locked="0"/>
    </xf>
    <xf numFmtId="1" fontId="16" fillId="0" borderId="0" xfId="1" applyNumberFormat="1" applyFont="1"/>
    <xf numFmtId="0" fontId="7" fillId="0" borderId="0" xfId="1" applyFont="1" applyAlignment="1">
      <alignment vertical="center"/>
    </xf>
    <xf numFmtId="0" fontId="12" fillId="0" borderId="1" xfId="1" applyFont="1" applyBorder="1" applyAlignment="1" applyProtection="1">
      <alignment vertical="top" wrapText="1"/>
      <protection locked="0"/>
    </xf>
    <xf numFmtId="0" fontId="12" fillId="0" borderId="1" xfId="1" applyFont="1" applyBorder="1" applyAlignment="1" applyProtection="1">
      <alignment horizontal="center" vertical="top" wrapText="1"/>
      <protection locked="0"/>
    </xf>
    <xf numFmtId="9" fontId="12" fillId="0" borderId="1" xfId="8" applyFont="1" applyFill="1" applyBorder="1" applyAlignment="1" applyProtection="1">
      <alignment horizontal="center" vertical="top" wrapText="1"/>
      <protection locked="0"/>
    </xf>
    <xf numFmtId="0" fontId="12" fillId="0" borderId="7" xfId="1" applyFont="1" applyBorder="1" applyAlignment="1" applyProtection="1">
      <alignment horizontal="center" vertical="top" wrapText="1"/>
      <protection locked="0"/>
    </xf>
    <xf numFmtId="9" fontId="12" fillId="0" borderId="7" xfId="8" applyFont="1" applyFill="1" applyBorder="1" applyAlignment="1" applyProtection="1">
      <alignment horizontal="center" vertical="top" wrapText="1"/>
      <protection locked="0"/>
    </xf>
    <xf numFmtId="1" fontId="7" fillId="0" borderId="0" xfId="1" applyNumberFormat="1" applyFont="1" applyAlignment="1">
      <alignment vertical="center"/>
    </xf>
    <xf numFmtId="1" fontId="12" fillId="0" borderId="1" xfId="1" applyNumberFormat="1" applyFont="1" applyBorder="1" applyAlignment="1" applyProtection="1">
      <alignment horizontal="center" vertical="top" wrapText="1"/>
      <protection locked="0"/>
    </xf>
    <xf numFmtId="1" fontId="8" fillId="0" borderId="8" xfId="1" applyNumberFormat="1" applyFont="1" applyBorder="1" applyAlignment="1" applyProtection="1">
      <alignment horizontal="center" vertical="center" wrapText="1"/>
      <protection locked="0"/>
    </xf>
    <xf numFmtId="1" fontId="8" fillId="0" borderId="21" xfId="1" applyNumberFormat="1" applyFont="1" applyBorder="1" applyAlignment="1" applyProtection="1">
      <alignment horizontal="center" vertical="center" wrapText="1"/>
      <protection locked="0"/>
    </xf>
    <xf numFmtId="1" fontId="8" fillId="0" borderId="9" xfId="1" applyNumberFormat="1" applyFont="1" applyBorder="1" applyAlignment="1" applyProtection="1">
      <alignment horizontal="center" vertical="center" wrapText="1"/>
      <protection locked="0"/>
    </xf>
    <xf numFmtId="0" fontId="15" fillId="0" borderId="0" xfId="1" applyFont="1" applyAlignment="1">
      <alignment horizontal="center" vertical="center" wrapText="1"/>
    </xf>
    <xf numFmtId="0" fontId="15" fillId="0" borderId="1" xfId="1" applyFont="1" applyBorder="1" applyAlignment="1" applyProtection="1">
      <alignment horizontal="left" vertical="top" wrapText="1"/>
      <protection locked="0"/>
    </xf>
    <xf numFmtId="1" fontId="7" fillId="0" borderId="1" xfId="0" applyNumberFormat="1" applyFont="1" applyBorder="1" applyAlignment="1" applyProtection="1">
      <alignment horizontal="center" vertical="center"/>
      <protection locked="0"/>
    </xf>
    <xf numFmtId="1" fontId="6" fillId="0" borderId="3" xfId="0" applyNumberFormat="1" applyFont="1" applyBorder="1" applyAlignment="1" applyProtection="1">
      <alignment horizontal="center" vertical="center" wrapText="1"/>
      <protection locked="0"/>
    </xf>
    <xf numFmtId="1" fontId="6" fillId="0" borderId="16" xfId="0" applyNumberFormat="1" applyFont="1" applyBorder="1" applyAlignment="1" applyProtection="1">
      <alignment horizontal="center" vertical="center" wrapText="1"/>
      <protection locked="0"/>
    </xf>
    <xf numFmtId="0" fontId="27" fillId="0" borderId="1" xfId="10" applyFill="1" applyBorder="1" applyAlignment="1" applyProtection="1">
      <alignment horizontal="left" vertical="top" wrapText="1"/>
      <protection locked="0"/>
    </xf>
    <xf numFmtId="0" fontId="12" fillId="0" borderId="1" xfId="1" applyFont="1" applyBorder="1" applyAlignment="1" applyProtection="1">
      <alignment horizontal="left" vertical="top" wrapText="1"/>
      <protection locked="0"/>
    </xf>
    <xf numFmtId="0" fontId="13" fillId="0" borderId="4" xfId="1" applyFont="1" applyBorder="1" applyAlignment="1" applyProtection="1">
      <alignment horizontal="left" vertical="top"/>
      <protection locked="0"/>
    </xf>
    <xf numFmtId="0" fontId="13" fillId="0" borderId="1" xfId="1" applyFont="1" applyBorder="1" applyAlignment="1" applyProtection="1">
      <alignment horizontal="left" vertical="top"/>
      <protection locked="0"/>
    </xf>
    <xf numFmtId="0" fontId="6" fillId="0" borderId="8" xfId="1" applyFont="1" applyBorder="1" applyAlignment="1" applyProtection="1">
      <alignment horizontal="left" vertical="top" wrapText="1"/>
      <protection locked="0"/>
    </xf>
    <xf numFmtId="0" fontId="6" fillId="0" borderId="21"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6" fillId="0" borderId="1" xfId="1" applyFont="1" applyBorder="1" applyAlignment="1" applyProtection="1">
      <alignment horizontal="left" vertical="top"/>
      <protection locked="0"/>
    </xf>
    <xf numFmtId="0" fontId="7" fillId="0" borderId="16" xfId="1" applyFont="1" applyBorder="1" applyAlignment="1" applyProtection="1">
      <alignment horizontal="left" vertical="top" wrapText="1"/>
      <protection locked="0"/>
    </xf>
    <xf numFmtId="0" fontId="12" fillId="0" borderId="1" xfId="1" applyFont="1" applyBorder="1" applyAlignment="1" applyProtection="1">
      <alignment horizontal="left" vertical="top"/>
      <protection locked="0"/>
    </xf>
    <xf numFmtId="14" fontId="12" fillId="0" borderId="8" xfId="1" applyNumberFormat="1" applyFont="1" applyBorder="1" applyAlignment="1" applyProtection="1">
      <alignment horizontal="left" vertical="top" wrapText="1"/>
      <protection locked="0"/>
    </xf>
    <xf numFmtId="14" fontId="12" fillId="0" borderId="9" xfId="1" applyNumberFormat="1" applyFont="1" applyBorder="1" applyAlignment="1" applyProtection="1">
      <alignment horizontal="left" vertical="top" wrapText="1"/>
      <protection locked="0"/>
    </xf>
    <xf numFmtId="0" fontId="7" fillId="0" borderId="4" xfId="1" applyFont="1" applyBorder="1" applyAlignment="1" applyProtection="1">
      <alignment horizontal="center" vertical="top" wrapText="1"/>
      <protection locked="0"/>
    </xf>
    <xf numFmtId="0" fontId="7" fillId="0" borderId="1" xfId="1" applyFont="1" applyBorder="1" applyAlignment="1" applyProtection="1">
      <alignment horizontal="center" vertical="top" wrapText="1"/>
      <protection locked="0"/>
    </xf>
    <xf numFmtId="1" fontId="6" fillId="0" borderId="1" xfId="1" applyNumberFormat="1" applyFont="1" applyBorder="1" applyAlignment="1" applyProtection="1">
      <alignment horizontal="left" vertical="top" wrapText="1"/>
      <protection locked="0"/>
    </xf>
    <xf numFmtId="14" fontId="6" fillId="0" borderId="8" xfId="1" applyNumberFormat="1" applyFont="1" applyBorder="1" applyAlignment="1" applyProtection="1">
      <alignment horizontal="left" vertical="top" wrapText="1"/>
      <protection locked="0"/>
    </xf>
    <xf numFmtId="14" fontId="6" fillId="0" borderId="9" xfId="1" applyNumberFormat="1" applyFont="1" applyBorder="1" applyAlignment="1" applyProtection="1">
      <alignment horizontal="left" vertical="top" wrapText="1"/>
      <protection locked="0"/>
    </xf>
    <xf numFmtId="0" fontId="7" fillId="0" borderId="3" xfId="1" applyFont="1" applyBorder="1" applyAlignment="1" applyProtection="1">
      <alignment horizontal="left" vertical="top" wrapText="1"/>
      <protection locked="0"/>
    </xf>
    <xf numFmtId="0" fontId="7" fillId="0" borderId="3" xfId="1" applyFont="1" applyBorder="1" applyAlignment="1" applyProtection="1">
      <alignment horizontal="left" vertical="top"/>
      <protection locked="0"/>
    </xf>
    <xf numFmtId="0" fontId="7" fillId="0" borderId="0" xfId="1" applyFont="1" applyAlignment="1">
      <alignment horizontal="center" vertical="center"/>
    </xf>
    <xf numFmtId="1" fontId="13" fillId="0" borderId="8" xfId="0" applyNumberFormat="1" applyFont="1" applyBorder="1" applyAlignment="1" applyProtection="1">
      <alignment vertical="top" wrapText="1"/>
      <protection locked="0"/>
    </xf>
    <xf numFmtId="1" fontId="13" fillId="0" borderId="21" xfId="0" applyNumberFormat="1" applyFont="1" applyBorder="1" applyAlignment="1" applyProtection="1">
      <alignment vertical="top" wrapText="1"/>
      <protection locked="0"/>
    </xf>
    <xf numFmtId="1" fontId="13" fillId="0" borderId="9" xfId="0" applyNumberFormat="1" applyFont="1" applyBorder="1" applyAlignment="1" applyProtection="1">
      <alignment vertical="top" wrapText="1"/>
      <protection locked="0"/>
    </xf>
    <xf numFmtId="1" fontId="6" fillId="0" borderId="1" xfId="1" applyNumberFormat="1" applyFont="1" applyBorder="1" applyAlignment="1" applyProtection="1">
      <alignment horizontal="center" vertical="center" wrapText="1"/>
      <protection locked="0"/>
    </xf>
    <xf numFmtId="1" fontId="6" fillId="0" borderId="8" xfId="1" applyNumberFormat="1" applyFont="1" applyBorder="1" applyAlignment="1" applyProtection="1">
      <alignment horizontal="center" vertical="center" wrapText="1"/>
      <protection locked="0"/>
    </xf>
    <xf numFmtId="1" fontId="6" fillId="0" borderId="9" xfId="1" applyNumberFormat="1" applyFont="1" applyBorder="1" applyAlignment="1" applyProtection="1">
      <alignment horizontal="center" vertical="center" wrapText="1"/>
      <protection locked="0"/>
    </xf>
    <xf numFmtId="1" fontId="17" fillId="0" borderId="8" xfId="0" applyNumberFormat="1" applyFont="1" applyBorder="1" applyAlignment="1" applyProtection="1">
      <alignment vertical="top" wrapText="1"/>
      <protection locked="0"/>
    </xf>
    <xf numFmtId="1" fontId="17" fillId="0" borderId="21" xfId="0" applyNumberFormat="1" applyFont="1" applyBorder="1" applyAlignment="1" applyProtection="1">
      <alignment vertical="top" wrapText="1"/>
      <protection locked="0"/>
    </xf>
    <xf numFmtId="1" fontId="17" fillId="0" borderId="9" xfId="0" applyNumberFormat="1" applyFont="1" applyBorder="1" applyAlignment="1" applyProtection="1">
      <alignment vertical="top" wrapText="1"/>
      <protection locked="0"/>
    </xf>
    <xf numFmtId="0" fontId="7" fillId="0" borderId="6" xfId="1" applyFont="1" applyBorder="1" applyAlignment="1" applyProtection="1">
      <alignment horizontal="center" vertical="top" wrapText="1"/>
      <protection locked="0"/>
    </xf>
    <xf numFmtId="0" fontId="7" fillId="0" borderId="7" xfId="1" applyFont="1" applyBorder="1" applyAlignment="1" applyProtection="1">
      <alignment horizontal="center" vertical="top" wrapText="1"/>
      <protection locked="0"/>
    </xf>
    <xf numFmtId="1" fontId="8" fillId="0" borderId="3" xfId="1" applyNumberFormat="1" applyFont="1" applyBorder="1" applyAlignment="1" applyProtection="1">
      <alignment horizontal="center" vertical="top" wrapText="1"/>
      <protection locked="0"/>
    </xf>
    <xf numFmtId="1" fontId="8" fillId="0" borderId="16" xfId="1" applyNumberFormat="1" applyFont="1" applyBorder="1" applyAlignment="1" applyProtection="1">
      <alignment horizontal="center" vertical="top" wrapText="1"/>
      <protection locked="0"/>
    </xf>
    <xf numFmtId="1" fontId="10" fillId="0" borderId="3" xfId="1" applyNumberFormat="1" applyFont="1" applyBorder="1" applyAlignment="1" applyProtection="1">
      <alignment horizontal="center" vertical="top" wrapText="1"/>
      <protection locked="0"/>
    </xf>
    <xf numFmtId="1" fontId="10" fillId="0" borderId="16" xfId="1" applyNumberFormat="1" applyFont="1" applyBorder="1" applyAlignment="1" applyProtection="1">
      <alignment horizontal="center" vertical="top" wrapText="1"/>
      <protection locked="0"/>
    </xf>
    <xf numFmtId="1" fontId="10" fillId="0" borderId="8" xfId="0" applyNumberFormat="1" applyFont="1" applyBorder="1" applyAlignment="1" applyProtection="1">
      <alignment vertical="top" wrapText="1"/>
      <protection locked="0"/>
    </xf>
    <xf numFmtId="1" fontId="10" fillId="0" borderId="21" xfId="0" applyNumberFormat="1" applyFont="1" applyBorder="1" applyAlignment="1" applyProtection="1">
      <alignment vertical="top" wrapText="1"/>
      <protection locked="0"/>
    </xf>
    <xf numFmtId="1" fontId="10" fillId="0" borderId="9" xfId="0" applyNumberFormat="1" applyFont="1" applyBorder="1" applyAlignment="1" applyProtection="1">
      <alignment vertical="top" wrapText="1"/>
      <protection locked="0"/>
    </xf>
    <xf numFmtId="1" fontId="8" fillId="0" borderId="8" xfId="0" applyNumberFormat="1" applyFont="1" applyBorder="1" applyAlignment="1" applyProtection="1">
      <alignment vertical="top" wrapText="1"/>
      <protection locked="0"/>
    </xf>
    <xf numFmtId="1" fontId="8" fillId="0" borderId="21" xfId="0" applyNumberFormat="1" applyFont="1" applyBorder="1" applyAlignment="1" applyProtection="1">
      <alignment vertical="top" wrapText="1"/>
      <protection locked="0"/>
    </xf>
    <xf numFmtId="1" fontId="8" fillId="0" borderId="9" xfId="0" applyNumberFormat="1" applyFont="1" applyBorder="1" applyAlignment="1" applyProtection="1">
      <alignment vertical="top" wrapText="1"/>
      <protection locked="0"/>
    </xf>
    <xf numFmtId="1" fontId="17" fillId="0" borderId="3" xfId="1" applyNumberFormat="1" applyFont="1" applyBorder="1" applyAlignment="1" applyProtection="1">
      <alignment horizontal="center" vertical="top" wrapText="1"/>
      <protection locked="0"/>
    </xf>
    <xf numFmtId="1" fontId="17" fillId="0" borderId="16" xfId="1" applyNumberFormat="1" applyFont="1" applyBorder="1" applyAlignment="1" applyProtection="1">
      <alignment horizontal="center" vertical="top" wrapText="1"/>
      <protection locked="0"/>
    </xf>
    <xf numFmtId="1" fontId="6" fillId="0" borderId="21" xfId="1" applyNumberFormat="1" applyFont="1" applyBorder="1" applyAlignment="1" applyProtection="1">
      <alignment horizontal="center" vertical="center" wrapText="1"/>
      <protection locked="0"/>
    </xf>
    <xf numFmtId="1" fontId="8" fillId="0" borderId="3" xfId="0" applyNumberFormat="1" applyFont="1" applyBorder="1" applyAlignment="1" applyProtection="1">
      <alignment horizontal="center" vertical="center" wrapText="1"/>
      <protection locked="0"/>
    </xf>
    <xf numFmtId="1" fontId="10" fillId="0" borderId="3" xfId="0" applyNumberFormat="1" applyFont="1" applyBorder="1" applyAlignment="1" applyProtection="1">
      <alignment horizontal="center" vertical="center"/>
      <protection locked="0"/>
    </xf>
    <xf numFmtId="0" fontId="10" fillId="0" borderId="3" xfId="0" applyFont="1" applyBorder="1" applyAlignment="1" applyProtection="1">
      <alignment horizontal="center" vertical="center"/>
      <protection locked="0"/>
    </xf>
    <xf numFmtId="0" fontId="12" fillId="0" borderId="1" xfId="1" applyFont="1" applyBorder="1" applyAlignment="1" applyProtection="1">
      <alignment horizontal="center" vertical="top" wrapText="1"/>
      <protection locked="0"/>
    </xf>
    <xf numFmtId="9" fontId="12" fillId="0" borderId="17" xfId="8" applyFont="1" applyFill="1" applyBorder="1" applyAlignment="1" applyProtection="1">
      <alignment horizontal="center" vertical="center" wrapText="1"/>
      <protection locked="0"/>
    </xf>
    <xf numFmtId="9" fontId="12" fillId="0" borderId="18" xfId="8" applyFont="1" applyFill="1" applyBorder="1" applyAlignment="1" applyProtection="1">
      <alignment horizontal="center" vertical="center" wrapText="1"/>
      <protection locked="0"/>
    </xf>
    <xf numFmtId="9" fontId="12" fillId="0" borderId="25" xfId="8" applyFont="1" applyFill="1" applyBorder="1" applyAlignment="1" applyProtection="1">
      <alignment horizontal="center" vertical="center" wrapText="1"/>
      <protection locked="0"/>
    </xf>
    <xf numFmtId="9" fontId="12" fillId="0" borderId="26" xfId="8" applyFont="1" applyFill="1" applyBorder="1" applyAlignment="1" applyProtection="1">
      <alignment horizontal="center" vertical="center" wrapText="1"/>
      <protection locked="0"/>
    </xf>
    <xf numFmtId="9" fontId="12" fillId="0" borderId="28" xfId="8" applyFont="1" applyFill="1" applyBorder="1" applyAlignment="1" applyProtection="1">
      <alignment horizontal="center" vertical="center" wrapText="1"/>
      <protection locked="0"/>
    </xf>
    <xf numFmtId="9" fontId="12" fillId="0" borderId="29" xfId="8" applyFont="1" applyFill="1" applyBorder="1" applyAlignment="1" applyProtection="1">
      <alignment horizontal="center" vertical="center" wrapText="1"/>
      <protection locked="0"/>
    </xf>
    <xf numFmtId="0" fontId="8" fillId="0" borderId="22" xfId="1" applyFont="1" applyBorder="1" applyAlignment="1" applyProtection="1">
      <alignment horizontal="left" vertical="top" wrapText="1"/>
      <protection locked="0"/>
    </xf>
    <xf numFmtId="0" fontId="8" fillId="0" borderId="15" xfId="1" applyFont="1" applyBorder="1" applyAlignment="1" applyProtection="1">
      <alignment horizontal="left" vertical="top" wrapText="1"/>
      <protection locked="0"/>
    </xf>
    <xf numFmtId="0" fontId="10" fillId="0" borderId="13" xfId="1" applyFont="1" applyBorder="1" applyAlignment="1" applyProtection="1">
      <alignment horizontal="left" vertical="top" wrapText="1"/>
      <protection locked="0"/>
    </xf>
    <xf numFmtId="0" fontId="10" fillId="0" borderId="14" xfId="1" applyFont="1" applyBorder="1" applyAlignment="1" applyProtection="1">
      <alignment horizontal="left" vertical="top" wrapText="1"/>
      <protection locked="0"/>
    </xf>
    <xf numFmtId="0" fontId="10" fillId="0" borderId="23" xfId="1" applyFont="1" applyBorder="1" applyAlignment="1" applyProtection="1">
      <alignment horizontal="left" vertical="top" wrapText="1"/>
      <protection locked="0"/>
    </xf>
    <xf numFmtId="0" fontId="13" fillId="0" borderId="1" xfId="1" applyFont="1" applyBorder="1" applyAlignment="1" applyProtection="1">
      <alignment horizontal="left" vertical="top" wrapText="1"/>
      <protection locked="0"/>
    </xf>
    <xf numFmtId="0" fontId="13" fillId="0" borderId="5" xfId="1" applyFont="1" applyBorder="1" applyAlignment="1" applyProtection="1">
      <alignment horizontal="left" vertical="top" wrapText="1"/>
      <protection locked="0"/>
    </xf>
    <xf numFmtId="0" fontId="12" fillId="0" borderId="5" xfId="1" applyFont="1" applyBorder="1" applyAlignment="1" applyProtection="1">
      <alignment horizontal="center" vertical="top" wrapText="1"/>
      <protection locked="0"/>
    </xf>
    <xf numFmtId="0" fontId="6" fillId="0" borderId="17" xfId="1" applyFont="1" applyBorder="1" applyAlignment="1" applyProtection="1">
      <alignment horizontal="left" vertical="top" wrapText="1"/>
      <protection locked="0"/>
    </xf>
    <xf numFmtId="0" fontId="6" fillId="0" borderId="18" xfId="1" applyFont="1" applyBorder="1" applyAlignment="1" applyProtection="1">
      <alignment horizontal="left" vertical="top" wrapText="1"/>
      <protection locked="0"/>
    </xf>
    <xf numFmtId="0" fontId="6" fillId="0" borderId="25" xfId="1" applyFont="1" applyBorder="1" applyAlignment="1" applyProtection="1">
      <alignment horizontal="left" vertical="top" wrapText="1"/>
      <protection locked="0"/>
    </xf>
    <xf numFmtId="0" fontId="6" fillId="0" borderId="26" xfId="1" applyFont="1" applyBorder="1" applyAlignment="1" applyProtection="1">
      <alignment horizontal="left" vertical="top" wrapText="1"/>
      <protection locked="0"/>
    </xf>
    <xf numFmtId="0" fontId="6" fillId="0" borderId="19" xfId="1" applyFont="1" applyBorder="1" applyAlignment="1" applyProtection="1">
      <alignment horizontal="left" vertical="top" wrapText="1"/>
      <protection locked="0"/>
    </xf>
    <xf numFmtId="0" fontId="6" fillId="0" borderId="20" xfId="1" applyFont="1" applyBorder="1" applyAlignment="1" applyProtection="1">
      <alignment horizontal="left" vertical="top" wrapText="1"/>
      <protection locked="0"/>
    </xf>
    <xf numFmtId="0" fontId="6" fillId="0" borderId="24" xfId="1" applyFont="1" applyBorder="1" applyAlignment="1" applyProtection="1">
      <alignment horizontal="left" vertical="top" wrapText="1"/>
      <protection locked="0"/>
    </xf>
    <xf numFmtId="0" fontId="6" fillId="0" borderId="2" xfId="1" applyFont="1" applyBorder="1" applyAlignment="1" applyProtection="1">
      <alignment horizontal="left" vertical="top" wrapText="1"/>
      <protection locked="0"/>
    </xf>
    <xf numFmtId="9" fontId="12" fillId="0" borderId="27" xfId="8" applyFont="1" applyFill="1" applyBorder="1" applyAlignment="1" applyProtection="1">
      <alignment horizontal="center" vertical="center" wrapText="1"/>
      <protection locked="0"/>
    </xf>
    <xf numFmtId="9" fontId="12" fillId="0" borderId="10" xfId="8" applyFont="1" applyFill="1" applyBorder="1" applyAlignment="1" applyProtection="1">
      <alignment horizontal="center" vertical="center" wrapText="1"/>
      <protection locked="0"/>
    </xf>
    <xf numFmtId="9" fontId="12" fillId="0" borderId="12" xfId="8" applyFont="1" applyFill="1" applyBorder="1" applyAlignment="1" applyProtection="1">
      <alignment horizontal="center" vertical="center" wrapText="1"/>
      <protection locked="0"/>
    </xf>
    <xf numFmtId="0" fontId="12" fillId="0" borderId="17" xfId="1" applyFont="1" applyBorder="1" applyAlignment="1" applyProtection="1">
      <alignment horizontal="left" vertical="top" wrapText="1"/>
      <protection locked="0"/>
    </xf>
    <xf numFmtId="0" fontId="12" fillId="0" borderId="24" xfId="1" applyFont="1" applyBorder="1" applyAlignment="1" applyProtection="1">
      <alignment horizontal="left" vertical="top" wrapText="1"/>
      <protection locked="0"/>
    </xf>
    <xf numFmtId="0" fontId="12" fillId="0" borderId="18" xfId="1" applyFont="1" applyBorder="1" applyAlignment="1" applyProtection="1">
      <alignment horizontal="left" vertical="top" wrapText="1"/>
      <protection locked="0"/>
    </xf>
    <xf numFmtId="0" fontId="12" fillId="0" borderId="19" xfId="1" applyFont="1" applyBorder="1" applyAlignment="1" applyProtection="1">
      <alignment horizontal="left" vertical="top" wrapText="1"/>
      <protection locked="0"/>
    </xf>
    <xf numFmtId="0" fontId="12" fillId="0" borderId="2" xfId="1" applyFont="1" applyBorder="1" applyAlignment="1" applyProtection="1">
      <alignment horizontal="left" vertical="top" wrapText="1"/>
      <protection locked="0"/>
    </xf>
    <xf numFmtId="0" fontId="12" fillId="0" borderId="20" xfId="1" applyFont="1" applyBorder="1" applyAlignment="1" applyProtection="1">
      <alignment horizontal="left" vertical="top" wrapText="1"/>
      <protection locked="0"/>
    </xf>
    <xf numFmtId="0" fontId="7" fillId="0" borderId="19" xfId="1" applyFont="1" applyBorder="1" applyAlignment="1" applyProtection="1">
      <alignment horizontal="left" vertical="top"/>
      <protection locked="0"/>
    </xf>
    <xf numFmtId="0" fontId="7" fillId="0" borderId="2" xfId="1" applyFont="1" applyBorder="1" applyAlignment="1" applyProtection="1">
      <alignment horizontal="left" vertical="top"/>
      <protection locked="0"/>
    </xf>
    <xf numFmtId="0" fontId="7" fillId="0" borderId="20" xfId="1" applyFont="1" applyBorder="1" applyAlignment="1" applyProtection="1">
      <alignment horizontal="left" vertical="top"/>
      <protection locked="0"/>
    </xf>
    <xf numFmtId="0" fontId="12" fillId="0" borderId="8" xfId="1" applyFont="1" applyBorder="1" applyAlignment="1" applyProtection="1">
      <alignment horizontal="left" vertical="top" wrapText="1"/>
      <protection locked="0"/>
    </xf>
    <xf numFmtId="0" fontId="12" fillId="0" borderId="21" xfId="1" applyFont="1" applyBorder="1" applyAlignment="1" applyProtection="1">
      <alignment horizontal="left" vertical="top" wrapText="1"/>
      <protection locked="0"/>
    </xf>
    <xf numFmtId="0" fontId="12" fillId="0" borderId="9" xfId="1" applyFont="1" applyBorder="1" applyAlignment="1" applyProtection="1">
      <alignment horizontal="left" vertical="top" wrapText="1"/>
      <protection locked="0"/>
    </xf>
    <xf numFmtId="0" fontId="7" fillId="0" borderId="1" xfId="0" applyFont="1" applyBorder="1" applyAlignment="1" applyProtection="1">
      <alignment horizontal="center" vertical="center"/>
      <protection locked="0"/>
    </xf>
    <xf numFmtId="0" fontId="7" fillId="0" borderId="1" xfId="0" applyFont="1" applyBorder="1" applyAlignment="1" applyProtection="1">
      <alignment horizontal="center" vertical="top" wrapText="1"/>
      <protection locked="0"/>
    </xf>
    <xf numFmtId="1" fontId="4" fillId="0" borderId="3" xfId="1" applyNumberFormat="1" applyFont="1" applyBorder="1" applyAlignment="1" applyProtection="1">
      <alignment horizontal="center" vertical="top" wrapText="1"/>
      <protection locked="0"/>
    </xf>
    <xf numFmtId="1" fontId="4" fillId="0" borderId="16" xfId="1" applyNumberFormat="1" applyFont="1" applyBorder="1" applyAlignment="1" applyProtection="1">
      <alignment horizontal="center" vertical="top" wrapText="1"/>
      <protection locked="0"/>
    </xf>
    <xf numFmtId="1" fontId="6" fillId="0" borderId="1" xfId="0" applyNumberFormat="1" applyFont="1" applyBorder="1" applyAlignment="1" applyProtection="1">
      <alignment horizontal="center" vertical="top" wrapText="1"/>
      <protection locked="0"/>
    </xf>
    <xf numFmtId="1" fontId="8" fillId="0" borderId="1" xfId="0" applyNumberFormat="1" applyFont="1" applyBorder="1" applyAlignment="1" applyProtection="1">
      <alignment horizontal="center" vertical="center" wrapText="1"/>
      <protection locked="0"/>
    </xf>
    <xf numFmtId="0" fontId="10" fillId="0" borderId="1" xfId="0" applyFont="1" applyBorder="1" applyAlignment="1" applyProtection="1">
      <alignment horizontal="center" vertical="center"/>
      <protection locked="0"/>
    </xf>
    <xf numFmtId="0" fontId="10" fillId="0" borderId="1" xfId="0" applyFont="1" applyBorder="1" applyAlignment="1" applyProtection="1">
      <alignment horizontal="center" vertical="top" wrapText="1"/>
      <protection locked="0"/>
    </xf>
    <xf numFmtId="1" fontId="8" fillId="0" borderId="1" xfId="0" applyNumberFormat="1" applyFont="1" applyBorder="1" applyAlignment="1" applyProtection="1">
      <alignment horizontal="center" vertical="top" wrapText="1"/>
      <protection locked="0"/>
    </xf>
    <xf numFmtId="0" fontId="10" fillId="0" borderId="8" xfId="1" applyFont="1" applyBorder="1" applyAlignment="1" applyProtection="1">
      <alignment horizontal="left" vertical="top"/>
      <protection locked="0"/>
    </xf>
    <xf numFmtId="0" fontId="10" fillId="0" borderId="21" xfId="1" applyFont="1" applyBorder="1" applyAlignment="1" applyProtection="1">
      <alignment horizontal="left" vertical="top"/>
      <protection locked="0"/>
    </xf>
    <xf numFmtId="0" fontId="10" fillId="0" borderId="9" xfId="1" applyFont="1" applyBorder="1" applyAlignment="1" applyProtection="1">
      <alignment horizontal="left" vertical="top"/>
      <protection locked="0"/>
    </xf>
    <xf numFmtId="1" fontId="31" fillId="0" borderId="3" xfId="1" applyNumberFormat="1" applyFont="1" applyBorder="1" applyAlignment="1" applyProtection="1">
      <alignment horizontal="center" vertical="top" wrapText="1"/>
      <protection locked="0"/>
    </xf>
    <xf numFmtId="1" fontId="31" fillId="0" borderId="16" xfId="1" applyNumberFormat="1" applyFont="1" applyBorder="1" applyAlignment="1" applyProtection="1">
      <alignment horizontal="center" vertical="top" wrapText="1"/>
      <protection locked="0"/>
    </xf>
    <xf numFmtId="167" fontId="12" fillId="0" borderId="1" xfId="9" applyNumberFormat="1" applyFont="1" applyFill="1" applyBorder="1" applyAlignment="1" applyProtection="1">
      <alignment horizontal="left" vertical="top"/>
      <protection locked="0"/>
    </xf>
    <xf numFmtId="0" fontId="8" fillId="0" borderId="1" xfId="1" applyFont="1" applyBorder="1" applyAlignment="1" applyProtection="1">
      <alignment horizontal="left" vertical="top"/>
      <protection locked="0"/>
    </xf>
    <xf numFmtId="0" fontId="6" fillId="0" borderId="8" xfId="1" applyFont="1" applyBorder="1" applyAlignment="1" applyProtection="1">
      <alignment vertical="top" wrapText="1"/>
      <protection locked="0"/>
    </xf>
    <xf numFmtId="0" fontId="6" fillId="0" borderId="21" xfId="1" applyFont="1" applyBorder="1" applyAlignment="1" applyProtection="1">
      <alignment vertical="top" wrapText="1"/>
      <protection locked="0"/>
    </xf>
    <xf numFmtId="0" fontId="6" fillId="0" borderId="9" xfId="1" applyFont="1" applyBorder="1" applyAlignment="1" applyProtection="1">
      <alignment vertical="top" wrapText="1"/>
      <protection locked="0"/>
    </xf>
    <xf numFmtId="0" fontId="7" fillId="0" borderId="17" xfId="1" applyFont="1" applyBorder="1" applyAlignment="1" applyProtection="1">
      <alignment horizontal="left" vertical="top" wrapText="1"/>
      <protection locked="0"/>
    </xf>
    <xf numFmtId="0" fontId="7" fillId="0" borderId="18" xfId="1" applyFont="1" applyBorder="1" applyAlignment="1" applyProtection="1">
      <alignment horizontal="left" vertical="top" wrapText="1"/>
      <protection locked="0"/>
    </xf>
    <xf numFmtId="0" fontId="7" fillId="0" borderId="19" xfId="1" applyFont="1" applyBorder="1" applyAlignment="1" applyProtection="1">
      <alignment horizontal="left" vertical="top" wrapText="1"/>
      <protection locked="0"/>
    </xf>
    <xf numFmtId="0" fontId="7" fillId="0" borderId="20" xfId="1" applyFont="1" applyBorder="1" applyAlignment="1" applyProtection="1">
      <alignment horizontal="left" vertical="top" wrapText="1"/>
      <protection locked="0"/>
    </xf>
    <xf numFmtId="2" fontId="6" fillId="0" borderId="1" xfId="1" applyNumberFormat="1" applyFont="1" applyBorder="1" applyAlignment="1" applyProtection="1">
      <alignment horizontal="left" vertical="top" wrapText="1"/>
      <protection locked="0"/>
    </xf>
    <xf numFmtId="165" fontId="6" fillId="0" borderId="1" xfId="1" applyNumberFormat="1" applyFont="1" applyBorder="1" applyAlignment="1" applyProtection="1">
      <alignment horizontal="left" vertical="top"/>
      <protection locked="0"/>
    </xf>
    <xf numFmtId="2" fontId="6" fillId="0" borderId="1" xfId="1" applyNumberFormat="1" applyFont="1" applyBorder="1" applyAlignment="1" applyProtection="1">
      <alignment horizontal="left" vertical="top"/>
      <protection locked="0"/>
    </xf>
    <xf numFmtId="0" fontId="7" fillId="0" borderId="1" xfId="1" applyFont="1" applyBorder="1" applyAlignment="1" applyProtection="1">
      <alignment horizontal="left" vertical="top"/>
      <protection locked="0"/>
    </xf>
    <xf numFmtId="0" fontId="6" fillId="0" borderId="3" xfId="1" applyFont="1" applyBorder="1" applyAlignment="1" applyProtection="1">
      <alignment horizontal="left" vertical="top" wrapText="1"/>
      <protection locked="0"/>
    </xf>
    <xf numFmtId="0" fontId="12" fillId="0" borderId="3" xfId="1" applyFont="1" applyBorder="1" applyAlignment="1" applyProtection="1">
      <alignment horizontal="left" vertical="top" wrapText="1"/>
      <protection locked="0"/>
    </xf>
    <xf numFmtId="0" fontId="6" fillId="0" borderId="3" xfId="1" applyFont="1" applyBorder="1" applyAlignment="1" applyProtection="1">
      <alignment horizontal="left" vertical="top"/>
      <protection locked="0"/>
    </xf>
    <xf numFmtId="0" fontId="12" fillId="0" borderId="25" xfId="1" applyFont="1" applyBorder="1" applyAlignment="1" applyProtection="1">
      <alignment horizontal="left" vertical="top" wrapText="1"/>
      <protection locked="0"/>
    </xf>
    <xf numFmtId="0" fontId="12" fillId="0" borderId="0" xfId="1" applyFont="1" applyAlignment="1" applyProtection="1">
      <alignment horizontal="left" vertical="top" wrapText="1"/>
      <protection locked="0"/>
    </xf>
    <xf numFmtId="0" fontId="7" fillId="0" borderId="17" xfId="1" applyFont="1" applyBorder="1" applyAlignment="1" applyProtection="1">
      <alignment horizontal="left" vertical="top"/>
      <protection locked="0"/>
    </xf>
    <xf numFmtId="0" fontId="7" fillId="0" borderId="24" xfId="1" applyFont="1" applyBorder="1" applyAlignment="1" applyProtection="1">
      <alignment horizontal="left" vertical="top"/>
      <protection locked="0"/>
    </xf>
    <xf numFmtId="0" fontId="7" fillId="0" borderId="18" xfId="1" applyFont="1" applyBorder="1" applyAlignment="1" applyProtection="1">
      <alignment horizontal="left" vertical="top"/>
      <protection locked="0"/>
    </xf>
    <xf numFmtId="0" fontId="7" fillId="0" borderId="8" xfId="1" applyFont="1" applyBorder="1" applyAlignment="1" applyProtection="1">
      <alignment horizontal="left" vertical="top"/>
      <protection locked="0"/>
    </xf>
    <xf numFmtId="0" fontId="7" fillId="0" borderId="21" xfId="1" applyFont="1" applyBorder="1" applyAlignment="1" applyProtection="1">
      <alignment horizontal="left" vertical="top"/>
      <protection locked="0"/>
    </xf>
    <xf numFmtId="0" fontId="7" fillId="0" borderId="9" xfId="1" applyFont="1" applyBorder="1" applyAlignment="1" applyProtection="1">
      <alignment horizontal="left" vertical="top"/>
      <protection locked="0"/>
    </xf>
    <xf numFmtId="0" fontId="8" fillId="0" borderId="1" xfId="1" applyFont="1" applyBorder="1" applyAlignment="1" applyProtection="1">
      <alignment vertical="top"/>
      <protection locked="0"/>
    </xf>
    <xf numFmtId="0" fontId="12" fillId="0" borderId="26" xfId="1" applyFont="1" applyBorder="1" applyAlignment="1" applyProtection="1">
      <alignment horizontal="left" vertical="top" wrapText="1"/>
      <protection locked="0"/>
    </xf>
    <xf numFmtId="0" fontId="12" fillId="0" borderId="1" xfId="1" applyFont="1" applyBorder="1" applyAlignment="1" applyProtection="1">
      <alignment horizontal="center"/>
      <protection locked="0"/>
    </xf>
    <xf numFmtId="0" fontId="12" fillId="0" borderId="8" xfId="1" applyFont="1" applyBorder="1" applyAlignment="1" applyProtection="1">
      <alignment horizontal="center" vertical="top"/>
      <protection locked="0"/>
    </xf>
    <xf numFmtId="0" fontId="12" fillId="0" borderId="21" xfId="1" applyFont="1" applyBorder="1" applyAlignment="1" applyProtection="1">
      <alignment horizontal="center" vertical="top"/>
      <protection locked="0"/>
    </xf>
    <xf numFmtId="0" fontId="12" fillId="0" borderId="9" xfId="1" applyFont="1" applyBorder="1" applyAlignment="1" applyProtection="1">
      <alignment horizontal="center" vertical="top"/>
      <protection locked="0"/>
    </xf>
    <xf numFmtId="0" fontId="13" fillId="0" borderId="8" xfId="1" applyFont="1" applyBorder="1" applyAlignment="1" applyProtection="1">
      <alignment horizontal="center" vertical="top"/>
      <protection locked="0"/>
    </xf>
    <xf numFmtId="0" fontId="13" fillId="0" borderId="21" xfId="1" applyFont="1" applyBorder="1" applyAlignment="1" applyProtection="1">
      <alignment horizontal="center" vertical="top"/>
      <protection locked="0"/>
    </xf>
    <xf numFmtId="0" fontId="13" fillId="0" borderId="9" xfId="1" applyFont="1" applyBorder="1" applyAlignment="1" applyProtection="1">
      <alignment horizontal="center" vertical="top"/>
      <protection locked="0"/>
    </xf>
    <xf numFmtId="0" fontId="13" fillId="0" borderId="1" xfId="1" applyFont="1" applyBorder="1" applyAlignment="1" applyProtection="1">
      <alignment horizontal="center"/>
      <protection locked="0"/>
    </xf>
    <xf numFmtId="0" fontId="12" fillId="0" borderId="1" xfId="1" applyFont="1" applyBorder="1" applyAlignment="1" applyProtection="1">
      <alignment horizontal="center" vertical="center"/>
      <protection locked="0"/>
    </xf>
    <xf numFmtId="0" fontId="12" fillId="0" borderId="8" xfId="1" applyFont="1" applyBorder="1" applyAlignment="1" applyProtection="1">
      <alignment horizontal="center" vertical="center" wrapText="1"/>
      <protection locked="0"/>
    </xf>
    <xf numFmtId="0" fontId="12" fillId="0" borderId="21" xfId="1" applyFont="1" applyBorder="1" applyAlignment="1" applyProtection="1">
      <alignment horizontal="center" vertical="center" wrapText="1"/>
      <protection locked="0"/>
    </xf>
    <xf numFmtId="0" fontId="12" fillId="0" borderId="9" xfId="1" applyFont="1" applyBorder="1" applyAlignment="1" applyProtection="1">
      <alignment horizontal="center" vertical="center" wrapText="1"/>
      <protection locked="0"/>
    </xf>
    <xf numFmtId="0" fontId="7" fillId="0" borderId="1" xfId="1" applyFont="1" applyBorder="1" applyAlignment="1" applyProtection="1">
      <alignment horizontal="left"/>
      <protection locked="0"/>
    </xf>
    <xf numFmtId="0" fontId="7" fillId="0" borderId="1" xfId="1" applyFont="1" applyBorder="1" applyAlignment="1" applyProtection="1">
      <alignment horizontal="left" vertical="top" wrapText="1"/>
      <protection locked="0"/>
    </xf>
    <xf numFmtId="0" fontId="11" fillId="0" borderId="1" xfId="1" applyFont="1" applyBorder="1" applyAlignment="1" applyProtection="1">
      <alignment horizontal="center" vertical="top" wrapText="1"/>
      <protection locked="0"/>
    </xf>
    <xf numFmtId="0" fontId="8" fillId="0" borderId="1" xfId="1" applyFont="1" applyBorder="1" applyAlignment="1" applyProtection="1">
      <alignment horizontal="center" vertical="top"/>
      <protection locked="0"/>
    </xf>
    <xf numFmtId="0" fontId="13" fillId="0" borderId="1" xfId="1" applyFont="1" applyBorder="1" applyAlignment="1" applyProtection="1">
      <alignment horizontal="center" vertical="top" wrapText="1"/>
      <protection locked="0"/>
    </xf>
    <xf numFmtId="0" fontId="14" fillId="0" borderId="1" xfId="1" applyFont="1" applyBorder="1" applyAlignment="1" applyProtection="1">
      <alignment horizontal="center" vertical="top" wrapText="1"/>
      <protection locked="0"/>
    </xf>
    <xf numFmtId="0" fontId="16" fillId="0" borderId="1" xfId="1" applyFont="1" applyBorder="1" applyAlignment="1" applyProtection="1">
      <alignment horizontal="center" vertical="top" wrapText="1"/>
      <protection locked="0"/>
    </xf>
    <xf numFmtId="1" fontId="8" fillId="0" borderId="1" xfId="1" applyNumberFormat="1" applyFont="1" applyBorder="1" applyAlignment="1" applyProtection="1">
      <alignment horizontal="center" vertical="center" wrapText="1"/>
      <protection locked="0"/>
    </xf>
    <xf numFmtId="1" fontId="6" fillId="0" borderId="1" xfId="0" applyNumberFormat="1" applyFont="1" applyBorder="1" applyAlignment="1" applyProtection="1">
      <alignment horizontal="center" vertical="center" wrapText="1"/>
      <protection locked="0"/>
    </xf>
    <xf numFmtId="0" fontId="10" fillId="0" borderId="33" xfId="0" applyFont="1" applyBorder="1" applyAlignment="1" applyProtection="1">
      <alignment horizontal="center" vertical="center"/>
      <protection locked="0"/>
    </xf>
    <xf numFmtId="1" fontId="8" fillId="0" borderId="32" xfId="0" applyNumberFormat="1" applyFont="1" applyBorder="1" applyAlignment="1" applyProtection="1">
      <alignment horizontal="center" vertical="center" wrapText="1"/>
      <protection locked="0"/>
    </xf>
    <xf numFmtId="1" fontId="8" fillId="0" borderId="33" xfId="0" applyNumberFormat="1" applyFont="1" applyBorder="1" applyAlignment="1" applyProtection="1">
      <alignment horizontal="center" vertical="center" wrapText="1"/>
      <protection locked="0"/>
    </xf>
    <xf numFmtId="0" fontId="8" fillId="0" borderId="16" xfId="1" applyFont="1" applyBorder="1" applyAlignment="1" applyProtection="1">
      <alignment horizontal="left" vertical="top"/>
      <protection locked="0"/>
    </xf>
    <xf numFmtId="0" fontId="13" fillId="0" borderId="16" xfId="1" applyFont="1" applyBorder="1" applyAlignment="1" applyProtection="1">
      <alignment horizontal="center" vertical="top"/>
      <protection locked="0"/>
    </xf>
    <xf numFmtId="1" fontId="8" fillId="0" borderId="1" xfId="0" applyNumberFormat="1" applyFont="1" applyBorder="1" applyAlignment="1" applyProtection="1">
      <alignment horizontal="left" vertical="top" wrapText="1"/>
      <protection locked="0"/>
    </xf>
    <xf numFmtId="0" fontId="6" fillId="0" borderId="1" xfId="1" applyFont="1" applyBorder="1" applyAlignment="1" applyProtection="1">
      <alignment vertical="top"/>
      <protection locked="0"/>
    </xf>
    <xf numFmtId="0" fontId="7" fillId="0" borderId="25" xfId="1" applyFont="1" applyBorder="1" applyAlignment="1">
      <alignment horizontal="center"/>
    </xf>
    <xf numFmtId="0" fontId="7" fillId="0" borderId="0" xfId="1" applyFont="1" applyAlignment="1">
      <alignment horizontal="center"/>
    </xf>
    <xf numFmtId="0" fontId="17" fillId="0" borderId="1" xfId="1" applyFont="1" applyBorder="1" applyAlignment="1" applyProtection="1">
      <alignment horizontal="center" vertical="top"/>
      <protection locked="0"/>
    </xf>
    <xf numFmtId="0" fontId="8" fillId="0" borderId="8" xfId="1" applyFont="1" applyBorder="1" applyAlignment="1" applyProtection="1">
      <alignment horizontal="left" vertical="top" wrapText="1"/>
      <protection locked="0"/>
    </xf>
    <xf numFmtId="0" fontId="8" fillId="0" borderId="9" xfId="1" applyFont="1" applyBorder="1" applyAlignment="1" applyProtection="1">
      <alignment horizontal="left" vertical="top" wrapText="1"/>
      <protection locked="0"/>
    </xf>
    <xf numFmtId="0" fontId="8" fillId="0" borderId="21" xfId="1" applyFont="1" applyBorder="1" applyAlignment="1" applyProtection="1">
      <alignment horizontal="left" vertical="top" wrapText="1"/>
      <protection locked="0"/>
    </xf>
    <xf numFmtId="14" fontId="8" fillId="0" borderId="8" xfId="1" applyNumberFormat="1" applyFont="1" applyBorder="1" applyAlignment="1" applyProtection="1">
      <alignment horizontal="left" vertical="top"/>
      <protection locked="0"/>
    </xf>
    <xf numFmtId="14" fontId="8" fillId="0" borderId="9" xfId="1" applyNumberFormat="1" applyFont="1" applyBorder="1" applyAlignment="1" applyProtection="1">
      <alignment horizontal="left" vertical="top"/>
      <protection locked="0"/>
    </xf>
    <xf numFmtId="0" fontId="8" fillId="0" borderId="16" xfId="1" applyFont="1" applyBorder="1" applyAlignment="1" applyProtection="1">
      <alignment horizontal="center" vertical="top"/>
      <protection locked="0"/>
    </xf>
    <xf numFmtId="1" fontId="8" fillId="0" borderId="17" xfId="1" applyNumberFormat="1" applyFont="1" applyBorder="1" applyAlignment="1" applyProtection="1">
      <alignment horizontal="center" vertical="top" wrapText="1"/>
      <protection locked="0"/>
    </xf>
    <xf numFmtId="1" fontId="8" fillId="0" borderId="19" xfId="1" applyNumberFormat="1" applyFont="1" applyBorder="1" applyAlignment="1" applyProtection="1">
      <alignment horizontal="center" vertical="top" wrapText="1"/>
      <protection locked="0"/>
    </xf>
    <xf numFmtId="1" fontId="8" fillId="5" borderId="8" xfId="1" applyNumberFormat="1" applyFont="1" applyFill="1" applyBorder="1" applyAlignment="1" applyProtection="1">
      <alignment horizontal="center" vertical="center" wrapText="1"/>
      <protection locked="0"/>
    </xf>
    <xf numFmtId="1" fontId="8" fillId="5" borderId="21" xfId="1" applyNumberFormat="1" applyFont="1" applyFill="1" applyBorder="1" applyAlignment="1" applyProtection="1">
      <alignment horizontal="center" vertical="center" wrapText="1"/>
      <protection locked="0"/>
    </xf>
    <xf numFmtId="1" fontId="8" fillId="5" borderId="9" xfId="1" applyNumberFormat="1" applyFont="1" applyFill="1" applyBorder="1" applyAlignment="1" applyProtection="1">
      <alignment horizontal="center" vertical="center" wrapText="1"/>
      <protection locked="0"/>
    </xf>
    <xf numFmtId="1" fontId="6" fillId="0" borderId="17" xfId="1" applyNumberFormat="1" applyFont="1" applyBorder="1" applyAlignment="1" applyProtection="1">
      <alignment horizontal="center" vertical="center" wrapText="1"/>
      <protection locked="0"/>
    </xf>
    <xf numFmtId="1" fontId="6" fillId="0" borderId="24" xfId="1" applyNumberFormat="1" applyFont="1" applyBorder="1" applyAlignment="1" applyProtection="1">
      <alignment horizontal="center" vertical="center" wrapText="1"/>
      <protection locked="0"/>
    </xf>
    <xf numFmtId="1" fontId="6" fillId="0" borderId="18" xfId="1" applyNumberFormat="1" applyFont="1" applyBorder="1" applyAlignment="1" applyProtection="1">
      <alignment horizontal="center" vertical="center" wrapText="1"/>
      <protection locked="0"/>
    </xf>
    <xf numFmtId="1" fontId="6" fillId="0" borderId="19" xfId="1" applyNumberFormat="1" applyFont="1" applyBorder="1" applyAlignment="1" applyProtection="1">
      <alignment horizontal="center" vertical="center" wrapText="1"/>
      <protection locked="0"/>
    </xf>
    <xf numFmtId="1" fontId="6" fillId="0" borderId="2" xfId="1" applyNumberFormat="1" applyFont="1" applyBorder="1" applyAlignment="1" applyProtection="1">
      <alignment horizontal="center" vertical="center" wrapText="1"/>
      <protection locked="0"/>
    </xf>
    <xf numFmtId="1" fontId="6" fillId="0" borderId="20" xfId="1" applyNumberFormat="1" applyFont="1" applyBorder="1" applyAlignment="1" applyProtection="1">
      <alignment horizontal="center" vertical="center" wrapText="1"/>
      <protection locked="0"/>
    </xf>
    <xf numFmtId="1" fontId="10" fillId="0" borderId="8" xfId="1" applyNumberFormat="1" applyFont="1" applyBorder="1" applyAlignment="1" applyProtection="1">
      <alignment horizontal="center" vertical="center" wrapText="1"/>
      <protection locked="0"/>
    </xf>
    <xf numFmtId="1" fontId="10" fillId="0" borderId="21" xfId="1" applyNumberFormat="1" applyFont="1" applyBorder="1" applyAlignment="1" applyProtection="1">
      <alignment horizontal="center" vertical="center" wrapText="1"/>
      <protection locked="0"/>
    </xf>
    <xf numFmtId="1" fontId="10" fillId="0" borderId="9" xfId="1" applyNumberFormat="1" applyFont="1" applyBorder="1" applyAlignment="1" applyProtection="1">
      <alignment horizontal="center" vertical="center" wrapText="1"/>
      <protection locked="0"/>
    </xf>
    <xf numFmtId="0" fontId="15" fillId="0" borderId="0" xfId="1" applyFont="1" applyAlignment="1">
      <alignment horizontal="center" vertical="center"/>
    </xf>
    <xf numFmtId="0" fontId="9" fillId="0" borderId="1" xfId="5" applyFont="1" applyBorder="1" applyAlignment="1">
      <alignment horizontal="left"/>
    </xf>
    <xf numFmtId="0" fontId="0" fillId="0" borderId="25" xfId="0" applyBorder="1" applyAlignment="1">
      <alignment horizontal="left" vertical="top" wrapText="1"/>
    </xf>
    <xf numFmtId="0" fontId="0" fillId="0" borderId="0" xfId="0" applyAlignment="1">
      <alignment horizontal="left" vertical="top" wrapText="1"/>
    </xf>
    <xf numFmtId="0" fontId="0" fillId="2" borderId="1" xfId="0" applyFill="1" applyBorder="1" applyAlignment="1">
      <alignment horizontal="center" vertical="center" wrapText="1"/>
    </xf>
    <xf numFmtId="0" fontId="9" fillId="4" borderId="1" xfId="0" applyFont="1" applyFill="1" applyBorder="1" applyAlignment="1">
      <alignment horizontal="center" vertical="center"/>
    </xf>
    <xf numFmtId="0" fontId="9" fillId="3" borderId="1" xfId="0" applyFont="1" applyFill="1" applyBorder="1" applyAlignment="1">
      <alignment horizontal="center" vertical="center"/>
    </xf>
    <xf numFmtId="0" fontId="9" fillId="5" borderId="1" xfId="0" applyFont="1" applyFill="1" applyBorder="1" applyAlignment="1">
      <alignment horizontal="center" vertical="center"/>
    </xf>
    <xf numFmtId="14" fontId="12" fillId="0" borderId="1" xfId="1" applyNumberFormat="1" applyFont="1" applyBorder="1" applyAlignment="1" applyProtection="1">
      <alignment horizontal="left" vertical="top"/>
      <protection locked="0"/>
    </xf>
    <xf numFmtId="0" fontId="12" fillId="0" borderId="1" xfId="1" applyFont="1" applyFill="1" applyBorder="1" applyAlignment="1" applyProtection="1">
      <alignment horizontal="left" vertical="top"/>
      <protection locked="0"/>
    </xf>
    <xf numFmtId="1" fontId="6" fillId="0" borderId="1" xfId="1" applyNumberFormat="1" applyFont="1" applyFill="1" applyBorder="1" applyAlignment="1" applyProtection="1">
      <alignment horizontal="center" vertical="center" wrapText="1"/>
      <protection locked="0"/>
    </xf>
    <xf numFmtId="1" fontId="6" fillId="0" borderId="8" xfId="1" applyNumberFormat="1" applyFont="1" applyFill="1" applyBorder="1" applyAlignment="1" applyProtection="1">
      <alignment horizontal="center" vertical="center" wrapText="1"/>
      <protection locked="0"/>
    </xf>
    <xf numFmtId="1" fontId="6" fillId="0" borderId="21" xfId="1" applyNumberFormat="1" applyFont="1" applyFill="1" applyBorder="1" applyAlignment="1" applyProtection="1">
      <alignment horizontal="center" vertical="center" wrapText="1"/>
      <protection locked="0"/>
    </xf>
    <xf numFmtId="1" fontId="6" fillId="0" borderId="9" xfId="1" applyNumberFormat="1" applyFont="1" applyFill="1" applyBorder="1" applyAlignment="1" applyProtection="1">
      <alignment horizontal="center" vertical="center" wrapText="1"/>
      <protection locked="0"/>
    </xf>
    <xf numFmtId="1" fontId="8" fillId="0" borderId="8" xfId="1" applyNumberFormat="1" applyFont="1" applyFill="1" applyBorder="1" applyAlignment="1" applyProtection="1">
      <alignment horizontal="center" vertical="center" wrapText="1"/>
      <protection locked="0"/>
    </xf>
    <xf numFmtId="1" fontId="8" fillId="0" borderId="21" xfId="1" applyNumberFormat="1" applyFont="1" applyFill="1" applyBorder="1" applyAlignment="1" applyProtection="1">
      <alignment horizontal="center" vertical="center" wrapText="1"/>
      <protection locked="0"/>
    </xf>
    <xf numFmtId="1" fontId="8" fillId="0" borderId="9" xfId="1" applyNumberFormat="1" applyFont="1" applyFill="1" applyBorder="1" applyAlignment="1" applyProtection="1">
      <alignment horizontal="center" vertical="center" wrapText="1"/>
      <protection locked="0"/>
    </xf>
    <xf numFmtId="1" fontId="7" fillId="0" borderId="1" xfId="1" applyNumberFormat="1" applyFont="1" applyFill="1" applyBorder="1" applyAlignment="1" applyProtection="1">
      <alignment horizontal="center" vertical="center" wrapText="1"/>
      <protection locked="0"/>
    </xf>
    <xf numFmtId="1" fontId="8" fillId="0" borderId="1" xfId="1" applyNumberFormat="1" applyFont="1" applyFill="1" applyBorder="1" applyAlignment="1" applyProtection="1">
      <alignment horizontal="center" vertical="center" wrapText="1"/>
      <protection locked="0"/>
    </xf>
    <xf numFmtId="1" fontId="12" fillId="0" borderId="1" xfId="0" applyNumberFormat="1" applyFont="1" applyBorder="1" applyAlignment="1" applyProtection="1">
      <alignment horizontal="center" vertical="center"/>
      <protection locked="0"/>
    </xf>
    <xf numFmtId="1" fontId="13" fillId="0" borderId="8" xfId="1" applyNumberFormat="1" applyFont="1" applyBorder="1" applyAlignment="1" applyProtection="1">
      <alignment horizontal="center" vertical="center" wrapText="1"/>
      <protection locked="0"/>
    </xf>
    <xf numFmtId="1" fontId="13" fillId="0" borderId="21" xfId="1" applyNumberFormat="1" applyFont="1" applyBorder="1" applyAlignment="1" applyProtection="1">
      <alignment horizontal="center" vertical="center" wrapText="1"/>
      <protection locked="0"/>
    </xf>
    <xf numFmtId="1" fontId="13" fillId="0" borderId="9" xfId="1" applyNumberFormat="1" applyFont="1" applyBorder="1" applyAlignment="1" applyProtection="1">
      <alignment horizontal="center" vertical="center" wrapText="1"/>
      <protection locked="0"/>
    </xf>
    <xf numFmtId="1" fontId="13" fillId="0" borderId="8" xfId="1" applyNumberFormat="1" applyFont="1" applyFill="1" applyBorder="1" applyAlignment="1" applyProtection="1">
      <alignment horizontal="center" vertical="center" wrapText="1"/>
      <protection locked="0"/>
    </xf>
    <xf numFmtId="1" fontId="13" fillId="0" borderId="21" xfId="1" applyNumberFormat="1" applyFont="1" applyFill="1" applyBorder="1" applyAlignment="1" applyProtection="1">
      <alignment horizontal="center" vertical="center" wrapText="1"/>
      <protection locked="0"/>
    </xf>
    <xf numFmtId="1" fontId="13" fillId="0" borderId="9" xfId="1" applyNumberFormat="1" applyFont="1" applyFill="1" applyBorder="1" applyAlignment="1" applyProtection="1">
      <alignment horizontal="center" vertical="center" wrapText="1"/>
      <protection locked="0"/>
    </xf>
    <xf numFmtId="1" fontId="10" fillId="0" borderId="33" xfId="0" applyNumberFormat="1" applyFont="1" applyBorder="1" applyAlignment="1" applyProtection="1">
      <alignment horizontal="center" vertical="center"/>
      <protection locked="0"/>
    </xf>
  </cellXfs>
  <cellStyles count="11">
    <cellStyle name="Comma" xfId="9" builtinId="3"/>
    <cellStyle name="Comma 2" xfId="6" xr:uid="{00000000-0005-0000-0000-000001000000}"/>
    <cellStyle name="Excel Built-in Normal" xfId="2" xr:uid="{00000000-0005-0000-0000-000002000000}"/>
    <cellStyle name="Excel Built-in Normal 2" xfId="4" xr:uid="{00000000-0005-0000-0000-000003000000}"/>
    <cellStyle name="Hyperlink" xfId="10" builtinId="8"/>
    <cellStyle name="Normal" xfId="0" builtinId="0"/>
    <cellStyle name="Normal 2" xfId="3" xr:uid="{00000000-0005-0000-0000-000006000000}"/>
    <cellStyle name="Normal 3" xfId="1" xr:uid="{00000000-0005-0000-0000-000007000000}"/>
    <cellStyle name="Normal 3 3" xfId="7" xr:uid="{00000000-0005-0000-0000-000008000000}"/>
    <cellStyle name="Normal 4" xfId="5" xr:uid="{00000000-0005-0000-0000-000009000000}"/>
    <cellStyle name="Percent" xfId="8"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jpeg"/><Relationship Id="rId3" Type="http://schemas.openxmlformats.org/officeDocument/2006/relationships/image" Target="../media/image3.png"/><Relationship Id="rId21" Type="http://schemas.openxmlformats.org/officeDocument/2006/relationships/image" Target="../media/image21.jpe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jpe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jpe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jpe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jpeg"/><Relationship Id="rId28" Type="http://schemas.openxmlformats.org/officeDocument/2006/relationships/image" Target="../media/image28.jpe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jpeg"/><Relationship Id="rId27" Type="http://schemas.openxmlformats.org/officeDocument/2006/relationships/image" Target="../media/image27.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2.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1.png"/><Relationship Id="rId1" Type="http://schemas.openxmlformats.org/officeDocument/2006/relationships/image" Target="../media/image30.png"/></Relationships>
</file>

<file path=xl/drawings/drawing1.xml><?xml version="1.0" encoding="utf-8"?>
<xdr:wsDr xmlns:xdr="http://schemas.openxmlformats.org/drawingml/2006/spreadsheetDrawing" xmlns:a="http://schemas.openxmlformats.org/drawingml/2006/main">
  <xdr:twoCellAnchor editAs="oneCell">
    <xdr:from>
      <xdr:col>8</xdr:col>
      <xdr:colOff>161925</xdr:colOff>
      <xdr:row>15</xdr:row>
      <xdr:rowOff>247650</xdr:rowOff>
    </xdr:from>
    <xdr:to>
      <xdr:col>13</xdr:col>
      <xdr:colOff>600749</xdr:colOff>
      <xdr:row>17</xdr:row>
      <xdr:rowOff>162027</xdr:rowOff>
    </xdr:to>
    <xdr:pic>
      <xdr:nvPicPr>
        <xdr:cNvPr id="2" name="Picture 1">
          <a:extLst>
            <a:ext uri="{FF2B5EF4-FFF2-40B4-BE49-F238E27FC236}">
              <a16:creationId xmlns:a16="http://schemas.microsoft.com/office/drawing/2014/main" id="{28B4E06F-EE60-436A-96B2-B27BA074F971}"/>
            </a:ext>
          </a:extLst>
        </xdr:cNvPr>
        <xdr:cNvPicPr>
          <a:picLocks noChangeAspect="1"/>
        </xdr:cNvPicPr>
      </xdr:nvPicPr>
      <xdr:blipFill>
        <a:blip xmlns:r="http://schemas.openxmlformats.org/officeDocument/2006/relationships" r:embed="rId1"/>
        <a:stretch>
          <a:fillRect/>
        </a:stretch>
      </xdr:blipFill>
      <xdr:spPr>
        <a:xfrm>
          <a:off x="6477000" y="3838575"/>
          <a:ext cx="4829849" cy="733527"/>
        </a:xfrm>
        <a:prstGeom prst="rect">
          <a:avLst/>
        </a:prstGeom>
      </xdr:spPr>
    </xdr:pic>
    <xdr:clientData/>
  </xdr:twoCellAnchor>
  <xdr:twoCellAnchor editAs="oneCell">
    <xdr:from>
      <xdr:col>8</xdr:col>
      <xdr:colOff>123825</xdr:colOff>
      <xdr:row>47</xdr:row>
      <xdr:rowOff>47625</xdr:rowOff>
    </xdr:from>
    <xdr:to>
      <xdr:col>11</xdr:col>
      <xdr:colOff>714831</xdr:colOff>
      <xdr:row>50</xdr:row>
      <xdr:rowOff>152530</xdr:rowOff>
    </xdr:to>
    <xdr:pic>
      <xdr:nvPicPr>
        <xdr:cNvPr id="3" name="Picture 2">
          <a:extLst>
            <a:ext uri="{FF2B5EF4-FFF2-40B4-BE49-F238E27FC236}">
              <a16:creationId xmlns:a16="http://schemas.microsoft.com/office/drawing/2014/main" id="{705932F9-64BF-473E-9943-82EEA53CB015}"/>
            </a:ext>
          </a:extLst>
        </xdr:cNvPr>
        <xdr:cNvPicPr>
          <a:picLocks noChangeAspect="1"/>
        </xdr:cNvPicPr>
      </xdr:nvPicPr>
      <xdr:blipFill>
        <a:blip xmlns:r="http://schemas.openxmlformats.org/officeDocument/2006/relationships" r:embed="rId2"/>
        <a:stretch>
          <a:fillRect/>
        </a:stretch>
      </xdr:blipFill>
      <xdr:spPr>
        <a:xfrm>
          <a:off x="6438900" y="11087100"/>
          <a:ext cx="3267531" cy="933580"/>
        </a:xfrm>
        <a:prstGeom prst="rect">
          <a:avLst/>
        </a:prstGeom>
      </xdr:spPr>
    </xdr:pic>
    <xdr:clientData/>
  </xdr:twoCellAnchor>
  <xdr:twoCellAnchor editAs="oneCell">
    <xdr:from>
      <xdr:col>8</xdr:col>
      <xdr:colOff>76200</xdr:colOff>
      <xdr:row>57</xdr:row>
      <xdr:rowOff>85726</xdr:rowOff>
    </xdr:from>
    <xdr:to>
      <xdr:col>14</xdr:col>
      <xdr:colOff>246975</xdr:colOff>
      <xdr:row>60</xdr:row>
      <xdr:rowOff>109770</xdr:rowOff>
    </xdr:to>
    <xdr:pic>
      <xdr:nvPicPr>
        <xdr:cNvPr id="4" name="Picture 3">
          <a:extLst>
            <a:ext uri="{FF2B5EF4-FFF2-40B4-BE49-F238E27FC236}">
              <a16:creationId xmlns:a16="http://schemas.microsoft.com/office/drawing/2014/main" id="{F043CF3F-B444-48B5-AF0C-90E248D7D2FE}"/>
            </a:ext>
          </a:extLst>
        </xdr:cNvPr>
        <xdr:cNvPicPr>
          <a:picLocks noChangeAspect="1"/>
        </xdr:cNvPicPr>
      </xdr:nvPicPr>
      <xdr:blipFill>
        <a:blip xmlns:r="http://schemas.openxmlformats.org/officeDocument/2006/relationships" r:embed="rId3"/>
        <a:stretch>
          <a:fillRect/>
        </a:stretch>
      </xdr:blipFill>
      <xdr:spPr>
        <a:xfrm>
          <a:off x="6391275" y="12153901"/>
          <a:ext cx="5400000" cy="1081319"/>
        </a:xfrm>
        <a:prstGeom prst="rect">
          <a:avLst/>
        </a:prstGeom>
      </xdr:spPr>
    </xdr:pic>
    <xdr:clientData/>
  </xdr:twoCellAnchor>
  <xdr:twoCellAnchor editAs="oneCell">
    <xdr:from>
      <xdr:col>12</xdr:col>
      <xdr:colOff>497730</xdr:colOff>
      <xdr:row>61</xdr:row>
      <xdr:rowOff>105433</xdr:rowOff>
    </xdr:from>
    <xdr:to>
      <xdr:col>17</xdr:col>
      <xdr:colOff>281030</xdr:colOff>
      <xdr:row>63</xdr:row>
      <xdr:rowOff>591204</xdr:rowOff>
    </xdr:to>
    <xdr:pic>
      <xdr:nvPicPr>
        <xdr:cNvPr id="5" name="Picture 4">
          <a:extLst>
            <a:ext uri="{FF2B5EF4-FFF2-40B4-BE49-F238E27FC236}">
              <a16:creationId xmlns:a16="http://schemas.microsoft.com/office/drawing/2014/main" id="{87BF2816-A90E-48F2-BBD1-F0179A79B7EF}"/>
            </a:ext>
          </a:extLst>
        </xdr:cNvPr>
        <xdr:cNvPicPr>
          <a:picLocks noChangeAspect="1"/>
        </xdr:cNvPicPr>
      </xdr:nvPicPr>
      <xdr:blipFill>
        <a:blip xmlns:r="http://schemas.openxmlformats.org/officeDocument/2006/relationships" r:embed="rId4"/>
        <a:stretch>
          <a:fillRect/>
        </a:stretch>
      </xdr:blipFill>
      <xdr:spPr>
        <a:xfrm>
          <a:off x="10693290" y="15421633"/>
          <a:ext cx="3715220" cy="2002151"/>
        </a:xfrm>
        <a:prstGeom prst="rect">
          <a:avLst/>
        </a:prstGeom>
      </xdr:spPr>
    </xdr:pic>
    <xdr:clientData/>
  </xdr:twoCellAnchor>
  <xdr:twoCellAnchor editAs="oneCell">
    <xdr:from>
      <xdr:col>8</xdr:col>
      <xdr:colOff>114300</xdr:colOff>
      <xdr:row>61</xdr:row>
      <xdr:rowOff>66675</xdr:rowOff>
    </xdr:from>
    <xdr:to>
      <xdr:col>11</xdr:col>
      <xdr:colOff>743411</xdr:colOff>
      <xdr:row>61</xdr:row>
      <xdr:rowOff>323886</xdr:rowOff>
    </xdr:to>
    <xdr:pic>
      <xdr:nvPicPr>
        <xdr:cNvPr id="6" name="Picture 5">
          <a:extLst>
            <a:ext uri="{FF2B5EF4-FFF2-40B4-BE49-F238E27FC236}">
              <a16:creationId xmlns:a16="http://schemas.microsoft.com/office/drawing/2014/main" id="{46FF1F10-9B5A-4877-AFB2-6EA4B7D6BDB7}"/>
            </a:ext>
          </a:extLst>
        </xdr:cNvPr>
        <xdr:cNvPicPr>
          <a:picLocks noChangeAspect="1"/>
        </xdr:cNvPicPr>
      </xdr:nvPicPr>
      <xdr:blipFill>
        <a:blip xmlns:r="http://schemas.openxmlformats.org/officeDocument/2006/relationships" r:embed="rId5"/>
        <a:stretch>
          <a:fillRect/>
        </a:stretch>
      </xdr:blipFill>
      <xdr:spPr>
        <a:xfrm>
          <a:off x="6429375" y="13392150"/>
          <a:ext cx="3305636" cy="257211"/>
        </a:xfrm>
        <a:prstGeom prst="rect">
          <a:avLst/>
        </a:prstGeom>
      </xdr:spPr>
    </xdr:pic>
    <xdr:clientData/>
  </xdr:twoCellAnchor>
  <xdr:twoCellAnchor editAs="oneCell">
    <xdr:from>
      <xdr:col>8</xdr:col>
      <xdr:colOff>57150</xdr:colOff>
      <xdr:row>61</xdr:row>
      <xdr:rowOff>352425</xdr:rowOff>
    </xdr:from>
    <xdr:to>
      <xdr:col>12</xdr:col>
      <xdr:colOff>229126</xdr:colOff>
      <xdr:row>61</xdr:row>
      <xdr:rowOff>762057</xdr:rowOff>
    </xdr:to>
    <xdr:pic>
      <xdr:nvPicPr>
        <xdr:cNvPr id="7" name="Picture 6">
          <a:extLst>
            <a:ext uri="{FF2B5EF4-FFF2-40B4-BE49-F238E27FC236}">
              <a16:creationId xmlns:a16="http://schemas.microsoft.com/office/drawing/2014/main" id="{A65AF04F-B9B5-445C-880E-D963B0CE23F0}"/>
            </a:ext>
          </a:extLst>
        </xdr:cNvPr>
        <xdr:cNvPicPr>
          <a:picLocks noChangeAspect="1"/>
        </xdr:cNvPicPr>
      </xdr:nvPicPr>
      <xdr:blipFill>
        <a:blip xmlns:r="http://schemas.openxmlformats.org/officeDocument/2006/relationships" r:embed="rId6"/>
        <a:stretch>
          <a:fillRect/>
        </a:stretch>
      </xdr:blipFill>
      <xdr:spPr>
        <a:xfrm>
          <a:off x="6372225" y="13677900"/>
          <a:ext cx="3772426" cy="409632"/>
        </a:xfrm>
        <a:prstGeom prst="rect">
          <a:avLst/>
        </a:prstGeom>
      </xdr:spPr>
    </xdr:pic>
    <xdr:clientData/>
  </xdr:twoCellAnchor>
  <xdr:twoCellAnchor editAs="oneCell">
    <xdr:from>
      <xdr:col>8</xdr:col>
      <xdr:colOff>114300</xdr:colOff>
      <xdr:row>61</xdr:row>
      <xdr:rowOff>790575</xdr:rowOff>
    </xdr:from>
    <xdr:to>
      <xdr:col>12</xdr:col>
      <xdr:colOff>113850</xdr:colOff>
      <xdr:row>66</xdr:row>
      <xdr:rowOff>49493</xdr:rowOff>
    </xdr:to>
    <xdr:pic>
      <xdr:nvPicPr>
        <xdr:cNvPr id="8" name="Picture 7">
          <a:extLst>
            <a:ext uri="{FF2B5EF4-FFF2-40B4-BE49-F238E27FC236}">
              <a16:creationId xmlns:a16="http://schemas.microsoft.com/office/drawing/2014/main" id="{8E765EEF-8579-4610-85A1-99F6D3A39916}"/>
            </a:ext>
          </a:extLst>
        </xdr:cNvPr>
        <xdr:cNvPicPr>
          <a:picLocks noChangeAspect="1"/>
        </xdr:cNvPicPr>
      </xdr:nvPicPr>
      <xdr:blipFill>
        <a:blip xmlns:r="http://schemas.openxmlformats.org/officeDocument/2006/relationships" r:embed="rId7"/>
        <a:stretch>
          <a:fillRect/>
        </a:stretch>
      </xdr:blipFill>
      <xdr:spPr>
        <a:xfrm>
          <a:off x="6429375" y="14116050"/>
          <a:ext cx="3600000" cy="2091653"/>
        </a:xfrm>
        <a:prstGeom prst="rect">
          <a:avLst/>
        </a:prstGeom>
      </xdr:spPr>
    </xdr:pic>
    <xdr:clientData/>
  </xdr:twoCellAnchor>
  <xdr:twoCellAnchor editAs="oneCell">
    <xdr:from>
      <xdr:col>12</xdr:col>
      <xdr:colOff>436470</xdr:colOff>
      <xdr:row>66</xdr:row>
      <xdr:rowOff>332479</xdr:rowOff>
    </xdr:from>
    <xdr:to>
      <xdr:col>17</xdr:col>
      <xdr:colOff>104550</xdr:colOff>
      <xdr:row>68</xdr:row>
      <xdr:rowOff>319660</xdr:rowOff>
    </xdr:to>
    <xdr:pic>
      <xdr:nvPicPr>
        <xdr:cNvPr id="9" name="Picture 8">
          <a:extLst>
            <a:ext uri="{FF2B5EF4-FFF2-40B4-BE49-F238E27FC236}">
              <a16:creationId xmlns:a16="http://schemas.microsoft.com/office/drawing/2014/main" id="{CFF4F68E-D5C1-425F-9BA3-E48035985FD2}"/>
            </a:ext>
          </a:extLst>
        </xdr:cNvPr>
        <xdr:cNvPicPr>
          <a:picLocks noChangeAspect="1"/>
        </xdr:cNvPicPr>
      </xdr:nvPicPr>
      <xdr:blipFill>
        <a:blip xmlns:r="http://schemas.openxmlformats.org/officeDocument/2006/relationships" r:embed="rId8"/>
        <a:stretch>
          <a:fillRect/>
        </a:stretch>
      </xdr:blipFill>
      <xdr:spPr>
        <a:xfrm>
          <a:off x="10632030" y="18468079"/>
          <a:ext cx="3600000" cy="612021"/>
        </a:xfrm>
        <a:prstGeom prst="rect">
          <a:avLst/>
        </a:prstGeom>
      </xdr:spPr>
    </xdr:pic>
    <xdr:clientData/>
  </xdr:twoCellAnchor>
  <xdr:twoCellAnchor editAs="oneCell">
    <xdr:from>
      <xdr:col>11</xdr:col>
      <xdr:colOff>445994</xdr:colOff>
      <xdr:row>172</xdr:row>
      <xdr:rowOff>50987</xdr:rowOff>
    </xdr:from>
    <xdr:to>
      <xdr:col>18</xdr:col>
      <xdr:colOff>483419</xdr:colOff>
      <xdr:row>190</xdr:row>
      <xdr:rowOff>146007</xdr:rowOff>
    </xdr:to>
    <xdr:pic>
      <xdr:nvPicPr>
        <xdr:cNvPr id="10" name="Picture 9">
          <a:extLst>
            <a:ext uri="{FF2B5EF4-FFF2-40B4-BE49-F238E27FC236}">
              <a16:creationId xmlns:a16="http://schemas.microsoft.com/office/drawing/2014/main" id="{E8DA80F4-97CF-4EB7-A14D-BC45F43E1AD8}"/>
            </a:ext>
          </a:extLst>
        </xdr:cNvPr>
        <xdr:cNvPicPr>
          <a:picLocks noChangeAspect="1"/>
        </xdr:cNvPicPr>
      </xdr:nvPicPr>
      <xdr:blipFill>
        <a:blip xmlns:r="http://schemas.openxmlformats.org/officeDocument/2006/relationships" r:embed="rId9"/>
        <a:stretch>
          <a:fillRect/>
        </a:stretch>
      </xdr:blipFill>
      <xdr:spPr>
        <a:xfrm>
          <a:off x="9433112" y="34912487"/>
          <a:ext cx="5393836" cy="3725727"/>
        </a:xfrm>
        <a:prstGeom prst="rect">
          <a:avLst/>
        </a:prstGeom>
      </xdr:spPr>
    </xdr:pic>
    <xdr:clientData/>
  </xdr:twoCellAnchor>
  <xdr:twoCellAnchor editAs="oneCell">
    <xdr:from>
      <xdr:col>9</xdr:col>
      <xdr:colOff>756416</xdr:colOff>
      <xdr:row>67</xdr:row>
      <xdr:rowOff>48198</xdr:rowOff>
    </xdr:from>
    <xdr:to>
      <xdr:col>13</xdr:col>
      <xdr:colOff>306476</xdr:colOff>
      <xdr:row>74</xdr:row>
      <xdr:rowOff>351012</xdr:rowOff>
    </xdr:to>
    <xdr:pic>
      <xdr:nvPicPr>
        <xdr:cNvPr id="11" name="Picture 10">
          <a:extLst>
            <a:ext uri="{FF2B5EF4-FFF2-40B4-BE49-F238E27FC236}">
              <a16:creationId xmlns:a16="http://schemas.microsoft.com/office/drawing/2014/main" id="{89CC31E6-DB2D-4328-B137-AC8505AD50E5}"/>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a:ext>
          </a:extLst>
        </a:blip>
        <a:stretch>
          <a:fillRect/>
        </a:stretch>
      </xdr:blipFill>
      <xdr:spPr>
        <a:xfrm>
          <a:off x="8437376" y="18610518"/>
          <a:ext cx="2880000" cy="1918254"/>
        </a:xfrm>
        <a:prstGeom prst="rect">
          <a:avLst/>
        </a:prstGeom>
      </xdr:spPr>
    </xdr:pic>
    <xdr:clientData/>
  </xdr:twoCellAnchor>
  <xdr:twoCellAnchor>
    <xdr:from>
      <xdr:col>0</xdr:col>
      <xdr:colOff>314325</xdr:colOff>
      <xdr:row>498</xdr:row>
      <xdr:rowOff>66675</xdr:rowOff>
    </xdr:from>
    <xdr:to>
      <xdr:col>7</xdr:col>
      <xdr:colOff>132675</xdr:colOff>
      <xdr:row>532</xdr:row>
      <xdr:rowOff>44421</xdr:rowOff>
    </xdr:to>
    <xdr:grpSp>
      <xdr:nvGrpSpPr>
        <xdr:cNvPr id="12" name="Group 11">
          <a:extLst>
            <a:ext uri="{FF2B5EF4-FFF2-40B4-BE49-F238E27FC236}">
              <a16:creationId xmlns:a16="http://schemas.microsoft.com/office/drawing/2014/main" id="{2DB50232-F192-40F1-88BE-9530A39242F2}"/>
            </a:ext>
          </a:extLst>
        </xdr:cNvPr>
        <xdr:cNvGrpSpPr/>
      </xdr:nvGrpSpPr>
      <xdr:grpSpPr>
        <a:xfrm>
          <a:off x="314325" y="95240475"/>
          <a:ext cx="5548590" cy="6713826"/>
          <a:chOff x="729000" y="1182702"/>
          <a:chExt cx="5400000" cy="6778596"/>
        </a:xfrm>
      </xdr:grpSpPr>
      <xdr:grpSp>
        <xdr:nvGrpSpPr>
          <xdr:cNvPr id="13" name="Group 12">
            <a:extLst>
              <a:ext uri="{FF2B5EF4-FFF2-40B4-BE49-F238E27FC236}">
                <a16:creationId xmlns:a16="http://schemas.microsoft.com/office/drawing/2014/main" id="{8402DC02-04D1-4D08-809C-01D8B193D885}"/>
              </a:ext>
            </a:extLst>
          </xdr:cNvPr>
          <xdr:cNvGrpSpPr/>
        </xdr:nvGrpSpPr>
        <xdr:grpSpPr>
          <a:xfrm>
            <a:off x="729000" y="1182702"/>
            <a:ext cx="5400000" cy="6778596"/>
            <a:chOff x="729000" y="1182702"/>
            <a:chExt cx="5400000" cy="6778596"/>
          </a:xfrm>
        </xdr:grpSpPr>
        <xdr:pic>
          <xdr:nvPicPr>
            <xdr:cNvPr id="19" name="Picture 18">
              <a:extLst>
                <a:ext uri="{FF2B5EF4-FFF2-40B4-BE49-F238E27FC236}">
                  <a16:creationId xmlns:a16="http://schemas.microsoft.com/office/drawing/2014/main" id="{83BE1BA6-85C5-4E93-9382-812946CF3BC0}"/>
                </a:ext>
              </a:extLst>
            </xdr:cNvPr>
            <xdr:cNvPicPr>
              <a:picLocks noChangeAspect="1"/>
            </xdr:cNvPicPr>
          </xdr:nvPicPr>
          <xdr:blipFill>
            <a:blip xmlns:r="http://schemas.openxmlformats.org/officeDocument/2006/relationships" r:embed="rId11"/>
            <a:stretch>
              <a:fillRect/>
            </a:stretch>
          </xdr:blipFill>
          <xdr:spPr>
            <a:xfrm>
              <a:off x="729000" y="1182702"/>
              <a:ext cx="5400000" cy="2627298"/>
            </a:xfrm>
            <a:prstGeom prst="rect">
              <a:avLst/>
            </a:prstGeom>
            <a:ln>
              <a:solidFill>
                <a:schemeClr val="tx1"/>
              </a:solidFill>
            </a:ln>
          </xdr:spPr>
        </xdr:pic>
        <xdr:pic>
          <xdr:nvPicPr>
            <xdr:cNvPr id="20" name="Picture 19">
              <a:extLst>
                <a:ext uri="{FF2B5EF4-FFF2-40B4-BE49-F238E27FC236}">
                  <a16:creationId xmlns:a16="http://schemas.microsoft.com/office/drawing/2014/main" id="{F3B429ED-7604-4277-A766-30B3352D7885}"/>
                </a:ext>
              </a:extLst>
            </xdr:cNvPr>
            <xdr:cNvPicPr>
              <a:picLocks noChangeAspect="1"/>
            </xdr:cNvPicPr>
          </xdr:nvPicPr>
          <xdr:blipFill>
            <a:blip xmlns:r="http://schemas.openxmlformats.org/officeDocument/2006/relationships" r:embed="rId12"/>
            <a:stretch>
              <a:fillRect/>
            </a:stretch>
          </xdr:blipFill>
          <xdr:spPr>
            <a:xfrm>
              <a:off x="2028629" y="4131714"/>
              <a:ext cx="2800741" cy="3829584"/>
            </a:xfrm>
            <a:prstGeom prst="rect">
              <a:avLst/>
            </a:prstGeom>
            <a:ln>
              <a:solidFill>
                <a:schemeClr val="tx1"/>
              </a:solidFill>
            </a:ln>
          </xdr:spPr>
        </xdr:pic>
      </xdr:grpSp>
      <xdr:sp macro="" textlink="">
        <xdr:nvSpPr>
          <xdr:cNvPr id="14" name="Rectangle 13">
            <a:extLst>
              <a:ext uri="{FF2B5EF4-FFF2-40B4-BE49-F238E27FC236}">
                <a16:creationId xmlns:a16="http://schemas.microsoft.com/office/drawing/2014/main" id="{006CCA16-8F84-44E8-BCEA-79006F0B5742}"/>
              </a:ext>
            </a:extLst>
          </xdr:cNvPr>
          <xdr:cNvSpPr/>
        </xdr:nvSpPr>
        <xdr:spPr>
          <a:xfrm>
            <a:off x="2348753" y="1663199"/>
            <a:ext cx="2761129" cy="1080001"/>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15" name="TextBox 5">
            <a:extLst>
              <a:ext uri="{FF2B5EF4-FFF2-40B4-BE49-F238E27FC236}">
                <a16:creationId xmlns:a16="http://schemas.microsoft.com/office/drawing/2014/main" id="{A06187C9-E76A-40F5-9FBE-B46D5F40BC66}"/>
              </a:ext>
            </a:extLst>
          </xdr:cNvPr>
          <xdr:cNvSpPr txBox="1"/>
        </xdr:nvSpPr>
        <xdr:spPr>
          <a:xfrm>
            <a:off x="2510158" y="2854365"/>
            <a:ext cx="918841"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FF0000"/>
                </a:solidFill>
              </a:rPr>
              <a:t>Wing B </a:t>
            </a:r>
            <a:endParaRPr lang="en-IN" b="1">
              <a:solidFill>
                <a:srgbClr val="FF0000"/>
              </a:solidFill>
            </a:endParaRPr>
          </a:p>
        </xdr:txBody>
      </xdr:sp>
      <xdr:sp macro="" textlink="">
        <xdr:nvSpPr>
          <xdr:cNvPr id="16" name="TextBox 9">
            <a:extLst>
              <a:ext uri="{FF2B5EF4-FFF2-40B4-BE49-F238E27FC236}">
                <a16:creationId xmlns:a16="http://schemas.microsoft.com/office/drawing/2014/main" id="{D6798A82-11AF-4048-8F8E-CC0849D484E3}"/>
              </a:ext>
            </a:extLst>
          </xdr:cNvPr>
          <xdr:cNvSpPr txBox="1"/>
        </xdr:nvSpPr>
        <xdr:spPr>
          <a:xfrm>
            <a:off x="4061052" y="2854365"/>
            <a:ext cx="928459"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FF0000"/>
                </a:solidFill>
              </a:rPr>
              <a:t>Wing A </a:t>
            </a:r>
            <a:endParaRPr lang="en-IN" b="1">
              <a:solidFill>
                <a:srgbClr val="FF0000"/>
              </a:solidFill>
            </a:endParaRPr>
          </a:p>
        </xdr:txBody>
      </xdr:sp>
      <xdr:sp macro="" textlink="">
        <xdr:nvSpPr>
          <xdr:cNvPr id="17" name="Rectangle 16">
            <a:extLst>
              <a:ext uri="{FF2B5EF4-FFF2-40B4-BE49-F238E27FC236}">
                <a16:creationId xmlns:a16="http://schemas.microsoft.com/office/drawing/2014/main" id="{3B24BC7F-ECCD-432A-8C1E-0A3164ADB67D}"/>
              </a:ext>
            </a:extLst>
          </xdr:cNvPr>
          <xdr:cNvSpPr/>
        </xdr:nvSpPr>
        <xdr:spPr>
          <a:xfrm>
            <a:off x="1062942" y="1663200"/>
            <a:ext cx="1285811" cy="1401714"/>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18" name="TextBox 11">
            <a:extLst>
              <a:ext uri="{FF2B5EF4-FFF2-40B4-BE49-F238E27FC236}">
                <a16:creationId xmlns:a16="http://schemas.microsoft.com/office/drawing/2014/main" id="{1EA3EC33-E422-4791-93DF-827640F5B367}"/>
              </a:ext>
            </a:extLst>
          </xdr:cNvPr>
          <xdr:cNvSpPr txBox="1"/>
        </xdr:nvSpPr>
        <xdr:spPr>
          <a:xfrm>
            <a:off x="1160159" y="3069514"/>
            <a:ext cx="910827"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FF0000"/>
                </a:solidFill>
              </a:rPr>
              <a:t>Wing C </a:t>
            </a:r>
            <a:endParaRPr lang="en-IN" b="1">
              <a:solidFill>
                <a:srgbClr val="FF0000"/>
              </a:solidFill>
            </a:endParaRPr>
          </a:p>
        </xdr:txBody>
      </xdr:sp>
    </xdr:grpSp>
    <xdr:clientData/>
  </xdr:twoCellAnchor>
  <xdr:twoCellAnchor>
    <xdr:from>
      <xdr:col>0</xdr:col>
      <xdr:colOff>390525</xdr:colOff>
      <xdr:row>540</xdr:row>
      <xdr:rowOff>28575</xdr:rowOff>
    </xdr:from>
    <xdr:to>
      <xdr:col>7</xdr:col>
      <xdr:colOff>208875</xdr:colOff>
      <xdr:row>574</xdr:row>
      <xdr:rowOff>66842</xdr:rowOff>
    </xdr:to>
    <xdr:grpSp>
      <xdr:nvGrpSpPr>
        <xdr:cNvPr id="21" name="Group 20">
          <a:extLst>
            <a:ext uri="{FF2B5EF4-FFF2-40B4-BE49-F238E27FC236}">
              <a16:creationId xmlns:a16="http://schemas.microsoft.com/office/drawing/2014/main" id="{215F6D1B-178E-4AAB-B879-91C2C583D532}"/>
            </a:ext>
          </a:extLst>
        </xdr:cNvPr>
        <xdr:cNvGrpSpPr/>
      </xdr:nvGrpSpPr>
      <xdr:grpSpPr>
        <a:xfrm>
          <a:off x="390525" y="103561515"/>
          <a:ext cx="5548590" cy="6774347"/>
          <a:chOff x="882725" y="789489"/>
          <a:chExt cx="5400000" cy="6839117"/>
        </a:xfrm>
      </xdr:grpSpPr>
      <xdr:pic>
        <xdr:nvPicPr>
          <xdr:cNvPr id="22" name="Picture 21">
            <a:extLst>
              <a:ext uri="{FF2B5EF4-FFF2-40B4-BE49-F238E27FC236}">
                <a16:creationId xmlns:a16="http://schemas.microsoft.com/office/drawing/2014/main" id="{545A6E02-105F-4985-8A10-C62EE29ACAE4}"/>
              </a:ext>
            </a:extLst>
          </xdr:cNvPr>
          <xdr:cNvPicPr>
            <a:picLocks noChangeAspect="1"/>
          </xdr:cNvPicPr>
        </xdr:nvPicPr>
        <xdr:blipFill rotWithShape="1">
          <a:blip xmlns:r="http://schemas.openxmlformats.org/officeDocument/2006/relationships" r:embed="rId13" cstate="print">
            <a:extLst>
              <a:ext uri="{28A0092B-C50C-407E-A947-70E740481C1C}">
                <a14:useLocalDpi xmlns:a14="http://schemas.microsoft.com/office/drawing/2010/main"/>
              </a:ext>
            </a:extLst>
          </a:blip>
          <a:srcRect/>
          <a:stretch/>
        </xdr:blipFill>
        <xdr:spPr>
          <a:xfrm>
            <a:off x="882725" y="789489"/>
            <a:ext cx="5400000" cy="3545455"/>
          </a:xfrm>
          <a:prstGeom prst="rect">
            <a:avLst/>
          </a:prstGeom>
          <a:ln>
            <a:solidFill>
              <a:schemeClr val="tx1"/>
            </a:solidFill>
          </a:ln>
        </xdr:spPr>
      </xdr:pic>
      <xdr:sp macro="" textlink="">
        <xdr:nvSpPr>
          <xdr:cNvPr id="23" name="Rectangle 22">
            <a:extLst>
              <a:ext uri="{FF2B5EF4-FFF2-40B4-BE49-F238E27FC236}">
                <a16:creationId xmlns:a16="http://schemas.microsoft.com/office/drawing/2014/main" id="{AA9B5D7C-1ED2-44AD-BA74-C4E52A221EFF}"/>
              </a:ext>
            </a:extLst>
          </xdr:cNvPr>
          <xdr:cNvSpPr/>
        </xdr:nvSpPr>
        <xdr:spPr>
          <a:xfrm rot="616781">
            <a:off x="3520133" y="1580271"/>
            <a:ext cx="897965" cy="1899673"/>
          </a:xfrm>
          <a:prstGeom prst="rect">
            <a:avLst/>
          </a:prstGeom>
          <a:noFill/>
          <a:ln w="28575">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24" name="TextBox 14">
            <a:extLst>
              <a:ext uri="{FF2B5EF4-FFF2-40B4-BE49-F238E27FC236}">
                <a16:creationId xmlns:a16="http://schemas.microsoft.com/office/drawing/2014/main" id="{E1476EBE-41AB-4818-BA0A-C770BDA4DB38}"/>
              </a:ext>
            </a:extLst>
          </xdr:cNvPr>
          <xdr:cNvSpPr txBox="1"/>
        </xdr:nvSpPr>
        <xdr:spPr>
          <a:xfrm>
            <a:off x="3102178" y="1168958"/>
            <a:ext cx="1733873"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FFFF00"/>
                </a:solidFill>
              </a:rPr>
              <a:t>Aaradhya Avaan</a:t>
            </a:r>
            <a:endParaRPr lang="en-IN" b="1">
              <a:solidFill>
                <a:srgbClr val="FFFF00"/>
              </a:solidFill>
            </a:endParaRPr>
          </a:p>
        </xdr:txBody>
      </xdr:sp>
      <xdr:pic>
        <xdr:nvPicPr>
          <xdr:cNvPr id="25" name="Picture 24">
            <a:extLst>
              <a:ext uri="{FF2B5EF4-FFF2-40B4-BE49-F238E27FC236}">
                <a16:creationId xmlns:a16="http://schemas.microsoft.com/office/drawing/2014/main" id="{79094983-DBA7-4323-B756-2A63A438F4E0}"/>
              </a:ext>
            </a:extLst>
          </xdr:cNvPr>
          <xdr:cNvPicPr>
            <a:picLocks noChangeAspect="1"/>
          </xdr:cNvPicPr>
        </xdr:nvPicPr>
        <xdr:blipFill rotWithShape="1">
          <a:blip xmlns:r="http://schemas.openxmlformats.org/officeDocument/2006/relationships" r:embed="rId14" cstate="print">
            <a:extLst>
              <a:ext uri="{28A0092B-C50C-407E-A947-70E740481C1C}">
                <a14:useLocalDpi xmlns:a14="http://schemas.microsoft.com/office/drawing/2010/main"/>
              </a:ext>
            </a:extLst>
          </a:blip>
          <a:srcRect/>
          <a:stretch/>
        </xdr:blipFill>
        <xdr:spPr>
          <a:xfrm>
            <a:off x="1782725" y="4604020"/>
            <a:ext cx="3600000" cy="3024586"/>
          </a:xfrm>
          <a:prstGeom prst="rect">
            <a:avLst/>
          </a:prstGeom>
          <a:ln>
            <a:solidFill>
              <a:schemeClr val="tx1"/>
            </a:solidFill>
          </a:ln>
        </xdr:spPr>
      </xdr:pic>
    </xdr:grpSp>
    <xdr:clientData/>
  </xdr:twoCellAnchor>
  <xdr:twoCellAnchor editAs="oneCell">
    <xdr:from>
      <xdr:col>9</xdr:col>
      <xdr:colOff>216946</xdr:colOff>
      <xdr:row>155</xdr:row>
      <xdr:rowOff>126962</xdr:rowOff>
    </xdr:from>
    <xdr:to>
      <xdr:col>16</xdr:col>
      <xdr:colOff>622336</xdr:colOff>
      <xdr:row>173</xdr:row>
      <xdr:rowOff>85007</xdr:rowOff>
    </xdr:to>
    <xdr:pic>
      <xdr:nvPicPr>
        <xdr:cNvPr id="26" name="Picture 25">
          <a:extLst>
            <a:ext uri="{FF2B5EF4-FFF2-40B4-BE49-F238E27FC236}">
              <a16:creationId xmlns:a16="http://schemas.microsoft.com/office/drawing/2014/main" id="{D4EC653C-EBC8-4347-83D9-64FCD7F4B392}"/>
            </a:ext>
          </a:extLst>
        </xdr:cNvPr>
        <xdr:cNvPicPr>
          <a:picLocks noChangeAspect="1"/>
        </xdr:cNvPicPr>
      </xdr:nvPicPr>
      <xdr:blipFill>
        <a:blip xmlns:r="http://schemas.openxmlformats.org/officeDocument/2006/relationships" r:embed="rId15"/>
        <a:stretch>
          <a:fillRect/>
        </a:stretch>
      </xdr:blipFill>
      <xdr:spPr>
        <a:xfrm>
          <a:off x="7897906" y="35994302"/>
          <a:ext cx="6227070" cy="2137365"/>
        </a:xfrm>
        <a:prstGeom prst="rect">
          <a:avLst/>
        </a:prstGeom>
      </xdr:spPr>
    </xdr:pic>
    <xdr:clientData/>
  </xdr:twoCellAnchor>
  <xdr:twoCellAnchor editAs="oneCell">
    <xdr:from>
      <xdr:col>10</xdr:col>
      <xdr:colOff>0</xdr:colOff>
      <xdr:row>87</xdr:row>
      <xdr:rowOff>104775</xdr:rowOff>
    </xdr:from>
    <xdr:to>
      <xdr:col>16</xdr:col>
      <xdr:colOff>477000</xdr:colOff>
      <xdr:row>99</xdr:row>
      <xdr:rowOff>19373</xdr:rowOff>
    </xdr:to>
    <xdr:pic>
      <xdr:nvPicPr>
        <xdr:cNvPr id="27" name="Picture 26">
          <a:extLst>
            <a:ext uri="{FF2B5EF4-FFF2-40B4-BE49-F238E27FC236}">
              <a16:creationId xmlns:a16="http://schemas.microsoft.com/office/drawing/2014/main" id="{490CC1F1-A257-4076-81AB-995BA0434774}"/>
            </a:ext>
          </a:extLst>
        </xdr:cNvPr>
        <xdr:cNvPicPr>
          <a:picLocks noChangeAspect="1"/>
        </xdr:cNvPicPr>
      </xdr:nvPicPr>
      <xdr:blipFill>
        <a:blip xmlns:r="http://schemas.openxmlformats.org/officeDocument/2006/relationships" r:embed="rId16"/>
        <a:stretch>
          <a:fillRect/>
        </a:stretch>
      </xdr:blipFill>
      <xdr:spPr>
        <a:xfrm>
          <a:off x="8239125" y="21621750"/>
          <a:ext cx="5372850" cy="2314898"/>
        </a:xfrm>
        <a:prstGeom prst="rect">
          <a:avLst/>
        </a:prstGeom>
      </xdr:spPr>
    </xdr:pic>
    <xdr:clientData/>
  </xdr:twoCellAnchor>
  <xdr:twoCellAnchor editAs="oneCell">
    <xdr:from>
      <xdr:col>10</xdr:col>
      <xdr:colOff>425262</xdr:colOff>
      <xdr:row>131</xdr:row>
      <xdr:rowOff>82362</xdr:rowOff>
    </xdr:from>
    <xdr:to>
      <xdr:col>18</xdr:col>
      <xdr:colOff>633781</xdr:colOff>
      <xdr:row>154</xdr:row>
      <xdr:rowOff>108472</xdr:rowOff>
    </xdr:to>
    <xdr:pic>
      <xdr:nvPicPr>
        <xdr:cNvPr id="28" name="Picture 27">
          <a:extLst>
            <a:ext uri="{FF2B5EF4-FFF2-40B4-BE49-F238E27FC236}">
              <a16:creationId xmlns:a16="http://schemas.microsoft.com/office/drawing/2014/main" id="{D059099A-4EEA-40BA-9E02-1294943E30BD}"/>
            </a:ext>
          </a:extLst>
        </xdr:cNvPr>
        <xdr:cNvPicPr>
          <a:picLocks noChangeAspect="1"/>
        </xdr:cNvPicPr>
      </xdr:nvPicPr>
      <xdr:blipFill>
        <a:blip xmlns:r="http://schemas.openxmlformats.org/officeDocument/2006/relationships" r:embed="rId17"/>
        <a:stretch>
          <a:fillRect/>
        </a:stretch>
      </xdr:blipFill>
      <xdr:spPr>
        <a:xfrm>
          <a:off x="8661586" y="31089038"/>
          <a:ext cx="6315724" cy="2461373"/>
        </a:xfrm>
        <a:prstGeom prst="rect">
          <a:avLst/>
        </a:prstGeom>
      </xdr:spPr>
    </xdr:pic>
    <xdr:clientData/>
  </xdr:twoCellAnchor>
  <xdr:twoCellAnchor editAs="oneCell">
    <xdr:from>
      <xdr:col>8</xdr:col>
      <xdr:colOff>333375</xdr:colOff>
      <xdr:row>106</xdr:row>
      <xdr:rowOff>171450</xdr:rowOff>
    </xdr:from>
    <xdr:to>
      <xdr:col>15</xdr:col>
      <xdr:colOff>667639</xdr:colOff>
      <xdr:row>116</xdr:row>
      <xdr:rowOff>162264</xdr:rowOff>
    </xdr:to>
    <xdr:pic>
      <xdr:nvPicPr>
        <xdr:cNvPr id="29" name="Picture 28">
          <a:extLst>
            <a:ext uri="{FF2B5EF4-FFF2-40B4-BE49-F238E27FC236}">
              <a16:creationId xmlns:a16="http://schemas.microsoft.com/office/drawing/2014/main" id="{07585503-867B-4FAE-A4FC-98FBEF25A73B}"/>
            </a:ext>
          </a:extLst>
        </xdr:cNvPr>
        <xdr:cNvPicPr>
          <a:picLocks noChangeAspect="1"/>
        </xdr:cNvPicPr>
      </xdr:nvPicPr>
      <xdr:blipFill>
        <a:blip xmlns:r="http://schemas.openxmlformats.org/officeDocument/2006/relationships" r:embed="rId18"/>
        <a:stretch>
          <a:fillRect/>
        </a:stretch>
      </xdr:blipFill>
      <xdr:spPr>
        <a:xfrm>
          <a:off x="6648450" y="26022300"/>
          <a:ext cx="6373114" cy="2429214"/>
        </a:xfrm>
        <a:prstGeom prst="rect">
          <a:avLst/>
        </a:prstGeom>
      </xdr:spPr>
    </xdr:pic>
    <xdr:clientData/>
  </xdr:twoCellAnchor>
  <xdr:twoCellAnchor editAs="oneCell">
    <xdr:from>
      <xdr:col>12</xdr:col>
      <xdr:colOff>247090</xdr:colOff>
      <xdr:row>119</xdr:row>
      <xdr:rowOff>164167</xdr:rowOff>
    </xdr:from>
    <xdr:to>
      <xdr:col>17</xdr:col>
      <xdr:colOff>18040</xdr:colOff>
      <xdr:row>138</xdr:row>
      <xdr:rowOff>193151</xdr:rowOff>
    </xdr:to>
    <xdr:pic>
      <xdr:nvPicPr>
        <xdr:cNvPr id="30" name="Picture 29">
          <a:extLst>
            <a:ext uri="{FF2B5EF4-FFF2-40B4-BE49-F238E27FC236}">
              <a16:creationId xmlns:a16="http://schemas.microsoft.com/office/drawing/2014/main" id="{75FA5E02-4EAB-4650-8C07-17BFF068BD81}"/>
            </a:ext>
          </a:extLst>
        </xdr:cNvPr>
        <xdr:cNvPicPr>
          <a:picLocks noChangeAspect="1"/>
        </xdr:cNvPicPr>
      </xdr:nvPicPr>
      <xdr:blipFill>
        <a:blip xmlns:r="http://schemas.openxmlformats.org/officeDocument/2006/relationships" r:embed="rId19"/>
        <a:stretch>
          <a:fillRect/>
        </a:stretch>
      </xdr:blipFill>
      <xdr:spPr>
        <a:xfrm>
          <a:off x="10153090" y="28750373"/>
          <a:ext cx="3603362" cy="2247749"/>
        </a:xfrm>
        <a:prstGeom prst="rect">
          <a:avLst/>
        </a:prstGeom>
      </xdr:spPr>
    </xdr:pic>
    <xdr:clientData/>
  </xdr:twoCellAnchor>
  <xdr:oneCellAnchor>
    <xdr:from>
      <xdr:col>8</xdr:col>
      <xdr:colOff>76200</xdr:colOff>
      <xdr:row>51</xdr:row>
      <xdr:rowOff>85726</xdr:rowOff>
    </xdr:from>
    <xdr:ext cx="5406240" cy="1075079"/>
    <xdr:pic>
      <xdr:nvPicPr>
        <xdr:cNvPr id="31" name="Picture 30">
          <a:extLst>
            <a:ext uri="{FF2B5EF4-FFF2-40B4-BE49-F238E27FC236}">
              <a16:creationId xmlns:a16="http://schemas.microsoft.com/office/drawing/2014/main" id="{FC7A75EB-CD6F-46A2-88E6-2DE1D86373C1}"/>
            </a:ext>
          </a:extLst>
        </xdr:cNvPr>
        <xdr:cNvPicPr>
          <a:picLocks noChangeAspect="1"/>
        </xdr:cNvPicPr>
      </xdr:nvPicPr>
      <xdr:blipFill>
        <a:blip xmlns:r="http://schemas.openxmlformats.org/officeDocument/2006/relationships" r:embed="rId3"/>
        <a:stretch>
          <a:fillRect/>
        </a:stretch>
      </xdr:blipFill>
      <xdr:spPr>
        <a:xfrm>
          <a:off x="6395545" y="12428812"/>
          <a:ext cx="5406240" cy="1075079"/>
        </a:xfrm>
        <a:prstGeom prst="rect">
          <a:avLst/>
        </a:prstGeom>
      </xdr:spPr>
    </xdr:pic>
    <xdr:clientData/>
  </xdr:oneCellAnchor>
  <xdr:oneCellAnchor>
    <xdr:from>
      <xdr:col>8</xdr:col>
      <xdr:colOff>76200</xdr:colOff>
      <xdr:row>54</xdr:row>
      <xdr:rowOff>85726</xdr:rowOff>
    </xdr:from>
    <xdr:ext cx="5406240" cy="1075079"/>
    <xdr:pic>
      <xdr:nvPicPr>
        <xdr:cNvPr id="32" name="Picture 31">
          <a:extLst>
            <a:ext uri="{FF2B5EF4-FFF2-40B4-BE49-F238E27FC236}">
              <a16:creationId xmlns:a16="http://schemas.microsoft.com/office/drawing/2014/main" id="{C1CE83B9-08E6-4776-A556-8EDEA265C1AB}"/>
            </a:ext>
          </a:extLst>
        </xdr:cNvPr>
        <xdr:cNvPicPr>
          <a:picLocks noChangeAspect="1"/>
        </xdr:cNvPicPr>
      </xdr:nvPicPr>
      <xdr:blipFill>
        <a:blip xmlns:r="http://schemas.openxmlformats.org/officeDocument/2006/relationships" r:embed="rId3"/>
        <a:stretch>
          <a:fillRect/>
        </a:stretch>
      </xdr:blipFill>
      <xdr:spPr>
        <a:xfrm>
          <a:off x="6395545" y="14169588"/>
          <a:ext cx="5406240" cy="1075079"/>
        </a:xfrm>
        <a:prstGeom prst="rect">
          <a:avLst/>
        </a:prstGeom>
      </xdr:spPr>
    </xdr:pic>
    <xdr:clientData/>
  </xdr:oneCellAnchor>
  <xdr:twoCellAnchor editAs="oneCell">
    <xdr:from>
      <xdr:col>11</xdr:col>
      <xdr:colOff>398145</xdr:colOff>
      <xdr:row>236</xdr:row>
      <xdr:rowOff>160020</xdr:rowOff>
    </xdr:from>
    <xdr:to>
      <xdr:col>15</xdr:col>
      <xdr:colOff>538665</xdr:colOff>
      <xdr:row>252</xdr:row>
      <xdr:rowOff>49541</xdr:rowOff>
    </xdr:to>
    <xdr:pic>
      <xdr:nvPicPr>
        <xdr:cNvPr id="33" name="Picture 32">
          <a:extLst>
            <a:ext uri="{FF2B5EF4-FFF2-40B4-BE49-F238E27FC236}">
              <a16:creationId xmlns:a16="http://schemas.microsoft.com/office/drawing/2014/main" id="{2C7D8ACA-30DA-01A8-9D07-B243152A245D}"/>
            </a:ext>
          </a:extLst>
        </xdr:cNvPr>
        <xdr:cNvPicPr>
          <a:picLocks noChangeAspect="1"/>
        </xdr:cNvPicPr>
      </xdr:nvPicPr>
      <xdr:blipFill>
        <a:blip xmlns:r="http://schemas.openxmlformats.org/officeDocument/2006/relationships" r:embed="rId20"/>
        <a:stretch>
          <a:fillRect/>
        </a:stretch>
      </xdr:blipFill>
      <xdr:spPr>
        <a:xfrm>
          <a:off x="9389745" y="50956845"/>
          <a:ext cx="3502845" cy="3089921"/>
        </a:xfrm>
        <a:prstGeom prst="rect">
          <a:avLst/>
        </a:prstGeom>
      </xdr:spPr>
    </xdr:pic>
    <xdr:clientData/>
  </xdr:twoCellAnchor>
  <xdr:twoCellAnchor>
    <xdr:from>
      <xdr:col>0</xdr:col>
      <xdr:colOff>123825</xdr:colOff>
      <xdr:row>455</xdr:row>
      <xdr:rowOff>66674</xdr:rowOff>
    </xdr:from>
    <xdr:to>
      <xdr:col>7</xdr:col>
      <xdr:colOff>638175</xdr:colOff>
      <xdr:row>492</xdr:row>
      <xdr:rowOff>50851</xdr:rowOff>
    </xdr:to>
    <xdr:grpSp>
      <xdr:nvGrpSpPr>
        <xdr:cNvPr id="35" name="Group 34">
          <a:extLst>
            <a:ext uri="{FF2B5EF4-FFF2-40B4-BE49-F238E27FC236}">
              <a16:creationId xmlns:a16="http://schemas.microsoft.com/office/drawing/2014/main" id="{B7C9BD1D-1891-426A-B45F-6D879460B037}"/>
            </a:ext>
          </a:extLst>
        </xdr:cNvPr>
        <xdr:cNvGrpSpPr/>
      </xdr:nvGrpSpPr>
      <xdr:grpSpPr>
        <a:xfrm>
          <a:off x="123825" y="86728934"/>
          <a:ext cx="6244590" cy="7306997"/>
          <a:chOff x="0" y="409050"/>
          <a:chExt cx="6858000" cy="7651802"/>
        </a:xfrm>
      </xdr:grpSpPr>
      <xdr:grpSp>
        <xdr:nvGrpSpPr>
          <xdr:cNvPr id="36" name="Group 35">
            <a:extLst>
              <a:ext uri="{FF2B5EF4-FFF2-40B4-BE49-F238E27FC236}">
                <a16:creationId xmlns:a16="http://schemas.microsoft.com/office/drawing/2014/main" id="{CE57C381-8F55-4084-AF66-C4283BE208A9}"/>
              </a:ext>
            </a:extLst>
          </xdr:cNvPr>
          <xdr:cNvGrpSpPr/>
        </xdr:nvGrpSpPr>
        <xdr:grpSpPr>
          <a:xfrm>
            <a:off x="0" y="409050"/>
            <a:ext cx="6858000" cy="7651802"/>
            <a:chOff x="0" y="409050"/>
            <a:chExt cx="6858000" cy="7651802"/>
          </a:xfrm>
        </xdr:grpSpPr>
        <xdr:pic>
          <xdr:nvPicPr>
            <xdr:cNvPr id="45" name="Picture 44">
              <a:extLst>
                <a:ext uri="{FF2B5EF4-FFF2-40B4-BE49-F238E27FC236}">
                  <a16:creationId xmlns:a16="http://schemas.microsoft.com/office/drawing/2014/main" id="{9349F2E8-4537-468E-ABEB-CE6C252030AE}"/>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a:ext>
              </a:extLst>
            </a:blip>
            <a:stretch>
              <a:fillRect/>
            </a:stretch>
          </xdr:blipFill>
          <xdr:spPr>
            <a:xfrm>
              <a:off x="0" y="409050"/>
              <a:ext cx="2157749" cy="2880000"/>
            </a:xfrm>
            <a:prstGeom prst="rect">
              <a:avLst/>
            </a:prstGeom>
            <a:ln>
              <a:solidFill>
                <a:schemeClr val="tx1"/>
              </a:solidFill>
            </a:ln>
          </xdr:spPr>
        </xdr:pic>
        <xdr:pic>
          <xdr:nvPicPr>
            <xdr:cNvPr id="46" name="Picture 45">
              <a:extLst>
                <a:ext uri="{FF2B5EF4-FFF2-40B4-BE49-F238E27FC236}">
                  <a16:creationId xmlns:a16="http://schemas.microsoft.com/office/drawing/2014/main" id="{EA93F900-FD8D-40D9-A51D-8ADC6759796F}"/>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a:ext>
              </a:extLst>
            </a:blip>
            <a:stretch>
              <a:fillRect/>
            </a:stretch>
          </xdr:blipFill>
          <xdr:spPr>
            <a:xfrm>
              <a:off x="4698000" y="409050"/>
              <a:ext cx="2160000" cy="2880000"/>
            </a:xfrm>
            <a:prstGeom prst="rect">
              <a:avLst/>
            </a:prstGeom>
            <a:ln>
              <a:solidFill>
                <a:schemeClr val="tx1"/>
              </a:solidFill>
            </a:ln>
          </xdr:spPr>
        </xdr:pic>
        <xdr:pic>
          <xdr:nvPicPr>
            <xdr:cNvPr id="47" name="Picture 46">
              <a:extLst>
                <a:ext uri="{FF2B5EF4-FFF2-40B4-BE49-F238E27FC236}">
                  <a16:creationId xmlns:a16="http://schemas.microsoft.com/office/drawing/2014/main" id="{E4879F98-E994-41E6-933B-8E3DB0FB4084}"/>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a:ext>
              </a:extLst>
            </a:blip>
            <a:stretch>
              <a:fillRect/>
            </a:stretch>
          </xdr:blipFill>
          <xdr:spPr>
            <a:xfrm>
              <a:off x="2349000" y="409050"/>
              <a:ext cx="2157748" cy="2880000"/>
            </a:xfrm>
            <a:prstGeom prst="rect">
              <a:avLst/>
            </a:prstGeom>
            <a:ln>
              <a:solidFill>
                <a:schemeClr val="tx1"/>
              </a:solidFill>
            </a:ln>
          </xdr:spPr>
        </xdr:pic>
        <xdr:pic>
          <xdr:nvPicPr>
            <xdr:cNvPr id="48" name="Picture 47">
              <a:extLst>
                <a:ext uri="{FF2B5EF4-FFF2-40B4-BE49-F238E27FC236}">
                  <a16:creationId xmlns:a16="http://schemas.microsoft.com/office/drawing/2014/main" id="{6414870C-BCC5-418A-ACBC-D49034024BD7}"/>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a:ext>
              </a:extLst>
            </a:blip>
            <a:stretch>
              <a:fillRect/>
            </a:stretch>
          </xdr:blipFill>
          <xdr:spPr>
            <a:xfrm>
              <a:off x="594000" y="3514951"/>
              <a:ext cx="1755000" cy="2340000"/>
            </a:xfrm>
            <a:prstGeom prst="rect">
              <a:avLst/>
            </a:prstGeom>
            <a:ln>
              <a:solidFill>
                <a:schemeClr val="tx1"/>
              </a:solidFill>
            </a:ln>
          </xdr:spPr>
        </xdr:pic>
        <xdr:pic>
          <xdr:nvPicPr>
            <xdr:cNvPr id="49" name="Picture 48">
              <a:extLst>
                <a:ext uri="{FF2B5EF4-FFF2-40B4-BE49-F238E27FC236}">
                  <a16:creationId xmlns:a16="http://schemas.microsoft.com/office/drawing/2014/main" id="{9A548B25-41D5-4F83-87CF-F43D1180C34C}"/>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a:ext>
              </a:extLst>
            </a:blip>
            <a:stretch>
              <a:fillRect/>
            </a:stretch>
          </xdr:blipFill>
          <xdr:spPr>
            <a:xfrm>
              <a:off x="4510828" y="3514951"/>
              <a:ext cx="1753172" cy="2340000"/>
            </a:xfrm>
            <a:prstGeom prst="rect">
              <a:avLst/>
            </a:prstGeom>
            <a:ln>
              <a:solidFill>
                <a:schemeClr val="tx1"/>
              </a:solidFill>
            </a:ln>
          </xdr:spPr>
        </xdr:pic>
        <xdr:pic>
          <xdr:nvPicPr>
            <xdr:cNvPr id="50" name="Picture 49">
              <a:extLst>
                <a:ext uri="{FF2B5EF4-FFF2-40B4-BE49-F238E27FC236}">
                  <a16:creationId xmlns:a16="http://schemas.microsoft.com/office/drawing/2014/main" id="{76DB94B1-8A7D-435E-9765-9FF187C3B6DE}"/>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a:ext>
              </a:extLst>
            </a:blip>
            <a:stretch>
              <a:fillRect/>
            </a:stretch>
          </xdr:blipFill>
          <xdr:spPr>
            <a:xfrm>
              <a:off x="2551288" y="3514951"/>
              <a:ext cx="1753172" cy="2340000"/>
            </a:xfrm>
            <a:prstGeom prst="rect">
              <a:avLst/>
            </a:prstGeom>
            <a:ln>
              <a:solidFill>
                <a:schemeClr val="tx1"/>
              </a:solidFill>
            </a:ln>
          </xdr:spPr>
        </xdr:pic>
        <xdr:pic>
          <xdr:nvPicPr>
            <xdr:cNvPr id="51" name="Picture 50">
              <a:extLst>
                <a:ext uri="{FF2B5EF4-FFF2-40B4-BE49-F238E27FC236}">
                  <a16:creationId xmlns:a16="http://schemas.microsoft.com/office/drawing/2014/main" id="{F0A23D4C-CC14-4258-A569-93A53F40DFB5}"/>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a:ext>
              </a:extLst>
            </a:blip>
            <a:stretch>
              <a:fillRect/>
            </a:stretch>
          </xdr:blipFill>
          <xdr:spPr>
            <a:xfrm>
              <a:off x="2697186" y="6080852"/>
              <a:ext cx="1483453" cy="1980000"/>
            </a:xfrm>
            <a:prstGeom prst="rect">
              <a:avLst/>
            </a:prstGeom>
            <a:ln>
              <a:solidFill>
                <a:schemeClr val="tx1"/>
              </a:solidFill>
            </a:ln>
          </xdr:spPr>
        </xdr:pic>
        <xdr:pic>
          <xdr:nvPicPr>
            <xdr:cNvPr id="52" name="Picture 51">
              <a:extLst>
                <a:ext uri="{FF2B5EF4-FFF2-40B4-BE49-F238E27FC236}">
                  <a16:creationId xmlns:a16="http://schemas.microsoft.com/office/drawing/2014/main" id="{EFAD7C51-5B7D-48EC-A649-D275EC0A54C8}"/>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a:ext>
              </a:extLst>
            </a:blip>
            <a:stretch>
              <a:fillRect/>
            </a:stretch>
          </xdr:blipFill>
          <xdr:spPr>
            <a:xfrm>
              <a:off x="4315498" y="6080852"/>
              <a:ext cx="1483453" cy="1980000"/>
            </a:xfrm>
            <a:prstGeom prst="rect">
              <a:avLst/>
            </a:prstGeom>
            <a:ln>
              <a:solidFill>
                <a:schemeClr val="tx1"/>
              </a:solidFill>
            </a:ln>
          </xdr:spPr>
        </xdr:pic>
        <xdr:pic>
          <xdr:nvPicPr>
            <xdr:cNvPr id="53" name="Picture 52">
              <a:extLst>
                <a:ext uri="{FF2B5EF4-FFF2-40B4-BE49-F238E27FC236}">
                  <a16:creationId xmlns:a16="http://schemas.microsoft.com/office/drawing/2014/main" id="{E07A0FE6-D48E-4343-B831-A1BD2BFBF116}"/>
                </a:ext>
              </a:extLst>
            </xdr:cNvPr>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a:ext>
              </a:extLst>
            </a:blip>
            <a:stretch>
              <a:fillRect/>
            </a:stretch>
          </xdr:blipFill>
          <xdr:spPr>
            <a:xfrm>
              <a:off x="1078874" y="6080852"/>
              <a:ext cx="1483453" cy="1980000"/>
            </a:xfrm>
            <a:prstGeom prst="rect">
              <a:avLst/>
            </a:prstGeom>
            <a:ln>
              <a:solidFill>
                <a:schemeClr val="tx1"/>
              </a:solidFill>
            </a:ln>
          </xdr:spPr>
        </xdr:pic>
      </xdr:grpSp>
      <xdr:sp macro="" textlink="">
        <xdr:nvSpPr>
          <xdr:cNvPr id="37" name="TextBox 142">
            <a:extLst>
              <a:ext uri="{FF2B5EF4-FFF2-40B4-BE49-F238E27FC236}">
                <a16:creationId xmlns:a16="http://schemas.microsoft.com/office/drawing/2014/main" id="{B3D9B1C7-4D64-44A0-8AA1-D62F48A70255}"/>
              </a:ext>
            </a:extLst>
          </xdr:cNvPr>
          <xdr:cNvSpPr txBox="1"/>
        </xdr:nvSpPr>
        <xdr:spPr>
          <a:xfrm>
            <a:off x="696517" y="516466"/>
            <a:ext cx="993756" cy="326195"/>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solidFill>
                  <a:srgbClr val="FF0000"/>
                </a:solidFill>
              </a:rPr>
              <a:t>Wing A</a:t>
            </a:r>
            <a:endParaRPr lang="en-IN" sz="1400" b="1">
              <a:solidFill>
                <a:srgbClr val="FF0000"/>
              </a:solidFill>
            </a:endParaRPr>
          </a:p>
        </xdr:txBody>
      </xdr:sp>
      <xdr:sp macro="" textlink="">
        <xdr:nvSpPr>
          <xdr:cNvPr id="38" name="TextBox 143">
            <a:extLst>
              <a:ext uri="{FF2B5EF4-FFF2-40B4-BE49-F238E27FC236}">
                <a16:creationId xmlns:a16="http://schemas.microsoft.com/office/drawing/2014/main" id="{AA6AE990-77C3-483B-A54E-9C5D6D74B0DF}"/>
              </a:ext>
            </a:extLst>
          </xdr:cNvPr>
          <xdr:cNvSpPr txBox="1"/>
        </xdr:nvSpPr>
        <xdr:spPr>
          <a:xfrm>
            <a:off x="2743200" y="785585"/>
            <a:ext cx="983364" cy="326195"/>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solidFill>
                  <a:srgbClr val="FF0000"/>
                </a:solidFill>
              </a:rPr>
              <a:t>Wing C</a:t>
            </a:r>
            <a:endParaRPr lang="en-IN" sz="1400" b="1">
              <a:solidFill>
                <a:srgbClr val="FF0000"/>
              </a:solidFill>
            </a:endParaRPr>
          </a:p>
        </xdr:txBody>
      </xdr:sp>
      <xdr:sp macro="" textlink="">
        <xdr:nvSpPr>
          <xdr:cNvPr id="39" name="TextBox 144">
            <a:extLst>
              <a:ext uri="{FF2B5EF4-FFF2-40B4-BE49-F238E27FC236}">
                <a16:creationId xmlns:a16="http://schemas.microsoft.com/office/drawing/2014/main" id="{69E17E18-8D8A-41EA-A0DC-36488083C385}"/>
              </a:ext>
            </a:extLst>
          </xdr:cNvPr>
          <xdr:cNvSpPr txBox="1"/>
        </xdr:nvSpPr>
        <xdr:spPr>
          <a:xfrm>
            <a:off x="5548624" y="530033"/>
            <a:ext cx="1052200" cy="326195"/>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solidFill>
                  <a:srgbClr val="FF0000"/>
                </a:solidFill>
              </a:rPr>
              <a:t>Wing C</a:t>
            </a:r>
            <a:endParaRPr lang="en-IN" sz="1400" b="1">
              <a:solidFill>
                <a:srgbClr val="FF0000"/>
              </a:solidFill>
            </a:endParaRPr>
          </a:p>
        </xdr:txBody>
      </xdr:sp>
      <xdr:sp macro="" textlink="">
        <xdr:nvSpPr>
          <xdr:cNvPr id="40" name="TextBox 145">
            <a:extLst>
              <a:ext uri="{FF2B5EF4-FFF2-40B4-BE49-F238E27FC236}">
                <a16:creationId xmlns:a16="http://schemas.microsoft.com/office/drawing/2014/main" id="{7CEE156E-8B61-4E8B-9CE3-CAEFC7C7E90A}"/>
              </a:ext>
            </a:extLst>
          </xdr:cNvPr>
          <xdr:cNvSpPr txBox="1"/>
        </xdr:nvSpPr>
        <xdr:spPr>
          <a:xfrm>
            <a:off x="3536155" y="1323023"/>
            <a:ext cx="1005153" cy="326195"/>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solidFill>
                  <a:srgbClr val="FF0000"/>
                </a:solidFill>
              </a:rPr>
              <a:t>Wing B</a:t>
            </a:r>
            <a:endParaRPr lang="en-IN" sz="1400" b="1">
              <a:solidFill>
                <a:srgbClr val="FF0000"/>
              </a:solidFill>
            </a:endParaRPr>
          </a:p>
        </xdr:txBody>
      </xdr:sp>
      <xdr:sp macro="" textlink="">
        <xdr:nvSpPr>
          <xdr:cNvPr id="41" name="TextBox 146">
            <a:extLst>
              <a:ext uri="{FF2B5EF4-FFF2-40B4-BE49-F238E27FC236}">
                <a16:creationId xmlns:a16="http://schemas.microsoft.com/office/drawing/2014/main" id="{33DD0270-3F99-4461-940D-0CD772624CC6}"/>
              </a:ext>
            </a:extLst>
          </xdr:cNvPr>
          <xdr:cNvSpPr txBox="1"/>
        </xdr:nvSpPr>
        <xdr:spPr>
          <a:xfrm>
            <a:off x="3332561" y="3846018"/>
            <a:ext cx="975701" cy="326195"/>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solidFill>
                  <a:srgbClr val="FF0000"/>
                </a:solidFill>
              </a:rPr>
              <a:t>Wing B</a:t>
            </a:r>
            <a:endParaRPr lang="en-IN" sz="1400" b="1">
              <a:solidFill>
                <a:srgbClr val="FF0000"/>
              </a:solidFill>
            </a:endParaRPr>
          </a:p>
        </xdr:txBody>
      </xdr:sp>
      <xdr:sp macro="" textlink="">
        <xdr:nvSpPr>
          <xdr:cNvPr id="42" name="TextBox 147">
            <a:extLst>
              <a:ext uri="{FF2B5EF4-FFF2-40B4-BE49-F238E27FC236}">
                <a16:creationId xmlns:a16="http://schemas.microsoft.com/office/drawing/2014/main" id="{E73764FE-8CEB-4BE3-8AAA-1312B7D20CD8}"/>
              </a:ext>
            </a:extLst>
          </xdr:cNvPr>
          <xdr:cNvSpPr txBox="1"/>
        </xdr:nvSpPr>
        <xdr:spPr>
          <a:xfrm>
            <a:off x="792955" y="4167665"/>
            <a:ext cx="1011030" cy="326195"/>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solidFill>
                  <a:srgbClr val="FF0000"/>
                </a:solidFill>
              </a:rPr>
              <a:t>Wing B</a:t>
            </a:r>
            <a:endParaRPr lang="en-IN" sz="1400" b="1">
              <a:solidFill>
                <a:srgbClr val="FF0000"/>
              </a:solidFill>
            </a:endParaRPr>
          </a:p>
        </xdr:txBody>
      </xdr:sp>
      <xdr:sp macro="" textlink="">
        <xdr:nvSpPr>
          <xdr:cNvPr id="43" name="TextBox 148">
            <a:extLst>
              <a:ext uri="{FF2B5EF4-FFF2-40B4-BE49-F238E27FC236}">
                <a16:creationId xmlns:a16="http://schemas.microsoft.com/office/drawing/2014/main" id="{FC39CD4E-1F2B-4896-A9E4-0283DEB325D1}"/>
              </a:ext>
            </a:extLst>
          </xdr:cNvPr>
          <xdr:cNvSpPr txBox="1"/>
        </xdr:nvSpPr>
        <xdr:spPr>
          <a:xfrm>
            <a:off x="3086101" y="3441514"/>
            <a:ext cx="1036563" cy="326195"/>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solidFill>
                  <a:srgbClr val="FF0000"/>
                </a:solidFill>
              </a:rPr>
              <a:t>Wing A</a:t>
            </a:r>
            <a:endParaRPr lang="en-IN" sz="1400" b="1">
              <a:solidFill>
                <a:srgbClr val="FF0000"/>
              </a:solidFill>
            </a:endParaRPr>
          </a:p>
        </xdr:txBody>
      </xdr:sp>
      <xdr:sp macro="" textlink="">
        <xdr:nvSpPr>
          <xdr:cNvPr id="44" name="TextBox 149">
            <a:extLst>
              <a:ext uri="{FF2B5EF4-FFF2-40B4-BE49-F238E27FC236}">
                <a16:creationId xmlns:a16="http://schemas.microsoft.com/office/drawing/2014/main" id="{3D62BE26-D914-47A7-9F39-38387BE6930C}"/>
              </a:ext>
            </a:extLst>
          </xdr:cNvPr>
          <xdr:cNvSpPr txBox="1"/>
        </xdr:nvSpPr>
        <xdr:spPr>
          <a:xfrm>
            <a:off x="4725591" y="3708996"/>
            <a:ext cx="1023756" cy="326195"/>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solidFill>
                  <a:srgbClr val="FF0000"/>
                </a:solidFill>
              </a:rPr>
              <a:t>Wing C</a:t>
            </a:r>
            <a:endParaRPr lang="en-IN" sz="1400" b="1">
              <a:solidFill>
                <a:srgbClr val="FF0000"/>
              </a:solidFill>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493058</xdr:colOff>
      <xdr:row>1</xdr:row>
      <xdr:rowOff>168088</xdr:rowOff>
    </xdr:from>
    <xdr:to>
      <xdr:col>14</xdr:col>
      <xdr:colOff>253521</xdr:colOff>
      <xdr:row>24</xdr:row>
      <xdr:rowOff>95382</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6269"/>
        <a:stretch/>
      </xdr:blipFill>
      <xdr:spPr>
        <a:xfrm>
          <a:off x="9905999" y="358588"/>
          <a:ext cx="3256698" cy="432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aaradhya-avaan-tardeo.in/?gad_source=1&amp;gad_campaignid=22594453809&amp;gbraid=0AAAAA-XzrkDYd03JlPR0ONgqCBoP0fOo6&amp;gclid=Cj0KCQjw5onGBhDeARIsAFK6QJYEmbc6ZLHNZH3sJbgDGVGPUtrrjx06aZE-5FZJUX2bzHRwMef1dqEaAt3IEALw_wcB" TargetMode="External"/><Relationship Id="rId7" Type="http://schemas.openxmlformats.org/officeDocument/2006/relationships/vmlDrawing" Target="../drawings/vmlDrawing2.vml"/><Relationship Id="rId2" Type="http://schemas.openxmlformats.org/officeDocument/2006/relationships/hyperlink" Target="https://aaradhyaavaantardeo.com/?gad_source=1&amp;gad_campaignid=21333104348&amp;gbraid=0AAAAA9vg9TrwWzTHYUSJy1dQ0TpA6OT_V&amp;gclid=EAIaIQobChMI3Z3PvqG_jwMVwNE8Ah2HKQAhEAAYASAAEgJrqPD_BwE" TargetMode="External"/><Relationship Id="rId1" Type="http://schemas.openxmlformats.org/officeDocument/2006/relationships/hyperlink" Target="https://maps.app.goo.gl/PzVqnmLCM7VjPbtq5"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539"/>
  <sheetViews>
    <sheetView tabSelected="1" view="pageBreakPreview" topLeftCell="A129" zoomScaleNormal="100" zoomScaleSheetLayoutView="100" zoomScalePageLayoutView="85" workbookViewId="0">
      <selection activeCell="I152" sqref="I152"/>
    </sheetView>
  </sheetViews>
  <sheetFormatPr defaultColWidth="9.109375" defaultRowHeight="15.6" x14ac:dyDescent="0.3"/>
  <cols>
    <col min="1" max="1" width="11.44140625" style="37" customWidth="1"/>
    <col min="2" max="2" width="12" style="37" customWidth="1"/>
    <col min="3" max="3" width="12.6640625" style="37" customWidth="1"/>
    <col min="4" max="4" width="13.6640625" style="37" customWidth="1"/>
    <col min="5" max="5" width="11.6640625" style="37" customWidth="1"/>
    <col min="6" max="6" width="11.109375" style="37" customWidth="1"/>
    <col min="7" max="8" width="11" style="37" customWidth="1"/>
    <col min="9" max="9" width="17.44140625" style="18" customWidth="1"/>
    <col min="10" max="10" width="11.44140625" style="18" customWidth="1"/>
    <col min="11" max="11" width="11.33203125" style="18" bestFit="1" customWidth="1"/>
    <col min="12" max="12" width="13.88671875" style="18" bestFit="1" customWidth="1"/>
    <col min="13" max="13" width="11.88671875" style="18" customWidth="1"/>
    <col min="14" max="14" width="12.5546875" style="18" customWidth="1"/>
    <col min="15" max="15" width="12.109375" style="18" customWidth="1"/>
    <col min="16" max="16" width="11.6640625" style="18" customWidth="1"/>
    <col min="17" max="18" width="9.109375" style="18"/>
    <col min="19" max="19" width="10.88671875" style="18" bestFit="1" customWidth="1"/>
    <col min="20" max="20" width="10.6640625" style="18" customWidth="1"/>
    <col min="21" max="247" width="9.109375" style="18"/>
    <col min="248" max="248" width="8.6640625" style="18" customWidth="1"/>
    <col min="249" max="249" width="9.88671875" style="18" customWidth="1"/>
    <col min="250" max="250" width="14.44140625" style="18" customWidth="1"/>
    <col min="251" max="251" width="7.33203125" style="18" customWidth="1"/>
    <col min="252" max="252" width="5.5546875" style="18" customWidth="1"/>
    <col min="253" max="253" width="9" style="18" customWidth="1"/>
    <col min="254" max="255" width="9.88671875" style="18" customWidth="1"/>
    <col min="256" max="256" width="11.109375" style="18" customWidth="1"/>
    <col min="257" max="257" width="2.88671875" style="18" customWidth="1"/>
    <col min="258" max="258" width="3.5546875" style="18" customWidth="1"/>
    <col min="259" max="503" width="9.109375" style="18"/>
    <col min="504" max="504" width="8.6640625" style="18" customWidth="1"/>
    <col min="505" max="505" width="9.88671875" style="18" customWidth="1"/>
    <col min="506" max="506" width="14.44140625" style="18" customWidth="1"/>
    <col min="507" max="507" width="7.33203125" style="18" customWidth="1"/>
    <col min="508" max="508" width="5.5546875" style="18" customWidth="1"/>
    <col min="509" max="509" width="9" style="18" customWidth="1"/>
    <col min="510" max="511" width="9.88671875" style="18" customWidth="1"/>
    <col min="512" max="512" width="11.109375" style="18" customWidth="1"/>
    <col min="513" max="513" width="2.88671875" style="18" customWidth="1"/>
    <col min="514" max="514" width="3.5546875" style="18" customWidth="1"/>
    <col min="515" max="759" width="9.109375" style="18"/>
    <col min="760" max="760" width="8.6640625" style="18" customWidth="1"/>
    <col min="761" max="761" width="9.88671875" style="18" customWidth="1"/>
    <col min="762" max="762" width="14.44140625" style="18" customWidth="1"/>
    <col min="763" max="763" width="7.33203125" style="18" customWidth="1"/>
    <col min="764" max="764" width="5.5546875" style="18" customWidth="1"/>
    <col min="765" max="765" width="9" style="18" customWidth="1"/>
    <col min="766" max="767" width="9.88671875" style="18" customWidth="1"/>
    <col min="768" max="768" width="11.109375" style="18" customWidth="1"/>
    <col min="769" max="769" width="2.88671875" style="18" customWidth="1"/>
    <col min="770" max="770" width="3.5546875" style="18" customWidth="1"/>
    <col min="771" max="1015" width="9.109375" style="18"/>
    <col min="1016" max="1016" width="8.6640625" style="18" customWidth="1"/>
    <col min="1017" max="1017" width="9.88671875" style="18" customWidth="1"/>
    <col min="1018" max="1018" width="14.44140625" style="18" customWidth="1"/>
    <col min="1019" max="1019" width="7.33203125" style="18" customWidth="1"/>
    <col min="1020" max="1020" width="5.5546875" style="18" customWidth="1"/>
    <col min="1021" max="1021" width="9" style="18" customWidth="1"/>
    <col min="1022" max="1023" width="9.88671875" style="18" customWidth="1"/>
    <col min="1024" max="1024" width="11.109375" style="18" customWidth="1"/>
    <col min="1025" max="1025" width="2.88671875" style="18" customWidth="1"/>
    <col min="1026" max="1026" width="3.5546875" style="18" customWidth="1"/>
    <col min="1027" max="1271" width="9.109375" style="18"/>
    <col min="1272" max="1272" width="8.6640625" style="18" customWidth="1"/>
    <col min="1273" max="1273" width="9.88671875" style="18" customWidth="1"/>
    <col min="1274" max="1274" width="14.44140625" style="18" customWidth="1"/>
    <col min="1275" max="1275" width="7.33203125" style="18" customWidth="1"/>
    <col min="1276" max="1276" width="5.5546875" style="18" customWidth="1"/>
    <col min="1277" max="1277" width="9" style="18" customWidth="1"/>
    <col min="1278" max="1279" width="9.88671875" style="18" customWidth="1"/>
    <col min="1280" max="1280" width="11.109375" style="18" customWidth="1"/>
    <col min="1281" max="1281" width="2.88671875" style="18" customWidth="1"/>
    <col min="1282" max="1282" width="3.5546875" style="18" customWidth="1"/>
    <col min="1283" max="1527" width="9.109375" style="18"/>
    <col min="1528" max="1528" width="8.6640625" style="18" customWidth="1"/>
    <col min="1529" max="1529" width="9.88671875" style="18" customWidth="1"/>
    <col min="1530" max="1530" width="14.44140625" style="18" customWidth="1"/>
    <col min="1531" max="1531" width="7.33203125" style="18" customWidth="1"/>
    <col min="1532" max="1532" width="5.5546875" style="18" customWidth="1"/>
    <col min="1533" max="1533" width="9" style="18" customWidth="1"/>
    <col min="1534" max="1535" width="9.88671875" style="18" customWidth="1"/>
    <col min="1536" max="1536" width="11.109375" style="18" customWidth="1"/>
    <col min="1537" max="1537" width="2.88671875" style="18" customWidth="1"/>
    <col min="1538" max="1538" width="3.5546875" style="18" customWidth="1"/>
    <col min="1539" max="1783" width="9.109375" style="18"/>
    <col min="1784" max="1784" width="8.6640625" style="18" customWidth="1"/>
    <col min="1785" max="1785" width="9.88671875" style="18" customWidth="1"/>
    <col min="1786" max="1786" width="14.44140625" style="18" customWidth="1"/>
    <col min="1787" max="1787" width="7.33203125" style="18" customWidth="1"/>
    <col min="1788" max="1788" width="5.5546875" style="18" customWidth="1"/>
    <col min="1789" max="1789" width="9" style="18" customWidth="1"/>
    <col min="1790" max="1791" width="9.88671875" style="18" customWidth="1"/>
    <col min="1792" max="1792" width="11.109375" style="18" customWidth="1"/>
    <col min="1793" max="1793" width="2.88671875" style="18" customWidth="1"/>
    <col min="1794" max="1794" width="3.5546875" style="18" customWidth="1"/>
    <col min="1795" max="2039" width="9.109375" style="18"/>
    <col min="2040" max="2040" width="8.6640625" style="18" customWidth="1"/>
    <col min="2041" max="2041" width="9.88671875" style="18" customWidth="1"/>
    <col min="2042" max="2042" width="14.44140625" style="18" customWidth="1"/>
    <col min="2043" max="2043" width="7.33203125" style="18" customWidth="1"/>
    <col min="2044" max="2044" width="5.5546875" style="18" customWidth="1"/>
    <col min="2045" max="2045" width="9" style="18" customWidth="1"/>
    <col min="2046" max="2047" width="9.88671875" style="18" customWidth="1"/>
    <col min="2048" max="2048" width="11.109375" style="18" customWidth="1"/>
    <col min="2049" max="2049" width="2.88671875" style="18" customWidth="1"/>
    <col min="2050" max="2050" width="3.5546875" style="18" customWidth="1"/>
    <col min="2051" max="2295" width="9.109375" style="18"/>
    <col min="2296" max="2296" width="8.6640625" style="18" customWidth="1"/>
    <col min="2297" max="2297" width="9.88671875" style="18" customWidth="1"/>
    <col min="2298" max="2298" width="14.44140625" style="18" customWidth="1"/>
    <col min="2299" max="2299" width="7.33203125" style="18" customWidth="1"/>
    <col min="2300" max="2300" width="5.5546875" style="18" customWidth="1"/>
    <col min="2301" max="2301" width="9" style="18" customWidth="1"/>
    <col min="2302" max="2303" width="9.88671875" style="18" customWidth="1"/>
    <col min="2304" max="2304" width="11.109375" style="18" customWidth="1"/>
    <col min="2305" max="2305" width="2.88671875" style="18" customWidth="1"/>
    <col min="2306" max="2306" width="3.5546875" style="18" customWidth="1"/>
    <col min="2307" max="2551" width="9.109375" style="18"/>
    <col min="2552" max="2552" width="8.6640625" style="18" customWidth="1"/>
    <col min="2553" max="2553" width="9.88671875" style="18" customWidth="1"/>
    <col min="2554" max="2554" width="14.44140625" style="18" customWidth="1"/>
    <col min="2555" max="2555" width="7.33203125" style="18" customWidth="1"/>
    <col min="2556" max="2556" width="5.5546875" style="18" customWidth="1"/>
    <col min="2557" max="2557" width="9" style="18" customWidth="1"/>
    <col min="2558" max="2559" width="9.88671875" style="18" customWidth="1"/>
    <col min="2560" max="2560" width="11.109375" style="18" customWidth="1"/>
    <col min="2561" max="2561" width="2.88671875" style="18" customWidth="1"/>
    <col min="2562" max="2562" width="3.5546875" style="18" customWidth="1"/>
    <col min="2563" max="2807" width="9.109375" style="18"/>
    <col min="2808" max="2808" width="8.6640625" style="18" customWidth="1"/>
    <col min="2809" max="2809" width="9.88671875" style="18" customWidth="1"/>
    <col min="2810" max="2810" width="14.44140625" style="18" customWidth="1"/>
    <col min="2811" max="2811" width="7.33203125" style="18" customWidth="1"/>
    <col min="2812" max="2812" width="5.5546875" style="18" customWidth="1"/>
    <col min="2813" max="2813" width="9" style="18" customWidth="1"/>
    <col min="2814" max="2815" width="9.88671875" style="18" customWidth="1"/>
    <col min="2816" max="2816" width="11.109375" style="18" customWidth="1"/>
    <col min="2817" max="2817" width="2.88671875" style="18" customWidth="1"/>
    <col min="2818" max="2818" width="3.5546875" style="18" customWidth="1"/>
    <col min="2819" max="3063" width="9.109375" style="18"/>
    <col min="3064" max="3064" width="8.6640625" style="18" customWidth="1"/>
    <col min="3065" max="3065" width="9.88671875" style="18" customWidth="1"/>
    <col min="3066" max="3066" width="14.44140625" style="18" customWidth="1"/>
    <col min="3067" max="3067" width="7.33203125" style="18" customWidth="1"/>
    <col min="3068" max="3068" width="5.5546875" style="18" customWidth="1"/>
    <col min="3069" max="3069" width="9" style="18" customWidth="1"/>
    <col min="3070" max="3071" width="9.88671875" style="18" customWidth="1"/>
    <col min="3072" max="3072" width="11.109375" style="18" customWidth="1"/>
    <col min="3073" max="3073" width="2.88671875" style="18" customWidth="1"/>
    <col min="3074" max="3074" width="3.5546875" style="18" customWidth="1"/>
    <col min="3075" max="3319" width="9.109375" style="18"/>
    <col min="3320" max="3320" width="8.6640625" style="18" customWidth="1"/>
    <col min="3321" max="3321" width="9.88671875" style="18" customWidth="1"/>
    <col min="3322" max="3322" width="14.44140625" style="18" customWidth="1"/>
    <col min="3323" max="3323" width="7.33203125" style="18" customWidth="1"/>
    <col min="3324" max="3324" width="5.5546875" style="18" customWidth="1"/>
    <col min="3325" max="3325" width="9" style="18" customWidth="1"/>
    <col min="3326" max="3327" width="9.88671875" style="18" customWidth="1"/>
    <col min="3328" max="3328" width="11.109375" style="18" customWidth="1"/>
    <col min="3329" max="3329" width="2.88671875" style="18" customWidth="1"/>
    <col min="3330" max="3330" width="3.5546875" style="18" customWidth="1"/>
    <col min="3331" max="3575" width="9.109375" style="18"/>
    <col min="3576" max="3576" width="8.6640625" style="18" customWidth="1"/>
    <col min="3577" max="3577" width="9.88671875" style="18" customWidth="1"/>
    <col min="3578" max="3578" width="14.44140625" style="18" customWidth="1"/>
    <col min="3579" max="3579" width="7.33203125" style="18" customWidth="1"/>
    <col min="3580" max="3580" width="5.5546875" style="18" customWidth="1"/>
    <col min="3581" max="3581" width="9" style="18" customWidth="1"/>
    <col min="3582" max="3583" width="9.88671875" style="18" customWidth="1"/>
    <col min="3584" max="3584" width="11.109375" style="18" customWidth="1"/>
    <col min="3585" max="3585" width="2.88671875" style="18" customWidth="1"/>
    <col min="3586" max="3586" width="3.5546875" style="18" customWidth="1"/>
    <col min="3587" max="3831" width="9.109375" style="18"/>
    <col min="3832" max="3832" width="8.6640625" style="18" customWidth="1"/>
    <col min="3833" max="3833" width="9.88671875" style="18" customWidth="1"/>
    <col min="3834" max="3834" width="14.44140625" style="18" customWidth="1"/>
    <col min="3835" max="3835" width="7.33203125" style="18" customWidth="1"/>
    <col min="3836" max="3836" width="5.5546875" style="18" customWidth="1"/>
    <col min="3837" max="3837" width="9" style="18" customWidth="1"/>
    <col min="3838" max="3839" width="9.88671875" style="18" customWidth="1"/>
    <col min="3840" max="3840" width="11.109375" style="18" customWidth="1"/>
    <col min="3841" max="3841" width="2.88671875" style="18" customWidth="1"/>
    <col min="3842" max="3842" width="3.5546875" style="18" customWidth="1"/>
    <col min="3843" max="4087" width="9.109375" style="18"/>
    <col min="4088" max="4088" width="8.6640625" style="18" customWidth="1"/>
    <col min="4089" max="4089" width="9.88671875" style="18" customWidth="1"/>
    <col min="4090" max="4090" width="14.44140625" style="18" customWidth="1"/>
    <col min="4091" max="4091" width="7.33203125" style="18" customWidth="1"/>
    <col min="4092" max="4092" width="5.5546875" style="18" customWidth="1"/>
    <col min="4093" max="4093" width="9" style="18" customWidth="1"/>
    <col min="4094" max="4095" width="9.88671875" style="18" customWidth="1"/>
    <col min="4096" max="4096" width="11.109375" style="18" customWidth="1"/>
    <col min="4097" max="4097" width="2.88671875" style="18" customWidth="1"/>
    <col min="4098" max="4098" width="3.5546875" style="18" customWidth="1"/>
    <col min="4099" max="4343" width="9.109375" style="18"/>
    <col min="4344" max="4344" width="8.6640625" style="18" customWidth="1"/>
    <col min="4345" max="4345" width="9.88671875" style="18" customWidth="1"/>
    <col min="4346" max="4346" width="14.44140625" style="18" customWidth="1"/>
    <col min="4347" max="4347" width="7.33203125" style="18" customWidth="1"/>
    <col min="4348" max="4348" width="5.5546875" style="18" customWidth="1"/>
    <col min="4349" max="4349" width="9" style="18" customWidth="1"/>
    <col min="4350" max="4351" width="9.88671875" style="18" customWidth="1"/>
    <col min="4352" max="4352" width="11.109375" style="18" customWidth="1"/>
    <col min="4353" max="4353" width="2.88671875" style="18" customWidth="1"/>
    <col min="4354" max="4354" width="3.5546875" style="18" customWidth="1"/>
    <col min="4355" max="4599" width="9.109375" style="18"/>
    <col min="4600" max="4600" width="8.6640625" style="18" customWidth="1"/>
    <col min="4601" max="4601" width="9.88671875" style="18" customWidth="1"/>
    <col min="4602" max="4602" width="14.44140625" style="18" customWidth="1"/>
    <col min="4603" max="4603" width="7.33203125" style="18" customWidth="1"/>
    <col min="4604" max="4604" width="5.5546875" style="18" customWidth="1"/>
    <col min="4605" max="4605" width="9" style="18" customWidth="1"/>
    <col min="4606" max="4607" width="9.88671875" style="18" customWidth="1"/>
    <col min="4608" max="4608" width="11.109375" style="18" customWidth="1"/>
    <col min="4609" max="4609" width="2.88671875" style="18" customWidth="1"/>
    <col min="4610" max="4610" width="3.5546875" style="18" customWidth="1"/>
    <col min="4611" max="4855" width="9.109375" style="18"/>
    <col min="4856" max="4856" width="8.6640625" style="18" customWidth="1"/>
    <col min="4857" max="4857" width="9.88671875" style="18" customWidth="1"/>
    <col min="4858" max="4858" width="14.44140625" style="18" customWidth="1"/>
    <col min="4859" max="4859" width="7.33203125" style="18" customWidth="1"/>
    <col min="4860" max="4860" width="5.5546875" style="18" customWidth="1"/>
    <col min="4861" max="4861" width="9" style="18" customWidth="1"/>
    <col min="4862" max="4863" width="9.88671875" style="18" customWidth="1"/>
    <col min="4864" max="4864" width="11.109375" style="18" customWidth="1"/>
    <col min="4865" max="4865" width="2.88671875" style="18" customWidth="1"/>
    <col min="4866" max="4866" width="3.5546875" style="18" customWidth="1"/>
    <col min="4867" max="5111" width="9.109375" style="18"/>
    <col min="5112" max="5112" width="8.6640625" style="18" customWidth="1"/>
    <col min="5113" max="5113" width="9.88671875" style="18" customWidth="1"/>
    <col min="5114" max="5114" width="14.44140625" style="18" customWidth="1"/>
    <col min="5115" max="5115" width="7.33203125" style="18" customWidth="1"/>
    <col min="5116" max="5116" width="5.5546875" style="18" customWidth="1"/>
    <col min="5117" max="5117" width="9" style="18" customWidth="1"/>
    <col min="5118" max="5119" width="9.88671875" style="18" customWidth="1"/>
    <col min="5120" max="5120" width="11.109375" style="18" customWidth="1"/>
    <col min="5121" max="5121" width="2.88671875" style="18" customWidth="1"/>
    <col min="5122" max="5122" width="3.5546875" style="18" customWidth="1"/>
    <col min="5123" max="5367" width="9.109375" style="18"/>
    <col min="5368" max="5368" width="8.6640625" style="18" customWidth="1"/>
    <col min="5369" max="5369" width="9.88671875" style="18" customWidth="1"/>
    <col min="5370" max="5370" width="14.44140625" style="18" customWidth="1"/>
    <col min="5371" max="5371" width="7.33203125" style="18" customWidth="1"/>
    <col min="5372" max="5372" width="5.5546875" style="18" customWidth="1"/>
    <col min="5373" max="5373" width="9" style="18" customWidth="1"/>
    <col min="5374" max="5375" width="9.88671875" style="18" customWidth="1"/>
    <col min="5376" max="5376" width="11.109375" style="18" customWidth="1"/>
    <col min="5377" max="5377" width="2.88671875" style="18" customWidth="1"/>
    <col min="5378" max="5378" width="3.5546875" style="18" customWidth="1"/>
    <col min="5379" max="5623" width="9.109375" style="18"/>
    <col min="5624" max="5624" width="8.6640625" style="18" customWidth="1"/>
    <col min="5625" max="5625" width="9.88671875" style="18" customWidth="1"/>
    <col min="5626" max="5626" width="14.44140625" style="18" customWidth="1"/>
    <col min="5627" max="5627" width="7.33203125" style="18" customWidth="1"/>
    <col min="5628" max="5628" width="5.5546875" style="18" customWidth="1"/>
    <col min="5629" max="5629" width="9" style="18" customWidth="1"/>
    <col min="5630" max="5631" width="9.88671875" style="18" customWidth="1"/>
    <col min="5632" max="5632" width="11.109375" style="18" customWidth="1"/>
    <col min="5633" max="5633" width="2.88671875" style="18" customWidth="1"/>
    <col min="5634" max="5634" width="3.5546875" style="18" customWidth="1"/>
    <col min="5635" max="5879" width="9.109375" style="18"/>
    <col min="5880" max="5880" width="8.6640625" style="18" customWidth="1"/>
    <col min="5881" max="5881" width="9.88671875" style="18" customWidth="1"/>
    <col min="5882" max="5882" width="14.44140625" style="18" customWidth="1"/>
    <col min="5883" max="5883" width="7.33203125" style="18" customWidth="1"/>
    <col min="5884" max="5884" width="5.5546875" style="18" customWidth="1"/>
    <col min="5885" max="5885" width="9" style="18" customWidth="1"/>
    <col min="5886" max="5887" width="9.88671875" style="18" customWidth="1"/>
    <col min="5888" max="5888" width="11.109375" style="18" customWidth="1"/>
    <col min="5889" max="5889" width="2.88671875" style="18" customWidth="1"/>
    <col min="5890" max="5890" width="3.5546875" style="18" customWidth="1"/>
    <col min="5891" max="6135" width="9.109375" style="18"/>
    <col min="6136" max="6136" width="8.6640625" style="18" customWidth="1"/>
    <col min="6137" max="6137" width="9.88671875" style="18" customWidth="1"/>
    <col min="6138" max="6138" width="14.44140625" style="18" customWidth="1"/>
    <col min="6139" max="6139" width="7.33203125" style="18" customWidth="1"/>
    <col min="6140" max="6140" width="5.5546875" style="18" customWidth="1"/>
    <col min="6141" max="6141" width="9" style="18" customWidth="1"/>
    <col min="6142" max="6143" width="9.88671875" style="18" customWidth="1"/>
    <col min="6144" max="6144" width="11.109375" style="18" customWidth="1"/>
    <col min="6145" max="6145" width="2.88671875" style="18" customWidth="1"/>
    <col min="6146" max="6146" width="3.5546875" style="18" customWidth="1"/>
    <col min="6147" max="6391" width="9.109375" style="18"/>
    <col min="6392" max="6392" width="8.6640625" style="18" customWidth="1"/>
    <col min="6393" max="6393" width="9.88671875" style="18" customWidth="1"/>
    <col min="6394" max="6394" width="14.44140625" style="18" customWidth="1"/>
    <col min="6395" max="6395" width="7.33203125" style="18" customWidth="1"/>
    <col min="6396" max="6396" width="5.5546875" style="18" customWidth="1"/>
    <col min="6397" max="6397" width="9" style="18" customWidth="1"/>
    <col min="6398" max="6399" width="9.88671875" style="18" customWidth="1"/>
    <col min="6400" max="6400" width="11.109375" style="18" customWidth="1"/>
    <col min="6401" max="6401" width="2.88671875" style="18" customWidth="1"/>
    <col min="6402" max="6402" width="3.5546875" style="18" customWidth="1"/>
    <col min="6403" max="6647" width="9.109375" style="18"/>
    <col min="6648" max="6648" width="8.6640625" style="18" customWidth="1"/>
    <col min="6649" max="6649" width="9.88671875" style="18" customWidth="1"/>
    <col min="6650" max="6650" width="14.44140625" style="18" customWidth="1"/>
    <col min="6651" max="6651" width="7.33203125" style="18" customWidth="1"/>
    <col min="6652" max="6652" width="5.5546875" style="18" customWidth="1"/>
    <col min="6653" max="6653" width="9" style="18" customWidth="1"/>
    <col min="6654" max="6655" width="9.88671875" style="18" customWidth="1"/>
    <col min="6656" max="6656" width="11.109375" style="18" customWidth="1"/>
    <col min="6657" max="6657" width="2.88671875" style="18" customWidth="1"/>
    <col min="6658" max="6658" width="3.5546875" style="18" customWidth="1"/>
    <col min="6659" max="6903" width="9.109375" style="18"/>
    <col min="6904" max="6904" width="8.6640625" style="18" customWidth="1"/>
    <col min="6905" max="6905" width="9.88671875" style="18" customWidth="1"/>
    <col min="6906" max="6906" width="14.44140625" style="18" customWidth="1"/>
    <col min="6907" max="6907" width="7.33203125" style="18" customWidth="1"/>
    <col min="6908" max="6908" width="5.5546875" style="18" customWidth="1"/>
    <col min="6909" max="6909" width="9" style="18" customWidth="1"/>
    <col min="6910" max="6911" width="9.88671875" style="18" customWidth="1"/>
    <col min="6912" max="6912" width="11.109375" style="18" customWidth="1"/>
    <col min="6913" max="6913" width="2.88671875" style="18" customWidth="1"/>
    <col min="6914" max="6914" width="3.5546875" style="18" customWidth="1"/>
    <col min="6915" max="7159" width="9.109375" style="18"/>
    <col min="7160" max="7160" width="8.6640625" style="18" customWidth="1"/>
    <col min="7161" max="7161" width="9.88671875" style="18" customWidth="1"/>
    <col min="7162" max="7162" width="14.44140625" style="18" customWidth="1"/>
    <col min="7163" max="7163" width="7.33203125" style="18" customWidth="1"/>
    <col min="7164" max="7164" width="5.5546875" style="18" customWidth="1"/>
    <col min="7165" max="7165" width="9" style="18" customWidth="1"/>
    <col min="7166" max="7167" width="9.88671875" style="18" customWidth="1"/>
    <col min="7168" max="7168" width="11.109375" style="18" customWidth="1"/>
    <col min="7169" max="7169" width="2.88671875" style="18" customWidth="1"/>
    <col min="7170" max="7170" width="3.5546875" style="18" customWidth="1"/>
    <col min="7171" max="7415" width="9.109375" style="18"/>
    <col min="7416" max="7416" width="8.6640625" style="18" customWidth="1"/>
    <col min="7417" max="7417" width="9.88671875" style="18" customWidth="1"/>
    <col min="7418" max="7418" width="14.44140625" style="18" customWidth="1"/>
    <col min="7419" max="7419" width="7.33203125" style="18" customWidth="1"/>
    <col min="7420" max="7420" width="5.5546875" style="18" customWidth="1"/>
    <col min="7421" max="7421" width="9" style="18" customWidth="1"/>
    <col min="7422" max="7423" width="9.88671875" style="18" customWidth="1"/>
    <col min="7424" max="7424" width="11.109375" style="18" customWidth="1"/>
    <col min="7425" max="7425" width="2.88671875" style="18" customWidth="1"/>
    <col min="7426" max="7426" width="3.5546875" style="18" customWidth="1"/>
    <col min="7427" max="7671" width="9.109375" style="18"/>
    <col min="7672" max="7672" width="8.6640625" style="18" customWidth="1"/>
    <col min="7673" max="7673" width="9.88671875" style="18" customWidth="1"/>
    <col min="7674" max="7674" width="14.44140625" style="18" customWidth="1"/>
    <col min="7675" max="7675" width="7.33203125" style="18" customWidth="1"/>
    <col min="7676" max="7676" width="5.5546875" style="18" customWidth="1"/>
    <col min="7677" max="7677" width="9" style="18" customWidth="1"/>
    <col min="7678" max="7679" width="9.88671875" style="18" customWidth="1"/>
    <col min="7680" max="7680" width="11.109375" style="18" customWidth="1"/>
    <col min="7681" max="7681" width="2.88671875" style="18" customWidth="1"/>
    <col min="7682" max="7682" width="3.5546875" style="18" customWidth="1"/>
    <col min="7683" max="7927" width="9.109375" style="18"/>
    <col min="7928" max="7928" width="8.6640625" style="18" customWidth="1"/>
    <col min="7929" max="7929" width="9.88671875" style="18" customWidth="1"/>
    <col min="7930" max="7930" width="14.44140625" style="18" customWidth="1"/>
    <col min="7931" max="7931" width="7.33203125" style="18" customWidth="1"/>
    <col min="7932" max="7932" width="5.5546875" style="18" customWidth="1"/>
    <col min="7933" max="7933" width="9" style="18" customWidth="1"/>
    <col min="7934" max="7935" width="9.88671875" style="18" customWidth="1"/>
    <col min="7936" max="7936" width="11.109375" style="18" customWidth="1"/>
    <col min="7937" max="7937" width="2.88671875" style="18" customWidth="1"/>
    <col min="7938" max="7938" width="3.5546875" style="18" customWidth="1"/>
    <col min="7939" max="8183" width="9.109375" style="18"/>
    <col min="8184" max="8184" width="8.6640625" style="18" customWidth="1"/>
    <col min="8185" max="8185" width="9.88671875" style="18" customWidth="1"/>
    <col min="8186" max="8186" width="14.44140625" style="18" customWidth="1"/>
    <col min="8187" max="8187" width="7.33203125" style="18" customWidth="1"/>
    <col min="8188" max="8188" width="5.5546875" style="18" customWidth="1"/>
    <col min="8189" max="8189" width="9" style="18" customWidth="1"/>
    <col min="8190" max="8191" width="9.88671875" style="18" customWidth="1"/>
    <col min="8192" max="8192" width="11.109375" style="18" customWidth="1"/>
    <col min="8193" max="8193" width="2.88671875" style="18" customWidth="1"/>
    <col min="8194" max="8194" width="3.5546875" style="18" customWidth="1"/>
    <col min="8195" max="8439" width="9.109375" style="18"/>
    <col min="8440" max="8440" width="8.6640625" style="18" customWidth="1"/>
    <col min="8441" max="8441" width="9.88671875" style="18" customWidth="1"/>
    <col min="8442" max="8442" width="14.44140625" style="18" customWidth="1"/>
    <col min="8443" max="8443" width="7.33203125" style="18" customWidth="1"/>
    <col min="8444" max="8444" width="5.5546875" style="18" customWidth="1"/>
    <col min="8445" max="8445" width="9" style="18" customWidth="1"/>
    <col min="8446" max="8447" width="9.88671875" style="18" customWidth="1"/>
    <col min="8448" max="8448" width="11.109375" style="18" customWidth="1"/>
    <col min="8449" max="8449" width="2.88671875" style="18" customWidth="1"/>
    <col min="8450" max="8450" width="3.5546875" style="18" customWidth="1"/>
    <col min="8451" max="8695" width="9.109375" style="18"/>
    <col min="8696" max="8696" width="8.6640625" style="18" customWidth="1"/>
    <col min="8697" max="8697" width="9.88671875" style="18" customWidth="1"/>
    <col min="8698" max="8698" width="14.44140625" style="18" customWidth="1"/>
    <col min="8699" max="8699" width="7.33203125" style="18" customWidth="1"/>
    <col min="8700" max="8700" width="5.5546875" style="18" customWidth="1"/>
    <col min="8701" max="8701" width="9" style="18" customWidth="1"/>
    <col min="8702" max="8703" width="9.88671875" style="18" customWidth="1"/>
    <col min="8704" max="8704" width="11.109375" style="18" customWidth="1"/>
    <col min="8705" max="8705" width="2.88671875" style="18" customWidth="1"/>
    <col min="8706" max="8706" width="3.5546875" style="18" customWidth="1"/>
    <col min="8707" max="8951" width="9.109375" style="18"/>
    <col min="8952" max="8952" width="8.6640625" style="18" customWidth="1"/>
    <col min="8953" max="8953" width="9.88671875" style="18" customWidth="1"/>
    <col min="8954" max="8954" width="14.44140625" style="18" customWidth="1"/>
    <col min="8955" max="8955" width="7.33203125" style="18" customWidth="1"/>
    <col min="8956" max="8956" width="5.5546875" style="18" customWidth="1"/>
    <col min="8957" max="8957" width="9" style="18" customWidth="1"/>
    <col min="8958" max="8959" width="9.88671875" style="18" customWidth="1"/>
    <col min="8960" max="8960" width="11.109375" style="18" customWidth="1"/>
    <col min="8961" max="8961" width="2.88671875" style="18" customWidth="1"/>
    <col min="8962" max="8962" width="3.5546875" style="18" customWidth="1"/>
    <col min="8963" max="9207" width="9.109375" style="18"/>
    <col min="9208" max="9208" width="8.6640625" style="18" customWidth="1"/>
    <col min="9209" max="9209" width="9.88671875" style="18" customWidth="1"/>
    <col min="9210" max="9210" width="14.44140625" style="18" customWidth="1"/>
    <col min="9211" max="9211" width="7.33203125" style="18" customWidth="1"/>
    <col min="9212" max="9212" width="5.5546875" style="18" customWidth="1"/>
    <col min="9213" max="9213" width="9" style="18" customWidth="1"/>
    <col min="9214" max="9215" width="9.88671875" style="18" customWidth="1"/>
    <col min="9216" max="9216" width="11.109375" style="18" customWidth="1"/>
    <col min="9217" max="9217" width="2.88671875" style="18" customWidth="1"/>
    <col min="9218" max="9218" width="3.5546875" style="18" customWidth="1"/>
    <col min="9219" max="9463" width="9.109375" style="18"/>
    <col min="9464" max="9464" width="8.6640625" style="18" customWidth="1"/>
    <col min="9465" max="9465" width="9.88671875" style="18" customWidth="1"/>
    <col min="9466" max="9466" width="14.44140625" style="18" customWidth="1"/>
    <col min="9467" max="9467" width="7.33203125" style="18" customWidth="1"/>
    <col min="9468" max="9468" width="5.5546875" style="18" customWidth="1"/>
    <col min="9469" max="9469" width="9" style="18" customWidth="1"/>
    <col min="9470" max="9471" width="9.88671875" style="18" customWidth="1"/>
    <col min="9472" max="9472" width="11.109375" style="18" customWidth="1"/>
    <col min="9473" max="9473" width="2.88671875" style="18" customWidth="1"/>
    <col min="9474" max="9474" width="3.5546875" style="18" customWidth="1"/>
    <col min="9475" max="9719" width="9.109375" style="18"/>
    <col min="9720" max="9720" width="8.6640625" style="18" customWidth="1"/>
    <col min="9721" max="9721" width="9.88671875" style="18" customWidth="1"/>
    <col min="9722" max="9722" width="14.44140625" style="18" customWidth="1"/>
    <col min="9723" max="9723" width="7.33203125" style="18" customWidth="1"/>
    <col min="9724" max="9724" width="5.5546875" style="18" customWidth="1"/>
    <col min="9725" max="9725" width="9" style="18" customWidth="1"/>
    <col min="9726" max="9727" width="9.88671875" style="18" customWidth="1"/>
    <col min="9728" max="9728" width="11.109375" style="18" customWidth="1"/>
    <col min="9729" max="9729" width="2.88671875" style="18" customWidth="1"/>
    <col min="9730" max="9730" width="3.5546875" style="18" customWidth="1"/>
    <col min="9731" max="9975" width="9.109375" style="18"/>
    <col min="9976" max="9976" width="8.6640625" style="18" customWidth="1"/>
    <col min="9977" max="9977" width="9.88671875" style="18" customWidth="1"/>
    <col min="9978" max="9978" width="14.44140625" style="18" customWidth="1"/>
    <col min="9979" max="9979" width="7.33203125" style="18" customWidth="1"/>
    <col min="9980" max="9980" width="5.5546875" style="18" customWidth="1"/>
    <col min="9981" max="9981" width="9" style="18" customWidth="1"/>
    <col min="9982" max="9983" width="9.88671875" style="18" customWidth="1"/>
    <col min="9984" max="9984" width="11.109375" style="18" customWidth="1"/>
    <col min="9985" max="9985" width="2.88671875" style="18" customWidth="1"/>
    <col min="9986" max="9986" width="3.5546875" style="18" customWidth="1"/>
    <col min="9987" max="10231" width="9.109375" style="18"/>
    <col min="10232" max="10232" width="8.6640625" style="18" customWidth="1"/>
    <col min="10233" max="10233" width="9.88671875" style="18" customWidth="1"/>
    <col min="10234" max="10234" width="14.44140625" style="18" customWidth="1"/>
    <col min="10235" max="10235" width="7.33203125" style="18" customWidth="1"/>
    <col min="10236" max="10236" width="5.5546875" style="18" customWidth="1"/>
    <col min="10237" max="10237" width="9" style="18" customWidth="1"/>
    <col min="10238" max="10239" width="9.88671875" style="18" customWidth="1"/>
    <col min="10240" max="10240" width="11.109375" style="18" customWidth="1"/>
    <col min="10241" max="10241" width="2.88671875" style="18" customWidth="1"/>
    <col min="10242" max="10242" width="3.5546875" style="18" customWidth="1"/>
    <col min="10243" max="10487" width="9.109375" style="18"/>
    <col min="10488" max="10488" width="8.6640625" style="18" customWidth="1"/>
    <col min="10489" max="10489" width="9.88671875" style="18" customWidth="1"/>
    <col min="10490" max="10490" width="14.44140625" style="18" customWidth="1"/>
    <col min="10491" max="10491" width="7.33203125" style="18" customWidth="1"/>
    <col min="10492" max="10492" width="5.5546875" style="18" customWidth="1"/>
    <col min="10493" max="10493" width="9" style="18" customWidth="1"/>
    <col min="10494" max="10495" width="9.88671875" style="18" customWidth="1"/>
    <col min="10496" max="10496" width="11.109375" style="18" customWidth="1"/>
    <col min="10497" max="10497" width="2.88671875" style="18" customWidth="1"/>
    <col min="10498" max="10498" width="3.5546875" style="18" customWidth="1"/>
    <col min="10499" max="10743" width="9.109375" style="18"/>
    <col min="10744" max="10744" width="8.6640625" style="18" customWidth="1"/>
    <col min="10745" max="10745" width="9.88671875" style="18" customWidth="1"/>
    <col min="10746" max="10746" width="14.44140625" style="18" customWidth="1"/>
    <col min="10747" max="10747" width="7.33203125" style="18" customWidth="1"/>
    <col min="10748" max="10748" width="5.5546875" style="18" customWidth="1"/>
    <col min="10749" max="10749" width="9" style="18" customWidth="1"/>
    <col min="10750" max="10751" width="9.88671875" style="18" customWidth="1"/>
    <col min="10752" max="10752" width="11.109375" style="18" customWidth="1"/>
    <col min="10753" max="10753" width="2.88671875" style="18" customWidth="1"/>
    <col min="10754" max="10754" width="3.5546875" style="18" customWidth="1"/>
    <col min="10755" max="10999" width="9.109375" style="18"/>
    <col min="11000" max="11000" width="8.6640625" style="18" customWidth="1"/>
    <col min="11001" max="11001" width="9.88671875" style="18" customWidth="1"/>
    <col min="11002" max="11002" width="14.44140625" style="18" customWidth="1"/>
    <col min="11003" max="11003" width="7.33203125" style="18" customWidth="1"/>
    <col min="11004" max="11004" width="5.5546875" style="18" customWidth="1"/>
    <col min="11005" max="11005" width="9" style="18" customWidth="1"/>
    <col min="11006" max="11007" width="9.88671875" style="18" customWidth="1"/>
    <col min="11008" max="11008" width="11.109375" style="18" customWidth="1"/>
    <col min="11009" max="11009" width="2.88671875" style="18" customWidth="1"/>
    <col min="11010" max="11010" width="3.5546875" style="18" customWidth="1"/>
    <col min="11011" max="11255" width="9.109375" style="18"/>
    <col min="11256" max="11256" width="8.6640625" style="18" customWidth="1"/>
    <col min="11257" max="11257" width="9.88671875" style="18" customWidth="1"/>
    <col min="11258" max="11258" width="14.44140625" style="18" customWidth="1"/>
    <col min="11259" max="11259" width="7.33203125" style="18" customWidth="1"/>
    <col min="11260" max="11260" width="5.5546875" style="18" customWidth="1"/>
    <col min="11261" max="11261" width="9" style="18" customWidth="1"/>
    <col min="11262" max="11263" width="9.88671875" style="18" customWidth="1"/>
    <col min="11264" max="11264" width="11.109375" style="18" customWidth="1"/>
    <col min="11265" max="11265" width="2.88671875" style="18" customWidth="1"/>
    <col min="11266" max="11266" width="3.5546875" style="18" customWidth="1"/>
    <col min="11267" max="11511" width="9.109375" style="18"/>
    <col min="11512" max="11512" width="8.6640625" style="18" customWidth="1"/>
    <col min="11513" max="11513" width="9.88671875" style="18" customWidth="1"/>
    <col min="11514" max="11514" width="14.44140625" style="18" customWidth="1"/>
    <col min="11515" max="11515" width="7.33203125" style="18" customWidth="1"/>
    <col min="11516" max="11516" width="5.5546875" style="18" customWidth="1"/>
    <col min="11517" max="11517" width="9" style="18" customWidth="1"/>
    <col min="11518" max="11519" width="9.88671875" style="18" customWidth="1"/>
    <col min="11520" max="11520" width="11.109375" style="18" customWidth="1"/>
    <col min="11521" max="11521" width="2.88671875" style="18" customWidth="1"/>
    <col min="11522" max="11522" width="3.5546875" style="18" customWidth="1"/>
    <col min="11523" max="11767" width="9.109375" style="18"/>
    <col min="11768" max="11768" width="8.6640625" style="18" customWidth="1"/>
    <col min="11769" max="11769" width="9.88671875" style="18" customWidth="1"/>
    <col min="11770" max="11770" width="14.44140625" style="18" customWidth="1"/>
    <col min="11771" max="11771" width="7.33203125" style="18" customWidth="1"/>
    <col min="11772" max="11772" width="5.5546875" style="18" customWidth="1"/>
    <col min="11773" max="11773" width="9" style="18" customWidth="1"/>
    <col min="11774" max="11775" width="9.88671875" style="18" customWidth="1"/>
    <col min="11776" max="11776" width="11.109375" style="18" customWidth="1"/>
    <col min="11777" max="11777" width="2.88671875" style="18" customWidth="1"/>
    <col min="11778" max="11778" width="3.5546875" style="18" customWidth="1"/>
    <col min="11779" max="12023" width="9.109375" style="18"/>
    <col min="12024" max="12024" width="8.6640625" style="18" customWidth="1"/>
    <col min="12025" max="12025" width="9.88671875" style="18" customWidth="1"/>
    <col min="12026" max="12026" width="14.44140625" style="18" customWidth="1"/>
    <col min="12027" max="12027" width="7.33203125" style="18" customWidth="1"/>
    <col min="12028" max="12028" width="5.5546875" style="18" customWidth="1"/>
    <col min="12029" max="12029" width="9" style="18" customWidth="1"/>
    <col min="12030" max="12031" width="9.88671875" style="18" customWidth="1"/>
    <col min="12032" max="12032" width="11.109375" style="18" customWidth="1"/>
    <col min="12033" max="12033" width="2.88671875" style="18" customWidth="1"/>
    <col min="12034" max="12034" width="3.5546875" style="18" customWidth="1"/>
    <col min="12035" max="12279" width="9.109375" style="18"/>
    <col min="12280" max="12280" width="8.6640625" style="18" customWidth="1"/>
    <col min="12281" max="12281" width="9.88671875" style="18" customWidth="1"/>
    <col min="12282" max="12282" width="14.44140625" style="18" customWidth="1"/>
    <col min="12283" max="12283" width="7.33203125" style="18" customWidth="1"/>
    <col min="12284" max="12284" width="5.5546875" style="18" customWidth="1"/>
    <col min="12285" max="12285" width="9" style="18" customWidth="1"/>
    <col min="12286" max="12287" width="9.88671875" style="18" customWidth="1"/>
    <col min="12288" max="12288" width="11.109375" style="18" customWidth="1"/>
    <col min="12289" max="12289" width="2.88671875" style="18" customWidth="1"/>
    <col min="12290" max="12290" width="3.5546875" style="18" customWidth="1"/>
    <col min="12291" max="12535" width="9.109375" style="18"/>
    <col min="12536" max="12536" width="8.6640625" style="18" customWidth="1"/>
    <col min="12537" max="12537" width="9.88671875" style="18" customWidth="1"/>
    <col min="12538" max="12538" width="14.44140625" style="18" customWidth="1"/>
    <col min="12539" max="12539" width="7.33203125" style="18" customWidth="1"/>
    <col min="12540" max="12540" width="5.5546875" style="18" customWidth="1"/>
    <col min="12541" max="12541" width="9" style="18" customWidth="1"/>
    <col min="12542" max="12543" width="9.88671875" style="18" customWidth="1"/>
    <col min="12544" max="12544" width="11.109375" style="18" customWidth="1"/>
    <col min="12545" max="12545" width="2.88671875" style="18" customWidth="1"/>
    <col min="12546" max="12546" width="3.5546875" style="18" customWidth="1"/>
    <col min="12547" max="12791" width="9.109375" style="18"/>
    <col min="12792" max="12792" width="8.6640625" style="18" customWidth="1"/>
    <col min="12793" max="12793" width="9.88671875" style="18" customWidth="1"/>
    <col min="12794" max="12794" width="14.44140625" style="18" customWidth="1"/>
    <col min="12795" max="12795" width="7.33203125" style="18" customWidth="1"/>
    <col min="12796" max="12796" width="5.5546875" style="18" customWidth="1"/>
    <col min="12797" max="12797" width="9" style="18" customWidth="1"/>
    <col min="12798" max="12799" width="9.88671875" style="18" customWidth="1"/>
    <col min="12800" max="12800" width="11.109375" style="18" customWidth="1"/>
    <col min="12801" max="12801" width="2.88671875" style="18" customWidth="1"/>
    <col min="12802" max="12802" width="3.5546875" style="18" customWidth="1"/>
    <col min="12803" max="13047" width="9.109375" style="18"/>
    <col min="13048" max="13048" width="8.6640625" style="18" customWidth="1"/>
    <col min="13049" max="13049" width="9.88671875" style="18" customWidth="1"/>
    <col min="13050" max="13050" width="14.44140625" style="18" customWidth="1"/>
    <col min="13051" max="13051" width="7.33203125" style="18" customWidth="1"/>
    <col min="13052" max="13052" width="5.5546875" style="18" customWidth="1"/>
    <col min="13053" max="13053" width="9" style="18" customWidth="1"/>
    <col min="13054" max="13055" width="9.88671875" style="18" customWidth="1"/>
    <col min="13056" max="13056" width="11.109375" style="18" customWidth="1"/>
    <col min="13057" max="13057" width="2.88671875" style="18" customWidth="1"/>
    <col min="13058" max="13058" width="3.5546875" style="18" customWidth="1"/>
    <col min="13059" max="13303" width="9.109375" style="18"/>
    <col min="13304" max="13304" width="8.6640625" style="18" customWidth="1"/>
    <col min="13305" max="13305" width="9.88671875" style="18" customWidth="1"/>
    <col min="13306" max="13306" width="14.44140625" style="18" customWidth="1"/>
    <col min="13307" max="13307" width="7.33203125" style="18" customWidth="1"/>
    <col min="13308" max="13308" width="5.5546875" style="18" customWidth="1"/>
    <col min="13309" max="13309" width="9" style="18" customWidth="1"/>
    <col min="13310" max="13311" width="9.88671875" style="18" customWidth="1"/>
    <col min="13312" max="13312" width="11.109375" style="18" customWidth="1"/>
    <col min="13313" max="13313" width="2.88671875" style="18" customWidth="1"/>
    <col min="13314" max="13314" width="3.5546875" style="18" customWidth="1"/>
    <col min="13315" max="13559" width="9.109375" style="18"/>
    <col min="13560" max="13560" width="8.6640625" style="18" customWidth="1"/>
    <col min="13561" max="13561" width="9.88671875" style="18" customWidth="1"/>
    <col min="13562" max="13562" width="14.44140625" style="18" customWidth="1"/>
    <col min="13563" max="13563" width="7.33203125" style="18" customWidth="1"/>
    <col min="13564" max="13564" width="5.5546875" style="18" customWidth="1"/>
    <col min="13565" max="13565" width="9" style="18" customWidth="1"/>
    <col min="13566" max="13567" width="9.88671875" style="18" customWidth="1"/>
    <col min="13568" max="13568" width="11.109375" style="18" customWidth="1"/>
    <col min="13569" max="13569" width="2.88671875" style="18" customWidth="1"/>
    <col min="13570" max="13570" width="3.5546875" style="18" customWidth="1"/>
    <col min="13571" max="13815" width="9.109375" style="18"/>
    <col min="13816" max="13816" width="8.6640625" style="18" customWidth="1"/>
    <col min="13817" max="13817" width="9.88671875" style="18" customWidth="1"/>
    <col min="13818" max="13818" width="14.44140625" style="18" customWidth="1"/>
    <col min="13819" max="13819" width="7.33203125" style="18" customWidth="1"/>
    <col min="13820" max="13820" width="5.5546875" style="18" customWidth="1"/>
    <col min="13821" max="13821" width="9" style="18" customWidth="1"/>
    <col min="13822" max="13823" width="9.88671875" style="18" customWidth="1"/>
    <col min="13824" max="13824" width="11.109375" style="18" customWidth="1"/>
    <col min="13825" max="13825" width="2.88671875" style="18" customWidth="1"/>
    <col min="13826" max="13826" width="3.5546875" style="18" customWidth="1"/>
    <col min="13827" max="14071" width="9.109375" style="18"/>
    <col min="14072" max="14072" width="8.6640625" style="18" customWidth="1"/>
    <col min="14073" max="14073" width="9.88671875" style="18" customWidth="1"/>
    <col min="14074" max="14074" width="14.44140625" style="18" customWidth="1"/>
    <col min="14075" max="14075" width="7.33203125" style="18" customWidth="1"/>
    <col min="14076" max="14076" width="5.5546875" style="18" customWidth="1"/>
    <col min="14077" max="14077" width="9" style="18" customWidth="1"/>
    <col min="14078" max="14079" width="9.88671875" style="18" customWidth="1"/>
    <col min="14080" max="14080" width="11.109375" style="18" customWidth="1"/>
    <col min="14081" max="14081" width="2.88671875" style="18" customWidth="1"/>
    <col min="14082" max="14082" width="3.5546875" style="18" customWidth="1"/>
    <col min="14083" max="14327" width="9.109375" style="18"/>
    <col min="14328" max="14328" width="8.6640625" style="18" customWidth="1"/>
    <col min="14329" max="14329" width="9.88671875" style="18" customWidth="1"/>
    <col min="14330" max="14330" width="14.44140625" style="18" customWidth="1"/>
    <col min="14331" max="14331" width="7.33203125" style="18" customWidth="1"/>
    <col min="14332" max="14332" width="5.5546875" style="18" customWidth="1"/>
    <col min="14333" max="14333" width="9" style="18" customWidth="1"/>
    <col min="14334" max="14335" width="9.88671875" style="18" customWidth="1"/>
    <col min="14336" max="14336" width="11.109375" style="18" customWidth="1"/>
    <col min="14337" max="14337" width="2.88671875" style="18" customWidth="1"/>
    <col min="14338" max="14338" width="3.5546875" style="18" customWidth="1"/>
    <col min="14339" max="14583" width="9.109375" style="18"/>
    <col min="14584" max="14584" width="8.6640625" style="18" customWidth="1"/>
    <col min="14585" max="14585" width="9.88671875" style="18" customWidth="1"/>
    <col min="14586" max="14586" width="14.44140625" style="18" customWidth="1"/>
    <col min="14587" max="14587" width="7.33203125" style="18" customWidth="1"/>
    <col min="14588" max="14588" width="5.5546875" style="18" customWidth="1"/>
    <col min="14589" max="14589" width="9" style="18" customWidth="1"/>
    <col min="14590" max="14591" width="9.88671875" style="18" customWidth="1"/>
    <col min="14592" max="14592" width="11.109375" style="18" customWidth="1"/>
    <col min="14593" max="14593" width="2.88671875" style="18" customWidth="1"/>
    <col min="14594" max="14594" width="3.5546875" style="18" customWidth="1"/>
    <col min="14595" max="14839" width="9.109375" style="18"/>
    <col min="14840" max="14840" width="8.6640625" style="18" customWidth="1"/>
    <col min="14841" max="14841" width="9.88671875" style="18" customWidth="1"/>
    <col min="14842" max="14842" width="14.44140625" style="18" customWidth="1"/>
    <col min="14843" max="14843" width="7.33203125" style="18" customWidth="1"/>
    <col min="14844" max="14844" width="5.5546875" style="18" customWidth="1"/>
    <col min="14845" max="14845" width="9" style="18" customWidth="1"/>
    <col min="14846" max="14847" width="9.88671875" style="18" customWidth="1"/>
    <col min="14848" max="14848" width="11.109375" style="18" customWidth="1"/>
    <col min="14849" max="14849" width="2.88671875" style="18" customWidth="1"/>
    <col min="14850" max="14850" width="3.5546875" style="18" customWidth="1"/>
    <col min="14851" max="15095" width="9.109375" style="18"/>
    <col min="15096" max="15096" width="8.6640625" style="18" customWidth="1"/>
    <col min="15097" max="15097" width="9.88671875" style="18" customWidth="1"/>
    <col min="15098" max="15098" width="14.44140625" style="18" customWidth="1"/>
    <col min="15099" max="15099" width="7.33203125" style="18" customWidth="1"/>
    <col min="15100" max="15100" width="5.5546875" style="18" customWidth="1"/>
    <col min="15101" max="15101" width="9" style="18" customWidth="1"/>
    <col min="15102" max="15103" width="9.88671875" style="18" customWidth="1"/>
    <col min="15104" max="15104" width="11.109375" style="18" customWidth="1"/>
    <col min="15105" max="15105" width="2.88671875" style="18" customWidth="1"/>
    <col min="15106" max="15106" width="3.5546875" style="18" customWidth="1"/>
    <col min="15107" max="15351" width="9.109375" style="18"/>
    <col min="15352" max="15352" width="8.6640625" style="18" customWidth="1"/>
    <col min="15353" max="15353" width="9.88671875" style="18" customWidth="1"/>
    <col min="15354" max="15354" width="14.44140625" style="18" customWidth="1"/>
    <col min="15355" max="15355" width="7.33203125" style="18" customWidth="1"/>
    <col min="15356" max="15356" width="5.5546875" style="18" customWidth="1"/>
    <col min="15357" max="15357" width="9" style="18" customWidth="1"/>
    <col min="15358" max="15359" width="9.88671875" style="18" customWidth="1"/>
    <col min="15360" max="15360" width="11.109375" style="18" customWidth="1"/>
    <col min="15361" max="15361" width="2.88671875" style="18" customWidth="1"/>
    <col min="15362" max="15362" width="3.5546875" style="18" customWidth="1"/>
    <col min="15363" max="15607" width="9.109375" style="18"/>
    <col min="15608" max="15608" width="8.6640625" style="18" customWidth="1"/>
    <col min="15609" max="15609" width="9.88671875" style="18" customWidth="1"/>
    <col min="15610" max="15610" width="14.44140625" style="18" customWidth="1"/>
    <col min="15611" max="15611" width="7.33203125" style="18" customWidth="1"/>
    <col min="15612" max="15612" width="5.5546875" style="18" customWidth="1"/>
    <col min="15613" max="15613" width="9" style="18" customWidth="1"/>
    <col min="15614" max="15615" width="9.88671875" style="18" customWidth="1"/>
    <col min="15616" max="15616" width="11.109375" style="18" customWidth="1"/>
    <col min="15617" max="15617" width="2.88671875" style="18" customWidth="1"/>
    <col min="15618" max="15618" width="3.5546875" style="18" customWidth="1"/>
    <col min="15619" max="15863" width="9.109375" style="18"/>
    <col min="15864" max="15864" width="8.6640625" style="18" customWidth="1"/>
    <col min="15865" max="15865" width="9.88671875" style="18" customWidth="1"/>
    <col min="15866" max="15866" width="14.44140625" style="18" customWidth="1"/>
    <col min="15867" max="15867" width="7.33203125" style="18" customWidth="1"/>
    <col min="15868" max="15868" width="5.5546875" style="18" customWidth="1"/>
    <col min="15869" max="15869" width="9" style="18" customWidth="1"/>
    <col min="15870" max="15871" width="9.88671875" style="18" customWidth="1"/>
    <col min="15872" max="15872" width="11.109375" style="18" customWidth="1"/>
    <col min="15873" max="15873" width="2.88671875" style="18" customWidth="1"/>
    <col min="15874" max="15874" width="3.5546875" style="18" customWidth="1"/>
    <col min="15875" max="16119" width="9.109375" style="18"/>
    <col min="16120" max="16120" width="8.6640625" style="18" customWidth="1"/>
    <col min="16121" max="16121" width="9.88671875" style="18" customWidth="1"/>
    <col min="16122" max="16122" width="14.44140625" style="18" customWidth="1"/>
    <col min="16123" max="16123" width="7.33203125" style="18" customWidth="1"/>
    <col min="16124" max="16124" width="5.5546875" style="18" customWidth="1"/>
    <col min="16125" max="16125" width="9" style="18" customWidth="1"/>
    <col min="16126" max="16127" width="9.88671875" style="18" customWidth="1"/>
    <col min="16128" max="16128" width="11.109375" style="18" customWidth="1"/>
    <col min="16129" max="16129" width="2.88671875" style="18" customWidth="1"/>
    <col min="16130" max="16130" width="3.5546875" style="18" customWidth="1"/>
    <col min="16131" max="16384" width="9.109375" style="18"/>
  </cols>
  <sheetData>
    <row r="1" spans="1:26" ht="46.5" customHeight="1" x14ac:dyDescent="0.4">
      <c r="A1" s="255" t="s">
        <v>376</v>
      </c>
      <c r="B1" s="255"/>
      <c r="C1" s="255"/>
      <c r="D1" s="255"/>
      <c r="E1" s="255"/>
      <c r="F1" s="255"/>
      <c r="G1" s="255"/>
      <c r="H1" s="255"/>
      <c r="I1" s="94" t="s">
        <v>490</v>
      </c>
    </row>
    <row r="2" spans="1:26" ht="16.5" customHeight="1" x14ac:dyDescent="0.3">
      <c r="A2" s="256" t="s">
        <v>0</v>
      </c>
      <c r="B2" s="256"/>
      <c r="C2" s="256"/>
      <c r="D2" s="256"/>
      <c r="E2" s="256"/>
      <c r="F2" s="256"/>
      <c r="G2" s="256"/>
      <c r="H2" s="256"/>
    </row>
    <row r="3" spans="1:26" x14ac:dyDescent="0.3">
      <c r="A3" s="125" t="s">
        <v>1</v>
      </c>
      <c r="B3" s="125"/>
      <c r="C3" s="125"/>
      <c r="D3" s="125"/>
      <c r="E3" s="125" t="str">
        <f ca="1">TEXT(TODAY(),"DD/MM/YYYY")</f>
        <v>12/09/2025</v>
      </c>
      <c r="F3" s="125"/>
      <c r="G3" s="125"/>
      <c r="H3" s="125"/>
      <c r="K3" s="50" t="s">
        <v>236</v>
      </c>
      <c r="L3" s="48" t="s">
        <v>234</v>
      </c>
      <c r="M3" s="48" t="s">
        <v>239</v>
      </c>
      <c r="N3" s="48" t="s">
        <v>237</v>
      </c>
      <c r="O3" s="48" t="s">
        <v>355</v>
      </c>
      <c r="P3" s="48" t="s">
        <v>379</v>
      </c>
    </row>
    <row r="4" spans="1:26" ht="15" customHeight="1" x14ac:dyDescent="0.3">
      <c r="A4" s="125" t="s">
        <v>233</v>
      </c>
      <c r="B4" s="125"/>
      <c r="C4" s="125"/>
      <c r="D4" s="125"/>
      <c r="E4" s="227" t="s">
        <v>379</v>
      </c>
      <c r="F4" s="227"/>
      <c r="G4" s="227"/>
      <c r="H4" s="227"/>
      <c r="K4" s="47" t="s">
        <v>235</v>
      </c>
      <c r="L4" s="48" t="s">
        <v>171</v>
      </c>
      <c r="M4" s="48" t="s">
        <v>244</v>
      </c>
      <c r="N4" s="48" t="s">
        <v>246</v>
      </c>
      <c r="O4" s="48" t="s">
        <v>341</v>
      </c>
      <c r="P4" s="48" t="s">
        <v>380</v>
      </c>
    </row>
    <row r="5" spans="1:26" ht="15" customHeight="1" x14ac:dyDescent="0.3">
      <c r="A5" s="125" t="s">
        <v>2</v>
      </c>
      <c r="B5" s="125"/>
      <c r="C5" s="125"/>
      <c r="D5" s="125"/>
      <c r="E5" s="227" t="s">
        <v>380</v>
      </c>
      <c r="F5" s="227"/>
      <c r="G5" s="227"/>
      <c r="H5" s="227"/>
      <c r="K5" s="47"/>
      <c r="L5" s="48" t="s">
        <v>241</v>
      </c>
      <c r="M5" s="48" t="s">
        <v>245</v>
      </c>
      <c r="N5" s="48" t="s">
        <v>247</v>
      </c>
      <c r="O5" s="48" t="s">
        <v>342</v>
      </c>
      <c r="P5" s="48"/>
    </row>
    <row r="6" spans="1:26" x14ac:dyDescent="0.3">
      <c r="A6" s="125" t="s">
        <v>3</v>
      </c>
      <c r="B6" s="125"/>
      <c r="C6" s="125"/>
      <c r="D6" s="125"/>
      <c r="E6" s="300">
        <v>45912</v>
      </c>
      <c r="F6" s="125"/>
      <c r="G6" s="125"/>
      <c r="H6" s="125"/>
      <c r="K6" s="47"/>
      <c r="L6" s="48" t="s">
        <v>242</v>
      </c>
      <c r="M6" s="48" t="s">
        <v>353</v>
      </c>
      <c r="N6" s="48"/>
      <c r="O6" s="48" t="s">
        <v>343</v>
      </c>
      <c r="P6" s="48"/>
    </row>
    <row r="7" spans="1:26" ht="16.5" customHeight="1" x14ac:dyDescent="0.3">
      <c r="A7" s="125" t="s">
        <v>4</v>
      </c>
      <c r="B7" s="125"/>
      <c r="C7" s="125"/>
      <c r="D7" s="125"/>
      <c r="E7" s="125" t="s">
        <v>386</v>
      </c>
      <c r="F7" s="125"/>
      <c r="G7" s="125"/>
      <c r="H7" s="125"/>
      <c r="K7" s="47"/>
      <c r="L7" s="48" t="s">
        <v>243</v>
      </c>
      <c r="M7" s="48"/>
      <c r="N7" s="48"/>
      <c r="O7" s="48" t="s">
        <v>343</v>
      </c>
      <c r="P7" s="48"/>
    </row>
    <row r="8" spans="1:26" ht="15" customHeight="1" x14ac:dyDescent="0.3">
      <c r="A8" s="125" t="s">
        <v>5</v>
      </c>
      <c r="B8" s="125"/>
      <c r="C8" s="125"/>
      <c r="D8" s="125"/>
      <c r="E8" s="125" t="str">
        <f>E7</f>
        <v>Shreepati Skies (R R Chaturvedi)</v>
      </c>
      <c r="F8" s="125"/>
      <c r="G8" s="125"/>
      <c r="H8" s="125"/>
      <c r="K8" s="47"/>
      <c r="L8" s="48"/>
      <c r="M8" s="48"/>
      <c r="N8" s="48"/>
      <c r="O8" s="48" t="s">
        <v>344</v>
      </c>
      <c r="P8" s="48"/>
    </row>
    <row r="9" spans="1:26" x14ac:dyDescent="0.3">
      <c r="A9" s="125" t="s">
        <v>6</v>
      </c>
      <c r="B9" s="125"/>
      <c r="C9" s="125"/>
      <c r="D9" s="125"/>
      <c r="E9" s="118" t="s">
        <v>387</v>
      </c>
      <c r="F9" s="118"/>
      <c r="G9" s="118"/>
      <c r="H9" s="118"/>
      <c r="K9" s="47"/>
      <c r="L9" s="48"/>
      <c r="M9" s="48"/>
      <c r="N9" s="48"/>
      <c r="O9" s="48" t="s">
        <v>345</v>
      </c>
      <c r="P9" s="48"/>
    </row>
    <row r="10" spans="1:26" x14ac:dyDescent="0.3">
      <c r="A10" s="125" t="s">
        <v>168</v>
      </c>
      <c r="B10" s="125"/>
      <c r="C10" s="125"/>
      <c r="D10" s="125"/>
      <c r="E10" s="125" t="s">
        <v>388</v>
      </c>
      <c r="F10" s="125"/>
      <c r="G10" s="125"/>
      <c r="H10" s="125"/>
      <c r="K10" s="47"/>
      <c r="L10" s="48"/>
      <c r="M10" s="48"/>
      <c r="N10" s="48"/>
      <c r="O10" s="48" t="s">
        <v>346</v>
      </c>
      <c r="P10" s="48"/>
    </row>
    <row r="11" spans="1:26" x14ac:dyDescent="0.3">
      <c r="A11" s="125" t="s">
        <v>169</v>
      </c>
      <c r="B11" s="125"/>
      <c r="C11" s="125"/>
      <c r="D11" s="125"/>
      <c r="E11" s="301" t="s">
        <v>28</v>
      </c>
      <c r="F11" s="301"/>
      <c r="G11" s="301"/>
      <c r="H11" s="301"/>
      <c r="O11" s="48" t="s">
        <v>347</v>
      </c>
    </row>
    <row r="12" spans="1:26" x14ac:dyDescent="0.3">
      <c r="A12" s="125" t="s">
        <v>7</v>
      </c>
      <c r="B12" s="125"/>
      <c r="C12" s="125"/>
      <c r="D12" s="125"/>
      <c r="E12" s="125" t="s">
        <v>493</v>
      </c>
      <c r="F12" s="125"/>
      <c r="G12" s="125"/>
      <c r="H12" s="125"/>
    </row>
    <row r="13" spans="1:26" x14ac:dyDescent="0.3">
      <c r="A13" s="125" t="s">
        <v>172</v>
      </c>
      <c r="B13" s="125"/>
      <c r="C13" s="125"/>
      <c r="D13" s="125"/>
      <c r="E13" s="125" t="s">
        <v>492</v>
      </c>
      <c r="F13" s="125"/>
      <c r="G13" s="125"/>
      <c r="H13" s="125"/>
      <c r="I13" s="19" t="s">
        <v>489</v>
      </c>
      <c r="S13" s="48" t="s">
        <v>180</v>
      </c>
      <c r="T13" s="48" t="s">
        <v>189</v>
      </c>
      <c r="U13" s="48" t="s">
        <v>173</v>
      </c>
      <c r="V13" s="48" t="s">
        <v>194</v>
      </c>
      <c r="W13" s="48" t="s">
        <v>212</v>
      </c>
      <c r="X13"/>
      <c r="Y13" t="s">
        <v>194</v>
      </c>
      <c r="Z13" t="e">
        <f ca="1">OFFSET($S$13,1,MATCH($G20,$S$13:$W$13,0)-1,15,1)</f>
        <v>#VALUE!</v>
      </c>
    </row>
    <row r="14" spans="1:26" ht="15.75" customHeight="1" x14ac:dyDescent="0.3">
      <c r="A14" s="125" t="s">
        <v>279</v>
      </c>
      <c r="B14" s="125"/>
      <c r="C14" s="125"/>
      <c r="D14" s="125"/>
      <c r="E14" s="125" t="s">
        <v>491</v>
      </c>
      <c r="F14" s="125"/>
      <c r="G14" s="125"/>
      <c r="H14" s="125"/>
      <c r="I14" s="111"/>
      <c r="J14" s="111"/>
      <c r="K14" s="111"/>
      <c r="L14" s="111"/>
      <c r="S14" s="48" t="s">
        <v>180</v>
      </c>
      <c r="T14" s="48" t="s">
        <v>187</v>
      </c>
      <c r="U14" s="48" t="s">
        <v>209</v>
      </c>
      <c r="V14" s="48" t="s">
        <v>195</v>
      </c>
      <c r="W14" s="48" t="s">
        <v>213</v>
      </c>
      <c r="X14"/>
      <c r="Y14"/>
      <c r="Z14"/>
    </row>
    <row r="15" spans="1:26" x14ac:dyDescent="0.3">
      <c r="A15" s="123" t="s">
        <v>8</v>
      </c>
      <c r="B15" s="123"/>
      <c r="C15" s="123"/>
      <c r="D15" s="123"/>
      <c r="E15" s="254" t="s">
        <v>385</v>
      </c>
      <c r="F15" s="227"/>
      <c r="G15" s="227"/>
      <c r="H15" s="227"/>
      <c r="I15" s="269" t="e">
        <f ca="1">OFFSET($D$5,1,MATCH($J13,$D$5:$H$5,0)-1,15,1)</f>
        <v>#N/A</v>
      </c>
      <c r="J15" s="270"/>
      <c r="K15" s="270"/>
      <c r="L15" s="270"/>
      <c r="M15" s="270"/>
      <c r="N15" s="270"/>
      <c r="O15" s="270"/>
      <c r="P15" s="270"/>
      <c r="S15" s="48" t="s">
        <v>181</v>
      </c>
      <c r="T15" s="48" t="s">
        <v>188</v>
      </c>
      <c r="U15" s="48" t="s">
        <v>210</v>
      </c>
      <c r="V15" s="48" t="s">
        <v>196</v>
      </c>
      <c r="W15" s="48" t="s">
        <v>226</v>
      </c>
      <c r="X15"/>
      <c r="Y15"/>
      <c r="Z15"/>
    </row>
    <row r="16" spans="1:26" ht="48.75" customHeight="1" x14ac:dyDescent="0.3">
      <c r="A16" s="122" t="s">
        <v>9</v>
      </c>
      <c r="B16" s="122"/>
      <c r="C16" s="122" t="str">
        <f>CONCATENATE((IF(OR(E9="",E9="NA"),"",E9)),", ",(IF(OR(A17="",A17="NA"),"",A17)),".",(IF(OR(C17="",C17="NA"),"",C17)),", near ",(IF(OR(C22="",C22="NA"),"",C22)),", ",(IF(OR(C19="",C19="NA"),"",C19)),", ",(IF(OR(C18="",C18="NA"),"",C18)),", ",(IF(OR(G19="",G19="NA"),"",G19)),", ",(IF(OR(C20="",C20="NA"),"",C20)),", ",(IF(OR(C21="",C21="NA"),"",C21)),", ",(IF(OR(G20="",G20="NA"),"",G20))," - ",(IF(OR(G21="",G21="NA"),"",G21)),".")</f>
        <v>Aaradhya Avaan, CTS No.309, near Wallace Apartment, Tukaram Javaji Marg / Bhatia Hospital Lane, Chikhalwadi, Tardeo Division D Ward, Grant Road, Mumbai, Mumbai - 400007.</v>
      </c>
      <c r="D16" s="122"/>
      <c r="E16" s="122"/>
      <c r="F16" s="122"/>
      <c r="G16" s="122"/>
      <c r="H16" s="122"/>
      <c r="S16" s="48" t="s">
        <v>182</v>
      </c>
      <c r="T16" s="48" t="s">
        <v>190</v>
      </c>
      <c r="U16" s="48" t="s">
        <v>211</v>
      </c>
      <c r="V16" s="48" t="s">
        <v>197</v>
      </c>
      <c r="W16" s="48" t="s">
        <v>214</v>
      </c>
      <c r="X16"/>
      <c r="Y16"/>
      <c r="Z16"/>
    </row>
    <row r="17" spans="1:26" x14ac:dyDescent="0.3">
      <c r="A17" s="254" t="s">
        <v>176</v>
      </c>
      <c r="B17" s="254"/>
      <c r="C17" s="254">
        <v>309</v>
      </c>
      <c r="D17" s="254"/>
      <c r="E17" s="254"/>
      <c r="F17" s="254"/>
      <c r="G17" s="254"/>
      <c r="H17" s="254"/>
      <c r="S17" s="48" t="s">
        <v>183</v>
      </c>
      <c r="T17" s="48" t="s">
        <v>191</v>
      </c>
      <c r="U17" s="48" t="s">
        <v>173</v>
      </c>
      <c r="V17" s="48" t="s">
        <v>198</v>
      </c>
      <c r="W17" s="48" t="s">
        <v>215</v>
      </c>
      <c r="X17"/>
      <c r="Y17"/>
      <c r="Z17"/>
    </row>
    <row r="18" spans="1:26" ht="15.75" customHeight="1" x14ac:dyDescent="0.3">
      <c r="A18" s="116" t="s">
        <v>164</v>
      </c>
      <c r="B18" s="116"/>
      <c r="C18" s="116" t="s">
        <v>390</v>
      </c>
      <c r="D18" s="116"/>
      <c r="E18" s="116"/>
      <c r="F18" s="116"/>
      <c r="G18" s="116"/>
      <c r="H18" s="116"/>
      <c r="S18" s="48" t="s">
        <v>184</v>
      </c>
      <c r="T18" s="48" t="s">
        <v>189</v>
      </c>
      <c r="U18" s="48"/>
      <c r="V18" s="48" t="s">
        <v>199</v>
      </c>
      <c r="W18" s="48" t="s">
        <v>216</v>
      </c>
      <c r="X18"/>
      <c r="Y18"/>
      <c r="Z18"/>
    </row>
    <row r="19" spans="1:26" ht="33" customHeight="1" x14ac:dyDescent="0.3">
      <c r="A19" s="122" t="s">
        <v>10</v>
      </c>
      <c r="B19" s="122"/>
      <c r="C19" s="116" t="s">
        <v>391</v>
      </c>
      <c r="D19" s="116"/>
      <c r="E19" s="122" t="s">
        <v>69</v>
      </c>
      <c r="F19" s="122"/>
      <c r="G19" s="116" t="s">
        <v>389</v>
      </c>
      <c r="H19" s="116"/>
      <c r="S19" s="48" t="s">
        <v>185</v>
      </c>
      <c r="T19" s="48" t="s">
        <v>192</v>
      </c>
      <c r="U19" s="48"/>
      <c r="V19" s="48" t="s">
        <v>200</v>
      </c>
      <c r="W19" s="48" t="s">
        <v>217</v>
      </c>
      <c r="X19"/>
      <c r="Y19"/>
      <c r="Z19"/>
    </row>
    <row r="20" spans="1:26" x14ac:dyDescent="0.3">
      <c r="A20" s="123" t="s">
        <v>12</v>
      </c>
      <c r="B20" s="123"/>
      <c r="C20" s="116" t="s">
        <v>394</v>
      </c>
      <c r="D20" s="116"/>
      <c r="E20" s="122" t="s">
        <v>11</v>
      </c>
      <c r="F20" s="122"/>
      <c r="G20" s="253" t="s">
        <v>173</v>
      </c>
      <c r="H20" s="253"/>
      <c r="S20" s="48" t="s">
        <v>186</v>
      </c>
      <c r="T20" s="48" t="s">
        <v>193</v>
      </c>
      <c r="U20" s="48"/>
      <c r="V20" s="48" t="s">
        <v>201</v>
      </c>
      <c r="W20" s="48" t="s">
        <v>218</v>
      </c>
      <c r="X20"/>
      <c r="Y20"/>
      <c r="Z20"/>
    </row>
    <row r="21" spans="1:26" x14ac:dyDescent="0.3">
      <c r="A21" s="123" t="s">
        <v>70</v>
      </c>
      <c r="B21" s="123"/>
      <c r="C21" s="254" t="s">
        <v>173</v>
      </c>
      <c r="D21" s="254"/>
      <c r="E21" s="122" t="s">
        <v>13</v>
      </c>
      <c r="F21" s="122"/>
      <c r="G21" s="116">
        <v>400007</v>
      </c>
      <c r="H21" s="116"/>
      <c r="S21" s="48"/>
      <c r="T21" s="48"/>
      <c r="U21" s="48"/>
      <c r="V21" s="48" t="s">
        <v>202</v>
      </c>
      <c r="W21" s="48" t="s">
        <v>219</v>
      </c>
      <c r="X21"/>
      <c r="Y21"/>
      <c r="Z21"/>
    </row>
    <row r="22" spans="1:26" ht="32.25" customHeight="1" x14ac:dyDescent="0.3">
      <c r="A22" s="123" t="s">
        <v>121</v>
      </c>
      <c r="B22" s="123"/>
      <c r="C22" s="116" t="s">
        <v>396</v>
      </c>
      <c r="D22" s="116"/>
      <c r="E22" s="122" t="s">
        <v>14</v>
      </c>
      <c r="F22" s="122"/>
      <c r="G22" s="254" t="s">
        <v>395</v>
      </c>
      <c r="H22" s="254"/>
      <c r="S22" s="48"/>
      <c r="T22" s="48"/>
      <c r="U22" s="48"/>
      <c r="V22" s="48" t="s">
        <v>203</v>
      </c>
      <c r="W22" s="48" t="s">
        <v>220</v>
      </c>
      <c r="X22"/>
      <c r="Y22"/>
      <c r="Z22"/>
    </row>
    <row r="23" spans="1:26" ht="15" customHeight="1" x14ac:dyDescent="0.3">
      <c r="A23" s="122" t="s">
        <v>72</v>
      </c>
      <c r="B23" s="122"/>
      <c r="C23" s="122"/>
      <c r="D23" s="122"/>
      <c r="E23" s="125" t="s">
        <v>15</v>
      </c>
      <c r="F23" s="125"/>
      <c r="G23" s="125"/>
      <c r="H23" s="125"/>
      <c r="S23" s="48"/>
      <c r="T23" s="48"/>
      <c r="U23" s="48"/>
      <c r="V23" s="48" t="s">
        <v>204</v>
      </c>
      <c r="W23" s="48" t="s">
        <v>221</v>
      </c>
      <c r="X23"/>
      <c r="Y23"/>
      <c r="Z23"/>
    </row>
    <row r="24" spans="1:26" ht="18.75" customHeight="1" x14ac:dyDescent="0.3">
      <c r="A24" s="122"/>
      <c r="B24" s="122"/>
      <c r="C24" s="122"/>
      <c r="D24" s="122"/>
      <c r="E24" s="125"/>
      <c r="F24" s="125"/>
      <c r="G24" s="125"/>
      <c r="H24" s="125"/>
      <c r="S24" s="48"/>
      <c r="T24" s="48"/>
      <c r="U24" s="48"/>
      <c r="V24" s="48" t="s">
        <v>205</v>
      </c>
      <c r="W24" s="48" t="s">
        <v>222</v>
      </c>
      <c r="X24"/>
      <c r="Y24"/>
      <c r="Z24"/>
    </row>
    <row r="25" spans="1:26" ht="15" customHeight="1" x14ac:dyDescent="0.3">
      <c r="A25" s="122" t="s">
        <v>16</v>
      </c>
      <c r="B25" s="122"/>
      <c r="C25" s="122"/>
      <c r="D25" s="122"/>
      <c r="E25" s="116" t="s">
        <v>17</v>
      </c>
      <c r="F25" s="116"/>
      <c r="G25" s="116"/>
      <c r="H25" s="116"/>
      <c r="S25" s="48"/>
      <c r="T25" s="48"/>
      <c r="U25" s="48"/>
      <c r="V25" s="48" t="s">
        <v>206</v>
      </c>
      <c r="W25" s="48" t="s">
        <v>223</v>
      </c>
      <c r="X25"/>
      <c r="Y25"/>
      <c r="Z25"/>
    </row>
    <row r="26" spans="1:26" ht="15" customHeight="1" x14ac:dyDescent="0.3">
      <c r="A26" s="123" t="s">
        <v>18</v>
      </c>
      <c r="B26" s="123"/>
      <c r="C26" s="123"/>
      <c r="D26" s="123"/>
      <c r="E26" s="116" t="str">
        <f>IF(AND(G20="Mumbai"),"Upper Class","Middle Class")</f>
        <v>Upper Class</v>
      </c>
      <c r="F26" s="116"/>
      <c r="G26" s="116"/>
      <c r="H26" s="116"/>
      <c r="S26" s="48"/>
      <c r="T26" s="48"/>
      <c r="U26" s="48"/>
      <c r="V26" s="48" t="s">
        <v>207</v>
      </c>
      <c r="W26" s="48" t="s">
        <v>224</v>
      </c>
      <c r="X26"/>
      <c r="Y26"/>
      <c r="Z26"/>
    </row>
    <row r="27" spans="1:26" x14ac:dyDescent="0.3">
      <c r="A27" s="123" t="s">
        <v>19</v>
      </c>
      <c r="B27" s="123"/>
      <c r="C27" s="123"/>
      <c r="D27" s="123"/>
      <c r="E27" s="116" t="s">
        <v>20</v>
      </c>
      <c r="F27" s="116"/>
      <c r="G27" s="116"/>
      <c r="H27" s="116"/>
      <c r="S27" s="48"/>
      <c r="T27" s="48"/>
      <c r="U27" s="48"/>
      <c r="V27" s="48" t="s">
        <v>208</v>
      </c>
      <c r="W27" s="48" t="s">
        <v>225</v>
      </c>
      <c r="X27"/>
      <c r="Y27"/>
      <c r="Z27"/>
    </row>
    <row r="28" spans="1:26" ht="15.75" customHeight="1" x14ac:dyDescent="0.3">
      <c r="A28" s="123" t="s">
        <v>21</v>
      </c>
      <c r="B28" s="123"/>
      <c r="C28" s="123"/>
      <c r="D28" s="123"/>
      <c r="E28" s="116" t="str">
        <f>IF(AND(G20="Mumbai"),"Developed","Developing")</f>
        <v>Developed</v>
      </c>
      <c r="F28" s="116"/>
      <c r="G28" s="116"/>
      <c r="H28" s="116"/>
    </row>
    <row r="29" spans="1:26" x14ac:dyDescent="0.3">
      <c r="A29" s="123" t="s">
        <v>22</v>
      </c>
      <c r="B29" s="123"/>
      <c r="C29" s="123"/>
      <c r="D29" s="123"/>
      <c r="E29" s="116" t="s">
        <v>23</v>
      </c>
      <c r="F29" s="116"/>
      <c r="G29" s="116"/>
      <c r="H29" s="116"/>
    </row>
    <row r="30" spans="1:26" ht="15.75" customHeight="1" x14ac:dyDescent="0.3">
      <c r="A30" s="123" t="s">
        <v>77</v>
      </c>
      <c r="B30" s="123"/>
      <c r="C30" s="123"/>
      <c r="D30" s="123"/>
      <c r="E30" s="116" t="s">
        <v>78</v>
      </c>
      <c r="F30" s="116"/>
      <c r="G30" s="116"/>
      <c r="H30" s="116"/>
    </row>
    <row r="31" spans="1:26" ht="15" customHeight="1" x14ac:dyDescent="0.3">
      <c r="A31" s="123" t="s">
        <v>30</v>
      </c>
      <c r="B31" s="123"/>
      <c r="C31" s="123"/>
      <c r="D31" s="123"/>
      <c r="E31" s="116" t="str">
        <f>IF(AND(ISNUMBER(SEARCH("Flat",D74)),ISNUMBER(SEARCH("Shop",D74)),ISNUMBER(SEARCH("Office",D74))),"Residential + Commercial",IF(AND(ISNUMBER(SEARCH("Flat",D74)),ISNUMBER(SEARCH("Shop",D74))),"Residential + Commercial",IF(AND(ISNUMBER(SEARCH("Flat",D74)),ISNUMBER(SEARCH("Office",D74))),"Residential + Commercial",IF(AND(ISNUMBER(SEARCH("Shop",D74)),ISNUMBER(SEARCH("Office",D74))),"Commercial",IF(ISNUMBER(SEARCH("Shop",D74)),"Commercial",IF(ISNUMBER(SEARCH("Office",D74)),"Commercial",IF(ISNUMBER(SEARCH("Flat",D74)),"Residential")))))))</f>
        <v>Residential</v>
      </c>
      <c r="F31" s="116"/>
      <c r="G31" s="116"/>
      <c r="H31" s="116"/>
    </row>
    <row r="32" spans="1:26" ht="15.75" customHeight="1" x14ac:dyDescent="0.3">
      <c r="A32" s="123" t="s">
        <v>89</v>
      </c>
      <c r="B32" s="123"/>
      <c r="C32" s="123"/>
      <c r="D32" s="123"/>
      <c r="E32" s="116" t="s">
        <v>31</v>
      </c>
      <c r="F32" s="116"/>
      <c r="G32" s="116"/>
      <c r="H32" s="116"/>
    </row>
    <row r="33" spans="1:19" s="19" customFormat="1" x14ac:dyDescent="0.3">
      <c r="A33" s="248" t="s">
        <v>90</v>
      </c>
      <c r="B33" s="248"/>
      <c r="C33" s="245" t="s">
        <v>174</v>
      </c>
      <c r="D33" s="246"/>
      <c r="E33" s="247"/>
      <c r="F33" s="245" t="s">
        <v>29</v>
      </c>
      <c r="G33" s="246"/>
      <c r="H33" s="247"/>
      <c r="S33" s="19" t="e">
        <f ca="1">OFFSET($S$13,1,MATCH($G20,$S$13:$W$13,0)-1,15,1)</f>
        <v>#VALUE!</v>
      </c>
    </row>
    <row r="34" spans="1:19" s="19" customFormat="1" x14ac:dyDescent="0.3">
      <c r="A34" s="241" t="s">
        <v>24</v>
      </c>
      <c r="B34" s="241" t="s">
        <v>28</v>
      </c>
      <c r="C34" s="242" t="s">
        <v>398</v>
      </c>
      <c r="D34" s="243"/>
      <c r="E34" s="244"/>
      <c r="F34" s="242" t="s">
        <v>399</v>
      </c>
      <c r="G34" s="243"/>
      <c r="H34" s="244"/>
    </row>
    <row r="35" spans="1:19" x14ac:dyDescent="0.3">
      <c r="A35" s="241" t="s">
        <v>25</v>
      </c>
      <c r="B35" s="241" t="s">
        <v>28</v>
      </c>
      <c r="C35" s="242" t="s">
        <v>398</v>
      </c>
      <c r="D35" s="243"/>
      <c r="E35" s="244"/>
      <c r="F35" s="242" t="s">
        <v>400</v>
      </c>
      <c r="G35" s="243"/>
      <c r="H35" s="244"/>
    </row>
    <row r="36" spans="1:19" s="19" customFormat="1" x14ac:dyDescent="0.3">
      <c r="A36" s="241" t="s">
        <v>27</v>
      </c>
      <c r="B36" s="241" t="s">
        <v>28</v>
      </c>
      <c r="C36" s="242" t="s">
        <v>398</v>
      </c>
      <c r="D36" s="243"/>
      <c r="E36" s="244"/>
      <c r="F36" s="242" t="s">
        <v>399</v>
      </c>
      <c r="G36" s="243"/>
      <c r="H36" s="244"/>
    </row>
    <row r="37" spans="1:19" s="99" customFormat="1" ht="31.5" customHeight="1" x14ac:dyDescent="0.3">
      <c r="A37" s="249" t="s">
        <v>26</v>
      </c>
      <c r="B37" s="249" t="s">
        <v>28</v>
      </c>
      <c r="C37" s="250" t="s">
        <v>397</v>
      </c>
      <c r="D37" s="251"/>
      <c r="E37" s="252"/>
      <c r="F37" s="250" t="s">
        <v>391</v>
      </c>
      <c r="G37" s="251"/>
      <c r="H37" s="252"/>
    </row>
    <row r="38" spans="1:19" x14ac:dyDescent="0.3">
      <c r="A38" s="123" t="s">
        <v>280</v>
      </c>
      <c r="B38" s="123"/>
      <c r="C38" s="123"/>
      <c r="D38" s="123"/>
      <c r="E38" s="123"/>
      <c r="F38" s="123"/>
      <c r="G38" s="123"/>
      <c r="H38" s="123"/>
    </row>
    <row r="39" spans="1:19" ht="15.75" customHeight="1" x14ac:dyDescent="0.3">
      <c r="A39" s="123" t="s">
        <v>166</v>
      </c>
      <c r="B39" s="123"/>
      <c r="C39" s="216" t="s">
        <v>393</v>
      </c>
      <c r="D39" s="216"/>
      <c r="E39" s="216"/>
      <c r="F39" s="216"/>
      <c r="G39" s="216"/>
      <c r="H39" s="216"/>
    </row>
    <row r="40" spans="1:19" x14ac:dyDescent="0.3">
      <c r="A40" s="123" t="s">
        <v>163</v>
      </c>
      <c r="B40" s="123"/>
      <c r="C40" s="115" t="s">
        <v>392</v>
      </c>
      <c r="D40" s="116"/>
      <c r="E40" s="116"/>
      <c r="F40" s="116"/>
      <c r="G40" s="116"/>
      <c r="H40" s="116"/>
    </row>
    <row r="41" spans="1:19" x14ac:dyDescent="0.3">
      <c r="A41" s="216" t="s">
        <v>32</v>
      </c>
      <c r="B41" s="216"/>
      <c r="C41" s="216"/>
      <c r="D41" s="216"/>
      <c r="E41" s="216"/>
      <c r="F41" s="216"/>
      <c r="G41" s="216"/>
      <c r="H41" s="216"/>
    </row>
    <row r="42" spans="1:19" x14ac:dyDescent="0.3">
      <c r="A42" s="123" t="s">
        <v>33</v>
      </c>
      <c r="B42" s="123"/>
      <c r="C42" s="123"/>
      <c r="D42" s="123"/>
      <c r="E42" s="224">
        <v>6238.28</v>
      </c>
      <c r="F42" s="224"/>
      <c r="G42" s="224"/>
      <c r="H42" s="224"/>
    </row>
    <row r="43" spans="1:19" x14ac:dyDescent="0.3">
      <c r="A43" s="123" t="s">
        <v>34</v>
      </c>
      <c r="B43" s="123"/>
      <c r="C43" s="123"/>
      <c r="D43" s="123"/>
      <c r="E43" s="225">
        <v>4</v>
      </c>
      <c r="F43" s="225"/>
      <c r="G43" s="225"/>
      <c r="H43" s="225"/>
    </row>
    <row r="44" spans="1:19" x14ac:dyDescent="0.3">
      <c r="A44" s="123" t="s">
        <v>35</v>
      </c>
      <c r="B44" s="123"/>
      <c r="C44" s="123"/>
      <c r="D44" s="123"/>
      <c r="E44" s="225">
        <f>E46/E42-E43</f>
        <v>8.9787794071442768</v>
      </c>
      <c r="F44" s="225"/>
      <c r="G44" s="225"/>
      <c r="H44" s="225"/>
    </row>
    <row r="45" spans="1:19" x14ac:dyDescent="0.3">
      <c r="A45" s="123" t="s">
        <v>36</v>
      </c>
      <c r="B45" s="123"/>
      <c r="C45" s="123"/>
      <c r="D45" s="123"/>
      <c r="E45" s="225">
        <f>E43+E44</f>
        <v>12.978779407144277</v>
      </c>
      <c r="F45" s="225"/>
      <c r="G45" s="225"/>
      <c r="H45" s="225"/>
    </row>
    <row r="46" spans="1:19" x14ac:dyDescent="0.3">
      <c r="A46" s="123" t="s">
        <v>88</v>
      </c>
      <c r="B46" s="123"/>
      <c r="C46" s="123"/>
      <c r="D46" s="123"/>
      <c r="E46" s="226">
        <v>80965.259999999995</v>
      </c>
      <c r="F46" s="226"/>
      <c r="G46" s="226"/>
      <c r="H46" s="226"/>
    </row>
    <row r="47" spans="1:19" x14ac:dyDescent="0.3">
      <c r="A47" s="125" t="s">
        <v>37</v>
      </c>
      <c r="B47" s="125"/>
      <c r="C47" s="125"/>
      <c r="D47" s="125"/>
      <c r="E47" s="227" t="s">
        <v>401</v>
      </c>
      <c r="F47" s="227"/>
      <c r="G47" s="227"/>
      <c r="H47" s="227"/>
    </row>
    <row r="48" spans="1:19" x14ac:dyDescent="0.3">
      <c r="A48" s="216" t="s">
        <v>38</v>
      </c>
      <c r="B48" s="216"/>
      <c r="C48" s="216"/>
      <c r="D48" s="216"/>
      <c r="E48" s="216"/>
      <c r="F48" s="216"/>
      <c r="G48" s="216"/>
      <c r="H48" s="216"/>
    </row>
    <row r="49" spans="1:24" ht="33.75" customHeight="1" x14ac:dyDescent="0.3">
      <c r="A49" s="119" t="s">
        <v>153</v>
      </c>
      <c r="B49" s="121"/>
      <c r="C49" s="210" t="s">
        <v>255</v>
      </c>
      <c r="D49" s="211"/>
      <c r="E49" s="211"/>
      <c r="F49" s="211"/>
      <c r="G49" s="211"/>
      <c r="H49" s="212"/>
      <c r="R49" t="s">
        <v>253</v>
      </c>
      <c r="S49" s="51" t="s">
        <v>173</v>
      </c>
      <c r="T49" s="51" t="s">
        <v>180</v>
      </c>
      <c r="U49" s="51" t="s">
        <v>194</v>
      </c>
      <c r="V49" s="51" t="s">
        <v>189</v>
      </c>
    </row>
    <row r="50" spans="1:24" ht="15.75" customHeight="1" x14ac:dyDescent="0.3">
      <c r="A50" s="119" t="s">
        <v>39</v>
      </c>
      <c r="B50" s="121"/>
      <c r="C50" s="119" t="s">
        <v>402</v>
      </c>
      <c r="D50" s="120"/>
      <c r="E50" s="121"/>
      <c r="F50" s="17" t="s">
        <v>40</v>
      </c>
      <c r="G50" s="131">
        <v>45217</v>
      </c>
      <c r="H50" s="132"/>
      <c r="R50"/>
      <c r="S50" s="51" t="s">
        <v>254</v>
      </c>
      <c r="T50" s="51" t="s">
        <v>259</v>
      </c>
      <c r="U50" s="51" t="s">
        <v>270</v>
      </c>
      <c r="V50" s="51" t="s">
        <v>275</v>
      </c>
    </row>
    <row r="51" spans="1:24" x14ac:dyDescent="0.3">
      <c r="A51" s="119" t="s">
        <v>41</v>
      </c>
      <c r="B51" s="121"/>
      <c r="C51" s="119" t="str">
        <f>C50</f>
        <v>EB/8870/D/A/337/3/Amend</v>
      </c>
      <c r="D51" s="120"/>
      <c r="E51" s="121"/>
      <c r="F51" s="17" t="s">
        <v>40</v>
      </c>
      <c r="G51" s="131">
        <f>G50</f>
        <v>45217</v>
      </c>
      <c r="H51" s="132"/>
      <c r="R51"/>
      <c r="S51" s="51" t="s">
        <v>255</v>
      </c>
      <c r="T51" s="51" t="s">
        <v>356</v>
      </c>
      <c r="U51" s="51" t="s">
        <v>268</v>
      </c>
      <c r="V51" s="51" t="s">
        <v>276</v>
      </c>
    </row>
    <row r="52" spans="1:24" s="20" customFormat="1" ht="15.75" customHeight="1" x14ac:dyDescent="0.3">
      <c r="A52" s="178" t="s">
        <v>405</v>
      </c>
      <c r="B52" s="179"/>
      <c r="C52" s="178" t="s">
        <v>497</v>
      </c>
      <c r="D52" s="184"/>
      <c r="E52" s="179"/>
      <c r="F52" s="17" t="s">
        <v>40</v>
      </c>
      <c r="G52" s="131">
        <v>45337</v>
      </c>
      <c r="H52" s="132"/>
      <c r="I52" s="19" t="e">
        <f>IF(G52&gt;EDATE(#REF!,-48),"NO REMARK","CC REMARK FOR CC")</f>
        <v>#REF!</v>
      </c>
      <c r="J52" s="72"/>
      <c r="R52"/>
      <c r="S52" s="51" t="s">
        <v>256</v>
      </c>
      <c r="T52" s="51" t="s">
        <v>261</v>
      </c>
      <c r="U52" s="51" t="s">
        <v>258</v>
      </c>
      <c r="V52" s="51" t="s">
        <v>277</v>
      </c>
    </row>
    <row r="53" spans="1:24" s="20" customFormat="1" ht="33.75" customHeight="1" x14ac:dyDescent="0.3">
      <c r="A53" s="180"/>
      <c r="B53" s="181"/>
      <c r="C53" s="182"/>
      <c r="D53" s="185"/>
      <c r="E53" s="183"/>
      <c r="F53" s="17" t="s">
        <v>120</v>
      </c>
      <c r="G53" s="131">
        <v>45703</v>
      </c>
      <c r="H53" s="121"/>
      <c r="R53"/>
      <c r="S53" s="51" t="s">
        <v>257</v>
      </c>
      <c r="T53" s="51" t="s">
        <v>264</v>
      </c>
      <c r="U53" s="51" t="s">
        <v>271</v>
      </c>
      <c r="V53" s="68" t="s">
        <v>349</v>
      </c>
    </row>
    <row r="54" spans="1:24" s="20" customFormat="1" ht="49.5" customHeight="1" x14ac:dyDescent="0.3">
      <c r="A54" s="182"/>
      <c r="B54" s="183"/>
      <c r="C54" s="119" t="s">
        <v>496</v>
      </c>
      <c r="D54" s="120"/>
      <c r="E54" s="120"/>
      <c r="F54" s="120"/>
      <c r="G54" s="120"/>
      <c r="H54" s="121"/>
      <c r="R54"/>
      <c r="S54" s="51"/>
      <c r="T54" s="51"/>
      <c r="U54" s="51"/>
      <c r="V54" s="68"/>
    </row>
    <row r="55" spans="1:24" s="20" customFormat="1" ht="15.75" customHeight="1" x14ac:dyDescent="0.3">
      <c r="A55" s="178" t="s">
        <v>405</v>
      </c>
      <c r="B55" s="179"/>
      <c r="C55" s="178" t="s">
        <v>494</v>
      </c>
      <c r="D55" s="184"/>
      <c r="E55" s="179"/>
      <c r="F55" s="17" t="s">
        <v>40</v>
      </c>
      <c r="G55" s="131">
        <v>45456</v>
      </c>
      <c r="H55" s="132"/>
      <c r="I55" s="19" t="e">
        <f>IF(G55&gt;EDATE(#REF!,-48),"NO REMARK","CC REMARK FOR CC")</f>
        <v>#REF!</v>
      </c>
      <c r="J55" s="72"/>
      <c r="R55"/>
      <c r="S55" s="51" t="s">
        <v>256</v>
      </c>
      <c r="T55" s="51" t="s">
        <v>261</v>
      </c>
      <c r="U55" s="51" t="s">
        <v>258</v>
      </c>
      <c r="V55" s="51" t="s">
        <v>277</v>
      </c>
    </row>
    <row r="56" spans="1:24" s="20" customFormat="1" ht="33.75" customHeight="1" x14ac:dyDescent="0.3">
      <c r="A56" s="180"/>
      <c r="B56" s="181"/>
      <c r="C56" s="182"/>
      <c r="D56" s="185"/>
      <c r="E56" s="183"/>
      <c r="F56" s="17" t="s">
        <v>120</v>
      </c>
      <c r="G56" s="131">
        <v>45820</v>
      </c>
      <c r="H56" s="121"/>
      <c r="R56"/>
      <c r="S56" s="51" t="s">
        <v>257</v>
      </c>
      <c r="T56" s="51" t="s">
        <v>264</v>
      </c>
      <c r="U56" s="51" t="s">
        <v>271</v>
      </c>
      <c r="V56" s="68" t="s">
        <v>349</v>
      </c>
    </row>
    <row r="57" spans="1:24" s="20" customFormat="1" ht="33.75" customHeight="1" x14ac:dyDescent="0.3">
      <c r="A57" s="182"/>
      <c r="B57" s="183"/>
      <c r="C57" s="119" t="s">
        <v>495</v>
      </c>
      <c r="D57" s="120"/>
      <c r="E57" s="120"/>
      <c r="F57" s="120"/>
      <c r="G57" s="120"/>
      <c r="H57" s="121"/>
      <c r="R57"/>
      <c r="S57" s="51"/>
      <c r="T57" s="51"/>
      <c r="U57" s="51"/>
      <c r="V57" s="68"/>
    </row>
    <row r="58" spans="1:24" s="20" customFormat="1" ht="15.75" customHeight="1" x14ac:dyDescent="0.3">
      <c r="A58" s="178" t="s">
        <v>405</v>
      </c>
      <c r="B58" s="179"/>
      <c r="C58" s="178" t="s">
        <v>403</v>
      </c>
      <c r="D58" s="184"/>
      <c r="E58" s="179"/>
      <c r="F58" s="17" t="s">
        <v>40</v>
      </c>
      <c r="G58" s="131">
        <v>45583</v>
      </c>
      <c r="H58" s="132"/>
      <c r="I58" s="19" t="str">
        <f ca="1">IF(G58&gt;EDATE(E3,-48),"NO REMARK","CC REMARK FOR CC")</f>
        <v>NO REMARK</v>
      </c>
      <c r="J58" s="72"/>
      <c r="R58"/>
      <c r="S58" s="51" t="s">
        <v>256</v>
      </c>
      <c r="T58" s="51" t="s">
        <v>261</v>
      </c>
      <c r="U58" s="51" t="s">
        <v>258</v>
      </c>
      <c r="V58" s="51" t="s">
        <v>277</v>
      </c>
    </row>
    <row r="59" spans="1:24" s="20" customFormat="1" ht="33.75" customHeight="1" x14ac:dyDescent="0.3">
      <c r="A59" s="180"/>
      <c r="B59" s="181"/>
      <c r="C59" s="182"/>
      <c r="D59" s="185"/>
      <c r="E59" s="183"/>
      <c r="F59" s="17" t="s">
        <v>120</v>
      </c>
      <c r="G59" s="131">
        <v>45585</v>
      </c>
      <c r="H59" s="121"/>
      <c r="R59"/>
      <c r="S59" s="51" t="s">
        <v>257</v>
      </c>
      <c r="T59" s="51" t="s">
        <v>264</v>
      </c>
      <c r="U59" s="51" t="s">
        <v>271</v>
      </c>
      <c r="V59" s="68" t="s">
        <v>349</v>
      </c>
    </row>
    <row r="60" spans="1:24" s="20" customFormat="1" ht="33.75" customHeight="1" x14ac:dyDescent="0.3">
      <c r="A60" s="182"/>
      <c r="B60" s="183"/>
      <c r="C60" s="119" t="s">
        <v>404</v>
      </c>
      <c r="D60" s="120"/>
      <c r="E60" s="120"/>
      <c r="F60" s="120"/>
      <c r="G60" s="120"/>
      <c r="H60" s="121"/>
      <c r="R60"/>
      <c r="S60" s="51"/>
      <c r="T60" s="51"/>
      <c r="U60" s="51"/>
      <c r="V60" s="68"/>
    </row>
    <row r="61" spans="1:24" s="20" customFormat="1" x14ac:dyDescent="0.3">
      <c r="A61" s="220" t="s">
        <v>281</v>
      </c>
      <c r="B61" s="221"/>
      <c r="C61" s="119" t="s">
        <v>406</v>
      </c>
      <c r="D61" s="120"/>
      <c r="E61" s="121"/>
      <c r="F61" s="17" t="s">
        <v>40</v>
      </c>
      <c r="G61" s="131">
        <v>44895</v>
      </c>
      <c r="H61" s="132"/>
      <c r="K61" s="73">
        <f>EDATE(G58,-48)</f>
        <v>44122</v>
      </c>
      <c r="L61" s="20" t="str">
        <f ca="1">IF(G58&gt;EDATE(E3,-48),"NO REMARK","CC REMARK FOR CC")</f>
        <v>NO REMARK</v>
      </c>
      <c r="R61"/>
      <c r="S61" s="51" t="s">
        <v>256</v>
      </c>
      <c r="T61" s="51" t="s">
        <v>261</v>
      </c>
      <c r="U61" s="51" t="s">
        <v>258</v>
      </c>
      <c r="V61" s="51" t="s">
        <v>277</v>
      </c>
    </row>
    <row r="62" spans="1:24" s="20" customFormat="1" ht="85.5" customHeight="1" x14ac:dyDescent="0.3">
      <c r="A62" s="222"/>
      <c r="B62" s="223"/>
      <c r="C62" s="217" t="s">
        <v>407</v>
      </c>
      <c r="D62" s="218"/>
      <c r="E62" s="218"/>
      <c r="F62" s="218"/>
      <c r="G62" s="218"/>
      <c r="H62" s="219"/>
      <c r="R62"/>
      <c r="S62" s="51" t="s">
        <v>258</v>
      </c>
      <c r="T62" s="51" t="s">
        <v>262</v>
      </c>
      <c r="U62" s="51" t="s">
        <v>272</v>
      </c>
      <c r="V62" s="69"/>
      <c r="W62" s="18"/>
      <c r="X62" s="18"/>
    </row>
    <row r="63" spans="1:24" s="20" customFormat="1" ht="34.5" customHeight="1" x14ac:dyDescent="0.3">
      <c r="A63" s="220" t="s">
        <v>282</v>
      </c>
      <c r="B63" s="221"/>
      <c r="C63" s="119" t="s">
        <v>408</v>
      </c>
      <c r="D63" s="120"/>
      <c r="E63" s="121"/>
      <c r="F63" s="17" t="s">
        <v>40</v>
      </c>
      <c r="G63" s="131">
        <v>45064</v>
      </c>
      <c r="H63" s="132"/>
      <c r="R63"/>
      <c r="S63" s="69"/>
      <c r="T63" s="51" t="s">
        <v>263</v>
      </c>
      <c r="U63" s="51" t="s">
        <v>273</v>
      </c>
      <c r="V63" s="69"/>
      <c r="W63" s="18"/>
      <c r="X63" s="18"/>
    </row>
    <row r="64" spans="1:24" s="20" customFormat="1" ht="54.75" customHeight="1" x14ac:dyDescent="0.3">
      <c r="A64" s="222"/>
      <c r="B64" s="223"/>
      <c r="C64" s="119" t="s">
        <v>409</v>
      </c>
      <c r="D64" s="120"/>
      <c r="E64" s="120"/>
      <c r="F64" s="120"/>
      <c r="G64" s="120"/>
      <c r="H64" s="121"/>
      <c r="R64"/>
      <c r="S64" s="69"/>
      <c r="T64" s="51" t="s">
        <v>265</v>
      </c>
      <c r="U64" s="51" t="s">
        <v>274</v>
      </c>
      <c r="V64" s="69"/>
      <c r="W64" s="18"/>
      <c r="X64" s="18"/>
    </row>
    <row r="65" spans="1:24" s="20" customFormat="1" ht="15.75" customHeight="1" x14ac:dyDescent="0.3">
      <c r="A65" s="189" t="s">
        <v>501</v>
      </c>
      <c r="B65" s="191"/>
      <c r="C65" s="189" t="s">
        <v>499</v>
      </c>
      <c r="D65" s="190"/>
      <c r="E65" s="191"/>
      <c r="F65" s="100" t="s">
        <v>40</v>
      </c>
      <c r="G65" s="126">
        <v>44495</v>
      </c>
      <c r="H65" s="127"/>
      <c r="R65"/>
      <c r="S65" s="69"/>
      <c r="T65" s="51" t="s">
        <v>266</v>
      </c>
      <c r="U65" s="69" t="s">
        <v>296</v>
      </c>
      <c r="V65" s="69"/>
      <c r="W65" s="18"/>
      <c r="X65" s="18"/>
    </row>
    <row r="66" spans="1:24" s="20" customFormat="1" ht="32.4" customHeight="1" x14ac:dyDescent="0.3">
      <c r="A66" s="231"/>
      <c r="B66" s="240"/>
      <c r="C66" s="192"/>
      <c r="D66" s="193"/>
      <c r="E66" s="194"/>
      <c r="F66" s="100" t="s">
        <v>352</v>
      </c>
      <c r="G66" s="126">
        <v>47416</v>
      </c>
      <c r="H66" s="127"/>
      <c r="R66"/>
      <c r="S66" s="69"/>
      <c r="T66" s="51" t="s">
        <v>267</v>
      </c>
      <c r="U66" s="69"/>
      <c r="V66" s="69"/>
      <c r="W66" s="18"/>
      <c r="X66" s="18"/>
    </row>
    <row r="67" spans="1:24" s="20" customFormat="1" ht="33.75" customHeight="1" x14ac:dyDescent="0.3">
      <c r="A67" s="192"/>
      <c r="B67" s="194"/>
      <c r="C67" s="198" t="s">
        <v>500</v>
      </c>
      <c r="D67" s="199"/>
      <c r="E67" s="199"/>
      <c r="F67" s="199"/>
      <c r="G67" s="199"/>
      <c r="H67" s="200"/>
      <c r="R67"/>
      <c r="S67" s="69"/>
      <c r="T67" s="51"/>
      <c r="U67" s="69"/>
      <c r="V67" s="69"/>
      <c r="W67" s="18"/>
      <c r="X67" s="18"/>
    </row>
    <row r="68" spans="1:24" s="20" customFormat="1" ht="15.75" customHeight="1" x14ac:dyDescent="0.3">
      <c r="A68" s="189" t="s">
        <v>502</v>
      </c>
      <c r="B68" s="191"/>
      <c r="C68" s="189" t="s">
        <v>410</v>
      </c>
      <c r="D68" s="190"/>
      <c r="E68" s="191"/>
      <c r="F68" s="100" t="s">
        <v>40</v>
      </c>
      <c r="G68" s="126">
        <v>44973</v>
      </c>
      <c r="H68" s="127"/>
      <c r="R68"/>
      <c r="S68" s="69"/>
      <c r="T68" s="51" t="s">
        <v>266</v>
      </c>
      <c r="U68" s="69" t="s">
        <v>296</v>
      </c>
      <c r="V68" s="69"/>
      <c r="W68" s="18"/>
      <c r="X68" s="18"/>
    </row>
    <row r="69" spans="1:24" s="20" customFormat="1" ht="33.75" customHeight="1" x14ac:dyDescent="0.3">
      <c r="A69" s="231"/>
      <c r="B69" s="240"/>
      <c r="C69" s="192"/>
      <c r="D69" s="193"/>
      <c r="E69" s="194"/>
      <c r="F69" s="100" t="s">
        <v>352</v>
      </c>
      <c r="G69" s="126">
        <v>47895</v>
      </c>
      <c r="H69" s="127"/>
      <c r="R69"/>
      <c r="S69" s="69"/>
      <c r="T69" s="51" t="s">
        <v>267</v>
      </c>
      <c r="U69" s="69"/>
      <c r="V69" s="69"/>
      <c r="W69" s="18"/>
      <c r="X69" s="18"/>
    </row>
    <row r="70" spans="1:24" s="20" customFormat="1" x14ac:dyDescent="0.3">
      <c r="A70" s="192"/>
      <c r="B70" s="194"/>
      <c r="C70" s="198" t="s">
        <v>503</v>
      </c>
      <c r="D70" s="199"/>
      <c r="E70" s="199"/>
      <c r="F70" s="199"/>
      <c r="G70" s="199"/>
      <c r="H70" s="200"/>
      <c r="R70"/>
      <c r="S70" s="69"/>
      <c r="T70" s="51"/>
      <c r="U70" s="69"/>
      <c r="V70" s="69"/>
      <c r="W70" s="18"/>
      <c r="X70" s="18"/>
    </row>
    <row r="71" spans="1:24" x14ac:dyDescent="0.3">
      <c r="A71" s="272" t="s">
        <v>42</v>
      </c>
      <c r="B71" s="273"/>
      <c r="C71" s="272" t="s">
        <v>102</v>
      </c>
      <c r="D71" s="274"/>
      <c r="E71" s="273"/>
      <c r="F71" s="40" t="s">
        <v>40</v>
      </c>
      <c r="G71" s="275" t="s">
        <v>28</v>
      </c>
      <c r="H71" s="276"/>
      <c r="R71"/>
      <c r="S71" s="69"/>
      <c r="T71" s="51" t="s">
        <v>269</v>
      </c>
      <c r="U71" s="69"/>
      <c r="V71" s="69"/>
    </row>
    <row r="72" spans="1:24" x14ac:dyDescent="0.3">
      <c r="A72" s="239" t="s">
        <v>44</v>
      </c>
      <c r="B72" s="239"/>
      <c r="C72" s="239"/>
      <c r="D72" s="239"/>
      <c r="E72" s="239"/>
      <c r="F72" s="239"/>
      <c r="G72" s="239"/>
      <c r="H72" s="239"/>
      <c r="S72" s="69"/>
      <c r="T72" s="51" t="s">
        <v>278</v>
      </c>
      <c r="U72" s="69"/>
      <c r="V72" s="69"/>
    </row>
    <row r="73" spans="1:24" x14ac:dyDescent="0.3">
      <c r="A73" s="122" t="s">
        <v>87</v>
      </c>
      <c r="B73" s="122"/>
      <c r="C73" s="122"/>
      <c r="D73" s="123">
        <f>E46</f>
        <v>80965.259999999995</v>
      </c>
      <c r="E73" s="123"/>
      <c r="F73" s="123"/>
      <c r="G73" s="123"/>
      <c r="H73" s="123"/>
      <c r="R73"/>
    </row>
    <row r="74" spans="1:24" x14ac:dyDescent="0.3">
      <c r="A74" s="116" t="s">
        <v>45</v>
      </c>
      <c r="B74" s="125"/>
      <c r="C74" s="125"/>
      <c r="D74" s="125" t="s">
        <v>516</v>
      </c>
      <c r="E74" s="125"/>
      <c r="F74" s="125"/>
      <c r="G74" s="125"/>
      <c r="H74" s="125"/>
      <c r="I74" s="22">
        <v>44973</v>
      </c>
      <c r="R74"/>
    </row>
    <row r="75" spans="1:24" ht="79.5" customHeight="1" x14ac:dyDescent="0.3">
      <c r="A75" s="189" t="s">
        <v>46</v>
      </c>
      <c r="B75" s="190"/>
      <c r="C75" s="191"/>
      <c r="D75" s="133" t="s">
        <v>412</v>
      </c>
      <c r="E75" s="134"/>
      <c r="F75" s="134"/>
      <c r="G75" s="134"/>
      <c r="H75" s="134"/>
      <c r="I75" s="22">
        <f>I74+8</f>
        <v>44981</v>
      </c>
      <c r="R75"/>
    </row>
    <row r="76" spans="1:24" ht="15.75" customHeight="1" x14ac:dyDescent="0.3">
      <c r="A76" s="189" t="s">
        <v>85</v>
      </c>
      <c r="B76" s="190"/>
      <c r="C76" s="190"/>
      <c r="D76" s="233" t="s">
        <v>416</v>
      </c>
      <c r="E76" s="234"/>
      <c r="F76" s="234"/>
      <c r="G76" s="234"/>
      <c r="H76" s="235"/>
      <c r="R76"/>
    </row>
    <row r="77" spans="1:24" ht="15.75" customHeight="1" x14ac:dyDescent="0.3">
      <c r="A77" s="231"/>
      <c r="B77" s="232"/>
      <c r="C77" s="232"/>
      <c r="D77" s="236" t="s">
        <v>504</v>
      </c>
      <c r="E77" s="237"/>
      <c r="F77" s="237"/>
      <c r="G77" s="237"/>
      <c r="H77" s="238"/>
      <c r="R77"/>
    </row>
    <row r="78" spans="1:24" ht="15.75" customHeight="1" x14ac:dyDescent="0.3">
      <c r="A78" s="192"/>
      <c r="B78" s="193"/>
      <c r="C78" s="193"/>
      <c r="D78" s="195" t="s">
        <v>417</v>
      </c>
      <c r="E78" s="196"/>
      <c r="F78" s="196"/>
      <c r="G78" s="196"/>
      <c r="H78" s="197"/>
      <c r="S78"/>
    </row>
    <row r="79" spans="1:24" ht="15.75" customHeight="1" x14ac:dyDescent="0.3">
      <c r="A79" s="123" t="s">
        <v>43</v>
      </c>
      <c r="B79" s="123"/>
      <c r="C79" s="123"/>
      <c r="D79" s="124" t="s">
        <v>411</v>
      </c>
      <c r="E79" s="124"/>
      <c r="F79" s="124"/>
      <c r="G79" s="124"/>
      <c r="H79" s="124"/>
      <c r="J79" s="22"/>
      <c r="K79" s="21"/>
      <c r="N79" s="21"/>
      <c r="S79"/>
    </row>
    <row r="80" spans="1:24" ht="15.75" customHeight="1" x14ac:dyDescent="0.3">
      <c r="A80" s="123" t="s">
        <v>83</v>
      </c>
      <c r="B80" s="123"/>
      <c r="C80" s="123"/>
      <c r="D80" s="130" t="str">
        <f>(IF(G71="NA","60 Years After Completion",IF(G71&lt;&gt;"NA",""&amp;60-ROUNDDOWN((E3-G71)/360,0)&amp;" Years"," ")))</f>
        <v>60 Years After Completion</v>
      </c>
      <c r="E80" s="130"/>
      <c r="F80" s="130"/>
      <c r="G80" s="130"/>
      <c r="H80" s="130"/>
      <c r="N80" s="21"/>
      <c r="S80"/>
    </row>
    <row r="81" spans="1:19" ht="15.75" customHeight="1" x14ac:dyDescent="0.3">
      <c r="A81" s="123" t="s">
        <v>84</v>
      </c>
      <c r="B81" s="123"/>
      <c r="C81" s="123"/>
      <c r="D81" s="122" t="s">
        <v>23</v>
      </c>
      <c r="E81" s="122"/>
      <c r="F81" s="122"/>
      <c r="G81" s="122"/>
      <c r="H81" s="122"/>
      <c r="J81" s="23"/>
      <c r="K81" s="23"/>
      <c r="S81"/>
    </row>
    <row r="82" spans="1:19" ht="69.75" customHeight="1" x14ac:dyDescent="0.3">
      <c r="A82" s="227" t="s">
        <v>414</v>
      </c>
      <c r="B82" s="227"/>
      <c r="C82" s="227"/>
      <c r="D82" s="116" t="s">
        <v>413</v>
      </c>
      <c r="E82" s="122"/>
      <c r="F82" s="122"/>
      <c r="G82" s="122"/>
      <c r="H82" s="122"/>
      <c r="I82" s="92" t="s">
        <v>415</v>
      </c>
      <c r="S82"/>
    </row>
    <row r="83" spans="1:19" x14ac:dyDescent="0.3">
      <c r="A83" s="122" t="s">
        <v>149</v>
      </c>
      <c r="B83" s="122"/>
      <c r="C83" s="122"/>
      <c r="D83" s="122" t="s">
        <v>28</v>
      </c>
      <c r="E83" s="122"/>
      <c r="F83" s="122"/>
      <c r="G83" s="122"/>
      <c r="H83" s="122"/>
      <c r="I83" s="24"/>
      <c r="J83" s="24"/>
      <c r="K83" s="24"/>
      <c r="L83" s="24"/>
      <c r="M83" s="24"/>
      <c r="N83" s="24"/>
    </row>
    <row r="84" spans="1:19" ht="15.75" customHeight="1" x14ac:dyDescent="0.3">
      <c r="A84" s="230" t="s">
        <v>82</v>
      </c>
      <c r="B84" s="230"/>
      <c r="C84" s="230"/>
      <c r="D84" s="229" t="str">
        <f ca="1">(IF(G90&gt;95%,"Nothing",IF(G90&gt;0%,"Cement, Aggregate, Steel, etc",IF(G90=0%,"Work not yet Started"))))</f>
        <v>Cement, Aggregate, Steel, etc</v>
      </c>
      <c r="E84" s="229"/>
      <c r="F84" s="229"/>
      <c r="G84" s="229"/>
      <c r="H84" s="229"/>
      <c r="J84" s="23"/>
      <c r="S84"/>
    </row>
    <row r="85" spans="1:19" ht="33.75" customHeight="1" thickBot="1" x14ac:dyDescent="0.35">
      <c r="A85" s="228" t="s">
        <v>115</v>
      </c>
      <c r="B85" s="228"/>
      <c r="C85" s="228"/>
      <c r="D85" s="229" t="str">
        <f ca="1">(IF(D84="Nothing","Yes",IF(D84="Cement, Aggregate, Steel, etc","Under Construction",IF(D84="Work not yet Started","Work not yet Started"))))</f>
        <v>Under Construction</v>
      </c>
      <c r="E85" s="229"/>
      <c r="F85" s="229" t="str">
        <f ca="1">(IF(D84="Nothing","Yes",IF(D84="Cement, Aggregate, Steel, etc","Under Construction",IF(D84="Work not yet Started","Work not yet Started"))))</f>
        <v>Under Construction</v>
      </c>
      <c r="G85" s="229"/>
      <c r="H85" s="229"/>
      <c r="S85"/>
    </row>
    <row r="86" spans="1:19" ht="15.75" customHeight="1" x14ac:dyDescent="0.3">
      <c r="A86" s="170" t="s">
        <v>139</v>
      </c>
      <c r="B86" s="171"/>
      <c r="C86" s="172" t="str">
        <f>D76</f>
        <v>Wing A = 3B + G + 17P + 18th Amenity + 1st to 61st Floor</v>
      </c>
      <c r="D86" s="173"/>
      <c r="E86" s="173"/>
      <c r="F86" s="173"/>
      <c r="G86" s="173"/>
      <c r="H86" s="174"/>
      <c r="I86" s="43" t="str">
        <f ca="1">IF(D99=100%,"All work Completed. Possession granted to the Building.",IF(D98=100%,"All work Completed, Waiting for OC",I87&amp;""&amp;I88&amp;""&amp;J87&amp;""&amp;J86&amp;" "&amp;J88))</f>
        <v>Excavation, Plinth Completed, RCC upto 16 Slab Completed</v>
      </c>
      <c r="J86" s="44" t="str">
        <f ca="1">(IF(C92=(D87+F87+H87),"",IF(C92&gt;0,", RCC upto "&amp;C92&amp;" Slab","")))&amp;(IF(C93=H87,"",IF(C93&gt;0,", Brickwork upto "&amp;C93&amp;" Floor","")))&amp;(IF(C94=H87,"",IF(C94&gt;0,", Internal Plaster upto "&amp;C94&amp;" Floor","")))&amp;(IF(C95=H87,"",IF(C95&gt;0,", External Plaster upto "&amp;C95&amp;" Floor","")))&amp;(IF(C96=H87,"",IF(C96&gt;0,", Flooring upto "&amp;C96&amp;" Floor","")))&amp;(IF(C97=H87,"",IF(C97&gt;0,", Painting upto "&amp;C97&amp;" Floor","")))&amp;(IF(C98=H87,"",IF(C98&gt;0,", Finishing upto "&amp;C98&amp;" Floor","")))&amp;(IF(C99=H87,"",IF(C99&gt;0,", Possession upto "&amp;C99&amp;" Floor","")))</f>
        <v>, RCC upto 16 Slab</v>
      </c>
      <c r="S86"/>
    </row>
    <row r="87" spans="1:19" x14ac:dyDescent="0.3">
      <c r="A87" s="15" t="s">
        <v>141</v>
      </c>
      <c r="B87" s="42">
        <f>IF(AND(ISNUMBER(SEARCH("1B",C86))),1,IF(AND(ISNUMBER(SEARCH("2B",C86))),2,IF(AND(ISNUMBER(SEARCH("3B",C86))),3,IF(AND(ISNUMBER(SEARCH("4B",C86))),4,IF(ISNUMBER(SEARCH("5B",C86)),5,0)))))</f>
        <v>3</v>
      </c>
      <c r="C87" s="42" t="s">
        <v>68</v>
      </c>
      <c r="D87" s="42">
        <v>1</v>
      </c>
      <c r="E87" s="42" t="s">
        <v>67</v>
      </c>
      <c r="F87" s="42">
        <v>18</v>
      </c>
      <c r="G87" s="42" t="s">
        <v>76</v>
      </c>
      <c r="H87" s="16" cm="1">
        <f t="array" aca="1" ref="H87" ca="1">--TRIM(RIGHT(SUBSTITUTE(LEFT(C86,_xlfn.AGGREGATE(16,6,FIND({0,1,2,3,4,5,6,7,8,9},C86,ROW(INDIRECT("1:"&amp;LEN(C86)))),1))," ",REPT(" ",LEN(C86))),LEN(C86)))</f>
        <v>61</v>
      </c>
      <c r="I87" s="45" t="str">
        <f ca="1">IF(D90=100%,"Excavation","")&amp;IF(D91=100%,", Plinth","")&amp;IF(D92=100%,", RCC Slab","")&amp;IF(D93=100%,", Brickwork","")&amp;IF(D94=100%,", Internal Plaster","")&amp;IF(D95=100%,", External Plaster","")&amp;IF(D96=100%,", Flooring","")&amp;IF(D97=100%,", Painting","")&amp;IF(D98=100%,", Building common Amenities","")</f>
        <v>Excavation, Plinth</v>
      </c>
      <c r="J87" s="46" t="str">
        <f ca="1">(IF(C90=0,"Work not yet Started.",IF(D90=25%,"Piling work in process",IF(D90=50%,"Excavation work in process",IF(D90=100%,"","0")))))&amp;(IF(C91=0%,"",IF(C91=J92,", Footing work is process",IF(C91=J93,", Footing work Completed",IF(C91=J94,", 1st Basement Completed",IF(C91=J95,", 1st &amp; 2nd Basement Completed",IF(C91=J96,", 1st to 3rd Basement Completed",IF(C91=J97,", 1st to 4th Basement Completed",IF(C91=J98,", Plinth work is process",IF(C91=J99,"","0"))))))))))</f>
        <v/>
      </c>
      <c r="S87"/>
    </row>
    <row r="88" spans="1:19" x14ac:dyDescent="0.3">
      <c r="A88" s="117" t="s">
        <v>86</v>
      </c>
      <c r="B88" s="118"/>
      <c r="C88" s="175" t="str">
        <f ca="1">I86</f>
        <v>Excavation, Plinth Completed, RCC upto 16 Slab Completed</v>
      </c>
      <c r="D88" s="175"/>
      <c r="E88" s="175"/>
      <c r="F88" s="175"/>
      <c r="G88" s="175"/>
      <c r="H88" s="176"/>
      <c r="I88" s="45" t="str">
        <f ca="1">IF(I87&lt;&gt;""," Completed","")</f>
        <v xml:space="preserve"> Completed</v>
      </c>
      <c r="J88" s="46" t="str">
        <f ca="1">IF(J86&lt;&gt;"","Completed","")</f>
        <v>Completed</v>
      </c>
      <c r="S88"/>
    </row>
    <row r="89" spans="1:19" ht="15.75" customHeight="1" x14ac:dyDescent="0.3">
      <c r="A89" s="128" t="s">
        <v>47</v>
      </c>
      <c r="B89" s="129"/>
      <c r="C89" s="101" t="s">
        <v>138</v>
      </c>
      <c r="D89" s="101" t="s">
        <v>79</v>
      </c>
      <c r="E89" s="163" t="s">
        <v>81</v>
      </c>
      <c r="F89" s="163"/>
      <c r="G89" s="163" t="s">
        <v>80</v>
      </c>
      <c r="H89" s="177"/>
      <c r="I89" s="13" t="s">
        <v>140</v>
      </c>
      <c r="J89" s="25">
        <f ca="1">H87*25%</f>
        <v>15.25</v>
      </c>
      <c r="S89"/>
    </row>
    <row r="90" spans="1:19" x14ac:dyDescent="0.3">
      <c r="A90" s="128" t="s">
        <v>127</v>
      </c>
      <c r="B90" s="129"/>
      <c r="C90" s="101">
        <f ca="1">J91</f>
        <v>61</v>
      </c>
      <c r="D90" s="102">
        <f ca="1">((100/H87)*C90)/100</f>
        <v>1</v>
      </c>
      <c r="E90" s="164">
        <f ca="1">(((C91/H87*10)+(40/(D87+F87+H87)*C92)+(7.5/(H87)*C93)+(7.5/(H87)*C94)+(10/H87*C95)+(10/H87*C96)+(5/H87*C97)+(5/H87*C98)+(5/H87*C99))/100)</f>
        <v>0.18</v>
      </c>
      <c r="F90" s="165"/>
      <c r="G90" s="164">
        <f ca="1">((((C90/H87)*20)+((C91/H87)*25)+(30/(H87+F87+D87)*C92)+(5/H87*C93)+(5/H87*C94)+(5/H87*C95)+(5/H87*C96)+(0/H87*C97)+(0/H87*C98)+(5/H87*C99))/100)</f>
        <v>0.51</v>
      </c>
      <c r="H90" s="186"/>
      <c r="I90" s="13" t="s">
        <v>97</v>
      </c>
      <c r="J90" s="26">
        <f ca="1">H87*50%</f>
        <v>30.5</v>
      </c>
    </row>
    <row r="91" spans="1:19" x14ac:dyDescent="0.3">
      <c r="A91" s="128" t="s">
        <v>48</v>
      </c>
      <c r="B91" s="129"/>
      <c r="C91" s="101">
        <f ca="1">J99</f>
        <v>60.999999999999993</v>
      </c>
      <c r="D91" s="102">
        <f ca="1">((100/H87)*C91)/100</f>
        <v>0.99999999999999989</v>
      </c>
      <c r="E91" s="166"/>
      <c r="F91" s="167"/>
      <c r="G91" s="166"/>
      <c r="H91" s="187"/>
      <c r="I91" s="13" t="s">
        <v>98</v>
      </c>
      <c r="J91" s="26">
        <f ca="1">H87</f>
        <v>61</v>
      </c>
      <c r="L91" s="89"/>
      <c r="S91"/>
    </row>
    <row r="92" spans="1:19" ht="15.75" customHeight="1" x14ac:dyDescent="0.3">
      <c r="A92" s="128" t="s">
        <v>128</v>
      </c>
      <c r="B92" s="129"/>
      <c r="C92" s="101">
        <v>16</v>
      </c>
      <c r="D92" s="102">
        <f ca="1">((100/(D87+F87+H87))*C92)/100</f>
        <v>0.2</v>
      </c>
      <c r="E92" s="166"/>
      <c r="F92" s="167"/>
      <c r="G92" s="166"/>
      <c r="H92" s="187"/>
      <c r="I92" s="13" t="s">
        <v>99</v>
      </c>
      <c r="J92" s="27">
        <f ca="1">(IF(B87&gt;1,(H87/(B87+2)),H87/4))</f>
        <v>12.2</v>
      </c>
      <c r="S92"/>
    </row>
    <row r="93" spans="1:19" ht="15.75" customHeight="1" x14ac:dyDescent="0.3">
      <c r="A93" s="128" t="s">
        <v>135</v>
      </c>
      <c r="B93" s="129" t="s">
        <v>129</v>
      </c>
      <c r="C93" s="101">
        <v>0</v>
      </c>
      <c r="D93" s="102">
        <f ca="1">((100/H87)*C93)/100</f>
        <v>0</v>
      </c>
      <c r="E93" s="166"/>
      <c r="F93" s="167"/>
      <c r="G93" s="166"/>
      <c r="H93" s="187"/>
      <c r="I93" s="13" t="s">
        <v>100</v>
      </c>
      <c r="J93" s="27">
        <f ca="1">(IF(B87&gt;1,(H87/(B87+2)+J92),H87/4+J92))</f>
        <v>24.4</v>
      </c>
    </row>
    <row r="94" spans="1:19" ht="15.75" customHeight="1" x14ac:dyDescent="0.3">
      <c r="A94" s="128" t="s">
        <v>136</v>
      </c>
      <c r="B94" s="129" t="s">
        <v>129</v>
      </c>
      <c r="C94" s="101">
        <v>0</v>
      </c>
      <c r="D94" s="102">
        <f ca="1">((100/H87)*C94)/100</f>
        <v>0</v>
      </c>
      <c r="E94" s="166"/>
      <c r="F94" s="167"/>
      <c r="G94" s="166"/>
      <c r="H94" s="187"/>
      <c r="I94" s="13" t="s">
        <v>147</v>
      </c>
      <c r="J94" s="27">
        <f ca="1">(IF(B87&gt;1,(H87/(B87+2)+J93),0))</f>
        <v>36.599999999999994</v>
      </c>
    </row>
    <row r="95" spans="1:19" ht="15" customHeight="1" x14ac:dyDescent="0.3">
      <c r="A95" s="128" t="s">
        <v>134</v>
      </c>
      <c r="B95" s="129" t="s">
        <v>131</v>
      </c>
      <c r="C95" s="101">
        <v>0</v>
      </c>
      <c r="D95" s="102">
        <f ca="1">((100/(H87))*C95)/100</f>
        <v>0</v>
      </c>
      <c r="E95" s="166"/>
      <c r="F95" s="167"/>
      <c r="G95" s="166"/>
      <c r="H95" s="187"/>
      <c r="I95" s="13" t="s">
        <v>142</v>
      </c>
      <c r="J95" s="27">
        <f ca="1">(IF(B87&gt;2,(H87/(B87+2)+J94),0))</f>
        <v>48.8</v>
      </c>
    </row>
    <row r="96" spans="1:19" ht="15.75" customHeight="1" x14ac:dyDescent="0.3">
      <c r="A96" s="128" t="s">
        <v>130</v>
      </c>
      <c r="B96" s="129" t="s">
        <v>130</v>
      </c>
      <c r="C96" s="101">
        <v>0</v>
      </c>
      <c r="D96" s="102">
        <f ca="1">((100/H87)*C96)/100</f>
        <v>0</v>
      </c>
      <c r="E96" s="166"/>
      <c r="F96" s="167"/>
      <c r="G96" s="166"/>
      <c r="H96" s="187"/>
      <c r="I96" s="13" t="s">
        <v>143</v>
      </c>
      <c r="J96" s="28">
        <f>(IF(B87&gt;3,(H87/(B87+2)+J95),0))</f>
        <v>0</v>
      </c>
    </row>
    <row r="97" spans="1:19" ht="15.75" customHeight="1" x14ac:dyDescent="0.3">
      <c r="A97" s="128" t="s">
        <v>137</v>
      </c>
      <c r="B97" s="129"/>
      <c r="C97" s="101">
        <v>0</v>
      </c>
      <c r="D97" s="102">
        <f ca="1">((100/H87)*C97)/100</f>
        <v>0</v>
      </c>
      <c r="E97" s="166"/>
      <c r="F97" s="167"/>
      <c r="G97" s="166"/>
      <c r="H97" s="187"/>
      <c r="I97" s="13" t="s">
        <v>144</v>
      </c>
      <c r="J97" s="27">
        <f>(IF(B87&gt;4,(H87/(B87+2)+J96),0))</f>
        <v>0</v>
      </c>
    </row>
    <row r="98" spans="1:19" ht="15.75" customHeight="1" x14ac:dyDescent="0.3">
      <c r="A98" s="128" t="s">
        <v>132</v>
      </c>
      <c r="B98" s="129" t="s">
        <v>132</v>
      </c>
      <c r="C98" s="101">
        <v>0</v>
      </c>
      <c r="D98" s="102">
        <f ca="1">((100/(H87))*C98)/100</f>
        <v>0</v>
      </c>
      <c r="E98" s="166"/>
      <c r="F98" s="167"/>
      <c r="G98" s="166"/>
      <c r="H98" s="187"/>
      <c r="I98" s="13" t="s">
        <v>148</v>
      </c>
      <c r="J98" s="27">
        <f>(IF(B87=1,(H87/(B87+3)+J93),IF(B87=0,(H87/4+J93),IF(B87&gt;1,0))))</f>
        <v>0</v>
      </c>
    </row>
    <row r="99" spans="1:19" ht="16.2" thickBot="1" x14ac:dyDescent="0.35">
      <c r="A99" s="145" t="s">
        <v>133</v>
      </c>
      <c r="B99" s="146"/>
      <c r="C99" s="103">
        <v>0</v>
      </c>
      <c r="D99" s="104">
        <f ca="1">((100/(H87))*C99)/100</f>
        <v>0</v>
      </c>
      <c r="E99" s="168"/>
      <c r="F99" s="169"/>
      <c r="G99" s="168"/>
      <c r="H99" s="188"/>
      <c r="I99" s="14" t="s">
        <v>101</v>
      </c>
      <c r="J99" s="29">
        <f ca="1">(IF(B87&gt;1.5,(H87/(B87+2)+J93+MAX(0,J94-J93)+MAX(0,J95-J94)+MAX(0,J96-J95)+MAX(0,J97-J96)+MAX(0,J98-J97)),IF(B87=1,(H87/(B87+3)+J98),IF(B87=0,H87/4+J98))))</f>
        <v>60.999999999999993</v>
      </c>
    </row>
    <row r="100" spans="1:19" ht="15.75" customHeight="1" x14ac:dyDescent="0.3">
      <c r="A100" s="170" t="s">
        <v>139</v>
      </c>
      <c r="B100" s="171"/>
      <c r="C100" s="172" t="str">
        <f>D77</f>
        <v>Wing B = 3B + G + 17P + 18th Amenity + 1st to 61st Floor</v>
      </c>
      <c r="D100" s="173"/>
      <c r="E100" s="173"/>
      <c r="F100" s="173"/>
      <c r="G100" s="173"/>
      <c r="H100" s="174"/>
      <c r="I100" s="43" t="str">
        <f ca="1">IF(D113=100%,"All work Completed. Possession granted to the Building.",IF(D112=100%,"All work Completed, Waiting for OC",I101&amp;""&amp;I102&amp;""&amp;J101&amp;""&amp;J100&amp;" "&amp;J102))</f>
        <v>Excavation, Plinth Completed, RCC upto 21 Slab, Brickwork upto 2 Floor, Internal Plaster upto 1.5 Floor Completed</v>
      </c>
      <c r="J100" s="44" t="str">
        <f ca="1">(IF(C106=(D101+F101+H101),"",IF(C106&gt;0,", RCC upto "&amp;C106&amp;" Slab","")))&amp;(IF(C107=H101,"",IF(C107&gt;0,", Brickwork upto "&amp;C107&amp;" Floor","")))&amp;(IF(C108=H101,"",IF(C108&gt;0,", Internal Plaster upto "&amp;C108&amp;" Floor","")))&amp;(IF(C109=H101,"",IF(C109&gt;0,", External Plaster upto "&amp;C109&amp;" Floor","")))&amp;(IF(C110=H101,"",IF(C110&gt;0,", Flooring upto "&amp;C110&amp;" Floor","")))&amp;(IF(C111=H101,"",IF(C111&gt;0,", Painting upto "&amp;C111&amp;" Floor","")))&amp;(IF(C112=H101,"",IF(C112&gt;0,", Finishing upto "&amp;C112&amp;" Floor","")))&amp;(IF(C113=H101,"",IF(C113&gt;0,", Possession upto "&amp;C113&amp;" Floor","")))</f>
        <v>, RCC upto 21 Slab, Brickwork upto 2 Floor, Internal Plaster upto 1.5 Floor</v>
      </c>
      <c r="K100" s="92" t="s">
        <v>488</v>
      </c>
      <c r="S100"/>
    </row>
    <row r="101" spans="1:19" x14ac:dyDescent="0.3">
      <c r="A101" s="15" t="s">
        <v>141</v>
      </c>
      <c r="B101" s="42">
        <f>IF(AND(ISNUMBER(SEARCH("1B",C100))),1,IF(AND(ISNUMBER(SEARCH("2B",C100))),2,IF(AND(ISNUMBER(SEARCH("3B",C100))),3,IF(AND(ISNUMBER(SEARCH("4B",C100))),4,IF(ISNUMBER(SEARCH("5B",C100)),5,0)))))</f>
        <v>3</v>
      </c>
      <c r="C101" s="42" t="s">
        <v>68</v>
      </c>
      <c r="D101" s="42">
        <v>1</v>
      </c>
      <c r="E101" s="42" t="s">
        <v>67</v>
      </c>
      <c r="F101" s="42">
        <v>18</v>
      </c>
      <c r="G101" s="42" t="s">
        <v>76</v>
      </c>
      <c r="H101" s="16">
        <f ca="1">--TRIM(RIGHT(SUBSTITUTE(LEFT(C100,_xlfn.AGGREGATE(16,6,FIND({0,1,2,3,4,5,6,7,8,9},C100,ROW(INDIRECT("1:"&amp;LEN(C100)))),1))," ",REPT(" ",LEN(C100))),LEN(C100)))</f>
        <v>61</v>
      </c>
      <c r="I101" s="45" t="str">
        <f ca="1">IF(D104=100%,"Excavation","")&amp;IF(D105=100%,", Plinth","")&amp;IF(D106=100%,", RCC Slab","")&amp;IF(D107=100%,", Brickwork","")&amp;IF(D108=100%,", Internal Plaster","")&amp;IF(D109=100%,", External Plaster","")&amp;IF(D110=100%,", Flooring","")&amp;IF(D111=100%,", Painting","")&amp;IF(D112=100%,", Building common Amenities","")</f>
        <v>Excavation, Plinth</v>
      </c>
      <c r="J101" s="46" t="str">
        <f ca="1">(IF(C104=0,"Work not yet Started.",IF(D104=25%,"Piling work in process",IF(D104=50%,"Excavation work in process",IF(D104=100%,"","0")))))&amp;(IF(C105=0%,"",IF(C105=J106,", Footing work is process",IF(C105=J107,", Footing work Completed",IF(C105=J108,", 1st Basement Completed",IF(C105=J109,", 1st &amp; 2nd Basement Completed",IF(C105=J110,", 1st to 3rd Basement Completed",IF(C105=J111,", 1st to 4th Basement Completed",IF(C105=J112,", Plinth work is process",IF(C105=J113,"","0"))))))))))</f>
        <v/>
      </c>
      <c r="S101"/>
    </row>
    <row r="102" spans="1:19" ht="35.25" customHeight="1" x14ac:dyDescent="0.3">
      <c r="A102" s="117" t="s">
        <v>86</v>
      </c>
      <c r="B102" s="118"/>
      <c r="C102" s="175" t="str">
        <f ca="1">I100</f>
        <v>Excavation, Plinth Completed, RCC upto 21 Slab, Brickwork upto 2 Floor, Internal Plaster upto 1.5 Floor Completed</v>
      </c>
      <c r="D102" s="175"/>
      <c r="E102" s="175"/>
      <c r="F102" s="175"/>
      <c r="G102" s="175"/>
      <c r="H102" s="176"/>
      <c r="I102" s="45" t="str">
        <f ca="1">IF(I101&lt;&gt;""," Completed","")</f>
        <v xml:space="preserve"> Completed</v>
      </c>
      <c r="J102" s="46" t="str">
        <f ca="1">IF(J100&lt;&gt;"","Completed","")</f>
        <v>Completed</v>
      </c>
      <c r="S102"/>
    </row>
    <row r="103" spans="1:19" ht="15.75" customHeight="1" x14ac:dyDescent="0.3">
      <c r="A103" s="128" t="s">
        <v>47</v>
      </c>
      <c r="B103" s="129"/>
      <c r="C103" s="101" t="s">
        <v>138</v>
      </c>
      <c r="D103" s="101" t="s">
        <v>79</v>
      </c>
      <c r="E103" s="163" t="s">
        <v>81</v>
      </c>
      <c r="F103" s="163"/>
      <c r="G103" s="163" t="s">
        <v>80</v>
      </c>
      <c r="H103" s="177"/>
      <c r="I103" s="13" t="s">
        <v>140</v>
      </c>
      <c r="J103" s="25">
        <f ca="1">H101*25%</f>
        <v>15.25</v>
      </c>
      <c r="S103"/>
    </row>
    <row r="104" spans="1:19" x14ac:dyDescent="0.3">
      <c r="A104" s="128" t="s">
        <v>127</v>
      </c>
      <c r="B104" s="129"/>
      <c r="C104" s="101">
        <f ca="1">J105</f>
        <v>61</v>
      </c>
      <c r="D104" s="102">
        <f ca="1">((100/H101)*C104)/100</f>
        <v>1</v>
      </c>
      <c r="E104" s="164">
        <f ca="1">(((C105/H101*10)+(40/(D101+F101+H101)*C106)+(7.5/(H101)*C107)+(7.5/(H101)*C108)+(10/H101*C109)+(10/H101*C110)+(5/H101*C111)+(5/H101*C112)+(5/H101*C113))/100)</f>
        <v>0.20930327868852458</v>
      </c>
      <c r="F104" s="165"/>
      <c r="G104" s="164">
        <f ca="1">((((C104/H101)*20)+((C105/H101)*25)+(30/(H101+F101+D101)*C106)+(5/H101*C107)+(5/H101*C108)+(5/H101*C109)+(5/H101*C110)+(0/H101*C111)+(0/H101*C112)+(5/H101*C113))/100)</f>
        <v>0.53161885245901641</v>
      </c>
      <c r="H104" s="186"/>
      <c r="I104" s="13" t="s">
        <v>97</v>
      </c>
      <c r="J104" s="26">
        <f ca="1">H101*50%</f>
        <v>30.5</v>
      </c>
    </row>
    <row r="105" spans="1:19" x14ac:dyDescent="0.3">
      <c r="A105" s="128" t="s">
        <v>48</v>
      </c>
      <c r="B105" s="129"/>
      <c r="C105" s="101">
        <f ca="1">J113</f>
        <v>60.999999999999993</v>
      </c>
      <c r="D105" s="102">
        <f ca="1">((100/H101)*C105)/100</f>
        <v>0.99999999999999989</v>
      </c>
      <c r="E105" s="166"/>
      <c r="F105" s="167"/>
      <c r="G105" s="166"/>
      <c r="H105" s="187"/>
      <c r="I105" s="13" t="s">
        <v>98</v>
      </c>
      <c r="J105" s="26">
        <f ca="1">H101</f>
        <v>61</v>
      </c>
      <c r="S105"/>
    </row>
    <row r="106" spans="1:19" ht="15.75" customHeight="1" x14ac:dyDescent="0.3">
      <c r="A106" s="128" t="s">
        <v>128</v>
      </c>
      <c r="B106" s="129"/>
      <c r="C106" s="101">
        <f>F101+D101+2</f>
        <v>21</v>
      </c>
      <c r="D106" s="102">
        <f ca="1">((100/(D101+F101+H101))*C106)/100</f>
        <v>0.26250000000000001</v>
      </c>
      <c r="E106" s="166"/>
      <c r="F106" s="167"/>
      <c r="G106" s="166"/>
      <c r="H106" s="187"/>
      <c r="I106" s="13" t="s">
        <v>99</v>
      </c>
      <c r="J106" s="27">
        <f ca="1">(IF(B101&gt;1,(H101/(B101+2)),H101/4))</f>
        <v>12.2</v>
      </c>
      <c r="S106"/>
    </row>
    <row r="107" spans="1:19" ht="15.75" customHeight="1" x14ac:dyDescent="0.3">
      <c r="A107" s="128" t="s">
        <v>135</v>
      </c>
      <c r="B107" s="129" t="s">
        <v>129</v>
      </c>
      <c r="C107" s="101">
        <f>C106-F101-D101</f>
        <v>2</v>
      </c>
      <c r="D107" s="102">
        <f ca="1">((100/H101)*C107)/100</f>
        <v>3.2786885245901641E-2</v>
      </c>
      <c r="E107" s="166"/>
      <c r="F107" s="167"/>
      <c r="G107" s="166"/>
      <c r="H107" s="187"/>
      <c r="I107" s="13" t="s">
        <v>100</v>
      </c>
      <c r="J107" s="27">
        <f ca="1">(IF(B101&gt;1,(H101/(B101+2)+J106),H101/4+J106))</f>
        <v>24.4</v>
      </c>
    </row>
    <row r="108" spans="1:19" ht="15.75" customHeight="1" x14ac:dyDescent="0.3">
      <c r="A108" s="128" t="s">
        <v>136</v>
      </c>
      <c r="B108" s="129" t="s">
        <v>129</v>
      </c>
      <c r="C108" s="106">
        <f>C107*0.75</f>
        <v>1.5</v>
      </c>
      <c r="D108" s="102">
        <f ca="1">((100/H101)*C108)/100</f>
        <v>2.4590163934426229E-2</v>
      </c>
      <c r="E108" s="166"/>
      <c r="F108" s="167"/>
      <c r="G108" s="166"/>
      <c r="H108" s="187"/>
      <c r="I108" s="13" t="s">
        <v>147</v>
      </c>
      <c r="J108" s="27">
        <f ca="1">(IF(B101&gt;1,(H101/(B101+2)+J107),0))</f>
        <v>36.599999999999994</v>
      </c>
    </row>
    <row r="109" spans="1:19" ht="15" customHeight="1" x14ac:dyDescent="0.3">
      <c r="A109" s="128" t="s">
        <v>134</v>
      </c>
      <c r="B109" s="129" t="s">
        <v>131</v>
      </c>
      <c r="C109" s="106">
        <v>0</v>
      </c>
      <c r="D109" s="102">
        <f ca="1">((100/(H101))*C109)/100</f>
        <v>0</v>
      </c>
      <c r="E109" s="166"/>
      <c r="F109" s="167"/>
      <c r="G109" s="166"/>
      <c r="H109" s="187"/>
      <c r="I109" s="13" t="s">
        <v>142</v>
      </c>
      <c r="J109" s="27">
        <f ca="1">(IF(B101&gt;2,(H101/(B101+2)+J108),0))</f>
        <v>48.8</v>
      </c>
    </row>
    <row r="110" spans="1:19" ht="15.75" customHeight="1" x14ac:dyDescent="0.3">
      <c r="A110" s="128" t="s">
        <v>130</v>
      </c>
      <c r="B110" s="129" t="s">
        <v>130</v>
      </c>
      <c r="C110" s="101">
        <v>0</v>
      </c>
      <c r="D110" s="102">
        <f ca="1">((100/H101)*C110)/100</f>
        <v>0</v>
      </c>
      <c r="E110" s="166"/>
      <c r="F110" s="167"/>
      <c r="G110" s="166"/>
      <c r="H110" s="187"/>
      <c r="I110" s="13" t="s">
        <v>143</v>
      </c>
      <c r="J110" s="28">
        <f>(IF(B101&gt;3,(H101/(B101+2)+J109),0))</f>
        <v>0</v>
      </c>
    </row>
    <row r="111" spans="1:19" ht="15.75" customHeight="1" x14ac:dyDescent="0.3">
      <c r="A111" s="128" t="s">
        <v>137</v>
      </c>
      <c r="B111" s="129"/>
      <c r="C111" s="101">
        <v>0</v>
      </c>
      <c r="D111" s="102">
        <f ca="1">((100/H101)*C111)/100</f>
        <v>0</v>
      </c>
      <c r="E111" s="166"/>
      <c r="F111" s="167"/>
      <c r="G111" s="166"/>
      <c r="H111" s="187"/>
      <c r="I111" s="13" t="s">
        <v>144</v>
      </c>
      <c r="J111" s="27">
        <f>(IF(B101&gt;4,(H101/(B101+2)+J110),0))</f>
        <v>0</v>
      </c>
    </row>
    <row r="112" spans="1:19" ht="15.75" customHeight="1" x14ac:dyDescent="0.3">
      <c r="A112" s="128" t="s">
        <v>132</v>
      </c>
      <c r="B112" s="129" t="s">
        <v>132</v>
      </c>
      <c r="C112" s="101">
        <v>0</v>
      </c>
      <c r="D112" s="102">
        <f ca="1">((100/(H101))*C112)/100</f>
        <v>0</v>
      </c>
      <c r="E112" s="166"/>
      <c r="F112" s="167"/>
      <c r="G112" s="166"/>
      <c r="H112" s="187"/>
      <c r="I112" s="13" t="s">
        <v>148</v>
      </c>
      <c r="J112" s="27">
        <f>(IF(B101=1,(H101/(B101+3)+J107),IF(B101=0,(H101/4+J107),IF(B101&gt;1,0))))</f>
        <v>0</v>
      </c>
    </row>
    <row r="113" spans="1:22" ht="16.2" thickBot="1" x14ac:dyDescent="0.35">
      <c r="A113" s="145" t="s">
        <v>133</v>
      </c>
      <c r="B113" s="146"/>
      <c r="C113" s="103">
        <v>0</v>
      </c>
      <c r="D113" s="104">
        <f ca="1">((100/(H101))*C113)/100</f>
        <v>0</v>
      </c>
      <c r="E113" s="168"/>
      <c r="F113" s="169"/>
      <c r="G113" s="168"/>
      <c r="H113" s="188"/>
      <c r="I113" s="14" t="s">
        <v>101</v>
      </c>
      <c r="J113" s="29">
        <f ca="1">(IF(B101&gt;1.5,(H101/(B101+2)+J107+MAX(0,J108-J107)+MAX(0,J109-J108)+MAX(0,J110-J109)+MAX(0,J111-J110)+MAX(0,J112-J111)),IF(B101=1,(H101/(B101+3)+J112),IF(B101=0,H101/4+J112))))</f>
        <v>60.999999999999993</v>
      </c>
    </row>
    <row r="114" spans="1:22" ht="15.75" customHeight="1" x14ac:dyDescent="0.3">
      <c r="A114" s="170" t="s">
        <v>139</v>
      </c>
      <c r="B114" s="171"/>
      <c r="C114" s="172" t="str">
        <f>D78</f>
        <v>Wing C = 4B + G + 1st to 38th Floor</v>
      </c>
      <c r="D114" s="173"/>
      <c r="E114" s="173"/>
      <c r="F114" s="173"/>
      <c r="G114" s="173"/>
      <c r="H114" s="174"/>
      <c r="I114" s="43" t="str">
        <f ca="1">IF(D127=100%,"All work Completed. Possession granted to the Building.",IF(D126=100%,"All work Completed, Waiting for OC",I115&amp;""&amp;I116&amp;""&amp;J115&amp;""&amp;J114&amp;" "&amp;J116))</f>
        <v>Excavation, Plinth, RCC Slab, Brickwork Completed, Internal Plaster upto 35 Floor, External Plaster upto 33 Floor, Flooring upto 30 Floor, Painting upto 5 Floor Completed</v>
      </c>
      <c r="J114" s="44" t="str">
        <f ca="1">(IF(C120=(D115+F115+H115),"",IF(C120&gt;0,", RCC upto "&amp;C120&amp;" Slab","")))&amp;(IF(C121=H115,"",IF(C121&gt;0,", Brickwork upto "&amp;C121&amp;" Floor","")))&amp;(IF(C122=H115,"",IF(C122&gt;0,", Internal Plaster upto "&amp;C122&amp;" Floor","")))&amp;(IF(C123=H115,"",IF(C123&gt;0,", External Plaster upto "&amp;C123&amp;" Floor","")))&amp;(IF(C124=H115,"",IF(C124&gt;0,", Flooring upto "&amp;C124&amp;" Floor","")))&amp;(IF(C125=H115,"",IF(C125&gt;0,", Painting upto "&amp;C125&amp;" Floor","")))&amp;(IF(C126=H115,"",IF(C126&gt;0,", Finishing upto "&amp;C126&amp;" Floor","")))&amp;(IF(C127=H115,"",IF(C127&gt;0,", Possession upto "&amp;C127&amp;" Floor","")))</f>
        <v>, Internal Plaster upto 35 Floor, External Plaster upto 33 Floor, Flooring upto 30 Floor, Painting upto 5 Floor</v>
      </c>
      <c r="S114"/>
    </row>
    <row r="115" spans="1:22" x14ac:dyDescent="0.3">
      <c r="A115" s="15" t="s">
        <v>141</v>
      </c>
      <c r="B115" s="42">
        <f>IF(AND(ISNUMBER(SEARCH("1B",C114))),1,IF(AND(ISNUMBER(SEARCH("2B",C114))),2,IF(AND(ISNUMBER(SEARCH("3B",C114))),3,IF(AND(ISNUMBER(SEARCH("4B",C114))),4,IF(ISNUMBER(SEARCH("5B",C114)),5,0)))))</f>
        <v>4</v>
      </c>
      <c r="C115" s="42" t="s">
        <v>68</v>
      </c>
      <c r="D115" s="42">
        <v>1</v>
      </c>
      <c r="E115" s="42" t="s">
        <v>67</v>
      </c>
      <c r="F115" s="42">
        <v>0</v>
      </c>
      <c r="G115" s="42" t="s">
        <v>76</v>
      </c>
      <c r="H115" s="16">
        <f ca="1">--TRIM(RIGHT(SUBSTITUTE(LEFT(C114,_xlfn.AGGREGATE(16,6,FIND({0,1,2,3,4,5,6,7,8,9},C114,ROW(INDIRECT("1:"&amp;LEN(C114)))),1))," ",REPT(" ",LEN(C114))),LEN(C114)))</f>
        <v>38</v>
      </c>
      <c r="I115" s="45" t="str">
        <f ca="1">IF(D118=100%,"Excavation","")&amp;IF(D119=100%,", Plinth","")&amp;IF(D120=100%,", RCC Slab","")&amp;IF(D121=100%,", Brickwork","")&amp;IF(D122=100%,", Internal Plaster","")&amp;IF(D123=100%,", External Plaster","")&amp;IF(D124=100%,", Flooring","")&amp;IF(D125=100%,", Painting","")&amp;IF(D126=100%,", Building common Amenities","")</f>
        <v>Excavation, Plinth, RCC Slab, Brickwork</v>
      </c>
      <c r="J115" s="46" t="str">
        <f ca="1">(IF(C118=0,"Work not yet Started.",IF(D118=25%,"Piling work in process",IF(D118=50%,"Excavation work in process",IF(D118=100%,"","0")))))&amp;(IF(C119=0%,"",IF(C119=J120,", Footing work is process",IF(C119=J121,", Footing work Completed",IF(C119=J122,", 1st Basement Completed",IF(C119=J123,", 1st &amp; 2nd Basement Completed",IF(C119=J124,", 1st to 3rd Basement Completed",IF(C119=J125,", 1st to 4th Basement Completed",IF(C119=J126,", Plinth work is process",IF(C119=J127,"","0"))))))))))</f>
        <v/>
      </c>
      <c r="S115"/>
    </row>
    <row r="116" spans="1:22" ht="50.25" customHeight="1" x14ac:dyDescent="0.3">
      <c r="A116" s="117" t="s">
        <v>86</v>
      </c>
      <c r="B116" s="118"/>
      <c r="C116" s="175" t="str">
        <f ca="1">I114</f>
        <v>Excavation, Plinth, RCC Slab, Brickwork Completed, Internal Plaster upto 35 Floor, External Plaster upto 33 Floor, Flooring upto 30 Floor, Painting upto 5 Floor Completed</v>
      </c>
      <c r="D116" s="175"/>
      <c r="E116" s="175"/>
      <c r="F116" s="175"/>
      <c r="G116" s="175"/>
      <c r="H116" s="176"/>
      <c r="I116" s="45" t="str">
        <f ca="1">IF(I115&lt;&gt;""," Completed","")</f>
        <v xml:space="preserve"> Completed</v>
      </c>
      <c r="J116" s="46" t="str">
        <f ca="1">IF(J114&lt;&gt;"","Completed","")</f>
        <v>Completed</v>
      </c>
      <c r="S116"/>
    </row>
    <row r="117" spans="1:22" ht="15.75" customHeight="1" x14ac:dyDescent="0.3">
      <c r="A117" s="128" t="s">
        <v>47</v>
      </c>
      <c r="B117" s="129"/>
      <c r="C117" s="101" t="s">
        <v>138</v>
      </c>
      <c r="D117" s="101" t="s">
        <v>79</v>
      </c>
      <c r="E117" s="163" t="s">
        <v>81</v>
      </c>
      <c r="F117" s="163"/>
      <c r="G117" s="163" t="s">
        <v>80</v>
      </c>
      <c r="H117" s="177"/>
      <c r="I117" s="13" t="s">
        <v>140</v>
      </c>
      <c r="J117" s="25">
        <f ca="1">H115*25%</f>
        <v>9.5</v>
      </c>
      <c r="S117"/>
    </row>
    <row r="118" spans="1:22" x14ac:dyDescent="0.3">
      <c r="A118" s="128" t="s">
        <v>127</v>
      </c>
      <c r="B118" s="129"/>
      <c r="C118" s="101">
        <f ca="1">J119</f>
        <v>38</v>
      </c>
      <c r="D118" s="102">
        <f ca="1">((100/H115)*C118)/100</f>
        <v>1</v>
      </c>
      <c r="E118" s="164">
        <f ca="1">(((C119/H115*10)+(40/(D115+F115+H115)*C120)+(7.5/(H115)*C121)+(7.5/(H115)*C122)+(10/H115*C123)+(10/H115*C124)+(5/H115*C125)+(5/H115*C126)+(5/H115*C127))/100)</f>
        <v>0.8164473684210527</v>
      </c>
      <c r="F118" s="165"/>
      <c r="G118" s="164">
        <f ca="1">((((C118/H115)*20)+((C119/H115)*25)+(30/(H115+F115+D115)*C120)+(5/H115*C121)+(5/H115*C122)+(5/H115*C123)+(5/H115*C124)+(0/H115*C125)+(0/H115*C126)+(5/H115*C127))/100)</f>
        <v>0.92894736842105263</v>
      </c>
      <c r="H118" s="186"/>
      <c r="I118" s="13" t="s">
        <v>97</v>
      </c>
      <c r="J118" s="26">
        <f ca="1">H115*50%</f>
        <v>19</v>
      </c>
    </row>
    <row r="119" spans="1:22" x14ac:dyDescent="0.3">
      <c r="A119" s="128" t="s">
        <v>48</v>
      </c>
      <c r="B119" s="129"/>
      <c r="C119" s="101">
        <f ca="1">J127</f>
        <v>38</v>
      </c>
      <c r="D119" s="102">
        <f ca="1">((100/H115)*C119)/100</f>
        <v>1</v>
      </c>
      <c r="E119" s="166"/>
      <c r="F119" s="167"/>
      <c r="G119" s="166"/>
      <c r="H119" s="187"/>
      <c r="I119" s="13" t="s">
        <v>98</v>
      </c>
      <c r="J119" s="26">
        <f ca="1">H115</f>
        <v>38</v>
      </c>
      <c r="S119"/>
    </row>
    <row r="120" spans="1:22" ht="15.75" customHeight="1" x14ac:dyDescent="0.3">
      <c r="A120" s="128" t="s">
        <v>128</v>
      </c>
      <c r="B120" s="129"/>
      <c r="C120" s="101">
        <v>39</v>
      </c>
      <c r="D120" s="102">
        <f ca="1">((100/(D115+F115+H115))*C120)/100</f>
        <v>1.0000000000000002</v>
      </c>
      <c r="E120" s="166"/>
      <c r="F120" s="167"/>
      <c r="G120" s="166"/>
      <c r="H120" s="187"/>
      <c r="I120" s="13" t="s">
        <v>99</v>
      </c>
      <c r="J120" s="27">
        <f ca="1">(IF(B115&gt;1,(H115/(B115+2)),H115/4))</f>
        <v>6.333333333333333</v>
      </c>
      <c r="S120"/>
    </row>
    <row r="121" spans="1:22" ht="15.75" customHeight="1" x14ac:dyDescent="0.3">
      <c r="A121" s="128" t="s">
        <v>135</v>
      </c>
      <c r="B121" s="129" t="s">
        <v>129</v>
      </c>
      <c r="C121" s="101">
        <v>38</v>
      </c>
      <c r="D121" s="102">
        <f ca="1">((100/H115)*C121)/100</f>
        <v>1</v>
      </c>
      <c r="E121" s="166"/>
      <c r="F121" s="167"/>
      <c r="G121" s="166"/>
      <c r="H121" s="187"/>
      <c r="I121" s="13" t="s">
        <v>100</v>
      </c>
      <c r="J121" s="27">
        <f ca="1">(IF(B115&gt;1,(H115/(B115+2)+J120),H115/4+J120))</f>
        <v>12.666666666666666</v>
      </c>
      <c r="L121" s="18">
        <f>97500000/(1300*1.5)</f>
        <v>50000</v>
      </c>
    </row>
    <row r="122" spans="1:22" ht="15.75" customHeight="1" x14ac:dyDescent="0.3">
      <c r="A122" s="128" t="s">
        <v>136</v>
      </c>
      <c r="B122" s="129" t="s">
        <v>129</v>
      </c>
      <c r="C122" s="101">
        <v>35</v>
      </c>
      <c r="D122" s="102">
        <f ca="1">((100/H115)*C122)/100</f>
        <v>0.92105263157894735</v>
      </c>
      <c r="E122" s="166"/>
      <c r="F122" s="167"/>
      <c r="G122" s="166"/>
      <c r="H122" s="187"/>
      <c r="I122" s="13" t="s">
        <v>147</v>
      </c>
      <c r="J122" s="27">
        <f ca="1">(IF(B115&gt;1,(H115/(B115+2)+J121),0))</f>
        <v>19</v>
      </c>
      <c r="L122" s="21">
        <f>152200000/(2029*1.5)</f>
        <v>50008.214227041237</v>
      </c>
    </row>
    <row r="123" spans="1:22" ht="15" customHeight="1" x14ac:dyDescent="0.3">
      <c r="A123" s="128" t="s">
        <v>134</v>
      </c>
      <c r="B123" s="129" t="s">
        <v>131</v>
      </c>
      <c r="C123" s="101">
        <v>33</v>
      </c>
      <c r="D123" s="102">
        <f ca="1">((100/(H115))*C123)/100</f>
        <v>0.86842105263157909</v>
      </c>
      <c r="E123" s="166"/>
      <c r="F123" s="167"/>
      <c r="G123" s="166"/>
      <c r="H123" s="187"/>
      <c r="I123" s="13" t="s">
        <v>142</v>
      </c>
      <c r="J123" s="27">
        <f ca="1">(IF(B115&gt;2,(H115/(B115+2)+J122),0))</f>
        <v>25.333333333333332</v>
      </c>
      <c r="L123" s="18">
        <f>240000000/(3200*1.5)</f>
        <v>50000</v>
      </c>
    </row>
    <row r="124" spans="1:22" ht="15.75" customHeight="1" x14ac:dyDescent="0.3">
      <c r="A124" s="128" t="s">
        <v>130</v>
      </c>
      <c r="B124" s="129" t="s">
        <v>130</v>
      </c>
      <c r="C124" s="101">
        <v>30</v>
      </c>
      <c r="D124" s="102">
        <f ca="1">((100/H115)*C124)/100</f>
        <v>0.78947368421052633</v>
      </c>
      <c r="E124" s="166"/>
      <c r="F124" s="167"/>
      <c r="G124" s="166"/>
      <c r="H124" s="187"/>
      <c r="I124" s="13" t="s">
        <v>143</v>
      </c>
      <c r="J124" s="28">
        <f ca="1">(IF(B115&gt;3,(H115/(B115+2)+J123),0))</f>
        <v>31.666666666666664</v>
      </c>
    </row>
    <row r="125" spans="1:22" ht="15.75" customHeight="1" x14ac:dyDescent="0.3">
      <c r="A125" s="128" t="s">
        <v>137</v>
      </c>
      <c r="B125" s="129"/>
      <c r="C125" s="101">
        <v>5</v>
      </c>
      <c r="D125" s="102">
        <f ca="1">((100/H115)*C125)/100</f>
        <v>0.13157894736842107</v>
      </c>
      <c r="E125" s="166"/>
      <c r="F125" s="167"/>
      <c r="G125" s="166"/>
      <c r="H125" s="187"/>
      <c r="I125" s="13" t="s">
        <v>144</v>
      </c>
      <c r="J125" s="27">
        <f>(IF(B115&gt;4,(H115/(B115+2)+J124),0))</f>
        <v>0</v>
      </c>
    </row>
    <row r="126" spans="1:22" ht="15.75" customHeight="1" x14ac:dyDescent="0.3">
      <c r="A126" s="128" t="s">
        <v>132</v>
      </c>
      <c r="B126" s="129" t="s">
        <v>132</v>
      </c>
      <c r="C126" s="101">
        <v>0</v>
      </c>
      <c r="D126" s="102">
        <f ca="1">((100/(H115))*C126)/100</f>
        <v>0</v>
      </c>
      <c r="E126" s="166"/>
      <c r="F126" s="167"/>
      <c r="G126" s="166"/>
      <c r="H126" s="187"/>
      <c r="I126" s="13" t="s">
        <v>148</v>
      </c>
      <c r="J126" s="27">
        <f>(IF(B115=1,(H115/(B115+3)+J121),IF(B115=0,(H115/4+J121),IF(B115&gt;1,0))))</f>
        <v>0</v>
      </c>
      <c r="L126" s="21">
        <f>89900000/(1300*1.5)</f>
        <v>46102.564102564102</v>
      </c>
    </row>
    <row r="127" spans="1:22" ht="16.2" thickBot="1" x14ac:dyDescent="0.35">
      <c r="A127" s="145" t="s">
        <v>133</v>
      </c>
      <c r="B127" s="146"/>
      <c r="C127" s="103">
        <v>0</v>
      </c>
      <c r="D127" s="104">
        <f ca="1">((100/(H115))*C127)/100</f>
        <v>0</v>
      </c>
      <c r="E127" s="168"/>
      <c r="F127" s="169"/>
      <c r="G127" s="168"/>
      <c r="H127" s="188"/>
      <c r="I127" s="14" t="s">
        <v>101</v>
      </c>
      <c r="J127" s="29">
        <f ca="1">(IF(B115&gt;1.5,(H115/(B115+2)+J121+MAX(0,J122-J121)+MAX(0,J123-J122)+MAX(0,J124-J123)+MAX(0,J125-J124)+MAX(0,J126-J125)),IF(B115=1,(H115/(B115+3)+J126),IF(B115=0,H115/4+J126))))</f>
        <v>38</v>
      </c>
      <c r="L127" s="21">
        <f>184900000/(2550*1.5)</f>
        <v>48339.869281045751</v>
      </c>
    </row>
    <row r="128" spans="1:22" x14ac:dyDescent="0.3">
      <c r="A128" s="265" t="s">
        <v>158</v>
      </c>
      <c r="B128" s="265"/>
      <c r="C128" s="265"/>
      <c r="D128" s="265"/>
      <c r="E128" s="265"/>
      <c r="F128" s="266" t="s">
        <v>162</v>
      </c>
      <c r="G128" s="266"/>
      <c r="H128" s="266"/>
      <c r="L128" s="21">
        <f>229500000/(3165*1.5)</f>
        <v>48341.232227488152</v>
      </c>
      <c r="R128" t="s">
        <v>253</v>
      </c>
      <c r="S128" t="s">
        <v>173</v>
      </c>
      <c r="T128" t="s">
        <v>180</v>
      </c>
      <c r="U128" t="s">
        <v>194</v>
      </c>
      <c r="V128" t="s">
        <v>189</v>
      </c>
    </row>
    <row r="129" spans="1:22" x14ac:dyDescent="0.3">
      <c r="A129" s="123" t="s">
        <v>160</v>
      </c>
      <c r="B129" s="123"/>
      <c r="C129" s="123"/>
      <c r="D129" s="123"/>
      <c r="E129" s="123"/>
      <c r="F129" s="215">
        <v>44000</v>
      </c>
      <c r="G129" s="215"/>
      <c r="H129" s="215"/>
      <c r="L129" s="21">
        <f>236000000/(3255*1.5)</f>
        <v>48335.893497183817</v>
      </c>
      <c r="R129"/>
      <c r="S129">
        <v>800000</v>
      </c>
      <c r="T129">
        <v>150000</v>
      </c>
      <c r="U129">
        <v>100000</v>
      </c>
      <c r="V129">
        <v>100000</v>
      </c>
    </row>
    <row r="130" spans="1:22" hidden="1" x14ac:dyDescent="0.3">
      <c r="A130" s="123" t="s">
        <v>159</v>
      </c>
      <c r="B130" s="123"/>
      <c r="C130" s="123"/>
      <c r="D130" s="123"/>
      <c r="E130" s="123"/>
      <c r="F130" s="215"/>
      <c r="G130" s="215"/>
      <c r="H130" s="215"/>
      <c r="I130" s="21"/>
      <c r="R130"/>
      <c r="S130">
        <v>900000</v>
      </c>
      <c r="T130">
        <v>200000</v>
      </c>
      <c r="U130">
        <v>150000</v>
      </c>
      <c r="V130">
        <v>150000</v>
      </c>
    </row>
    <row r="131" spans="1:22" hidden="1" x14ac:dyDescent="0.3">
      <c r="A131" s="123" t="s">
        <v>161</v>
      </c>
      <c r="B131" s="123"/>
      <c r="C131" s="123"/>
      <c r="D131" s="123"/>
      <c r="E131" s="123"/>
      <c r="F131" s="215"/>
      <c r="G131" s="215"/>
      <c r="H131" s="215"/>
      <c r="I131" s="21"/>
      <c r="R131"/>
      <c r="S131">
        <v>1000000</v>
      </c>
      <c r="T131">
        <v>250000</v>
      </c>
      <c r="U131">
        <v>200000</v>
      </c>
      <c r="V131">
        <v>200000</v>
      </c>
    </row>
    <row r="132" spans="1:22" s="30" customFormat="1" x14ac:dyDescent="0.3">
      <c r="A132" s="123" t="s">
        <v>498</v>
      </c>
      <c r="B132" s="123"/>
      <c r="C132" s="123"/>
      <c r="D132" s="123"/>
      <c r="E132" s="123"/>
      <c r="F132" s="215">
        <v>100</v>
      </c>
      <c r="G132" s="215"/>
      <c r="H132" s="215"/>
      <c r="I132" s="98"/>
      <c r="R132"/>
      <c r="S132">
        <v>1100000</v>
      </c>
      <c r="T132">
        <v>300000</v>
      </c>
      <c r="U132">
        <v>250000</v>
      </c>
      <c r="V132" s="20">
        <v>250000</v>
      </c>
    </row>
    <row r="133" spans="1:22" s="30" customFormat="1" hidden="1" x14ac:dyDescent="0.3">
      <c r="A133" s="123" t="s">
        <v>91</v>
      </c>
      <c r="B133" s="123"/>
      <c r="C133" s="123"/>
      <c r="D133" s="123"/>
      <c r="E133" s="123"/>
      <c r="F133" s="215"/>
      <c r="G133" s="215"/>
      <c r="H133" s="215"/>
      <c r="R133"/>
      <c r="S133">
        <v>1200000</v>
      </c>
      <c r="T133">
        <v>350000</v>
      </c>
      <c r="U133">
        <v>300000</v>
      </c>
      <c r="V133">
        <v>300000</v>
      </c>
    </row>
    <row r="134" spans="1:22" s="30" customFormat="1" hidden="1" x14ac:dyDescent="0.3">
      <c r="A134" s="123" t="s">
        <v>92</v>
      </c>
      <c r="B134" s="123"/>
      <c r="C134" s="123"/>
      <c r="D134" s="123"/>
      <c r="E134" s="123"/>
      <c r="F134" s="215"/>
      <c r="G134" s="215"/>
      <c r="H134" s="215"/>
      <c r="R134"/>
      <c r="S134">
        <v>1300000</v>
      </c>
      <c r="T134">
        <v>400000</v>
      </c>
      <c r="U134">
        <v>350000</v>
      </c>
      <c r="V134" s="20">
        <v>400000</v>
      </c>
    </row>
    <row r="135" spans="1:22" s="30" customFormat="1" hidden="1" x14ac:dyDescent="0.3">
      <c r="A135" s="123" t="s">
        <v>93</v>
      </c>
      <c r="B135" s="123"/>
      <c r="C135" s="123"/>
      <c r="D135" s="123"/>
      <c r="E135" s="123"/>
      <c r="F135" s="215"/>
      <c r="G135" s="215"/>
      <c r="H135" s="215"/>
      <c r="R135"/>
      <c r="S135">
        <v>1400000</v>
      </c>
      <c r="T135">
        <v>500000</v>
      </c>
      <c r="U135">
        <v>400000</v>
      </c>
      <c r="V135"/>
    </row>
    <row r="136" spans="1:22" s="30" customFormat="1" hidden="1" x14ac:dyDescent="0.3">
      <c r="A136" s="123" t="s">
        <v>94</v>
      </c>
      <c r="B136" s="123"/>
      <c r="C136" s="123"/>
      <c r="D136" s="123"/>
      <c r="E136" s="123"/>
      <c r="F136" s="215"/>
      <c r="G136" s="215"/>
      <c r="H136" s="215"/>
      <c r="R136"/>
      <c r="S136">
        <v>1500000</v>
      </c>
      <c r="T136">
        <v>600000</v>
      </c>
      <c r="U136">
        <v>500000</v>
      </c>
      <c r="V136" s="20"/>
    </row>
    <row r="137" spans="1:22" s="30" customFormat="1" hidden="1" x14ac:dyDescent="0.3">
      <c r="A137" s="123" t="s">
        <v>95</v>
      </c>
      <c r="B137" s="123"/>
      <c r="C137" s="123"/>
      <c r="D137" s="123"/>
      <c r="E137" s="123"/>
      <c r="F137" s="215"/>
      <c r="G137" s="215"/>
      <c r="H137" s="215"/>
      <c r="R137"/>
      <c r="S137">
        <v>1600000</v>
      </c>
      <c r="T137">
        <v>700000</v>
      </c>
      <c r="U137">
        <v>600000</v>
      </c>
      <c r="V137"/>
    </row>
    <row r="138" spans="1:22" s="30" customFormat="1" hidden="1" x14ac:dyDescent="0.3">
      <c r="A138" s="123" t="s">
        <v>96</v>
      </c>
      <c r="B138" s="123"/>
      <c r="C138" s="123"/>
      <c r="D138" s="123"/>
      <c r="E138" s="123"/>
      <c r="F138" s="215"/>
      <c r="G138" s="215"/>
      <c r="H138" s="215"/>
      <c r="R138"/>
      <c r="S138">
        <v>1700000</v>
      </c>
      <c r="T138">
        <v>800000</v>
      </c>
      <c r="U138"/>
      <c r="V138" s="20"/>
    </row>
    <row r="139" spans="1:22" x14ac:dyDescent="0.3">
      <c r="A139" s="123" t="s">
        <v>49</v>
      </c>
      <c r="B139" s="123"/>
      <c r="C139" s="123"/>
      <c r="D139" s="123"/>
      <c r="E139" s="123"/>
      <c r="F139" s="215">
        <v>1500000</v>
      </c>
      <c r="G139" s="215"/>
      <c r="H139" s="215"/>
      <c r="J139" s="18">
        <f>80000000/(1297*1.5)</f>
        <v>41120.534566949369</v>
      </c>
      <c r="R139"/>
      <c r="S139">
        <v>1800000</v>
      </c>
      <c r="T139">
        <v>900000</v>
      </c>
      <c r="U139"/>
    </row>
    <row r="140" spans="1:22" s="31" customFormat="1" x14ac:dyDescent="0.3">
      <c r="A140" s="216" t="s">
        <v>50</v>
      </c>
      <c r="B140" s="216"/>
      <c r="C140" s="216"/>
      <c r="D140" s="216"/>
      <c r="E140" s="216"/>
      <c r="F140" s="215">
        <f>F129*0.8</f>
        <v>35200</v>
      </c>
      <c r="G140" s="215"/>
      <c r="H140" s="215"/>
      <c r="J140" s="31">
        <f>184900000/(2564*1.5)</f>
        <v>48075.923036921478</v>
      </c>
      <c r="R140" s="18"/>
      <c r="S140" s="18"/>
      <c r="T140">
        <v>1000000</v>
      </c>
      <c r="U140"/>
      <c r="V140" s="18"/>
    </row>
    <row r="141" spans="1:22" s="32" customFormat="1" ht="15.75" hidden="1" customHeight="1" x14ac:dyDescent="0.3">
      <c r="A141" s="206" t="s">
        <v>71</v>
      </c>
      <c r="B141" s="206"/>
      <c r="C141" s="206"/>
      <c r="D141" s="206"/>
      <c r="E141" s="206"/>
      <c r="F141" s="206"/>
      <c r="G141" s="206"/>
      <c r="H141" s="206"/>
      <c r="R141"/>
      <c r="S141" s="18"/>
      <c r="T141"/>
      <c r="U141"/>
      <c r="V141" s="18"/>
    </row>
    <row r="142" spans="1:22" s="32" customFormat="1" ht="15.75" hidden="1" customHeight="1" x14ac:dyDescent="0.3">
      <c r="A142" s="209" t="s">
        <v>51</v>
      </c>
      <c r="B142" s="209"/>
      <c r="C142" s="207" t="s">
        <v>74</v>
      </c>
      <c r="D142" s="207"/>
      <c r="E142" s="208" t="s">
        <v>52</v>
      </c>
      <c r="F142" s="208"/>
      <c r="G142" s="209" t="s">
        <v>53</v>
      </c>
      <c r="H142" s="209"/>
      <c r="R142"/>
      <c r="S142" s="18"/>
      <c r="T142"/>
      <c r="U142" s="18"/>
      <c r="V142" s="18"/>
    </row>
    <row r="143" spans="1:22" s="32" customFormat="1" hidden="1" x14ac:dyDescent="0.3">
      <c r="A143" s="261"/>
      <c r="B143" s="261"/>
      <c r="C143" s="201"/>
      <c r="D143" s="201"/>
      <c r="E143" s="202"/>
      <c r="F143" s="202"/>
      <c r="G143" s="205"/>
      <c r="H143" s="205"/>
      <c r="R143"/>
      <c r="S143" s="18"/>
      <c r="T143"/>
      <c r="U143" s="18"/>
      <c r="V143" s="18"/>
    </row>
    <row r="144" spans="1:22" s="32" customFormat="1" hidden="1" x14ac:dyDescent="0.3">
      <c r="A144" s="261"/>
      <c r="B144" s="261"/>
      <c r="C144" s="201"/>
      <c r="D144" s="201"/>
      <c r="E144" s="202"/>
      <c r="F144" s="202"/>
      <c r="G144" s="205"/>
      <c r="H144" s="205"/>
      <c r="R144"/>
      <c r="S144" s="18"/>
      <c r="T144"/>
      <c r="U144" s="18"/>
      <c r="V144" s="18"/>
    </row>
    <row r="145" spans="1:22" s="32" customFormat="1" hidden="1" x14ac:dyDescent="0.3">
      <c r="A145" s="206" t="s">
        <v>152</v>
      </c>
      <c r="B145" s="206"/>
      <c r="C145" s="207"/>
      <c r="D145" s="207"/>
      <c r="E145" s="208"/>
      <c r="F145" s="208"/>
      <c r="G145" s="209"/>
      <c r="H145" s="209"/>
      <c r="R145"/>
      <c r="S145" s="18"/>
      <c r="T145"/>
      <c r="U145" s="18"/>
      <c r="V145" s="18"/>
    </row>
    <row r="146" spans="1:22" s="32" customFormat="1" x14ac:dyDescent="0.3">
      <c r="A146" s="206" t="s">
        <v>66</v>
      </c>
      <c r="B146" s="206"/>
      <c r="C146" s="206"/>
      <c r="D146" s="206"/>
      <c r="E146" s="206"/>
      <c r="F146" s="206"/>
      <c r="G146" s="206"/>
      <c r="H146" s="206"/>
      <c r="J146" s="32">
        <f>2189000000/(3166*1.5)</f>
        <v>460939.14508317539</v>
      </c>
      <c r="T146"/>
    </row>
    <row r="147" spans="1:22" s="32" customFormat="1" ht="15.75" customHeight="1" x14ac:dyDescent="0.3">
      <c r="A147" s="209" t="s">
        <v>51</v>
      </c>
      <c r="B147" s="209"/>
      <c r="C147" s="207" t="s">
        <v>74</v>
      </c>
      <c r="D147" s="207"/>
      <c r="E147" s="208" t="s">
        <v>52</v>
      </c>
      <c r="F147" s="208"/>
      <c r="G147" s="209" t="s">
        <v>53</v>
      </c>
      <c r="H147" s="209"/>
      <c r="T147"/>
    </row>
    <row r="148" spans="1:22" s="32" customFormat="1" x14ac:dyDescent="0.3">
      <c r="A148" s="261" t="s">
        <v>441</v>
      </c>
      <c r="B148" s="261"/>
      <c r="C148" s="311">
        <f>COUNT(D179:D181)*3+COUNT(D183:D185)*8+COUNT(D187:D188)+COUNT(D191:D193)*10+COUNT(D196:D197)+COUNT(D200:D201)+COUNT(D204:D206)*6+COUNT(D208:D209)+COUNT(D215:D216)*3+COUNT(D218:D219)*10+COUNT(D221:D222)*2+COUNT(D224:D225)*4+COUNT(D227:D228)+COUNT(D230:D231)+COUNT(D233:D234)+COUNT(D237)+COUNT(D239)+COUNT(D241)</f>
        <v>136</v>
      </c>
      <c r="D148" s="311"/>
      <c r="E148" s="311">
        <f>SUM(F179:F181)*3+SUM(F183:F185)*8+SUM(F187:F188)+SUM(F191:F193)*10+SUM(F196:F197)+SUM(F200:F201)+SUM(F204:F206)*6+SUM(F208:F209)+SUM(F215:F216)*3+SUM(F218:F219)*10+SUM(F221:F222)*2+SUM(F224:F225)*4+SUM(F227:F228)+SUM(F230:F231)+SUM(F233:F234)+SUM(F237)+SUM(F239)+SUM(F241)</f>
        <v>301541.2869923999</v>
      </c>
      <c r="F148" s="311"/>
      <c r="G148" s="311">
        <f>SUM(H179:H181)*3+SUM(H183:H185)*8+SUM(H187:H188)+SUM(H191:H193)*10+SUM(H196:H197)+SUM(H200:H201)+SUM(H204:H206)*6+SUM(H208:H209)+SUM(H215:H216)*3+SUM(H218:H219)*10+SUM(H221:H222)*2+SUM(H224:H225)*4+SUM(H227:H228)+SUM(H230:H231)+SUM(H233:H234)+SUM(H237)+SUM(H239)+SUM(H241)</f>
        <v>453001.30494839995</v>
      </c>
      <c r="H148" s="311"/>
      <c r="T148"/>
    </row>
    <row r="149" spans="1:22" s="32" customFormat="1" x14ac:dyDescent="0.3">
      <c r="A149" s="41" t="s">
        <v>470</v>
      </c>
      <c r="B149" s="41" t="s">
        <v>426</v>
      </c>
      <c r="C149" s="311">
        <f>COUNT(D253:D254,D256:D257)*3+COUNT(D259:D263)*6+COUNT(D265,D267:D269)+COUNT(D271:D272,D275)+COUNT(D281)</f>
        <v>50</v>
      </c>
      <c r="D149" s="311"/>
      <c r="E149" s="112">
        <f t="shared" ref="E149" si="0">SUM(F253:F254,F256:F257)*3+SUM(F259:F263)*6+SUM(F265,F267:F269)+SUM(F271:F272,F275)+SUM(F281)</f>
        <v>70571.980907999998</v>
      </c>
      <c r="F149" s="112"/>
      <c r="G149" s="112">
        <f t="shared" ref="G149" si="1">SUM(H253:H254,H256:H257)*3+SUM(H259:H263)*6+SUM(H265,H267:H269)+SUM(H271:H272,H275)+SUM(H281)</f>
        <v>105857.971362</v>
      </c>
      <c r="H149" s="112"/>
      <c r="T149"/>
    </row>
    <row r="150" spans="1:22" s="32" customFormat="1" x14ac:dyDescent="0.3">
      <c r="A150" s="41" t="s">
        <v>470</v>
      </c>
      <c r="B150" s="41" t="s">
        <v>435</v>
      </c>
      <c r="C150" s="311">
        <f>COUNT(D273:D274)+COUNT(D277:D280)+COUNT(D283:D287)*10+COUNT(D289,D291:D293)+COUNT(D296,D298:D300)+COUNT(D302:D306)*6+COUNT(D308,D310:D312)+COUNT(D317:D318)*3+COUNT(D320:D321)*10+COUNT(D323:D324)*2+COUNT(D326:D327)*4+COUNT(D330)+COUNT(D332)+COUNT(D334)</f>
        <v>139</v>
      </c>
      <c r="D150" s="311"/>
      <c r="E150" s="112">
        <f>SUM(F273:F274)+SUM(F277:F280)+SUM(F283:F287)*10+SUM(F289,F291:F293)+SUM(F296,F298:F300)+SUM(F302:F306)*6+SUM(F308,F310:F312)+SUM(F317:F318)*3+SUM(F320:F321)*10+SUM(F323:F324)*2+SUM(F326:F327)*4+SUM(F330)+SUM(F332)+SUM(F334)</f>
        <v>260013.58231679999</v>
      </c>
      <c r="F150" s="112"/>
      <c r="G150" s="112">
        <f>SUM(H273:H274)+SUM(H277:H280)+SUM(H283:H287)*10+SUM(H289,H291:H293)+SUM(H296,H298:H300)+SUM(H302:H306)*6+SUM(H308,H310:H312)+SUM(H317:H318)*3+SUM(H320:H321)*10+SUM(H323:H324)*2+SUM(H326:H327)*4+SUM(H330)+SUM(H332)+SUM(H334)</f>
        <v>390684.22110899998</v>
      </c>
      <c r="H150" s="112"/>
      <c r="T150"/>
    </row>
    <row r="151" spans="1:22" s="32" customFormat="1" ht="15.75" customHeight="1" x14ac:dyDescent="0.3">
      <c r="A151" s="113" t="s">
        <v>484</v>
      </c>
      <c r="B151" s="41" t="s">
        <v>426</v>
      </c>
      <c r="C151" s="112">
        <f>COUNT(D349:D354)+COUNT(D356:D361)*15+COUNT(D363:D366)*3+COUNT(D370:D375)*16+COUNT(D377:D380)+COUNT(D384:D388)+COUNT(D393,D395:D396)</f>
        <v>216</v>
      </c>
      <c r="D151" s="112"/>
      <c r="E151" s="112">
        <f t="shared" ref="E151" si="2">SUM(F349:F354)+SUM(F356:F361)*15+SUM(F363:F366)*3+SUM(F370:F375)*16+SUM(F377:F380)+SUM(F384:F388)+SUM(F393,F395:F396)</f>
        <v>125766.46836000001</v>
      </c>
      <c r="F151" s="112"/>
      <c r="G151" s="112">
        <f t="shared" ref="G151" si="3">SUM(H349:H354)+SUM(H356:H361)*15+SUM(H363:H366)*3+SUM(H370:H375)*16+SUM(H377:H380)+SUM(H384:H388)+SUM(H393,H395:H396)</f>
        <v>188649.70254</v>
      </c>
      <c r="H151" s="112"/>
      <c r="T151"/>
    </row>
    <row r="152" spans="1:22" s="32" customFormat="1" ht="15.75" customHeight="1" x14ac:dyDescent="0.3">
      <c r="A152" s="114"/>
      <c r="B152" s="41" t="s">
        <v>435</v>
      </c>
      <c r="C152" s="112">
        <f>COUNT(D367)*3+COUNT(D394)</f>
        <v>4</v>
      </c>
      <c r="D152" s="112"/>
      <c r="E152" s="112">
        <f t="shared" ref="E152" si="4">SUM(F367)*3+SUM(F394)</f>
        <v>1540.97424</v>
      </c>
      <c r="F152" s="112"/>
      <c r="G152" s="112">
        <f t="shared" ref="G152" si="5">SUM(H367)*3+SUM(H394)</f>
        <v>2311.4613599999998</v>
      </c>
      <c r="H152" s="112"/>
      <c r="T152"/>
    </row>
    <row r="153" spans="1:22" s="32" customFormat="1" x14ac:dyDescent="0.3">
      <c r="A153" s="160" t="s">
        <v>514</v>
      </c>
      <c r="B153" s="160"/>
      <c r="C153" s="161">
        <f>C148+C150+C152</f>
        <v>279</v>
      </c>
      <c r="D153" s="162"/>
      <c r="E153" s="161">
        <f t="shared" ref="E153" si="6">E148+E150+E152</f>
        <v>563095.84354919987</v>
      </c>
      <c r="F153" s="162"/>
      <c r="G153" s="161">
        <f>G148+G150+G152</f>
        <v>845996.98741739988</v>
      </c>
      <c r="H153" s="162"/>
      <c r="T153"/>
    </row>
    <row r="154" spans="1:22" s="32" customFormat="1" ht="16.2" thickBot="1" x14ac:dyDescent="0.35">
      <c r="A154" s="160" t="s">
        <v>515</v>
      </c>
      <c r="B154" s="160"/>
      <c r="C154" s="161">
        <f>C149+C151</f>
        <v>266</v>
      </c>
      <c r="D154" s="162"/>
      <c r="E154" s="161">
        <f t="shared" ref="E154:H154" si="7">E149+E151</f>
        <v>196338.44926800003</v>
      </c>
      <c r="F154" s="162"/>
      <c r="G154" s="161">
        <f>G149+G151</f>
        <v>294507.67390200001</v>
      </c>
      <c r="H154" s="162"/>
      <c r="T154"/>
    </row>
    <row r="155" spans="1:22" s="32" customFormat="1" ht="16.2" thickBot="1" x14ac:dyDescent="0.35">
      <c r="A155" s="263" t="s">
        <v>167</v>
      </c>
      <c r="B155" s="264"/>
      <c r="C155" s="318">
        <f>C153+C154</f>
        <v>545</v>
      </c>
      <c r="D155" s="262"/>
      <c r="E155" s="318">
        <f>E153+E154</f>
        <v>759434.29281719984</v>
      </c>
      <c r="F155" s="262"/>
      <c r="G155" s="318">
        <f>G153+G154</f>
        <v>1140504.6613194</v>
      </c>
      <c r="H155" s="262"/>
      <c r="T155"/>
    </row>
    <row r="156" spans="1:22" s="31" customFormat="1" x14ac:dyDescent="0.3">
      <c r="A156" s="277" t="s">
        <v>354</v>
      </c>
      <c r="B156" s="277"/>
      <c r="C156" s="277"/>
      <c r="D156" s="277"/>
      <c r="E156" s="277"/>
      <c r="F156" s="277"/>
      <c r="G156" s="277"/>
      <c r="H156" s="277"/>
      <c r="T156" s="32"/>
    </row>
    <row r="157" spans="1:22" hidden="1" x14ac:dyDescent="0.3">
      <c r="A157" s="271" t="s">
        <v>175</v>
      </c>
      <c r="B157" s="271"/>
      <c r="C157" s="271"/>
      <c r="D157" s="271"/>
      <c r="E157" s="271"/>
      <c r="F157" s="271"/>
      <c r="G157" s="271"/>
      <c r="H157" s="271"/>
      <c r="T157" s="32"/>
    </row>
    <row r="158" spans="1:22" ht="47.25" hidden="1" customHeight="1" x14ac:dyDescent="0.3">
      <c r="A158" s="147" t="s">
        <v>118</v>
      </c>
      <c r="B158" s="157" t="s">
        <v>177</v>
      </c>
      <c r="C158" s="147" t="s">
        <v>54</v>
      </c>
      <c r="D158" s="157" t="s">
        <v>232</v>
      </c>
      <c r="E158" s="213" t="s">
        <v>157</v>
      </c>
      <c r="F158" s="147" t="s">
        <v>55</v>
      </c>
      <c r="G158" s="203" t="s">
        <v>56</v>
      </c>
      <c r="H158" s="58" t="s">
        <v>150</v>
      </c>
      <c r="T158" s="32"/>
    </row>
    <row r="159" spans="1:22" s="34" customFormat="1" hidden="1" x14ac:dyDescent="0.3">
      <c r="A159" s="148"/>
      <c r="B159" s="158"/>
      <c r="C159" s="148"/>
      <c r="D159" s="158"/>
      <c r="E159" s="214"/>
      <c r="F159" s="148"/>
      <c r="G159" s="204"/>
      <c r="H159" s="49">
        <v>0.45</v>
      </c>
      <c r="T159" s="32"/>
    </row>
    <row r="160" spans="1:22" s="34" customFormat="1" hidden="1" x14ac:dyDescent="0.3">
      <c r="A160" s="107" t="s">
        <v>116</v>
      </c>
      <c r="B160" s="108"/>
      <c r="C160" s="108"/>
      <c r="D160" s="108"/>
      <c r="E160" s="108"/>
      <c r="F160" s="108"/>
      <c r="G160" s="108"/>
      <c r="H160" s="109"/>
      <c r="J160" s="33"/>
      <c r="T160" s="32"/>
    </row>
    <row r="161" spans="1:20" s="34" customFormat="1" ht="15.75" hidden="1" customHeight="1" x14ac:dyDescent="0.3">
      <c r="A161" s="140">
        <v>1</v>
      </c>
      <c r="B161" s="141"/>
      <c r="C161" s="39"/>
      <c r="D161" s="39">
        <v>0</v>
      </c>
      <c r="E161" s="39">
        <v>0</v>
      </c>
      <c r="F161" s="39">
        <f>D161+(IF(E161&lt;201,E161,IF(E161&lt;301,E161/2,E161/3)))</f>
        <v>0</v>
      </c>
      <c r="G161" s="39">
        <v>0</v>
      </c>
      <c r="H161" s="39">
        <f>(F161+(IF(G161&lt;101,G161,IF(G161&lt;201,G161/2,IF(G161&lt;=301,G161/3,G161/4)))))*(($H$159)+1)</f>
        <v>0</v>
      </c>
      <c r="I161" s="33"/>
      <c r="L161" s="135"/>
      <c r="M161" s="135"/>
      <c r="N161" s="33"/>
      <c r="T161" s="32"/>
    </row>
    <row r="162" spans="1:20" s="34" customFormat="1" ht="15.75" hidden="1" customHeight="1" x14ac:dyDescent="0.3">
      <c r="A162" s="140">
        <f>A161+1</f>
        <v>2</v>
      </c>
      <c r="B162" s="141"/>
      <c r="C162" s="39"/>
      <c r="D162" s="39"/>
      <c r="E162" s="39">
        <v>0</v>
      </c>
      <c r="F162" s="39">
        <f>D162+(IF(E162&lt;201,E162,IF(E162&lt;301,E162/2,E162/3)))</f>
        <v>0</v>
      </c>
      <c r="G162" s="39">
        <v>0</v>
      </c>
      <c r="H162" s="39">
        <f>(F162+(IF(G162&lt;101,G162,IF(G162&lt;201,G162/2,IF(G162&lt;=301,G162/3,G162/4)))))*(($H$159)+1)</f>
        <v>0</v>
      </c>
      <c r="I162" s="33"/>
      <c r="L162" s="135"/>
      <c r="M162" s="135"/>
      <c r="N162" s="33"/>
      <c r="T162" s="31"/>
    </row>
    <row r="163" spans="1:20" s="34" customFormat="1" ht="15.75" hidden="1" customHeight="1" x14ac:dyDescent="0.3">
      <c r="A163" s="140">
        <f>A162+1</f>
        <v>3</v>
      </c>
      <c r="B163" s="141"/>
      <c r="C163" s="39"/>
      <c r="D163" s="39"/>
      <c r="E163" s="39">
        <v>0</v>
      </c>
      <c r="F163" s="39">
        <f>D163+(IF(E163&lt;201,E163,IF(E163&lt;301,E163/2,E163/3)))</f>
        <v>0</v>
      </c>
      <c r="G163" s="39">
        <v>0</v>
      </c>
      <c r="H163" s="39">
        <f>(F163+(IF(G163&lt;101,G163,IF(G163&lt;201,G163/2,IF(G163&lt;=301,G163/3,G163/4)))))*(($H$159)+1)</f>
        <v>0</v>
      </c>
      <c r="I163" s="33"/>
      <c r="L163" s="135"/>
      <c r="M163" s="135"/>
      <c r="N163" s="33"/>
      <c r="T163" s="18"/>
    </row>
    <row r="164" spans="1:20" s="34" customFormat="1" ht="15.75" hidden="1" customHeight="1" x14ac:dyDescent="0.3">
      <c r="A164" s="140">
        <f>A163+1</f>
        <v>4</v>
      </c>
      <c r="B164" s="141"/>
      <c r="C164" s="39"/>
      <c r="D164" s="39"/>
      <c r="E164" s="39">
        <v>0</v>
      </c>
      <c r="F164" s="39">
        <f>D164+(IF(E164&lt;201,E164,IF(E164&lt;301,E164/2,E164/3)))</f>
        <v>0</v>
      </c>
      <c r="G164" s="39">
        <v>0</v>
      </c>
      <c r="H164" s="39">
        <f>(F164+(IF(G164&lt;101,G164,IF(G164&lt;201,G164/2,IF(G164&lt;=301,G164/3,G164/4)))))*(($H$159)+1)</f>
        <v>0</v>
      </c>
      <c r="I164" s="33"/>
      <c r="L164" s="135"/>
      <c r="M164" s="135"/>
      <c r="N164" s="33"/>
      <c r="T164" s="18"/>
    </row>
    <row r="165" spans="1:20" s="34" customFormat="1" hidden="1" x14ac:dyDescent="0.3">
      <c r="A165" s="140"/>
      <c r="B165" s="159"/>
      <c r="C165" s="159"/>
      <c r="D165" s="159"/>
      <c r="E165" s="159"/>
      <c r="F165" s="159"/>
      <c r="G165" s="159"/>
      <c r="H165" s="141"/>
      <c r="I165" s="33"/>
      <c r="N165" s="33"/>
    </row>
    <row r="166" spans="1:20" ht="47.25" customHeight="1" x14ac:dyDescent="0.3">
      <c r="A166" s="278" t="s">
        <v>119</v>
      </c>
      <c r="B166" s="149" t="s">
        <v>425</v>
      </c>
      <c r="C166" s="147" t="s">
        <v>54</v>
      </c>
      <c r="D166" s="149" t="s">
        <v>485</v>
      </c>
      <c r="E166" s="149" t="s">
        <v>486</v>
      </c>
      <c r="F166" s="147" t="s">
        <v>55</v>
      </c>
      <c r="G166" s="203" t="s">
        <v>56</v>
      </c>
      <c r="H166" s="57" t="s">
        <v>150</v>
      </c>
      <c r="I166" s="39">
        <v>10.763999999999999</v>
      </c>
      <c r="K166" s="18">
        <f>322+220</f>
        <v>542</v>
      </c>
      <c r="T166" s="34"/>
    </row>
    <row r="167" spans="1:20" s="34" customFormat="1" x14ac:dyDescent="0.3">
      <c r="A167" s="279"/>
      <c r="B167" s="150"/>
      <c r="C167" s="148"/>
      <c r="D167" s="150"/>
      <c r="E167" s="150"/>
      <c r="F167" s="148"/>
      <c r="G167" s="204"/>
      <c r="H167" s="97">
        <v>0.5</v>
      </c>
      <c r="I167" s="33"/>
    </row>
    <row r="168" spans="1:20" s="34" customFormat="1" x14ac:dyDescent="0.3">
      <c r="A168" s="280" t="s">
        <v>441</v>
      </c>
      <c r="B168" s="281"/>
      <c r="C168" s="281"/>
      <c r="D168" s="281"/>
      <c r="E168" s="281"/>
      <c r="F168" s="281"/>
      <c r="G168" s="281"/>
      <c r="H168" s="282"/>
      <c r="I168" s="39">
        <v>10.763999999999999</v>
      </c>
      <c r="J168" s="33"/>
    </row>
    <row r="169" spans="1:20" s="34" customFormat="1" x14ac:dyDescent="0.3">
      <c r="A169" s="107" t="s">
        <v>442</v>
      </c>
      <c r="B169" s="108"/>
      <c r="C169" s="108"/>
      <c r="D169" s="108"/>
      <c r="E169" s="108"/>
      <c r="F169" s="108"/>
      <c r="G169" s="108"/>
      <c r="H169" s="109"/>
      <c r="J169" s="33"/>
    </row>
    <row r="170" spans="1:20" s="34" customFormat="1" ht="15.75" customHeight="1" x14ac:dyDescent="0.3">
      <c r="A170" s="107" t="s">
        <v>443</v>
      </c>
      <c r="B170" s="108"/>
      <c r="C170" s="108"/>
      <c r="D170" s="108"/>
      <c r="E170" s="108"/>
      <c r="F170" s="108"/>
      <c r="G170" s="108"/>
      <c r="H170" s="109"/>
      <c r="J170" s="33"/>
    </row>
    <row r="171" spans="1:20" s="34" customFormat="1" x14ac:dyDescent="0.3">
      <c r="A171" s="107" t="s">
        <v>444</v>
      </c>
      <c r="B171" s="108"/>
      <c r="C171" s="108"/>
      <c r="D171" s="108"/>
      <c r="E171" s="108"/>
      <c r="F171" s="108"/>
      <c r="G171" s="108"/>
      <c r="H171" s="109"/>
      <c r="J171" s="33"/>
    </row>
    <row r="172" spans="1:20" s="34" customFormat="1" x14ac:dyDescent="0.3">
      <c r="A172" s="107" t="s">
        <v>469</v>
      </c>
      <c r="B172" s="108"/>
      <c r="C172" s="108"/>
      <c r="D172" s="108"/>
      <c r="E172" s="108"/>
      <c r="F172" s="108"/>
      <c r="G172" s="108"/>
      <c r="H172" s="109"/>
      <c r="J172" s="33"/>
    </row>
    <row r="173" spans="1:20" s="34" customFormat="1" x14ac:dyDescent="0.3">
      <c r="A173" s="107" t="s">
        <v>445</v>
      </c>
      <c r="B173" s="108"/>
      <c r="C173" s="108"/>
      <c r="D173" s="108"/>
      <c r="E173" s="108"/>
      <c r="F173" s="108"/>
      <c r="G173" s="108"/>
      <c r="H173" s="109"/>
      <c r="J173" s="33">
        <f>9+24+2+30+2+2+18+2+6+20+4+8+2+2+2+1+1+1</f>
        <v>136</v>
      </c>
    </row>
    <row r="174" spans="1:20" s="34" customFormat="1" x14ac:dyDescent="0.3">
      <c r="A174" s="107" t="s">
        <v>446</v>
      </c>
      <c r="B174" s="108"/>
      <c r="C174" s="108"/>
      <c r="D174" s="108"/>
      <c r="E174" s="108"/>
      <c r="F174" s="108"/>
      <c r="G174" s="108"/>
      <c r="H174" s="109"/>
      <c r="J174" s="33"/>
    </row>
    <row r="175" spans="1:20" s="34" customFormat="1" x14ac:dyDescent="0.3">
      <c r="A175" s="107" t="s">
        <v>447</v>
      </c>
      <c r="B175" s="108"/>
      <c r="C175" s="108"/>
      <c r="D175" s="108"/>
      <c r="E175" s="108"/>
      <c r="F175" s="108"/>
      <c r="G175" s="108"/>
      <c r="H175" s="109"/>
      <c r="J175" s="33"/>
    </row>
    <row r="176" spans="1:20" s="34" customFormat="1" x14ac:dyDescent="0.3">
      <c r="A176" s="107" t="s">
        <v>468</v>
      </c>
      <c r="B176" s="108"/>
      <c r="C176" s="108"/>
      <c r="D176" s="108"/>
      <c r="E176" s="108"/>
      <c r="F176" s="108"/>
      <c r="G176" s="108"/>
      <c r="H176" s="109"/>
      <c r="J176" s="33"/>
    </row>
    <row r="177" spans="1:14" s="34" customFormat="1" x14ac:dyDescent="0.3">
      <c r="A177" s="107" t="s">
        <v>448</v>
      </c>
      <c r="B177" s="108"/>
      <c r="C177" s="108"/>
      <c r="D177" s="108"/>
      <c r="E177" s="108"/>
      <c r="F177" s="108"/>
      <c r="G177" s="108"/>
      <c r="H177" s="109"/>
      <c r="J177" s="33"/>
    </row>
    <row r="178" spans="1:14" s="34" customFormat="1" x14ac:dyDescent="0.3">
      <c r="A178" s="107" t="s">
        <v>449</v>
      </c>
      <c r="B178" s="108"/>
      <c r="C178" s="108"/>
      <c r="D178" s="108"/>
      <c r="E178" s="108"/>
      <c r="F178" s="108"/>
      <c r="G178" s="108"/>
      <c r="H178" s="109"/>
      <c r="I178" s="34">
        <v>3</v>
      </c>
      <c r="J178" s="33"/>
      <c r="K178" s="34">
        <v>3</v>
      </c>
    </row>
    <row r="179" spans="1:14" s="34" customFormat="1" ht="15.75" customHeight="1" x14ac:dyDescent="0.3">
      <c r="A179" s="39">
        <v>1</v>
      </c>
      <c r="B179" s="91" t="s">
        <v>435</v>
      </c>
      <c r="C179" s="39" t="s">
        <v>431</v>
      </c>
      <c r="D179" s="39">
        <f>(275.93)*10.764</f>
        <v>2970.1105199999997</v>
      </c>
      <c r="E179" s="39">
        <f>(11.52)*10.764</f>
        <v>124.00127999999999</v>
      </c>
      <c r="F179" s="39">
        <f>D179+E179</f>
        <v>3094.1117999999997</v>
      </c>
      <c r="G179" s="39">
        <v>0</v>
      </c>
      <c r="H179" s="39">
        <f>F179*(($H$167)+1)+(IF(G179&lt;101,G179,IF(G179&lt;201,G179/2,IF(G179&lt;=301,G179/3,G179/4))))</f>
        <v>4641.1677</v>
      </c>
      <c r="I179" s="33"/>
      <c r="K179" s="33"/>
      <c r="L179" s="135"/>
      <c r="M179" s="135"/>
      <c r="N179" s="33"/>
    </row>
    <row r="180" spans="1:14" s="34" customFormat="1" ht="15.75" customHeight="1" x14ac:dyDescent="0.3">
      <c r="A180" s="39">
        <v>2</v>
      </c>
      <c r="B180" s="91" t="s">
        <v>435</v>
      </c>
      <c r="C180" s="39" t="s">
        <v>429</v>
      </c>
      <c r="D180" s="39">
        <f>(109.02)*10.764</f>
        <v>1173.49128</v>
      </c>
      <c r="E180" s="39">
        <f>(4.09)*10.764</f>
        <v>44.024759999999993</v>
      </c>
      <c r="F180" s="39">
        <f>D180+E180</f>
        <v>1217.51604</v>
      </c>
      <c r="G180" s="39">
        <v>0</v>
      </c>
      <c r="H180" s="39">
        <f>F180*(($H$167)+1)+(IF(G180&lt;101,G180,IF(G180&lt;201,G180/2,IF(G180&lt;=301,G180/3,G180/4))))</f>
        <v>1826.27406</v>
      </c>
      <c r="I180" s="33"/>
      <c r="K180" s="33"/>
      <c r="L180" s="135"/>
      <c r="M180" s="135"/>
      <c r="N180" s="33"/>
    </row>
    <row r="181" spans="1:14" s="34" customFormat="1" ht="15.75" customHeight="1" x14ac:dyDescent="0.3">
      <c r="A181" s="39">
        <v>3</v>
      </c>
      <c r="B181" s="91" t="s">
        <v>435</v>
      </c>
      <c r="C181" s="39" t="s">
        <v>429</v>
      </c>
      <c r="D181" s="39">
        <f>(109.9)*10.764</f>
        <v>1182.9636</v>
      </c>
      <c r="E181" s="39">
        <f>(4.09)*10.764</f>
        <v>44.024759999999993</v>
      </c>
      <c r="F181" s="39">
        <f>D181+E181</f>
        <v>1226.9883600000001</v>
      </c>
      <c r="G181" s="39">
        <v>0</v>
      </c>
      <c r="H181" s="39">
        <f>F181*(($H$167)+1)+(IF(G181&lt;101,G181,IF(G181&lt;201,G181/2,IF(G181&lt;=301,G181/3,G181/4))))</f>
        <v>1840.48254</v>
      </c>
      <c r="I181" s="33"/>
      <c r="K181" s="33"/>
      <c r="L181" s="135"/>
      <c r="M181" s="135"/>
      <c r="N181" s="33"/>
    </row>
    <row r="182" spans="1:14" s="34" customFormat="1" x14ac:dyDescent="0.3">
      <c r="A182" s="107" t="s">
        <v>450</v>
      </c>
      <c r="B182" s="108"/>
      <c r="C182" s="108"/>
      <c r="D182" s="108"/>
      <c r="E182" s="108"/>
      <c r="F182" s="108"/>
      <c r="G182" s="108"/>
      <c r="H182" s="109"/>
      <c r="I182" s="34">
        <f>3+5</f>
        <v>8</v>
      </c>
      <c r="J182" s="33"/>
      <c r="K182" s="33"/>
    </row>
    <row r="183" spans="1:14" s="34" customFormat="1" ht="15.75" customHeight="1" x14ac:dyDescent="0.3">
      <c r="A183" s="39">
        <v>1</v>
      </c>
      <c r="B183" s="91" t="s">
        <v>435</v>
      </c>
      <c r="C183" s="39" t="s">
        <v>431</v>
      </c>
      <c r="D183" s="39">
        <f>(275.93)*10.764</f>
        <v>2970.1105199999997</v>
      </c>
      <c r="E183" s="39">
        <f>(11.52)*10.764</f>
        <v>124.00127999999999</v>
      </c>
      <c r="F183" s="39">
        <f>D183+E183</f>
        <v>3094.1117999999997</v>
      </c>
      <c r="G183" s="39">
        <v>0</v>
      </c>
      <c r="H183" s="39">
        <f>F183*(($H$167)+1)+(IF(G183&lt;101,G183,IF(G183&lt;201,G183/2,IF(G183&lt;=301,G183/3,G183/4))))</f>
        <v>4641.1677</v>
      </c>
      <c r="I183" s="95"/>
      <c r="J183" s="96"/>
      <c r="K183" s="33"/>
      <c r="L183" s="135"/>
      <c r="M183" s="135"/>
      <c r="N183" s="33"/>
    </row>
    <row r="184" spans="1:14" s="34" customFormat="1" ht="15.75" customHeight="1" x14ac:dyDescent="0.3">
      <c r="A184" s="39">
        <v>2</v>
      </c>
      <c r="B184" s="91" t="s">
        <v>435</v>
      </c>
      <c r="C184" s="39" t="s">
        <v>429</v>
      </c>
      <c r="D184" s="39">
        <f>(109.02)*10.764</f>
        <v>1173.49128</v>
      </c>
      <c r="E184" s="39">
        <f>(4.09)*10.764</f>
        <v>44.024759999999993</v>
      </c>
      <c r="F184" s="39">
        <f>D184+E184</f>
        <v>1217.51604</v>
      </c>
      <c r="G184" s="39">
        <v>0</v>
      </c>
      <c r="H184" s="39">
        <f>F184*(($H$167)+1)+(IF(G184&lt;101,G184,IF(G184&lt;201,G184/2,IF(G184&lt;=301,G184/3,G184/4))))</f>
        <v>1826.27406</v>
      </c>
      <c r="I184" s="33"/>
      <c r="K184" s="34">
        <f>3+3</f>
        <v>6</v>
      </c>
      <c r="L184" s="135"/>
      <c r="M184" s="135"/>
      <c r="N184" s="33"/>
    </row>
    <row r="185" spans="1:14" s="34" customFormat="1" ht="15.75" customHeight="1" x14ac:dyDescent="0.3">
      <c r="A185" s="39">
        <v>3</v>
      </c>
      <c r="B185" s="91" t="s">
        <v>435</v>
      </c>
      <c r="C185" s="39" t="s">
        <v>429</v>
      </c>
      <c r="D185" s="39">
        <f>(109.9)*10.764</f>
        <v>1182.9636</v>
      </c>
      <c r="E185" s="39">
        <f>(4.09)*10.764</f>
        <v>44.024759999999993</v>
      </c>
      <c r="F185" s="39">
        <f>D185+E185</f>
        <v>1226.9883600000001</v>
      </c>
      <c r="G185" s="39">
        <v>0</v>
      </c>
      <c r="H185" s="39">
        <f>F185*(($H$167)+1)+(IF(G185&lt;101,G185,IF(G185&lt;201,G185/2,IF(G185&lt;=301,G185/3,G185/4))))</f>
        <v>1840.48254</v>
      </c>
      <c r="I185" s="33"/>
      <c r="K185" s="33"/>
      <c r="L185" s="135"/>
      <c r="M185" s="135"/>
      <c r="N185" s="33"/>
    </row>
    <row r="186" spans="1:14" s="34" customFormat="1" x14ac:dyDescent="0.3">
      <c r="A186" s="107" t="s">
        <v>451</v>
      </c>
      <c r="B186" s="108"/>
      <c r="C186" s="108"/>
      <c r="D186" s="108"/>
      <c r="E186" s="108"/>
      <c r="F186" s="108"/>
      <c r="G186" s="108"/>
      <c r="H186" s="109"/>
      <c r="I186" s="34">
        <v>1</v>
      </c>
      <c r="J186" s="33"/>
      <c r="K186" s="33"/>
    </row>
    <row r="187" spans="1:14" s="34" customFormat="1" ht="15.75" customHeight="1" x14ac:dyDescent="0.3">
      <c r="A187" s="39">
        <v>1</v>
      </c>
      <c r="B187" s="91" t="s">
        <v>435</v>
      </c>
      <c r="C187" s="39" t="s">
        <v>431</v>
      </c>
      <c r="D187" s="39">
        <f>(275.93)*10.764</f>
        <v>2970.1105199999997</v>
      </c>
      <c r="E187" s="39">
        <f>(11.52)*10.764</f>
        <v>124.00127999999999</v>
      </c>
      <c r="F187" s="39">
        <f>D187+E187</f>
        <v>3094.1117999999997</v>
      </c>
      <c r="G187" s="39">
        <v>0</v>
      </c>
      <c r="H187" s="39">
        <f>F187*(($H$167)+1)+(IF(G187&lt;101,G187,IF(G187&lt;201,G187/2,IF(G187&lt;=301,G187/3,G187/4))))</f>
        <v>4641.1677</v>
      </c>
      <c r="I187" s="93"/>
      <c r="K187" s="33"/>
      <c r="L187" s="135"/>
      <c r="M187" s="135"/>
      <c r="N187" s="33"/>
    </row>
    <row r="188" spans="1:14" s="34" customFormat="1" ht="15.75" customHeight="1" x14ac:dyDescent="0.3">
      <c r="A188" s="39">
        <v>2</v>
      </c>
      <c r="B188" s="91" t="s">
        <v>435</v>
      </c>
      <c r="C188" s="39" t="s">
        <v>429</v>
      </c>
      <c r="D188" s="39">
        <f>(109.02)*10.764</f>
        <v>1173.49128</v>
      </c>
      <c r="E188" s="39">
        <f>(4.09)*10.764</f>
        <v>44.024759999999993</v>
      </c>
      <c r="F188" s="39">
        <f>D188+E188</f>
        <v>1217.51604</v>
      </c>
      <c r="G188" s="39">
        <v>0</v>
      </c>
      <c r="H188" s="39">
        <f>F188*(($H$167)+1)+(IF(G188&lt;101,G188,IF(G188&lt;201,G188/2,IF(G188&lt;=301,G188/3,G188/4))))</f>
        <v>1826.27406</v>
      </c>
      <c r="I188" s="33"/>
      <c r="K188" s="33"/>
      <c r="L188" s="135"/>
      <c r="M188" s="135"/>
      <c r="N188" s="33"/>
    </row>
    <row r="189" spans="1:14" s="34" customFormat="1" ht="15.75" customHeight="1" x14ac:dyDescent="0.3">
      <c r="A189" s="39">
        <v>3</v>
      </c>
      <c r="B189" s="140" t="s">
        <v>434</v>
      </c>
      <c r="C189" s="159"/>
      <c r="D189" s="159"/>
      <c r="E189" s="159"/>
      <c r="F189" s="159"/>
      <c r="G189" s="159"/>
      <c r="H189" s="141"/>
      <c r="I189" s="33"/>
      <c r="K189" s="33"/>
      <c r="L189" s="135"/>
      <c r="M189" s="135"/>
      <c r="N189" s="33"/>
    </row>
    <row r="190" spans="1:14" s="34" customFormat="1" x14ac:dyDescent="0.3">
      <c r="A190" s="312" t="s">
        <v>512</v>
      </c>
      <c r="B190" s="313"/>
      <c r="C190" s="313"/>
      <c r="D190" s="313"/>
      <c r="E190" s="313"/>
      <c r="F190" s="313"/>
      <c r="G190" s="313"/>
      <c r="H190" s="314"/>
      <c r="I190" s="34">
        <f>1+5+4</f>
        <v>10</v>
      </c>
      <c r="J190" s="33"/>
      <c r="K190" s="34">
        <v>1</v>
      </c>
    </row>
    <row r="191" spans="1:14" s="34" customFormat="1" ht="15.75" customHeight="1" x14ac:dyDescent="0.3">
      <c r="A191" s="39">
        <v>1</v>
      </c>
      <c r="B191" s="91" t="s">
        <v>435</v>
      </c>
      <c r="C191" s="39" t="s">
        <v>431</v>
      </c>
      <c r="D191" s="39">
        <f>(280.31)*10.764</f>
        <v>3017.25684</v>
      </c>
      <c r="E191" s="39">
        <f>(11.52)*10.764</f>
        <v>124.00127999999999</v>
      </c>
      <c r="F191" s="39">
        <f>D191+E191</f>
        <v>3141.25812</v>
      </c>
      <c r="G191" s="39">
        <v>0</v>
      </c>
      <c r="H191" s="39">
        <f>F191*(($H$167)+1)+(IF(G191&lt;101,G191,IF(G191&lt;201,G191/2,IF(G191&lt;=301,G191/3,G191/4))))</f>
        <v>4711.8871799999997</v>
      </c>
      <c r="I191" s="33"/>
      <c r="K191" s="33"/>
      <c r="L191" s="135"/>
      <c r="M191" s="135"/>
      <c r="N191" s="33"/>
    </row>
    <row r="192" spans="1:14" s="34" customFormat="1" ht="15.75" customHeight="1" x14ac:dyDescent="0.3">
      <c r="A192" s="39">
        <v>2</v>
      </c>
      <c r="B192" s="91" t="s">
        <v>435</v>
      </c>
      <c r="C192" s="39" t="s">
        <v>429</v>
      </c>
      <c r="D192" s="39">
        <f>(111.66)*10.764</f>
        <v>1201.90824</v>
      </c>
      <c r="E192" s="39">
        <f>(4.09)*10.764</f>
        <v>44.024759999999993</v>
      </c>
      <c r="F192" s="39">
        <f>D192+E192</f>
        <v>1245.933</v>
      </c>
      <c r="G192" s="39">
        <v>0</v>
      </c>
      <c r="H192" s="39">
        <f>F192*(($H$167)+1)+(IF(G192&lt;101,G192,IF(G192&lt;201,G192/2,IF(G192&lt;=301,G192/3,G192/4))))</f>
        <v>1868.8995</v>
      </c>
      <c r="I192" s="33"/>
      <c r="K192" s="33"/>
      <c r="L192" s="135"/>
      <c r="M192" s="135"/>
      <c r="N192" s="33"/>
    </row>
    <row r="193" spans="1:14" s="34" customFormat="1" ht="15.75" customHeight="1" x14ac:dyDescent="0.3">
      <c r="A193" s="39">
        <v>3</v>
      </c>
      <c r="B193" s="91" t="s">
        <v>435</v>
      </c>
      <c r="C193" s="39" t="s">
        <v>429</v>
      </c>
      <c r="D193" s="39">
        <f>(111.51)*10.764</f>
        <v>1200.2936399999999</v>
      </c>
      <c r="E193" s="39">
        <f>(4.09)*10.764</f>
        <v>44.024759999999993</v>
      </c>
      <c r="F193" s="39">
        <f>D193+E193</f>
        <v>1244.3183999999999</v>
      </c>
      <c r="G193" s="39">
        <v>0</v>
      </c>
      <c r="H193" s="39">
        <f>F193*(($H$167)+1)+(IF(G193&lt;101,G193,IF(G193&lt;201,G193/2,IF(G193&lt;=301,G193/3,G193/4))))</f>
        <v>1866.4775999999997</v>
      </c>
      <c r="I193" s="33"/>
      <c r="K193" s="33"/>
      <c r="L193" s="135"/>
      <c r="M193" s="135"/>
      <c r="N193" s="33"/>
    </row>
    <row r="194" spans="1:14" s="34" customFormat="1" x14ac:dyDescent="0.3">
      <c r="A194" s="107" t="s">
        <v>513</v>
      </c>
      <c r="B194" s="108"/>
      <c r="C194" s="108"/>
      <c r="D194" s="108"/>
      <c r="E194" s="108"/>
      <c r="F194" s="108"/>
      <c r="G194" s="108"/>
      <c r="H194" s="109"/>
      <c r="I194" s="34">
        <v>1</v>
      </c>
      <c r="J194" s="33"/>
      <c r="K194" s="33"/>
    </row>
    <row r="195" spans="1:14" s="34" customFormat="1" x14ac:dyDescent="0.3">
      <c r="A195" s="107" t="s">
        <v>452</v>
      </c>
      <c r="B195" s="108"/>
      <c r="C195" s="108"/>
      <c r="D195" s="108"/>
      <c r="E195" s="108"/>
      <c r="F195" s="108"/>
      <c r="G195" s="108"/>
      <c r="H195" s="109"/>
      <c r="I195" s="34">
        <v>1</v>
      </c>
      <c r="J195" s="33"/>
      <c r="K195" s="33"/>
    </row>
    <row r="196" spans="1:14" s="34" customFormat="1" ht="15.75" customHeight="1" x14ac:dyDescent="0.3">
      <c r="A196" s="39">
        <v>1</v>
      </c>
      <c r="B196" s="91" t="s">
        <v>435</v>
      </c>
      <c r="C196" s="39" t="s">
        <v>431</v>
      </c>
      <c r="D196" s="39">
        <f>(280.31)*10.764</f>
        <v>3017.25684</v>
      </c>
      <c r="E196" s="39">
        <f>(11.52)*10.764</f>
        <v>124.00127999999999</v>
      </c>
      <c r="F196" s="39">
        <f>D196+E196</f>
        <v>3141.25812</v>
      </c>
      <c r="G196" s="39">
        <v>0</v>
      </c>
      <c r="H196" s="39">
        <f>F196*(($H$167)+1)+(IF(G196&lt;101,G196,IF(G196&lt;201,G196/2,IF(G196&lt;=301,G196/3,G196/4))))</f>
        <v>4711.8871799999997</v>
      </c>
      <c r="I196" s="33"/>
      <c r="K196" s="34">
        <v>1</v>
      </c>
      <c r="L196" s="135"/>
      <c r="M196" s="135"/>
      <c r="N196" s="33"/>
    </row>
    <row r="197" spans="1:14" s="34" customFormat="1" ht="15.75" customHeight="1" x14ac:dyDescent="0.3">
      <c r="A197" s="39">
        <v>2</v>
      </c>
      <c r="B197" s="91" t="s">
        <v>435</v>
      </c>
      <c r="C197" s="39" t="s">
        <v>429</v>
      </c>
      <c r="D197" s="39">
        <f>(111.66)*10.764</f>
        <v>1201.90824</v>
      </c>
      <c r="E197" s="39">
        <f>(4.09)*10.764</f>
        <v>44.024759999999993</v>
      </c>
      <c r="F197" s="39">
        <f>D197+E197</f>
        <v>1245.933</v>
      </c>
      <c r="G197" s="39">
        <v>0</v>
      </c>
      <c r="H197" s="39">
        <f>F197*(($H$167)+1)+(IF(G197&lt;101,G197,IF(G197&lt;201,G197/2,IF(G197&lt;=301,G197/3,G197/4))))</f>
        <v>1868.8995</v>
      </c>
      <c r="I197" s="33"/>
      <c r="K197" s="33"/>
      <c r="L197" s="135"/>
      <c r="M197" s="135"/>
      <c r="N197" s="33"/>
    </row>
    <row r="198" spans="1:14" s="34" customFormat="1" ht="15.75" customHeight="1" x14ac:dyDescent="0.3">
      <c r="A198" s="39">
        <v>3</v>
      </c>
      <c r="B198" s="140" t="s">
        <v>434</v>
      </c>
      <c r="C198" s="159"/>
      <c r="D198" s="159"/>
      <c r="E198" s="159"/>
      <c r="F198" s="159"/>
      <c r="G198" s="159"/>
      <c r="H198" s="141"/>
      <c r="I198" s="33"/>
      <c r="K198" s="33"/>
      <c r="L198" s="135"/>
      <c r="M198" s="135"/>
      <c r="N198" s="33"/>
    </row>
    <row r="199" spans="1:14" s="34" customFormat="1" x14ac:dyDescent="0.3">
      <c r="A199" s="107" t="s">
        <v>437</v>
      </c>
      <c r="B199" s="108"/>
      <c r="C199" s="108"/>
      <c r="D199" s="108"/>
      <c r="E199" s="108"/>
      <c r="F199" s="108"/>
      <c r="G199" s="108"/>
      <c r="H199" s="109"/>
      <c r="I199" s="34">
        <v>1</v>
      </c>
      <c r="J199" s="33"/>
      <c r="K199" s="33"/>
    </row>
    <row r="200" spans="1:14" s="34" customFormat="1" ht="15.75" customHeight="1" x14ac:dyDescent="0.3">
      <c r="A200" s="39">
        <v>1</v>
      </c>
      <c r="B200" s="91" t="s">
        <v>435</v>
      </c>
      <c r="C200" s="39" t="s">
        <v>431</v>
      </c>
      <c r="D200" s="39">
        <f>(280.31)*10.764</f>
        <v>3017.25684</v>
      </c>
      <c r="E200" s="39">
        <f>(11.52)*10.764</f>
        <v>124.00127999999999</v>
      </c>
      <c r="F200" s="39">
        <f>D200+E200</f>
        <v>3141.25812</v>
      </c>
      <c r="G200" s="39">
        <v>0</v>
      </c>
      <c r="H200" s="39">
        <f>F200*(($H$167)+1)+(IF(G200&lt;101,G200,IF(G200&lt;201,G200/2,IF(G200&lt;=301,G200/3,G200/4))))</f>
        <v>4711.8871799999997</v>
      </c>
      <c r="I200" s="33"/>
      <c r="K200" s="33"/>
      <c r="L200" s="135"/>
      <c r="M200" s="135"/>
      <c r="N200" s="33"/>
    </row>
    <row r="201" spans="1:14" s="34" customFormat="1" ht="15.75" customHeight="1" x14ac:dyDescent="0.3">
      <c r="A201" s="39">
        <v>2</v>
      </c>
      <c r="B201" s="91" t="s">
        <v>435</v>
      </c>
      <c r="C201" s="39" t="s">
        <v>429</v>
      </c>
      <c r="D201" s="39">
        <f>(111.66)*10.764</f>
        <v>1201.90824</v>
      </c>
      <c r="E201" s="39">
        <f>(4.09)*10.764</f>
        <v>44.024759999999993</v>
      </c>
      <c r="F201" s="39">
        <f>D201+E201</f>
        <v>1245.933</v>
      </c>
      <c r="G201" s="39">
        <v>0</v>
      </c>
      <c r="H201" s="39">
        <f>F201*(($H$167)+1)+(IF(G201&lt;101,G201,IF(G201&lt;201,G201/2,IF(G201&lt;=301,G201/3,G201/4))))</f>
        <v>1868.8995</v>
      </c>
      <c r="I201" s="33"/>
      <c r="J201" s="34">
        <f>85800000/(1249*1.5)</f>
        <v>45796.63730984788</v>
      </c>
      <c r="K201" s="33"/>
      <c r="L201" s="135"/>
      <c r="M201" s="135"/>
      <c r="N201" s="33"/>
    </row>
    <row r="202" spans="1:14" s="34" customFormat="1" ht="15.75" customHeight="1" x14ac:dyDescent="0.3">
      <c r="A202" s="39">
        <v>3</v>
      </c>
      <c r="B202" s="140" t="s">
        <v>434</v>
      </c>
      <c r="C202" s="159"/>
      <c r="D202" s="159"/>
      <c r="E202" s="159"/>
      <c r="F202" s="159"/>
      <c r="G202" s="159"/>
      <c r="H202" s="141"/>
      <c r="I202" s="33"/>
      <c r="K202" s="34">
        <v>1</v>
      </c>
      <c r="L202" s="135"/>
      <c r="M202" s="135"/>
      <c r="N202" s="33"/>
    </row>
    <row r="203" spans="1:14" s="34" customFormat="1" x14ac:dyDescent="0.3">
      <c r="A203" s="107" t="s">
        <v>453</v>
      </c>
      <c r="B203" s="108"/>
      <c r="C203" s="108"/>
      <c r="D203" s="108"/>
      <c r="E203" s="108"/>
      <c r="F203" s="108"/>
      <c r="G203" s="108"/>
      <c r="H203" s="109"/>
      <c r="I203" s="34">
        <f>2+4</f>
        <v>6</v>
      </c>
      <c r="J203" s="33"/>
      <c r="K203" s="33"/>
    </row>
    <row r="204" spans="1:14" s="34" customFormat="1" ht="15.75" customHeight="1" x14ac:dyDescent="0.3">
      <c r="A204" s="39">
        <v>1</v>
      </c>
      <c r="B204" s="91" t="s">
        <v>435</v>
      </c>
      <c r="C204" s="39" t="s">
        <v>431</v>
      </c>
      <c r="D204" s="39">
        <f>(283.19)*10.764</f>
        <v>3048.2571599999997</v>
      </c>
      <c r="E204" s="39">
        <f>(12.27)*10.764</f>
        <v>132.07427999999999</v>
      </c>
      <c r="F204" s="39">
        <f>D204+E204</f>
        <v>3180.3314399999995</v>
      </c>
      <c r="G204" s="39">
        <v>0</v>
      </c>
      <c r="H204" s="39">
        <f>F204*(($H$167)+1)+(IF(G204&lt;101,G204,IF(G204&lt;201,G204/2,IF(G204&lt;=301,G204/3,G204/4))))</f>
        <v>4770.497159999999</v>
      </c>
      <c r="I204" s="33"/>
      <c r="K204" s="33"/>
      <c r="L204" s="135"/>
      <c r="M204" s="135"/>
      <c r="N204" s="33"/>
    </row>
    <row r="205" spans="1:14" s="34" customFormat="1" ht="15.75" customHeight="1" x14ac:dyDescent="0.3">
      <c r="A205" s="39">
        <v>2</v>
      </c>
      <c r="B205" s="91" t="s">
        <v>435</v>
      </c>
      <c r="C205" s="39" t="s">
        <v>429</v>
      </c>
      <c r="D205" s="39">
        <f>(112.92)*10.764</f>
        <v>1215.4708799999999</v>
      </c>
      <c r="E205" s="39">
        <f>(4.09)*10.764</f>
        <v>44.024759999999993</v>
      </c>
      <c r="F205" s="39">
        <f>D205+E205</f>
        <v>1259.4956399999999</v>
      </c>
      <c r="G205" s="39">
        <v>0</v>
      </c>
      <c r="H205" s="39">
        <f>F205*(($H$167)+1)+(IF(G205&lt;101,G205,IF(G205&lt;201,G205/2,IF(G205&lt;=301,G205/3,G205/4))))</f>
        <v>1889.2434599999997</v>
      </c>
      <c r="I205" s="33"/>
      <c r="K205" s="33"/>
      <c r="L205" s="135"/>
      <c r="M205" s="135"/>
      <c r="N205" s="33"/>
    </row>
    <row r="206" spans="1:14" s="34" customFormat="1" ht="15.75" customHeight="1" x14ac:dyDescent="0.3">
      <c r="A206" s="39">
        <v>3</v>
      </c>
      <c r="B206" s="91" t="s">
        <v>435</v>
      </c>
      <c r="C206" s="39" t="s">
        <v>429</v>
      </c>
      <c r="D206" s="39">
        <f>(113.09)*10.764</f>
        <v>1217.3007599999999</v>
      </c>
      <c r="E206" s="39">
        <f>(4.09)*10.764</f>
        <v>44.024759999999993</v>
      </c>
      <c r="F206" s="39">
        <f>D206+E206</f>
        <v>1261.3255199999999</v>
      </c>
      <c r="G206" s="39">
        <v>0</v>
      </c>
      <c r="H206" s="39">
        <f>F206*(($H$167)+1)+(IF(G206&lt;101,G206,IF(G206&lt;201,G206/2,IF(G206&lt;=301,G206/3,G206/4))))</f>
        <v>1891.9882799999998</v>
      </c>
      <c r="I206" s="33"/>
      <c r="K206" s="33"/>
      <c r="L206" s="135"/>
      <c r="M206" s="135"/>
      <c r="N206" s="33"/>
    </row>
    <row r="207" spans="1:14" s="34" customFormat="1" x14ac:dyDescent="0.3">
      <c r="A207" s="107" t="s">
        <v>454</v>
      </c>
      <c r="B207" s="108"/>
      <c r="C207" s="108"/>
      <c r="D207" s="108"/>
      <c r="E207" s="108"/>
      <c r="F207" s="108"/>
      <c r="G207" s="108"/>
      <c r="H207" s="109"/>
      <c r="I207" s="34">
        <v>1</v>
      </c>
      <c r="J207" s="33"/>
      <c r="K207" s="33"/>
    </row>
    <row r="208" spans="1:14" s="34" customFormat="1" ht="15.75" customHeight="1" x14ac:dyDescent="0.3">
      <c r="A208" s="39">
        <v>1</v>
      </c>
      <c r="B208" s="91" t="s">
        <v>435</v>
      </c>
      <c r="C208" s="39" t="s">
        <v>431</v>
      </c>
      <c r="D208" s="39">
        <f>(283.19)*10.764</f>
        <v>3048.2571599999997</v>
      </c>
      <c r="E208" s="39">
        <f>(12.27)*10.764</f>
        <v>132.07427999999999</v>
      </c>
      <c r="F208" s="39">
        <f>D208+E208</f>
        <v>3180.3314399999995</v>
      </c>
      <c r="G208" s="39">
        <v>0</v>
      </c>
      <c r="H208" s="39">
        <f>F208*(($H$167)+1)+(IF(G208&lt;101,G208,IF(G208&lt;201,G208/2,IF(G208&lt;=301,G208/3,G208/4))))</f>
        <v>4770.497159999999</v>
      </c>
      <c r="I208" s="33"/>
      <c r="K208" s="33"/>
      <c r="L208" s="135"/>
      <c r="M208" s="135"/>
      <c r="N208" s="33"/>
    </row>
    <row r="209" spans="1:14" s="34" customFormat="1" ht="15.75" customHeight="1" x14ac:dyDescent="0.3">
      <c r="A209" s="39">
        <v>2</v>
      </c>
      <c r="B209" s="91" t="s">
        <v>435</v>
      </c>
      <c r="C209" s="39" t="s">
        <v>429</v>
      </c>
      <c r="D209" s="39">
        <f>(112.92)*10.764</f>
        <v>1215.4708799999999</v>
      </c>
      <c r="E209" s="39">
        <f>(4.09)*10.764</f>
        <v>44.024759999999993</v>
      </c>
      <c r="F209" s="39">
        <f>D209+E209</f>
        <v>1259.4956399999999</v>
      </c>
      <c r="G209" s="39">
        <v>0</v>
      </c>
      <c r="H209" s="39">
        <f>F209*(($H$167)+1)+(IF(G209&lt;101,G209,IF(G209&lt;201,G209/2,IF(G209&lt;=301,G209/3,G209/4))))</f>
        <v>1889.2434599999997</v>
      </c>
      <c r="I209" s="33"/>
      <c r="K209" s="33"/>
      <c r="L209" s="135"/>
      <c r="M209" s="135"/>
      <c r="N209" s="33"/>
    </row>
    <row r="210" spans="1:14" s="34" customFormat="1" ht="15.75" customHeight="1" x14ac:dyDescent="0.3">
      <c r="A210" s="39">
        <v>3</v>
      </c>
      <c r="B210" s="140" t="s">
        <v>434</v>
      </c>
      <c r="C210" s="159"/>
      <c r="D210" s="159"/>
      <c r="E210" s="159"/>
      <c r="F210" s="159"/>
      <c r="G210" s="159"/>
      <c r="H210" s="141"/>
      <c r="I210" s="33"/>
      <c r="K210" s="33"/>
      <c r="L210" s="135"/>
      <c r="M210" s="135"/>
      <c r="N210" s="33"/>
    </row>
    <row r="211" spans="1:14" s="34" customFormat="1" ht="15.75" customHeight="1" x14ac:dyDescent="0.3">
      <c r="A211" s="107" t="s">
        <v>478</v>
      </c>
      <c r="B211" s="108"/>
      <c r="C211" s="108"/>
      <c r="D211" s="108"/>
      <c r="E211" s="108"/>
      <c r="F211" s="108"/>
      <c r="G211" s="108"/>
      <c r="H211" s="109"/>
      <c r="I211" s="34">
        <v>1</v>
      </c>
      <c r="J211" s="33"/>
      <c r="K211" s="33"/>
    </row>
    <row r="212" spans="1:14" s="34" customFormat="1" x14ac:dyDescent="0.3">
      <c r="A212" s="107" t="s">
        <v>455</v>
      </c>
      <c r="B212" s="108"/>
      <c r="C212" s="108"/>
      <c r="D212" s="108"/>
      <c r="E212" s="108"/>
      <c r="F212" s="108"/>
      <c r="G212" s="108"/>
      <c r="H212" s="109"/>
      <c r="I212" s="34">
        <v>1</v>
      </c>
      <c r="J212" s="33"/>
      <c r="K212" s="34">
        <f>1+5+4</f>
        <v>10</v>
      </c>
    </row>
    <row r="213" spans="1:14" s="34" customFormat="1" x14ac:dyDescent="0.3">
      <c r="A213" s="107" t="s">
        <v>456</v>
      </c>
      <c r="B213" s="108"/>
      <c r="C213" s="108"/>
      <c r="D213" s="108"/>
      <c r="E213" s="108"/>
      <c r="F213" s="108"/>
      <c r="G213" s="108"/>
      <c r="H213" s="109"/>
      <c r="I213" s="34">
        <v>1</v>
      </c>
      <c r="J213" s="33"/>
      <c r="K213" s="33"/>
    </row>
    <row r="214" spans="1:14" s="34" customFormat="1" x14ac:dyDescent="0.3">
      <c r="A214" s="107" t="s">
        <v>457</v>
      </c>
      <c r="B214" s="108"/>
      <c r="C214" s="108"/>
      <c r="D214" s="108"/>
      <c r="E214" s="108"/>
      <c r="F214" s="108"/>
      <c r="G214" s="108"/>
      <c r="H214" s="109"/>
      <c r="I214" s="34">
        <v>3</v>
      </c>
      <c r="J214" s="33"/>
      <c r="K214" s="34">
        <v>1</v>
      </c>
    </row>
    <row r="215" spans="1:14" s="34" customFormat="1" ht="15.75" customHeight="1" x14ac:dyDescent="0.3">
      <c r="A215" s="39">
        <v>1</v>
      </c>
      <c r="B215" s="91" t="s">
        <v>435</v>
      </c>
      <c r="C215" s="39" t="s">
        <v>431</v>
      </c>
      <c r="D215" s="39">
        <f>(283.2)*10.764</f>
        <v>3048.3647999999998</v>
      </c>
      <c r="E215" s="39">
        <f>(11.52)*10.764</f>
        <v>124.00127999999999</v>
      </c>
      <c r="F215" s="39">
        <f>D215+E215</f>
        <v>3172.3660799999998</v>
      </c>
      <c r="G215" s="39">
        <v>0</v>
      </c>
      <c r="H215" s="39">
        <f>F215*(($H$167)+1)+(IF(G215&lt;101,G215,IF(G215&lt;201,G215/2,IF(G215&lt;=301,G215/3,G215/4))))</f>
        <v>4758.5491199999997</v>
      </c>
      <c r="I215" s="33"/>
      <c r="K215" s="33"/>
      <c r="L215" s="135"/>
      <c r="M215" s="135"/>
      <c r="N215" s="33"/>
    </row>
    <row r="216" spans="1:14" s="34" customFormat="1" ht="15.75" customHeight="1" x14ac:dyDescent="0.3">
      <c r="A216" s="39">
        <v>2</v>
      </c>
      <c r="B216" s="91" t="s">
        <v>435</v>
      </c>
      <c r="C216" s="39" t="s">
        <v>430</v>
      </c>
      <c r="D216" s="39">
        <f>(216.49)*10.764</f>
        <v>2330.2983599999998</v>
      </c>
      <c r="E216" s="39">
        <f>(10.79)*10.764</f>
        <v>116.14355999999998</v>
      </c>
      <c r="F216" s="39">
        <f>D216+E216</f>
        <v>2446.4419199999998</v>
      </c>
      <c r="G216" s="39">
        <v>0</v>
      </c>
      <c r="H216" s="39">
        <f>F216*(($H$167)+1)+(IF(G216&lt;101,G216,IF(G216&lt;201,G216/2,IF(G216&lt;=301,G216/3,G216/4))))</f>
        <v>3669.6628799999999</v>
      </c>
      <c r="I216" s="33"/>
      <c r="K216" s="33"/>
      <c r="L216" s="135"/>
      <c r="M216" s="135"/>
      <c r="N216" s="33"/>
    </row>
    <row r="217" spans="1:14" s="34" customFormat="1" x14ac:dyDescent="0.3">
      <c r="A217" s="107" t="s">
        <v>458</v>
      </c>
      <c r="B217" s="108"/>
      <c r="C217" s="108"/>
      <c r="D217" s="108"/>
      <c r="E217" s="108"/>
      <c r="F217" s="108"/>
      <c r="G217" s="108"/>
      <c r="H217" s="109"/>
      <c r="I217" s="34">
        <f>3+6+1</f>
        <v>10</v>
      </c>
      <c r="J217" s="33"/>
      <c r="K217" s="33"/>
    </row>
    <row r="218" spans="1:14" s="34" customFormat="1" ht="15.75" customHeight="1" x14ac:dyDescent="0.3">
      <c r="A218" s="39">
        <v>1</v>
      </c>
      <c r="B218" s="91" t="s">
        <v>435</v>
      </c>
      <c r="C218" s="39" t="s">
        <v>431</v>
      </c>
      <c r="D218" s="39">
        <f>(286.76)*10.764</f>
        <v>3086.6846399999995</v>
      </c>
      <c r="E218" s="39">
        <f>(11.83)*10.764</f>
        <v>127.33811999999999</v>
      </c>
      <c r="F218" s="39">
        <f>D218+E218</f>
        <v>3214.0227599999994</v>
      </c>
      <c r="G218" s="39">
        <v>0</v>
      </c>
      <c r="H218" s="39">
        <f>F218*(($H$167)+1)+(IF(G218&lt;101,G218,IF(G218&lt;201,G218/2,IF(G218&lt;=301,G218/3,G218/4))))</f>
        <v>4821.0341399999988</v>
      </c>
      <c r="I218" s="33"/>
      <c r="K218" s="33"/>
      <c r="L218" s="135"/>
      <c r="M218" s="135"/>
      <c r="N218" s="33"/>
    </row>
    <row r="219" spans="1:14" s="34" customFormat="1" ht="15.75" customHeight="1" x14ac:dyDescent="0.3">
      <c r="A219" s="39">
        <v>2</v>
      </c>
      <c r="B219" s="91" t="s">
        <v>435</v>
      </c>
      <c r="C219" s="39" t="s">
        <v>430</v>
      </c>
      <c r="D219" s="39">
        <f>(222.15)*10.764</f>
        <v>2391.2226000000001</v>
      </c>
      <c r="E219" s="39">
        <f>(11.08)*10.764</f>
        <v>119.26512</v>
      </c>
      <c r="F219" s="39">
        <f>D219+E219</f>
        <v>2510.4877200000001</v>
      </c>
      <c r="G219" s="39">
        <v>0</v>
      </c>
      <c r="H219" s="39">
        <f>F219*(($H$167)+1)+(IF(G219&lt;101,G219,IF(G219&lt;201,G219/2,IF(G219&lt;=301,G219/3,G219/4))))</f>
        <v>3765.7315800000001</v>
      </c>
      <c r="I219" s="33"/>
      <c r="K219" s="33"/>
      <c r="L219" s="135"/>
      <c r="M219" s="135"/>
      <c r="N219" s="33"/>
    </row>
    <row r="220" spans="1:14" s="34" customFormat="1" x14ac:dyDescent="0.3">
      <c r="A220" s="107" t="s">
        <v>459</v>
      </c>
      <c r="B220" s="108"/>
      <c r="C220" s="108"/>
      <c r="D220" s="108"/>
      <c r="E220" s="108"/>
      <c r="F220" s="108"/>
      <c r="G220" s="108"/>
      <c r="H220" s="109"/>
      <c r="I220" s="34">
        <v>2</v>
      </c>
      <c r="J220" s="33"/>
      <c r="K220" s="34">
        <v>1</v>
      </c>
    </row>
    <row r="221" spans="1:14" s="34" customFormat="1" ht="15.75" customHeight="1" x14ac:dyDescent="0.3">
      <c r="A221" s="39">
        <v>1</v>
      </c>
      <c r="B221" s="91" t="s">
        <v>435</v>
      </c>
      <c r="C221" s="39" t="s">
        <v>430</v>
      </c>
      <c r="D221" s="39">
        <f>(212.25)*10.764</f>
        <v>2284.6589999999997</v>
      </c>
      <c r="E221" s="39">
        <f>(11.83)*10.764</f>
        <v>127.33811999999999</v>
      </c>
      <c r="F221" s="39">
        <f>D221+E221</f>
        <v>2411.9971199999995</v>
      </c>
      <c r="G221" s="39">
        <v>0</v>
      </c>
      <c r="H221" s="39">
        <f>F221*(($H$167)+1)+(IF(G221&lt;101,G221,IF(G221&lt;201,G221/2,IF(G221&lt;=301,G221/3,G221/4))))</f>
        <v>3617.9956799999991</v>
      </c>
      <c r="I221" s="33"/>
      <c r="K221" s="34">
        <v>1</v>
      </c>
      <c r="L221" s="135"/>
      <c r="M221" s="135"/>
      <c r="N221" s="33"/>
    </row>
    <row r="222" spans="1:14" s="34" customFormat="1" ht="15.75" customHeight="1" x14ac:dyDescent="0.3">
      <c r="A222" s="39">
        <v>2</v>
      </c>
      <c r="B222" s="91" t="s">
        <v>435</v>
      </c>
      <c r="C222" s="39" t="s">
        <v>429</v>
      </c>
      <c r="D222" s="39">
        <f>(171.93)*10.764</f>
        <v>1850.65452</v>
      </c>
      <c r="E222" s="39">
        <f>(11.02)*10.764</f>
        <v>118.61927999999999</v>
      </c>
      <c r="F222" s="39">
        <f>D222+E222</f>
        <v>1969.2737999999999</v>
      </c>
      <c r="G222" s="39">
        <v>0</v>
      </c>
      <c r="H222" s="39">
        <f>F222*(($H$167)+1)+(IF(G222&lt;101,G222,IF(G222&lt;201,G222/2,IF(G222&lt;=301,G222/3,G222/4))))</f>
        <v>2953.9106999999999</v>
      </c>
      <c r="I222" s="33"/>
      <c r="K222" s="33"/>
      <c r="L222" s="135"/>
      <c r="M222" s="135"/>
      <c r="N222" s="33"/>
    </row>
    <row r="223" spans="1:14" s="34" customFormat="1" x14ac:dyDescent="0.3">
      <c r="A223" s="107" t="s">
        <v>460</v>
      </c>
      <c r="B223" s="108"/>
      <c r="C223" s="108"/>
      <c r="D223" s="108"/>
      <c r="E223" s="108"/>
      <c r="F223" s="108"/>
      <c r="G223" s="108"/>
      <c r="H223" s="109"/>
      <c r="I223" s="34">
        <v>4</v>
      </c>
      <c r="J223" s="33"/>
      <c r="K223" s="33"/>
    </row>
    <row r="224" spans="1:14" s="34" customFormat="1" ht="15.75" customHeight="1" x14ac:dyDescent="0.3">
      <c r="A224" s="39">
        <v>1</v>
      </c>
      <c r="B224" s="91" t="s">
        <v>435</v>
      </c>
      <c r="C224" s="39" t="s">
        <v>431</v>
      </c>
      <c r="D224" s="39">
        <f>(289.72)*10.764</f>
        <v>3118.5460800000001</v>
      </c>
      <c r="E224" s="39">
        <f>(11.83)*10.764</f>
        <v>127.33811999999999</v>
      </c>
      <c r="F224" s="39">
        <f>D224+E224</f>
        <v>3245.8842</v>
      </c>
      <c r="G224" s="39">
        <v>0</v>
      </c>
      <c r="H224" s="39">
        <f>F224*(($H$167)+1)+(IF(G224&lt;101,G224,IF(G224&lt;201,G224/2,IF(G224&lt;=301,G224/3,G224/4))))</f>
        <v>4868.8262999999997</v>
      </c>
      <c r="I224" s="33"/>
      <c r="K224" s="33"/>
      <c r="L224" s="135"/>
      <c r="M224" s="135"/>
      <c r="N224" s="33"/>
    </row>
    <row r="225" spans="1:14" s="34" customFormat="1" ht="15.75" customHeight="1" x14ac:dyDescent="0.3">
      <c r="A225" s="39">
        <v>2</v>
      </c>
      <c r="B225" s="91" t="s">
        <v>435</v>
      </c>
      <c r="C225" s="39" t="s">
        <v>430</v>
      </c>
      <c r="D225" s="39">
        <f>(221.76)*10.764</f>
        <v>2387.0246399999996</v>
      </c>
      <c r="E225" s="39">
        <f>(11.17)*10.764</f>
        <v>120.23387999999998</v>
      </c>
      <c r="F225" s="39">
        <f>D225+E225</f>
        <v>2507.2585199999994</v>
      </c>
      <c r="G225" s="39">
        <v>0</v>
      </c>
      <c r="H225" s="39">
        <f>F225*(($H$167)+1)+(IF(G225&lt;101,G225,IF(G225&lt;201,G225/2,IF(G225&lt;=301,G225/3,G225/4))))</f>
        <v>3760.8877799999991</v>
      </c>
      <c r="I225" s="33"/>
      <c r="K225" s="33"/>
      <c r="L225" s="135"/>
      <c r="M225" s="135"/>
      <c r="N225" s="33"/>
    </row>
    <row r="226" spans="1:14" s="34" customFormat="1" x14ac:dyDescent="0.3">
      <c r="A226" s="107" t="s">
        <v>461</v>
      </c>
      <c r="B226" s="108"/>
      <c r="C226" s="108"/>
      <c r="D226" s="108"/>
      <c r="E226" s="108"/>
      <c r="F226" s="108"/>
      <c r="G226" s="108"/>
      <c r="H226" s="109"/>
      <c r="I226" s="34">
        <v>1</v>
      </c>
      <c r="J226" s="33"/>
      <c r="K226" s="33"/>
    </row>
    <row r="227" spans="1:14" s="34" customFormat="1" ht="15.75" customHeight="1" x14ac:dyDescent="0.3">
      <c r="A227" s="39">
        <v>1</v>
      </c>
      <c r="B227" s="91" t="s">
        <v>435</v>
      </c>
      <c r="C227" s="39" t="s">
        <v>431</v>
      </c>
      <c r="D227" s="39">
        <f>(289.72)*10.764</f>
        <v>3118.5460800000001</v>
      </c>
      <c r="E227" s="39">
        <f>(11.83)*10.764</f>
        <v>127.33811999999999</v>
      </c>
      <c r="F227" s="39">
        <f>D227+E227</f>
        <v>3245.8842</v>
      </c>
      <c r="G227" s="39">
        <v>0</v>
      </c>
      <c r="H227" s="39">
        <f>F227*(($H$167)+1)+(IF(G227&lt;101,G227,IF(G227&lt;201,G227/2,IF(G227&lt;=301,G227/3,G227/4))))</f>
        <v>4868.8262999999997</v>
      </c>
      <c r="I227" s="33"/>
      <c r="K227" s="34">
        <f>2+4</f>
        <v>6</v>
      </c>
      <c r="L227" s="135"/>
      <c r="M227" s="135"/>
      <c r="N227" s="33"/>
    </row>
    <row r="228" spans="1:14" s="34" customFormat="1" ht="15.75" customHeight="1" x14ac:dyDescent="0.3">
      <c r="A228" s="39">
        <v>2</v>
      </c>
      <c r="B228" s="91" t="s">
        <v>435</v>
      </c>
      <c r="C228" s="39" t="s">
        <v>430</v>
      </c>
      <c r="D228" s="39">
        <f>(221.76)*10.764</f>
        <v>2387.0246399999996</v>
      </c>
      <c r="E228" s="39">
        <f>(11.17)*10.764</f>
        <v>120.23387999999998</v>
      </c>
      <c r="F228" s="39">
        <f>D228+E228</f>
        <v>2507.2585199999994</v>
      </c>
      <c r="G228" s="39">
        <v>0</v>
      </c>
      <c r="H228" s="39">
        <f>F228*(($H$167)+1)+(IF(G228&lt;101,G228,IF(G228&lt;201,G228/2,IF(G228&lt;=301,G228/3,G228/4))))</f>
        <v>3760.8877799999991</v>
      </c>
      <c r="I228" s="33"/>
      <c r="K228" s="33"/>
      <c r="L228" s="135"/>
      <c r="M228" s="135"/>
      <c r="N228" s="33"/>
    </row>
    <row r="229" spans="1:14" s="34" customFormat="1" x14ac:dyDescent="0.3">
      <c r="A229" s="107" t="s">
        <v>462</v>
      </c>
      <c r="B229" s="108"/>
      <c r="C229" s="108"/>
      <c r="D229" s="108"/>
      <c r="E229" s="108"/>
      <c r="F229" s="108"/>
      <c r="G229" s="108"/>
      <c r="H229" s="109"/>
      <c r="I229" s="34">
        <v>1</v>
      </c>
      <c r="J229" s="33"/>
      <c r="K229" s="33"/>
    </row>
    <row r="230" spans="1:14" s="34" customFormat="1" ht="15.75" customHeight="1" x14ac:dyDescent="0.3">
      <c r="A230" s="39">
        <v>1</v>
      </c>
      <c r="B230" s="91" t="s">
        <v>435</v>
      </c>
      <c r="C230" s="39" t="s">
        <v>430</v>
      </c>
      <c r="D230" s="39">
        <f>(215.73)*10.764</f>
        <v>2322.1177199999997</v>
      </c>
      <c r="E230" s="39">
        <f>(1.53*7.73)*10.764</f>
        <v>127.30475159999999</v>
      </c>
      <c r="F230" s="39">
        <f>D230+E230</f>
        <v>2449.4224715999999</v>
      </c>
      <c r="G230" s="39">
        <v>0</v>
      </c>
      <c r="H230" s="39">
        <f>F230*(($H$167)+1)+(IF(G230&lt;101,G230,IF(G230&lt;201,G230/2,IF(G230&lt;=301,G230/3,G230/4))))</f>
        <v>3674.1337073999998</v>
      </c>
      <c r="I230" s="33"/>
      <c r="K230" s="33"/>
      <c r="L230" s="135"/>
      <c r="M230" s="135"/>
      <c r="N230" s="33"/>
    </row>
    <row r="231" spans="1:14" s="34" customFormat="1" ht="15.75" customHeight="1" x14ac:dyDescent="0.3">
      <c r="A231" s="39">
        <v>2</v>
      </c>
      <c r="B231" s="91" t="s">
        <v>435</v>
      </c>
      <c r="C231" s="39" t="s">
        <v>429</v>
      </c>
      <c r="D231" s="39">
        <f>(184.81)*10.764</f>
        <v>1989.2948399999998</v>
      </c>
      <c r="E231" s="39">
        <f>(11.17)*10.764</f>
        <v>120.23387999999998</v>
      </c>
      <c r="F231" s="39">
        <f>D231+E231</f>
        <v>2109.5287199999998</v>
      </c>
      <c r="G231" s="39">
        <v>0</v>
      </c>
      <c r="H231" s="39">
        <f>F231*(($H$167)+1)+(IF(G231&lt;101,G231,IF(G231&lt;201,G231/2,IF(G231&lt;=301,G231/3,G231/4))))</f>
        <v>3164.2930799999995</v>
      </c>
      <c r="I231" s="33"/>
      <c r="K231" s="33"/>
      <c r="L231" s="135"/>
      <c r="M231" s="135"/>
      <c r="N231" s="33"/>
    </row>
    <row r="232" spans="1:14" s="34" customFormat="1" x14ac:dyDescent="0.3">
      <c r="A232" s="107" t="s">
        <v>463</v>
      </c>
      <c r="B232" s="108"/>
      <c r="C232" s="108"/>
      <c r="D232" s="108"/>
      <c r="E232" s="108"/>
      <c r="F232" s="108"/>
      <c r="G232" s="108"/>
      <c r="H232" s="109"/>
      <c r="I232" s="34">
        <v>1</v>
      </c>
      <c r="J232" s="33"/>
      <c r="K232" s="33"/>
    </row>
    <row r="233" spans="1:14" s="34" customFormat="1" ht="15.75" customHeight="1" x14ac:dyDescent="0.3">
      <c r="A233" s="39">
        <v>1</v>
      </c>
      <c r="B233" s="91" t="s">
        <v>435</v>
      </c>
      <c r="C233" s="39" t="s">
        <v>431</v>
      </c>
      <c r="D233" s="39">
        <f>(289.72)*10.764</f>
        <v>3118.5460800000001</v>
      </c>
      <c r="E233" s="39">
        <f>(11.83)*10.764</f>
        <v>127.33811999999999</v>
      </c>
      <c r="F233" s="39">
        <f>D233+E233</f>
        <v>3245.8842</v>
      </c>
      <c r="G233" s="39">
        <v>0</v>
      </c>
      <c r="H233" s="39">
        <f>F233*(($H$167)+1)+(IF(G233&lt;101,G233,IF(G233&lt;201,G233/2,IF(G233&lt;=301,G233/3,G233/4))))</f>
        <v>4868.8262999999997</v>
      </c>
      <c r="I233" s="33"/>
      <c r="K233" s="34">
        <v>1</v>
      </c>
      <c r="L233" s="135"/>
      <c r="M233" s="135"/>
      <c r="N233" s="33"/>
    </row>
    <row r="234" spans="1:14" s="34" customFormat="1" ht="15.75" customHeight="1" x14ac:dyDescent="0.3">
      <c r="A234" s="39">
        <v>2</v>
      </c>
      <c r="B234" s="91" t="s">
        <v>435</v>
      </c>
      <c r="C234" s="39" t="s">
        <v>430</v>
      </c>
      <c r="D234" s="39">
        <f>(221.76)*10.764</f>
        <v>2387.0246399999996</v>
      </c>
      <c r="E234" s="39">
        <f>(11.17)*10.764</f>
        <v>120.23387999999998</v>
      </c>
      <c r="F234" s="39">
        <f>D234+E234</f>
        <v>2507.2585199999994</v>
      </c>
      <c r="G234" s="39">
        <v>0</v>
      </c>
      <c r="H234" s="39">
        <f>F234*(($H$167)+1)+(IF(G234&lt;101,G234,IF(G234&lt;201,G234/2,IF(G234&lt;=301,G234/3,G234/4))))</f>
        <v>3760.8877799999991</v>
      </c>
      <c r="I234" s="33"/>
      <c r="K234" s="33"/>
      <c r="L234" s="135"/>
      <c r="M234" s="135"/>
      <c r="N234" s="33"/>
    </row>
    <row r="235" spans="1:14" s="34" customFormat="1" x14ac:dyDescent="0.3">
      <c r="A235" s="107" t="s">
        <v>464</v>
      </c>
      <c r="B235" s="108"/>
      <c r="C235" s="108"/>
      <c r="D235" s="108"/>
      <c r="E235" s="108"/>
      <c r="F235" s="108"/>
      <c r="G235" s="108"/>
      <c r="H235" s="109"/>
      <c r="I235" s="34">
        <v>1</v>
      </c>
      <c r="J235" s="33"/>
      <c r="K235" s="33"/>
    </row>
    <row r="236" spans="1:14" s="34" customFormat="1" x14ac:dyDescent="0.3">
      <c r="A236" s="107" t="s">
        <v>465</v>
      </c>
      <c r="B236" s="108"/>
      <c r="C236" s="108"/>
      <c r="D236" s="108"/>
      <c r="E236" s="108"/>
      <c r="F236" s="108"/>
      <c r="G236" s="108"/>
      <c r="H236" s="109"/>
      <c r="I236" s="34">
        <v>1</v>
      </c>
      <c r="J236" s="33"/>
      <c r="K236" s="33"/>
    </row>
    <row r="237" spans="1:14" s="34" customFormat="1" ht="15.75" customHeight="1" x14ac:dyDescent="0.3">
      <c r="A237" s="39">
        <v>1</v>
      </c>
      <c r="B237" s="91" t="s">
        <v>435</v>
      </c>
      <c r="C237" s="39" t="s">
        <v>430</v>
      </c>
      <c r="D237" s="39">
        <f>(508.18-(7.65*7.54+7.65*7.54))*10.764</f>
        <v>4228.2929519999998</v>
      </c>
      <c r="E237" s="39">
        <v>0</v>
      </c>
      <c r="F237" s="39">
        <f>D237+E237</f>
        <v>4228.2929519999998</v>
      </c>
      <c r="G237" s="39">
        <f>(7.65*7.54+7.65*7.54)*10.764</f>
        <v>1241.756568</v>
      </c>
      <c r="H237" s="39">
        <f>F237*(($H$167)+1)+(IF(G237&lt;101,G237,IF(G237&lt;201,G237/2,IF(G237&lt;=301,G237/3,G237/4))))</f>
        <v>6652.8785699999999</v>
      </c>
      <c r="I237" s="33"/>
      <c r="K237" s="33"/>
      <c r="L237" s="135"/>
      <c r="M237" s="135"/>
      <c r="N237" s="33"/>
    </row>
    <row r="238" spans="1:14" s="34" customFormat="1" x14ac:dyDescent="0.3">
      <c r="A238" s="107" t="s">
        <v>466</v>
      </c>
      <c r="B238" s="108"/>
      <c r="C238" s="108"/>
      <c r="D238" s="108"/>
      <c r="E238" s="108"/>
      <c r="F238" s="108"/>
      <c r="G238" s="108"/>
      <c r="H238" s="109"/>
      <c r="I238" s="34">
        <v>1</v>
      </c>
      <c r="J238" s="33"/>
      <c r="K238" s="33"/>
    </row>
    <row r="239" spans="1:14" s="34" customFormat="1" ht="15.75" customHeight="1" x14ac:dyDescent="0.3">
      <c r="A239" s="39">
        <v>1</v>
      </c>
      <c r="B239" s="91" t="s">
        <v>435</v>
      </c>
      <c r="C239" s="39" t="s">
        <v>430</v>
      </c>
      <c r="D239" s="39">
        <f>(403.8-(5.27*7.54+5.27*6.3))*10.764</f>
        <v>3561.4114847999999</v>
      </c>
      <c r="E239" s="39">
        <v>0</v>
      </c>
      <c r="F239" s="39">
        <f>D239+E239</f>
        <v>3561.4114847999999</v>
      </c>
      <c r="G239" s="39">
        <f>(5.27*7.54+5.27*6.3)*10.764</f>
        <v>785.09171519999984</v>
      </c>
      <c r="H239" s="39">
        <f>F239*(($H$167)+1)+(IF(G239&lt;101,G239,IF(G239&lt;201,G239/2,IF(G239&lt;=301,G239/3,G239/4))))</f>
        <v>5538.3901560000004</v>
      </c>
      <c r="I239" s="33"/>
      <c r="K239" s="34">
        <v>1</v>
      </c>
      <c r="L239" s="135"/>
      <c r="M239" s="135"/>
      <c r="N239" s="33"/>
    </row>
    <row r="240" spans="1:14" s="34" customFormat="1" x14ac:dyDescent="0.3">
      <c r="A240" s="107" t="s">
        <v>467</v>
      </c>
      <c r="B240" s="108"/>
      <c r="C240" s="108"/>
      <c r="D240" s="108"/>
      <c r="E240" s="108"/>
      <c r="F240" s="108"/>
      <c r="G240" s="108"/>
      <c r="H240" s="109"/>
      <c r="I240" s="34">
        <v>1</v>
      </c>
      <c r="J240" s="33"/>
      <c r="K240" s="34">
        <v>1</v>
      </c>
    </row>
    <row r="241" spans="1:20" s="34" customFormat="1" ht="15.75" customHeight="1" x14ac:dyDescent="0.3">
      <c r="A241" s="39">
        <v>1</v>
      </c>
      <c r="B241" s="91" t="s">
        <v>435</v>
      </c>
      <c r="C241" s="39" t="s">
        <v>429</v>
      </c>
      <c r="D241" s="39">
        <f>(331.45-(4.9*7.54+4.91*4.15+4.91*2.15))*10.764</f>
        <v>2837.0782439999994</v>
      </c>
      <c r="E241" s="39">
        <v>0</v>
      </c>
      <c r="F241" s="39">
        <f>D241+E241</f>
        <v>2837.0782439999994</v>
      </c>
      <c r="G241" s="39">
        <f>(4.9*7.54+4.91*4.15+4.91*2.15)*10.764</f>
        <v>730.64955599999996</v>
      </c>
      <c r="H241" s="39">
        <f>F241*(($H$167)+1)+(IF(G241&lt;101,G241,IF(G241&lt;201,G241/2,IF(G241&lt;=301,G241/3,G241/4))))</f>
        <v>4438.2797549999987</v>
      </c>
      <c r="I241" s="33"/>
      <c r="K241" s="34">
        <v>1</v>
      </c>
      <c r="L241" s="135"/>
      <c r="M241" s="135"/>
      <c r="N241" s="33"/>
    </row>
    <row r="242" spans="1:20" s="34" customFormat="1" x14ac:dyDescent="0.3">
      <c r="A242" s="280" t="s">
        <v>470</v>
      </c>
      <c r="B242" s="281"/>
      <c r="C242" s="281"/>
      <c r="D242" s="281"/>
      <c r="E242" s="281"/>
      <c r="F242" s="281"/>
      <c r="G242" s="281"/>
      <c r="H242" s="282"/>
      <c r="I242" s="39">
        <v>10.763999999999999</v>
      </c>
      <c r="J242" s="33"/>
      <c r="K242" s="34">
        <v>3</v>
      </c>
    </row>
    <row r="243" spans="1:20" s="34" customFormat="1" x14ac:dyDescent="0.3">
      <c r="A243" s="107" t="s">
        <v>471</v>
      </c>
      <c r="B243" s="108"/>
      <c r="C243" s="108"/>
      <c r="D243" s="108"/>
      <c r="E243" s="108"/>
      <c r="F243" s="108"/>
      <c r="G243" s="108"/>
      <c r="H243" s="109"/>
      <c r="J243" s="33"/>
      <c r="K243" s="33"/>
    </row>
    <row r="244" spans="1:20" s="34" customFormat="1" ht="15.75" customHeight="1" x14ac:dyDescent="0.3">
      <c r="A244" s="107" t="s">
        <v>472</v>
      </c>
      <c r="B244" s="108"/>
      <c r="C244" s="108"/>
      <c r="D244" s="108"/>
      <c r="E244" s="108"/>
      <c r="F244" s="108"/>
      <c r="G244" s="108"/>
      <c r="H244" s="109"/>
      <c r="J244" s="33"/>
      <c r="K244" s="33"/>
    </row>
    <row r="245" spans="1:20" s="34" customFormat="1" x14ac:dyDescent="0.3">
      <c r="A245" s="107" t="s">
        <v>444</v>
      </c>
      <c r="B245" s="108"/>
      <c r="C245" s="108"/>
      <c r="D245" s="108"/>
      <c r="E245" s="108"/>
      <c r="F245" s="108"/>
      <c r="G245" s="108"/>
      <c r="H245" s="109"/>
      <c r="J245" s="33"/>
      <c r="K245" s="34">
        <f>3+6+1</f>
        <v>10</v>
      </c>
    </row>
    <row r="246" spans="1:20" s="34" customFormat="1" x14ac:dyDescent="0.3">
      <c r="A246" s="107" t="s">
        <v>469</v>
      </c>
      <c r="B246" s="108"/>
      <c r="C246" s="108"/>
      <c r="D246" s="108"/>
      <c r="E246" s="108"/>
      <c r="F246" s="108"/>
      <c r="G246" s="108"/>
      <c r="H246" s="109"/>
      <c r="J246" s="33"/>
      <c r="K246" s="33"/>
    </row>
    <row r="247" spans="1:20" s="34" customFormat="1" x14ac:dyDescent="0.3">
      <c r="A247" s="107" t="s">
        <v>445</v>
      </c>
      <c r="B247" s="108"/>
      <c r="C247" s="108"/>
      <c r="D247" s="108"/>
      <c r="E247" s="108"/>
      <c r="F247" s="108"/>
      <c r="G247" s="108"/>
      <c r="H247" s="109"/>
      <c r="J247" s="33"/>
      <c r="K247" s="33"/>
    </row>
    <row r="248" spans="1:20" s="34" customFormat="1" x14ac:dyDescent="0.3">
      <c r="A248" s="107" t="s">
        <v>446</v>
      </c>
      <c r="B248" s="108"/>
      <c r="C248" s="108"/>
      <c r="D248" s="108"/>
      <c r="E248" s="108"/>
      <c r="F248" s="108"/>
      <c r="G248" s="108"/>
      <c r="H248" s="109"/>
      <c r="J248" s="33"/>
      <c r="K248" s="34">
        <v>2</v>
      </c>
    </row>
    <row r="249" spans="1:20" s="34" customFormat="1" x14ac:dyDescent="0.3">
      <c r="A249" s="107" t="s">
        <v>447</v>
      </c>
      <c r="B249" s="108"/>
      <c r="C249" s="108"/>
      <c r="D249" s="108"/>
      <c r="E249" s="108"/>
      <c r="F249" s="108"/>
      <c r="G249" s="108"/>
      <c r="H249" s="109"/>
      <c r="J249" s="33"/>
      <c r="K249" s="33"/>
    </row>
    <row r="250" spans="1:20" s="34" customFormat="1" x14ac:dyDescent="0.3">
      <c r="A250" s="107" t="s">
        <v>468</v>
      </c>
      <c r="B250" s="108"/>
      <c r="C250" s="108"/>
      <c r="D250" s="108"/>
      <c r="E250" s="108"/>
      <c r="F250" s="108"/>
      <c r="G250" s="108"/>
      <c r="H250" s="109"/>
      <c r="J250" s="33"/>
      <c r="K250" s="33"/>
    </row>
    <row r="251" spans="1:20" s="34" customFormat="1" ht="15.75" customHeight="1" x14ac:dyDescent="0.3">
      <c r="A251" s="107" t="s">
        <v>448</v>
      </c>
      <c r="B251" s="108"/>
      <c r="C251" s="108"/>
      <c r="D251" s="108"/>
      <c r="E251" s="108"/>
      <c r="F251" s="108"/>
      <c r="G251" s="108"/>
      <c r="H251" s="109"/>
      <c r="J251" s="33"/>
      <c r="K251" s="34">
        <v>4</v>
      </c>
    </row>
    <row r="252" spans="1:20" s="34" customFormat="1" x14ac:dyDescent="0.3">
      <c r="A252" s="107" t="s">
        <v>449</v>
      </c>
      <c r="B252" s="108"/>
      <c r="C252" s="108"/>
      <c r="D252" s="108"/>
      <c r="E252" s="108"/>
      <c r="F252" s="108"/>
      <c r="G252" s="108"/>
      <c r="H252" s="109"/>
      <c r="I252" s="34">
        <v>3</v>
      </c>
      <c r="J252" s="105" t="s">
        <v>505</v>
      </c>
      <c r="K252" s="105"/>
    </row>
    <row r="253" spans="1:20" s="34" customFormat="1" ht="15.75" customHeight="1" x14ac:dyDescent="0.3">
      <c r="A253" s="302">
        <v>1</v>
      </c>
      <c r="B253" s="302" t="s">
        <v>426</v>
      </c>
      <c r="C253" s="302" t="s">
        <v>429</v>
      </c>
      <c r="D253" s="302">
        <f>(125.17)*10.764</f>
        <v>1347.32988</v>
      </c>
      <c r="E253" s="302">
        <f>(4.45)*10.764</f>
        <v>47.899799999999999</v>
      </c>
      <c r="F253" s="302">
        <f>D253+E253</f>
        <v>1395.2296799999999</v>
      </c>
      <c r="G253" s="302">
        <v>0</v>
      </c>
      <c r="H253" s="302">
        <f>F253*(($H$167)+1)+(IF(G253&lt;101,G253,IF(G253&lt;201,G253/2,IF(G253&lt;=301,G253/3,G253/4))))</f>
        <v>2092.8445199999996</v>
      </c>
      <c r="I253" s="93"/>
      <c r="K253" s="34">
        <f>3.65*5.97+2.85*4.12+2.11*2.37+1.21*1.65+3.35*4.83+3.3*3.65+3.5*5.32+2*2.45+2.98*3.15+1.22*1.08+1.63*1.08+2.75*1.82+1.35*1.97+2.75*1.97+1.53*2.75</f>
        <v>122.02970000000001</v>
      </c>
      <c r="L253" s="135">
        <f>3.65*1.22</f>
        <v>4.4529999999999994</v>
      </c>
      <c r="M253" s="135"/>
      <c r="N253" s="33"/>
    </row>
    <row r="254" spans="1:20" s="34" customFormat="1" ht="15.75" customHeight="1" x14ac:dyDescent="0.3">
      <c r="A254" s="302">
        <v>2</v>
      </c>
      <c r="B254" s="302" t="s">
        <v>426</v>
      </c>
      <c r="C254" s="302" t="s">
        <v>429</v>
      </c>
      <c r="D254" s="302">
        <f>(110.58)*10.764</f>
        <v>1190.2831199999998</v>
      </c>
      <c r="E254" s="302">
        <f>(4.09)*10.764</f>
        <v>44.024759999999993</v>
      </c>
      <c r="F254" s="302">
        <f>D254+E254</f>
        <v>1234.3078799999998</v>
      </c>
      <c r="G254" s="302">
        <v>0</v>
      </c>
      <c r="H254" s="302">
        <f>F254*(($H$167)+1)+(IF(G254&lt;101,G254,IF(G254&lt;201,G254/2,IF(G254&lt;=301,G254/3,G254/4))))</f>
        <v>1851.4618199999998</v>
      </c>
      <c r="I254" s="33"/>
      <c r="J254" s="110" t="s">
        <v>507</v>
      </c>
      <c r="K254" s="110"/>
      <c r="L254" s="110"/>
      <c r="M254" s="110"/>
      <c r="N254" s="33"/>
    </row>
    <row r="255" spans="1:20" s="34" customFormat="1" ht="15.75" customHeight="1" x14ac:dyDescent="0.3">
      <c r="A255" s="302">
        <v>3</v>
      </c>
      <c r="B255" s="303" t="s">
        <v>473</v>
      </c>
      <c r="C255" s="304"/>
      <c r="D255" s="304"/>
      <c r="E255" s="304"/>
      <c r="F255" s="304"/>
      <c r="G255" s="304"/>
      <c r="H255" s="305"/>
      <c r="I255" s="33"/>
      <c r="J255" s="110"/>
      <c r="K255" s="110"/>
      <c r="L255" s="110"/>
      <c r="M255" s="110"/>
      <c r="N255" s="33"/>
    </row>
    <row r="256" spans="1:20" s="34" customFormat="1" ht="15.75" customHeight="1" x14ac:dyDescent="0.3">
      <c r="A256" s="302">
        <v>4</v>
      </c>
      <c r="B256" s="302" t="s">
        <v>426</v>
      </c>
      <c r="C256" s="302" t="s">
        <v>429</v>
      </c>
      <c r="D256" s="302">
        <f>(110.47)*10.764</f>
        <v>1189.09908</v>
      </c>
      <c r="E256" s="302">
        <f>(4.09)*10.764</f>
        <v>44.024759999999993</v>
      </c>
      <c r="F256" s="302">
        <f>D256+E256</f>
        <v>1233.12384</v>
      </c>
      <c r="G256" s="302">
        <v>0</v>
      </c>
      <c r="H256" s="302">
        <f>F256*(($H$167)+1)+(IF(G256&lt;101,G256,IF(G256&lt;201,G256/2,IF(G256&lt;=301,G256/3,G256/4))))</f>
        <v>1849.6857599999998</v>
      </c>
      <c r="I256" s="33"/>
      <c r="J256" s="110"/>
      <c r="K256" s="110"/>
      <c r="L256" s="110"/>
      <c r="M256" s="110"/>
      <c r="N256" s="33"/>
      <c r="T256" s="18"/>
    </row>
    <row r="257" spans="1:20" s="34" customFormat="1" ht="15.75" customHeight="1" x14ac:dyDescent="0.3">
      <c r="A257" s="302">
        <v>5</v>
      </c>
      <c r="B257" s="302" t="s">
        <v>426</v>
      </c>
      <c r="C257" s="302" t="s">
        <v>429</v>
      </c>
      <c r="D257" s="302">
        <f>(128.68)*10.764</f>
        <v>1385.1115199999999</v>
      </c>
      <c r="E257" s="302">
        <f>(4.45)*10.764</f>
        <v>47.899799999999999</v>
      </c>
      <c r="F257" s="302">
        <f t="shared" ref="F257" si="8">D257+E257</f>
        <v>1433.0113199999998</v>
      </c>
      <c r="G257" s="302">
        <v>0</v>
      </c>
      <c r="H257" s="302">
        <f t="shared" ref="H257" si="9">F257*(($H$167)+1)+(IF(G257&lt;101,G257,IF(G257&lt;201,G257/2,IF(G257&lt;=301,G257/3,G257/4))))</f>
        <v>2149.5169799999999</v>
      </c>
      <c r="I257" s="33"/>
      <c r="J257" s="110" t="s">
        <v>508</v>
      </c>
      <c r="K257" s="110"/>
      <c r="L257" s="110"/>
      <c r="M257" s="110"/>
      <c r="N257" s="33"/>
      <c r="T257" s="18"/>
    </row>
    <row r="258" spans="1:20" s="34" customFormat="1" x14ac:dyDescent="0.3">
      <c r="A258" s="306" t="s">
        <v>474</v>
      </c>
      <c r="B258" s="307"/>
      <c r="C258" s="307"/>
      <c r="D258" s="307"/>
      <c r="E258" s="307"/>
      <c r="F258" s="307"/>
      <c r="G258" s="307"/>
      <c r="H258" s="308"/>
      <c r="I258" s="34">
        <v>6</v>
      </c>
      <c r="J258" s="110"/>
      <c r="K258" s="110"/>
      <c r="L258" s="110"/>
      <c r="M258" s="110"/>
    </row>
    <row r="259" spans="1:20" s="34" customFormat="1" ht="15.75" customHeight="1" x14ac:dyDescent="0.3">
      <c r="A259" s="302">
        <v>1</v>
      </c>
      <c r="B259" s="302" t="s">
        <v>426</v>
      </c>
      <c r="C259" s="302" t="s">
        <v>429</v>
      </c>
      <c r="D259" s="302">
        <f>(125.17)*10.764</f>
        <v>1347.32988</v>
      </c>
      <c r="E259" s="302">
        <f>(4.45)*10.764</f>
        <v>47.899799999999999</v>
      </c>
      <c r="F259" s="302">
        <f>D259+E259</f>
        <v>1395.2296799999999</v>
      </c>
      <c r="G259" s="302">
        <v>0</v>
      </c>
      <c r="H259" s="302">
        <f>F259*(($H$167)+1)+(IF(G259&lt;101,G259,IF(G259&lt;201,G259/2,IF(G259&lt;=301,G259/3,G259/4))))</f>
        <v>2092.8445199999996</v>
      </c>
      <c r="I259" s="33"/>
      <c r="L259" s="135"/>
      <c r="M259" s="135"/>
      <c r="N259" s="33"/>
    </row>
    <row r="260" spans="1:20" s="34" customFormat="1" ht="15.75" customHeight="1" x14ac:dyDescent="0.3">
      <c r="A260" s="302">
        <v>2</v>
      </c>
      <c r="B260" s="302" t="s">
        <v>426</v>
      </c>
      <c r="C260" s="302" t="s">
        <v>429</v>
      </c>
      <c r="D260" s="302">
        <f>(110.58)*10.764</f>
        <v>1190.2831199999998</v>
      </c>
      <c r="E260" s="302">
        <f>(4.09)*10.764</f>
        <v>44.024759999999993</v>
      </c>
      <c r="F260" s="302">
        <f>D260+E260</f>
        <v>1234.3078799999998</v>
      </c>
      <c r="G260" s="302">
        <v>0</v>
      </c>
      <c r="H260" s="302">
        <f>F260*(($H$167)+1)+(IF(G260&lt;101,G260,IF(G260&lt;201,G260/2,IF(G260&lt;=301,G260/3,G260/4))))</f>
        <v>1851.4618199999998</v>
      </c>
      <c r="I260" s="33"/>
      <c r="L260" s="135"/>
      <c r="M260" s="135"/>
      <c r="N260" s="33"/>
    </row>
    <row r="261" spans="1:20" s="34" customFormat="1" ht="15.75" customHeight="1" x14ac:dyDescent="0.3">
      <c r="A261" s="302">
        <v>3</v>
      </c>
      <c r="B261" s="302" t="s">
        <v>426</v>
      </c>
      <c r="C261" s="302" t="s">
        <v>430</v>
      </c>
      <c r="D261" s="302">
        <f>(161.73)*10.764</f>
        <v>1740.8617199999999</v>
      </c>
      <c r="E261" s="302">
        <f>(18.88)*10.764</f>
        <v>203.22431999999998</v>
      </c>
      <c r="F261" s="302">
        <f>D261+E261</f>
        <v>1944.0860399999999</v>
      </c>
      <c r="G261" s="302">
        <v>0</v>
      </c>
      <c r="H261" s="302">
        <f>F261*(($H$167)+1)+(IF(G261&lt;101,G261,IF(G261&lt;201,G261/2,IF(G261&lt;=301,G261/3,G261/4))))</f>
        <v>2916.1290599999998</v>
      </c>
      <c r="I261" s="33"/>
      <c r="L261" s="135"/>
      <c r="M261" s="135"/>
      <c r="N261" s="33"/>
    </row>
    <row r="262" spans="1:20" s="34" customFormat="1" ht="15.75" customHeight="1" x14ac:dyDescent="0.3">
      <c r="A262" s="302">
        <v>4</v>
      </c>
      <c r="B262" s="302" t="s">
        <v>426</v>
      </c>
      <c r="C262" s="302" t="s">
        <v>429</v>
      </c>
      <c r="D262" s="302">
        <f>(110.47)*10.764</f>
        <v>1189.09908</v>
      </c>
      <c r="E262" s="302">
        <f>(4.09)*10.764</f>
        <v>44.024759999999993</v>
      </c>
      <c r="F262" s="302">
        <f>D262+E262</f>
        <v>1233.12384</v>
      </c>
      <c r="G262" s="302">
        <v>0</v>
      </c>
      <c r="H262" s="302">
        <f>F262*(($H$167)+1)+(IF(G262&lt;101,G262,IF(G262&lt;201,G262/2,IF(G262&lt;=301,G262/3,G262/4))))</f>
        <v>1849.6857599999998</v>
      </c>
      <c r="I262" s="33"/>
      <c r="L262" s="135"/>
      <c r="M262" s="135"/>
      <c r="N262" s="33"/>
      <c r="T262" s="18"/>
    </row>
    <row r="263" spans="1:20" s="34" customFormat="1" ht="15.75" customHeight="1" x14ac:dyDescent="0.3">
      <c r="A263" s="302">
        <v>5</v>
      </c>
      <c r="B263" s="302" t="s">
        <v>426</v>
      </c>
      <c r="C263" s="302" t="s">
        <v>429</v>
      </c>
      <c r="D263" s="302">
        <f>(128.68)*10.764</f>
        <v>1385.1115199999999</v>
      </c>
      <c r="E263" s="302">
        <f>(4.45)*10.764</f>
        <v>47.899799999999999</v>
      </c>
      <c r="F263" s="302">
        <f t="shared" ref="F263" si="10">D263+E263</f>
        <v>1433.0113199999998</v>
      </c>
      <c r="G263" s="302">
        <v>0</v>
      </c>
      <c r="H263" s="302">
        <f t="shared" ref="H263" si="11">F263*(($H$167)+1)+(IF(G263&lt;101,G263,IF(G263&lt;201,G263/2,IF(G263&lt;=301,G263/3,G263/4))))</f>
        <v>2149.5169799999999</v>
      </c>
      <c r="I263" s="33"/>
      <c r="L263" s="135"/>
      <c r="M263" s="135"/>
      <c r="N263" s="33"/>
      <c r="T263" s="18"/>
    </row>
    <row r="264" spans="1:20" s="34" customFormat="1" x14ac:dyDescent="0.3">
      <c r="A264" s="306" t="s">
        <v>451</v>
      </c>
      <c r="B264" s="307"/>
      <c r="C264" s="307"/>
      <c r="D264" s="307"/>
      <c r="E264" s="307"/>
      <c r="F264" s="307"/>
      <c r="G264" s="307"/>
      <c r="H264" s="308"/>
      <c r="I264" s="34">
        <v>1</v>
      </c>
      <c r="J264" s="33"/>
      <c r="K264" s="110" t="s">
        <v>510</v>
      </c>
      <c r="L264" s="110"/>
      <c r="M264" s="110"/>
    </row>
    <row r="265" spans="1:20" s="34" customFormat="1" ht="15.75" customHeight="1" x14ac:dyDescent="0.3">
      <c r="A265" s="302">
        <v>1</v>
      </c>
      <c r="B265" s="302" t="s">
        <v>426</v>
      </c>
      <c r="C265" s="302" t="s">
        <v>429</v>
      </c>
      <c r="D265" s="302">
        <f>(125.17)*10.764</f>
        <v>1347.32988</v>
      </c>
      <c r="E265" s="302">
        <f>(4.45)*10.764</f>
        <v>47.899799999999999</v>
      </c>
      <c r="F265" s="302">
        <f>D265+E265</f>
        <v>1395.2296799999999</v>
      </c>
      <c r="G265" s="302">
        <v>0</v>
      </c>
      <c r="H265" s="302">
        <f>F265*(($H$167)+1)+(IF(G265&lt;101,G265,IF(G265&lt;201,G265/2,IF(G265&lt;=301,G265/3,G265/4))))</f>
        <v>2092.8445199999996</v>
      </c>
      <c r="I265" s="33"/>
      <c r="K265" s="110"/>
      <c r="L265" s="110"/>
      <c r="M265" s="110"/>
      <c r="N265" s="33"/>
    </row>
    <row r="266" spans="1:20" s="34" customFormat="1" ht="15.75" customHeight="1" x14ac:dyDescent="0.3">
      <c r="A266" s="302">
        <v>2</v>
      </c>
      <c r="B266" s="303" t="s">
        <v>434</v>
      </c>
      <c r="C266" s="304"/>
      <c r="D266" s="304"/>
      <c r="E266" s="304"/>
      <c r="F266" s="304"/>
      <c r="G266" s="304"/>
      <c r="H266" s="305"/>
      <c r="I266" s="33"/>
      <c r="L266" s="135"/>
      <c r="M266" s="135"/>
      <c r="N266" s="33"/>
    </row>
    <row r="267" spans="1:20" s="34" customFormat="1" ht="15.75" customHeight="1" x14ac:dyDescent="0.3">
      <c r="A267" s="302">
        <v>3</v>
      </c>
      <c r="B267" s="302" t="s">
        <v>426</v>
      </c>
      <c r="C267" s="302" t="s">
        <v>430</v>
      </c>
      <c r="D267" s="309">
        <f>(157.88)*10.764</f>
        <v>1699.4203199999999</v>
      </c>
      <c r="E267" s="302">
        <f>(18.88)*10.764</f>
        <v>203.22431999999998</v>
      </c>
      <c r="F267" s="309">
        <f>D267+E267</f>
        <v>1902.64464</v>
      </c>
      <c r="G267" s="302">
        <v>0</v>
      </c>
      <c r="H267" s="302">
        <f>F267*(($H$167)+1)+(IF(G267&lt;101,G267,IF(G267&lt;201,G267/2,IF(G267&lt;=301,G267/3,G267/4))))</f>
        <v>2853.9669599999997</v>
      </c>
      <c r="I267" s="33"/>
      <c r="K267" s="292" t="s">
        <v>509</v>
      </c>
      <c r="L267" s="292"/>
      <c r="M267" s="292"/>
      <c r="N267" s="33"/>
    </row>
    <row r="268" spans="1:20" s="34" customFormat="1" ht="15.75" customHeight="1" x14ac:dyDescent="0.3">
      <c r="A268" s="302">
        <v>4</v>
      </c>
      <c r="B268" s="302" t="s">
        <v>426</v>
      </c>
      <c r="C268" s="302" t="s">
        <v>428</v>
      </c>
      <c r="D268" s="309">
        <f>(90.67)*10.764</f>
        <v>975.97187999999994</v>
      </c>
      <c r="E268" s="302">
        <f>(3.35*1.22)*10.764</f>
        <v>43.992467999999995</v>
      </c>
      <c r="F268" s="309">
        <f>D268+E268</f>
        <v>1019.964348</v>
      </c>
      <c r="G268" s="302">
        <v>0</v>
      </c>
      <c r="H268" s="302">
        <f>F268*(($H$167)+1)+(IF(G268&lt;101,G268,IF(G268&lt;201,G268/2,IF(G268&lt;=301,G268/3,G268/4))))</f>
        <v>1529.946522</v>
      </c>
      <c r="I268" s="33"/>
      <c r="K268" s="292"/>
      <c r="L268" s="292"/>
      <c r="M268" s="292"/>
      <c r="N268" s="33"/>
      <c r="T268" s="18"/>
    </row>
    <row r="269" spans="1:20" s="34" customFormat="1" ht="15.75" customHeight="1" x14ac:dyDescent="0.3">
      <c r="A269" s="302">
        <v>5</v>
      </c>
      <c r="B269" s="302" t="s">
        <v>426</v>
      </c>
      <c r="C269" s="302" t="s">
        <v>429</v>
      </c>
      <c r="D269" s="302">
        <f>(128.68)*10.764</f>
        <v>1385.1115199999999</v>
      </c>
      <c r="E269" s="302">
        <f>(4.45)*10.764</f>
        <v>47.899799999999999</v>
      </c>
      <c r="F269" s="302">
        <f t="shared" ref="F269" si="12">D269+E269</f>
        <v>1433.0113199999998</v>
      </c>
      <c r="G269" s="302">
        <v>0</v>
      </c>
      <c r="H269" s="302">
        <f t="shared" ref="H269" si="13">F269*(($H$167)+1)+(IF(G269&lt;101,G269,IF(G269&lt;201,G269/2,IF(G269&lt;=301,G269/3,G269/4))))</f>
        <v>2149.5169799999999</v>
      </c>
      <c r="I269" s="33"/>
      <c r="L269" s="135"/>
      <c r="M269" s="135"/>
      <c r="N269" s="33"/>
      <c r="T269" s="18"/>
    </row>
    <row r="270" spans="1:20" s="34" customFormat="1" x14ac:dyDescent="0.3">
      <c r="A270" s="306" t="s">
        <v>475</v>
      </c>
      <c r="B270" s="307"/>
      <c r="C270" s="307"/>
      <c r="D270" s="307"/>
      <c r="E270" s="307"/>
      <c r="F270" s="307"/>
      <c r="G270" s="307"/>
      <c r="H270" s="308"/>
      <c r="I270" s="34">
        <v>1</v>
      </c>
      <c r="J270" s="33"/>
    </row>
    <row r="271" spans="1:20" s="34" customFormat="1" ht="15.75" customHeight="1" x14ac:dyDescent="0.3">
      <c r="A271" s="302">
        <v>1</v>
      </c>
      <c r="B271" s="302" t="s">
        <v>426</v>
      </c>
      <c r="C271" s="302" t="s">
        <v>429</v>
      </c>
      <c r="D271" s="302">
        <f>(125.17)*10.764</f>
        <v>1347.32988</v>
      </c>
      <c r="E271" s="302">
        <f>(4.45)*10.764</f>
        <v>47.899799999999999</v>
      </c>
      <c r="F271" s="302">
        <f>D271+E271</f>
        <v>1395.2296799999999</v>
      </c>
      <c r="G271" s="302">
        <v>0</v>
      </c>
      <c r="H271" s="302">
        <f>F271*(($H$167)+1)+(IF(G271&lt;101,G271,IF(G271&lt;201,G271/2,IF(G271&lt;=301,G271/3,G271/4))))</f>
        <v>2092.8445199999996</v>
      </c>
      <c r="I271" s="33"/>
      <c r="L271" s="135"/>
      <c r="M271" s="135"/>
      <c r="N271" s="33"/>
    </row>
    <row r="272" spans="1:20" s="34" customFormat="1" ht="15.75" customHeight="1" x14ac:dyDescent="0.3">
      <c r="A272" s="302">
        <v>2</v>
      </c>
      <c r="B272" s="302" t="s">
        <v>426</v>
      </c>
      <c r="C272" s="302" t="s">
        <v>429</v>
      </c>
      <c r="D272" s="302">
        <f>(110.58)*10.764</f>
        <v>1190.2831199999998</v>
      </c>
      <c r="E272" s="302">
        <f>(4.09)*10.764</f>
        <v>44.024759999999993</v>
      </c>
      <c r="F272" s="302">
        <f>D272+E272</f>
        <v>1234.3078799999998</v>
      </c>
      <c r="G272" s="302">
        <v>0</v>
      </c>
      <c r="H272" s="302">
        <f>F272*(($H$167)+1)+(IF(G272&lt;101,G272,IF(G272&lt;201,G272/2,IF(G272&lt;=301,G272/3,G272/4))))</f>
        <v>1851.4618199999998</v>
      </c>
      <c r="I272" s="33"/>
      <c r="L272" s="135"/>
      <c r="M272" s="135"/>
      <c r="N272" s="33"/>
    </row>
    <row r="273" spans="1:20" s="34" customFormat="1" ht="15.75" customHeight="1" x14ac:dyDescent="0.3">
      <c r="A273" s="302">
        <v>3</v>
      </c>
      <c r="B273" s="310" t="s">
        <v>435</v>
      </c>
      <c r="C273" s="302" t="s">
        <v>430</v>
      </c>
      <c r="D273" s="302">
        <f>(161.73)*10.764</f>
        <v>1740.8617199999999</v>
      </c>
      <c r="E273" s="302">
        <f>(18.88)*10.764</f>
        <v>203.22431999999998</v>
      </c>
      <c r="F273" s="302">
        <f>D273+E273</f>
        <v>1944.0860399999999</v>
      </c>
      <c r="G273" s="302">
        <v>0</v>
      </c>
      <c r="H273" s="302">
        <f>F273*(($H$167)+1)+(IF(G273&lt;101,G273,IF(G273&lt;201,G273/2,IF(G273&lt;=301,G273/3,G273/4))))</f>
        <v>2916.1290599999998</v>
      </c>
      <c r="I273" s="33"/>
      <c r="L273" s="135"/>
      <c r="M273" s="135"/>
      <c r="N273" s="33"/>
    </row>
    <row r="274" spans="1:20" s="34" customFormat="1" ht="15.75" customHeight="1" x14ac:dyDescent="0.3">
      <c r="A274" s="302">
        <v>4</v>
      </c>
      <c r="B274" s="310" t="s">
        <v>435</v>
      </c>
      <c r="C274" s="302" t="s">
        <v>429</v>
      </c>
      <c r="D274" s="302">
        <f>(110.47)*10.764</f>
        <v>1189.09908</v>
      </c>
      <c r="E274" s="302">
        <f>(4.09)*10.764</f>
        <v>44.024759999999993</v>
      </c>
      <c r="F274" s="302">
        <f>D274+E274</f>
        <v>1233.12384</v>
      </c>
      <c r="G274" s="302">
        <v>0</v>
      </c>
      <c r="H274" s="302">
        <f>F274*(($H$167)+1)+(IF(G274&lt;101,G274,IF(G274&lt;201,G274/2,IF(G274&lt;=301,G274/3,G274/4))))</f>
        <v>1849.6857599999998</v>
      </c>
      <c r="I274" s="33"/>
      <c r="K274" s="110" t="s">
        <v>508</v>
      </c>
      <c r="L274" s="110"/>
      <c r="M274" s="110"/>
      <c r="N274" s="110"/>
      <c r="T274" s="18"/>
    </row>
    <row r="275" spans="1:20" s="34" customFormat="1" ht="15.75" customHeight="1" x14ac:dyDescent="0.3">
      <c r="A275" s="302">
        <v>5</v>
      </c>
      <c r="B275" s="302" t="s">
        <v>426</v>
      </c>
      <c r="C275" s="302" t="s">
        <v>429</v>
      </c>
      <c r="D275" s="302">
        <f>(128.68)*10.764</f>
        <v>1385.1115199999999</v>
      </c>
      <c r="E275" s="302">
        <f>(4.45)*10.764</f>
        <v>47.899799999999999</v>
      </c>
      <c r="F275" s="302">
        <f t="shared" ref="F275" si="14">D275+E275</f>
        <v>1433.0113199999998</v>
      </c>
      <c r="G275" s="302">
        <v>0</v>
      </c>
      <c r="H275" s="302">
        <f t="shared" ref="H275" si="15">F275*(($H$167)+1)+(IF(G275&lt;101,G275,IF(G275&lt;201,G275/2,IF(G275&lt;=301,G275/3,G275/4))))</f>
        <v>2149.5169799999999</v>
      </c>
      <c r="I275" s="33"/>
      <c r="K275" s="110"/>
      <c r="L275" s="110"/>
      <c r="M275" s="110"/>
      <c r="N275" s="110"/>
      <c r="T275" s="18"/>
    </row>
    <row r="276" spans="1:20" s="34" customFormat="1" x14ac:dyDescent="0.3">
      <c r="A276" s="306" t="s">
        <v>476</v>
      </c>
      <c r="B276" s="307"/>
      <c r="C276" s="307"/>
      <c r="D276" s="307"/>
      <c r="E276" s="307"/>
      <c r="F276" s="307"/>
      <c r="G276" s="307"/>
      <c r="H276" s="308"/>
      <c r="I276" s="34">
        <v>1</v>
      </c>
      <c r="J276" s="33"/>
    </row>
    <row r="277" spans="1:20" s="34" customFormat="1" ht="15.75" customHeight="1" x14ac:dyDescent="0.3">
      <c r="A277" s="302">
        <v>1</v>
      </c>
      <c r="B277" s="310" t="s">
        <v>435</v>
      </c>
      <c r="C277" s="302" t="s">
        <v>429</v>
      </c>
      <c r="D277" s="302">
        <f>(125.17)*10.764</f>
        <v>1347.32988</v>
      </c>
      <c r="E277" s="302">
        <f>(4.45)*10.764</f>
        <v>47.899799999999999</v>
      </c>
      <c r="F277" s="302">
        <f>D277+E277</f>
        <v>1395.2296799999999</v>
      </c>
      <c r="G277" s="302">
        <v>0</v>
      </c>
      <c r="H277" s="302">
        <f>F277*(($H$167)+1)+(IF(G277&lt;101,G277,IF(G277&lt;201,G277/2,IF(G277&lt;=301,G277/3,G277/4))))</f>
        <v>2092.8445199999996</v>
      </c>
      <c r="I277" s="33"/>
      <c r="L277" s="135"/>
      <c r="M277" s="135"/>
      <c r="N277" s="33"/>
    </row>
    <row r="278" spans="1:20" s="34" customFormat="1" ht="15.75" customHeight="1" x14ac:dyDescent="0.3">
      <c r="A278" s="302">
        <v>2</v>
      </c>
      <c r="B278" s="310" t="s">
        <v>435</v>
      </c>
      <c r="C278" s="302" t="s">
        <v>429</v>
      </c>
      <c r="D278" s="302">
        <f>(110.58)*10.764</f>
        <v>1190.2831199999998</v>
      </c>
      <c r="E278" s="302">
        <f>(4.09)*10.764</f>
        <v>44.024759999999993</v>
      </c>
      <c r="F278" s="302">
        <f>D278+E278</f>
        <v>1234.3078799999998</v>
      </c>
      <c r="G278" s="302">
        <v>0</v>
      </c>
      <c r="H278" s="302">
        <f>F278*(($H$167)+1)+(IF(G278&lt;101,G278,IF(G278&lt;201,G278/2,IF(G278&lt;=301,G278/3,G278/4))))</f>
        <v>1851.4618199999998</v>
      </c>
      <c r="I278" s="33"/>
      <c r="L278" s="135"/>
      <c r="M278" s="135"/>
      <c r="N278" s="33"/>
    </row>
    <row r="279" spans="1:20" s="34" customFormat="1" ht="15.75" customHeight="1" x14ac:dyDescent="0.3">
      <c r="A279" s="302">
        <v>3</v>
      </c>
      <c r="B279" s="310" t="s">
        <v>435</v>
      </c>
      <c r="C279" s="302" t="s">
        <v>430</v>
      </c>
      <c r="D279" s="302">
        <f>(161.73)*10.764</f>
        <v>1740.8617199999999</v>
      </c>
      <c r="E279" s="302">
        <f>(18.88)*10.764</f>
        <v>203.22431999999998</v>
      </c>
      <c r="F279" s="302">
        <f>D279+E279</f>
        <v>1944.0860399999999</v>
      </c>
      <c r="G279" s="302">
        <v>0</v>
      </c>
      <c r="H279" s="302">
        <f>F279*(($H$167)+1)+(IF(G279&lt;101,G279,IF(G279&lt;201,G279/2,IF(G279&lt;=301,G279/3,G279/4))))</f>
        <v>2916.1290599999998</v>
      </c>
      <c r="I279" s="33"/>
      <c r="L279" s="135"/>
      <c r="M279" s="135"/>
      <c r="N279" s="33"/>
    </row>
    <row r="280" spans="1:20" s="34" customFormat="1" ht="15.75" customHeight="1" x14ac:dyDescent="0.3">
      <c r="A280" s="302">
        <v>4</v>
      </c>
      <c r="B280" s="310" t="s">
        <v>435</v>
      </c>
      <c r="C280" s="302" t="s">
        <v>429</v>
      </c>
      <c r="D280" s="302">
        <f>(110.47)*10.764</f>
        <v>1189.09908</v>
      </c>
      <c r="E280" s="302">
        <f>(4.09)*10.764</f>
        <v>44.024759999999993</v>
      </c>
      <c r="F280" s="302">
        <f>D280+E280</f>
        <v>1233.12384</v>
      </c>
      <c r="G280" s="302">
        <v>0</v>
      </c>
      <c r="H280" s="302">
        <f>F280*(($H$167)+1)+(IF(G280&lt;101,G280,IF(G280&lt;201,G280/2,IF(G280&lt;=301,G280/3,G280/4))))</f>
        <v>1849.6857599999998</v>
      </c>
      <c r="I280" s="33"/>
      <c r="K280" s="110" t="s">
        <v>508</v>
      </c>
      <c r="L280" s="110"/>
      <c r="M280" s="110"/>
      <c r="N280" s="110"/>
      <c r="T280" s="18"/>
    </row>
    <row r="281" spans="1:20" s="34" customFormat="1" ht="15.75" customHeight="1" x14ac:dyDescent="0.3">
      <c r="A281" s="302">
        <v>5</v>
      </c>
      <c r="B281" s="302" t="s">
        <v>426</v>
      </c>
      <c r="C281" s="302" t="s">
        <v>429</v>
      </c>
      <c r="D281" s="302">
        <f>(128.68)*10.764</f>
        <v>1385.1115199999999</v>
      </c>
      <c r="E281" s="302">
        <f>(4.45)*10.764</f>
        <v>47.899799999999999</v>
      </c>
      <c r="F281" s="302">
        <f t="shared" ref="F281" si="16">D281+E281</f>
        <v>1433.0113199999998</v>
      </c>
      <c r="G281" s="302">
        <v>0</v>
      </c>
      <c r="H281" s="302">
        <f t="shared" ref="H281" si="17">F281*(($H$167)+1)+(IF(G281&lt;101,G281,IF(G281&lt;201,G281/2,IF(G281&lt;=301,G281/3,G281/4))))</f>
        <v>2149.5169799999999</v>
      </c>
      <c r="I281" s="33"/>
      <c r="K281" s="110"/>
      <c r="L281" s="110"/>
      <c r="M281" s="110"/>
      <c r="N281" s="110"/>
      <c r="T281" s="18"/>
    </row>
    <row r="282" spans="1:20" s="34" customFormat="1" ht="15.75" customHeight="1" x14ac:dyDescent="0.3">
      <c r="A282" s="315" t="s">
        <v>512</v>
      </c>
      <c r="B282" s="316"/>
      <c r="C282" s="316"/>
      <c r="D282" s="316"/>
      <c r="E282" s="316"/>
      <c r="F282" s="316"/>
      <c r="G282" s="316"/>
      <c r="H282" s="317"/>
      <c r="I282" s="34">
        <f>1+5+4</f>
        <v>10</v>
      </c>
      <c r="J282" s="33"/>
    </row>
    <row r="283" spans="1:20" s="34" customFormat="1" ht="15.75" customHeight="1" x14ac:dyDescent="0.3">
      <c r="A283" s="302">
        <v>1</v>
      </c>
      <c r="B283" s="310" t="s">
        <v>435</v>
      </c>
      <c r="C283" s="302" t="s">
        <v>429</v>
      </c>
      <c r="D283" s="302">
        <f>(127.22)*10.764</f>
        <v>1369.39608</v>
      </c>
      <c r="E283" s="302">
        <f>(4.45)*10.764</f>
        <v>47.899799999999999</v>
      </c>
      <c r="F283" s="302">
        <f>D283+E283</f>
        <v>1417.2958799999999</v>
      </c>
      <c r="G283" s="302">
        <v>0</v>
      </c>
      <c r="H283" s="302">
        <f>F283*(($H$167)+1)+(IF(G283&lt;101,G283,IF(G283&lt;201,G283/2,IF(G283&lt;=301,G283/3,G283/4))))</f>
        <v>2125.94382</v>
      </c>
      <c r="I283" s="33"/>
      <c r="L283" s="135"/>
      <c r="M283" s="135"/>
      <c r="N283" s="33"/>
    </row>
    <row r="284" spans="1:20" s="34" customFormat="1" ht="15.75" customHeight="1" x14ac:dyDescent="0.3">
      <c r="A284" s="302">
        <v>2</v>
      </c>
      <c r="B284" s="310" t="s">
        <v>435</v>
      </c>
      <c r="C284" s="302" t="s">
        <v>429</v>
      </c>
      <c r="D284" s="302">
        <f>(112.3)*10.764</f>
        <v>1208.7972</v>
      </c>
      <c r="E284" s="302">
        <f>(4.09)*10.764</f>
        <v>44.024759999999993</v>
      </c>
      <c r="F284" s="302">
        <f>D284+E284</f>
        <v>1252.82196</v>
      </c>
      <c r="G284" s="302">
        <v>0</v>
      </c>
      <c r="H284" s="302">
        <f>F284*(($H$167)+1)+(IF(G284&lt;101,G284,IF(G284&lt;201,G284/2,IF(G284&lt;=301,G284/3,G284/4))))</f>
        <v>1879.2329399999999</v>
      </c>
      <c r="I284" s="33"/>
      <c r="L284" s="135"/>
      <c r="M284" s="135"/>
      <c r="N284" s="33"/>
    </row>
    <row r="285" spans="1:20" s="34" customFormat="1" ht="15.75" customHeight="1" x14ac:dyDescent="0.3">
      <c r="A285" s="302">
        <v>3</v>
      </c>
      <c r="B285" s="310" t="s">
        <v>435</v>
      </c>
      <c r="C285" s="302" t="s">
        <v>430</v>
      </c>
      <c r="D285" s="302">
        <f>(161.72)*10.764</f>
        <v>1740.7540799999999</v>
      </c>
      <c r="E285" s="302">
        <f>(18.88)*10.764</f>
        <v>203.22431999999998</v>
      </c>
      <c r="F285" s="302">
        <f>D285+E285</f>
        <v>1943.9784</v>
      </c>
      <c r="G285" s="302">
        <v>0</v>
      </c>
      <c r="H285" s="302">
        <f>F285*(($H$167)+1)+(IF(G285&lt;101,G285,IF(G285&lt;201,G285/2,IF(G285&lt;=301,G285/3,G285/4))))</f>
        <v>2915.9675999999999</v>
      </c>
      <c r="I285" s="33"/>
      <c r="L285" s="135"/>
      <c r="M285" s="135"/>
      <c r="N285" s="33"/>
    </row>
    <row r="286" spans="1:20" s="34" customFormat="1" ht="15.75" customHeight="1" x14ac:dyDescent="0.3">
      <c r="A286" s="302">
        <v>4</v>
      </c>
      <c r="B286" s="310" t="s">
        <v>435</v>
      </c>
      <c r="C286" s="302" t="s">
        <v>429</v>
      </c>
      <c r="D286" s="302">
        <f>(112.15)*10.764</f>
        <v>1207.1826000000001</v>
      </c>
      <c r="E286" s="302">
        <f>(4.09)*10.764</f>
        <v>44.024759999999993</v>
      </c>
      <c r="F286" s="302">
        <f>D286+E286</f>
        <v>1251.2073600000001</v>
      </c>
      <c r="G286" s="302">
        <v>0</v>
      </c>
      <c r="H286" s="302">
        <f>F286*(($H$167)+1)+(IF(G286&lt;101,G286,IF(G286&lt;201,G286/2,IF(G286&lt;=301,G286/3,G286/4))))</f>
        <v>1876.81104</v>
      </c>
      <c r="I286" s="33"/>
      <c r="L286" s="135"/>
      <c r="M286" s="135"/>
      <c r="N286" s="33"/>
      <c r="T286" s="18"/>
    </row>
    <row r="287" spans="1:20" s="34" customFormat="1" ht="15.75" customHeight="1" x14ac:dyDescent="0.3">
      <c r="A287" s="302">
        <v>5</v>
      </c>
      <c r="B287" s="310" t="s">
        <v>435</v>
      </c>
      <c r="C287" s="302" t="s">
        <v>429</v>
      </c>
      <c r="D287" s="302">
        <f>(128.68)*10.764</f>
        <v>1385.1115199999999</v>
      </c>
      <c r="E287" s="302">
        <f>(4.45)*10.764</f>
        <v>47.899799999999999</v>
      </c>
      <c r="F287" s="302">
        <f t="shared" ref="F287" si="18">D287+E287</f>
        <v>1433.0113199999998</v>
      </c>
      <c r="G287" s="302">
        <v>0</v>
      </c>
      <c r="H287" s="302">
        <f t="shared" ref="H287" si="19">F287*(($H$167)+1)+(IF(G287&lt;101,G287,IF(G287&lt;201,G287/2,IF(G287&lt;=301,G287/3,G287/4))))</f>
        <v>2149.5169799999999</v>
      </c>
      <c r="I287" s="33"/>
      <c r="L287" s="135"/>
      <c r="M287" s="135"/>
      <c r="N287" s="33"/>
      <c r="T287" s="18"/>
    </row>
    <row r="288" spans="1:20" s="34" customFormat="1" x14ac:dyDescent="0.3">
      <c r="A288" s="306" t="s">
        <v>452</v>
      </c>
      <c r="B288" s="307"/>
      <c r="C288" s="307"/>
      <c r="D288" s="307"/>
      <c r="E288" s="307"/>
      <c r="F288" s="307"/>
      <c r="G288" s="307"/>
      <c r="H288" s="308"/>
      <c r="I288" s="34">
        <v>1</v>
      </c>
      <c r="J288" s="33"/>
    </row>
    <row r="289" spans="1:20" s="34" customFormat="1" ht="15.75" customHeight="1" x14ac:dyDescent="0.3">
      <c r="A289" s="302">
        <v>1</v>
      </c>
      <c r="B289" s="310" t="s">
        <v>435</v>
      </c>
      <c r="C289" s="302" t="s">
        <v>429</v>
      </c>
      <c r="D289" s="302">
        <f>(127.22)*10.764</f>
        <v>1369.39608</v>
      </c>
      <c r="E289" s="302">
        <f>(3.65*1.22)*10.764</f>
        <v>47.93209199999999</v>
      </c>
      <c r="F289" s="302">
        <f>D289+E289</f>
        <v>1417.328172</v>
      </c>
      <c r="G289" s="302">
        <v>0</v>
      </c>
      <c r="H289" s="302">
        <f>F289*(($H$167)+1)+(IF(G289&lt;101,G289,IF(G289&lt;201,G289/2,IF(G289&lt;=301,G289/3,G289/4))))</f>
        <v>2125.9922580000002</v>
      </c>
      <c r="I289" s="33"/>
      <c r="L289" s="135"/>
      <c r="M289" s="135"/>
      <c r="N289" s="33"/>
    </row>
    <row r="290" spans="1:20" s="34" customFormat="1" ht="15.75" customHeight="1" x14ac:dyDescent="0.3">
      <c r="A290" s="302">
        <v>2</v>
      </c>
      <c r="B290" s="303" t="s">
        <v>434</v>
      </c>
      <c r="C290" s="304"/>
      <c r="D290" s="304"/>
      <c r="E290" s="304"/>
      <c r="F290" s="304"/>
      <c r="G290" s="304"/>
      <c r="H290" s="305"/>
      <c r="I290" s="33"/>
      <c r="L290" s="135"/>
      <c r="M290" s="135"/>
      <c r="N290" s="33"/>
    </row>
    <row r="291" spans="1:20" s="34" customFormat="1" ht="15.75" customHeight="1" x14ac:dyDescent="0.3">
      <c r="A291" s="302">
        <v>3</v>
      </c>
      <c r="B291" s="310" t="s">
        <v>435</v>
      </c>
      <c r="C291" s="302" t="s">
        <v>430</v>
      </c>
      <c r="D291" s="302">
        <f>(157.88)*10.764</f>
        <v>1699.4203199999999</v>
      </c>
      <c r="E291" s="302">
        <f>(18.88)*10.764</f>
        <v>203.22431999999998</v>
      </c>
      <c r="F291" s="302">
        <f>D291+E291</f>
        <v>1902.64464</v>
      </c>
      <c r="G291" s="302">
        <v>0</v>
      </c>
      <c r="H291" s="302">
        <f>F291*(($H$167)+1)+(IF(G291&lt;101,G291,IF(G291&lt;201,G291/2,IF(G291&lt;=301,G291/3,G291/4))))</f>
        <v>2853.9669599999997</v>
      </c>
      <c r="I291" s="33"/>
      <c r="L291" s="135"/>
      <c r="M291" s="135"/>
      <c r="N291" s="33"/>
    </row>
    <row r="292" spans="1:20" s="34" customFormat="1" ht="15.75" customHeight="1" x14ac:dyDescent="0.3">
      <c r="A292" s="302">
        <v>4</v>
      </c>
      <c r="B292" s="310" t="s">
        <v>435</v>
      </c>
      <c r="C292" s="302" t="s">
        <v>428</v>
      </c>
      <c r="D292" s="302">
        <f>(90.67)*10.764</f>
        <v>975.97187999999994</v>
      </c>
      <c r="E292" s="302">
        <f>(3.35*1.22)*10.764</f>
        <v>43.992467999999995</v>
      </c>
      <c r="F292" s="302">
        <f>D292+E292</f>
        <v>1019.964348</v>
      </c>
      <c r="G292" s="302">
        <v>0</v>
      </c>
      <c r="H292" s="302">
        <f>F292*(($H$167)+1)+(IF(G292&lt;101,G292,IF(G292&lt;201,G292/2,IF(G292&lt;=301,G292/3,G292/4))))</f>
        <v>1529.946522</v>
      </c>
      <c r="I292" s="33"/>
      <c r="L292" s="135"/>
      <c r="M292" s="135"/>
      <c r="N292" s="33"/>
      <c r="T292" s="18"/>
    </row>
    <row r="293" spans="1:20" s="34" customFormat="1" ht="15.75" customHeight="1" x14ac:dyDescent="0.3">
      <c r="A293" s="302">
        <v>5</v>
      </c>
      <c r="B293" s="310" t="s">
        <v>435</v>
      </c>
      <c r="C293" s="302" t="s">
        <v>429</v>
      </c>
      <c r="D293" s="302">
        <f>(112.15)*10.764</f>
        <v>1207.1826000000001</v>
      </c>
      <c r="E293" s="302">
        <f>(3.65*1.22)*10.764</f>
        <v>47.93209199999999</v>
      </c>
      <c r="F293" s="302">
        <f t="shared" ref="F293" si="20">D293+E293</f>
        <v>1255.1146920000001</v>
      </c>
      <c r="G293" s="302">
        <v>0</v>
      </c>
      <c r="H293" s="302">
        <f t="shared" ref="H293" si="21">F293*(($H$167)+1)+(IF(G293&lt;101,G293,IF(G293&lt;201,G293/2,IF(G293&lt;=301,G293/3,G293/4))))</f>
        <v>1882.6720380000002</v>
      </c>
      <c r="I293" s="33"/>
      <c r="L293" s="135"/>
      <c r="M293" s="135"/>
      <c r="N293" s="33"/>
      <c r="T293" s="18"/>
    </row>
    <row r="294" spans="1:20" s="34" customFormat="1" x14ac:dyDescent="0.3">
      <c r="A294" s="306" t="s">
        <v>477</v>
      </c>
      <c r="B294" s="307"/>
      <c r="C294" s="307"/>
      <c r="D294" s="307"/>
      <c r="E294" s="307"/>
      <c r="F294" s="307"/>
      <c r="G294" s="307"/>
      <c r="H294" s="308"/>
      <c r="I294" s="34">
        <v>1</v>
      </c>
      <c r="J294" s="33"/>
    </row>
    <row r="295" spans="1:20" s="34" customFormat="1" x14ac:dyDescent="0.3">
      <c r="A295" s="306" t="s">
        <v>437</v>
      </c>
      <c r="B295" s="307"/>
      <c r="C295" s="307"/>
      <c r="D295" s="307"/>
      <c r="E295" s="307"/>
      <c r="F295" s="307"/>
      <c r="G295" s="307"/>
      <c r="H295" s="308"/>
      <c r="I295" s="34">
        <v>1</v>
      </c>
      <c r="J295" s="33"/>
    </row>
    <row r="296" spans="1:20" s="34" customFormat="1" ht="15.75" customHeight="1" x14ac:dyDescent="0.3">
      <c r="A296" s="302">
        <v>1</v>
      </c>
      <c r="B296" s="310" t="s">
        <v>435</v>
      </c>
      <c r="C296" s="302" t="s">
        <v>429</v>
      </c>
      <c r="D296" s="302">
        <f>(127.22)*10.764</f>
        <v>1369.39608</v>
      </c>
      <c r="E296" s="302">
        <f>(3.65*1.22)*10.764</f>
        <v>47.93209199999999</v>
      </c>
      <c r="F296" s="302">
        <f>D296+E296</f>
        <v>1417.328172</v>
      </c>
      <c r="G296" s="302">
        <v>0</v>
      </c>
      <c r="H296" s="302">
        <f>F296*(($H$167)+1)+(IF(G296&lt;101,G296,IF(G296&lt;201,G296/2,IF(G296&lt;=301,G296/3,G296/4))))</f>
        <v>2125.9922580000002</v>
      </c>
      <c r="I296" s="33"/>
      <c r="L296" s="135"/>
      <c r="M296" s="135"/>
      <c r="N296" s="33"/>
    </row>
    <row r="297" spans="1:20" s="34" customFormat="1" ht="15.75" customHeight="1" x14ac:dyDescent="0.3">
      <c r="A297" s="302">
        <v>2</v>
      </c>
      <c r="B297" s="303" t="s">
        <v>434</v>
      </c>
      <c r="C297" s="304"/>
      <c r="D297" s="304"/>
      <c r="E297" s="304"/>
      <c r="F297" s="304"/>
      <c r="G297" s="304"/>
      <c r="H297" s="305"/>
      <c r="I297" s="33"/>
      <c r="L297" s="135"/>
      <c r="M297" s="135"/>
      <c r="N297" s="33"/>
    </row>
    <row r="298" spans="1:20" s="34" customFormat="1" ht="15.75" customHeight="1" x14ac:dyDescent="0.3">
      <c r="A298" s="302">
        <v>3</v>
      </c>
      <c r="B298" s="310" t="s">
        <v>435</v>
      </c>
      <c r="C298" s="302" t="s">
        <v>430</v>
      </c>
      <c r="D298" s="302">
        <f>(157.88)*10.764</f>
        <v>1699.4203199999999</v>
      </c>
      <c r="E298" s="302">
        <f>(18.88)*10.764</f>
        <v>203.22431999999998</v>
      </c>
      <c r="F298" s="302">
        <f>D298+E298</f>
        <v>1902.64464</v>
      </c>
      <c r="G298" s="302">
        <v>0</v>
      </c>
      <c r="H298" s="302">
        <f>F298*(($H$167)+1)+(IF(G298&lt;101,G298,IF(G298&lt;201,G298/2,IF(G298&lt;=301,G298/3,G298/4))))</f>
        <v>2853.9669599999997</v>
      </c>
      <c r="I298" s="33"/>
      <c r="L298" s="135"/>
      <c r="M298" s="135"/>
      <c r="N298" s="33"/>
    </row>
    <row r="299" spans="1:20" s="34" customFormat="1" ht="15.75" customHeight="1" x14ac:dyDescent="0.3">
      <c r="A299" s="302">
        <v>4</v>
      </c>
      <c r="B299" s="310" t="s">
        <v>435</v>
      </c>
      <c r="C299" s="302" t="s">
        <v>428</v>
      </c>
      <c r="D299" s="302">
        <f>(90.67)*10.764</f>
        <v>975.97187999999994</v>
      </c>
      <c r="E299" s="302">
        <f>(3.35*1.22)*10.764</f>
        <v>43.992467999999995</v>
      </c>
      <c r="F299" s="302">
        <f>D299+E299</f>
        <v>1019.964348</v>
      </c>
      <c r="G299" s="302">
        <v>0</v>
      </c>
      <c r="H299" s="302">
        <f>F299*(($H$167)+1)+(IF(G299&lt;101,G299,IF(G299&lt;201,G299/2,IF(G299&lt;=301,G299/3,G299/4))))</f>
        <v>1529.946522</v>
      </c>
      <c r="I299" s="33"/>
      <c r="L299" s="135"/>
      <c r="M299" s="135"/>
      <c r="N299" s="33"/>
      <c r="T299" s="18"/>
    </row>
    <row r="300" spans="1:20" s="34" customFormat="1" ht="15.75" customHeight="1" x14ac:dyDescent="0.3">
      <c r="A300" s="302">
        <v>5</v>
      </c>
      <c r="B300" s="310" t="s">
        <v>435</v>
      </c>
      <c r="C300" s="302" t="s">
        <v>429</v>
      </c>
      <c r="D300" s="302">
        <f>(112.15)*10.764</f>
        <v>1207.1826000000001</v>
      </c>
      <c r="E300" s="302">
        <f>(3.65*1.22)*10.764</f>
        <v>47.93209199999999</v>
      </c>
      <c r="F300" s="302">
        <f t="shared" ref="F300" si="22">D300+E300</f>
        <v>1255.1146920000001</v>
      </c>
      <c r="G300" s="302">
        <v>0</v>
      </c>
      <c r="H300" s="302">
        <f t="shared" ref="H300" si="23">F300*(($H$167)+1)+(IF(G300&lt;101,G300,IF(G300&lt;201,G300/2,IF(G300&lt;=301,G300/3,G300/4))))</f>
        <v>1882.6720380000002</v>
      </c>
      <c r="I300" s="33"/>
      <c r="L300" s="135"/>
      <c r="M300" s="135"/>
      <c r="N300" s="33"/>
      <c r="T300" s="18"/>
    </row>
    <row r="301" spans="1:20" s="34" customFormat="1" x14ac:dyDescent="0.3">
      <c r="A301" s="306" t="s">
        <v>453</v>
      </c>
      <c r="B301" s="307"/>
      <c r="C301" s="307"/>
      <c r="D301" s="307"/>
      <c r="E301" s="307"/>
      <c r="F301" s="307"/>
      <c r="G301" s="307"/>
      <c r="H301" s="308"/>
      <c r="I301" s="34">
        <f>2+4</f>
        <v>6</v>
      </c>
      <c r="J301" s="33"/>
    </row>
    <row r="302" spans="1:20" s="34" customFormat="1" ht="15.75" customHeight="1" x14ac:dyDescent="0.3">
      <c r="A302" s="302">
        <v>1</v>
      </c>
      <c r="B302" s="310" t="s">
        <v>435</v>
      </c>
      <c r="C302" s="302" t="s">
        <v>429</v>
      </c>
      <c r="D302" s="302">
        <f>(128.91)*10.764</f>
        <v>1387.5872399999998</v>
      </c>
      <c r="E302" s="302">
        <f>(4.64)*10.764</f>
        <v>49.944959999999995</v>
      </c>
      <c r="F302" s="302">
        <f>D302+E302</f>
        <v>1437.5321999999999</v>
      </c>
      <c r="G302" s="302">
        <v>0</v>
      </c>
      <c r="H302" s="302">
        <f>F302*(($H$167)+1)+(IF(G302&lt;101,G302,IF(G302&lt;201,G302/2,IF(G302&lt;=301,G302/3,G302/4))))</f>
        <v>2156.2982999999999</v>
      </c>
      <c r="I302" s="33"/>
      <c r="L302" s="135"/>
      <c r="M302" s="135"/>
      <c r="N302" s="33"/>
    </row>
    <row r="303" spans="1:20" s="34" customFormat="1" ht="15.75" customHeight="1" x14ac:dyDescent="0.3">
      <c r="A303" s="302">
        <v>2</v>
      </c>
      <c r="B303" s="310" t="s">
        <v>435</v>
      </c>
      <c r="C303" s="302" t="s">
        <v>429</v>
      </c>
      <c r="D303" s="302">
        <f>(114.04)*10.764</f>
        <v>1227.52656</v>
      </c>
      <c r="E303" s="302">
        <f>(4.28)*10.764</f>
        <v>46.069920000000003</v>
      </c>
      <c r="F303" s="302">
        <f>D303+E303</f>
        <v>1273.5964799999999</v>
      </c>
      <c r="G303" s="302">
        <v>0</v>
      </c>
      <c r="H303" s="302">
        <f>F303*(($H$167)+1)+(IF(G303&lt;101,G303,IF(G303&lt;201,G303/2,IF(G303&lt;=301,G303/3,G303/4))))</f>
        <v>1910.3947199999998</v>
      </c>
      <c r="I303" s="33"/>
      <c r="L303" s="135"/>
      <c r="M303" s="135"/>
      <c r="N303" s="33"/>
    </row>
    <row r="304" spans="1:20" s="34" customFormat="1" ht="15.75" customHeight="1" x14ac:dyDescent="0.3">
      <c r="A304" s="302">
        <v>3</v>
      </c>
      <c r="B304" s="310" t="s">
        <v>435</v>
      </c>
      <c r="C304" s="302" t="s">
        <v>430</v>
      </c>
      <c r="D304" s="302">
        <f>(161.72)*10.764</f>
        <v>1740.7540799999999</v>
      </c>
      <c r="E304" s="302">
        <f>(18.88)*10.764</f>
        <v>203.22431999999998</v>
      </c>
      <c r="F304" s="302">
        <f>D304+E304</f>
        <v>1943.9784</v>
      </c>
      <c r="G304" s="302">
        <v>0</v>
      </c>
      <c r="H304" s="302">
        <f>F304*(($H$167)+1)+(IF(G304&lt;101,G304,IF(G304&lt;201,G304/2,IF(G304&lt;=301,G304/3,G304/4))))</f>
        <v>2915.9675999999999</v>
      </c>
      <c r="I304" s="33"/>
      <c r="L304" s="135"/>
      <c r="M304" s="135"/>
      <c r="N304" s="33"/>
    </row>
    <row r="305" spans="1:20" s="34" customFormat="1" ht="15.75" customHeight="1" x14ac:dyDescent="0.3">
      <c r="A305" s="302">
        <v>4</v>
      </c>
      <c r="B305" s="310" t="s">
        <v>435</v>
      </c>
      <c r="C305" s="302" t="s">
        <v>429</v>
      </c>
      <c r="D305" s="302">
        <f>(113.46)*10.764</f>
        <v>1221.2834399999999</v>
      </c>
      <c r="E305" s="302">
        <f>(4.21)*10.764</f>
        <v>45.31644</v>
      </c>
      <c r="F305" s="302">
        <f>D305+E305</f>
        <v>1266.59988</v>
      </c>
      <c r="G305" s="302">
        <v>0</v>
      </c>
      <c r="H305" s="302">
        <f>F305*(($H$167)+1)+(IF(G305&lt;101,G305,IF(G305&lt;201,G305/2,IF(G305&lt;=301,G305/3,G305/4))))</f>
        <v>1899.8998200000001</v>
      </c>
      <c r="I305" s="33"/>
      <c r="L305" s="135"/>
      <c r="M305" s="135"/>
      <c r="N305" s="33"/>
      <c r="T305" s="18"/>
    </row>
    <row r="306" spans="1:20" s="34" customFormat="1" ht="15.75" customHeight="1" x14ac:dyDescent="0.3">
      <c r="A306" s="302">
        <v>5</v>
      </c>
      <c r="B306" s="310" t="s">
        <v>435</v>
      </c>
      <c r="C306" s="302" t="s">
        <v>429</v>
      </c>
      <c r="D306" s="302">
        <f>(130.24)*10.764</f>
        <v>1401.90336</v>
      </c>
      <c r="E306" s="302">
        <f>(4.64)*10.764</f>
        <v>49.944959999999995</v>
      </c>
      <c r="F306" s="302">
        <f t="shared" ref="F306" si="24">D306+E306</f>
        <v>1451.8483200000001</v>
      </c>
      <c r="G306" s="302">
        <v>0</v>
      </c>
      <c r="H306" s="302">
        <f t="shared" ref="H306" si="25">F306*(($H$167)+1)+(IF(G306&lt;101,G306,IF(G306&lt;201,G306/2,IF(G306&lt;=301,G306/3,G306/4))))</f>
        <v>2177.7724800000001</v>
      </c>
      <c r="I306" s="33"/>
      <c r="L306" s="135"/>
      <c r="M306" s="135"/>
      <c r="N306" s="33"/>
      <c r="T306" s="18"/>
    </row>
    <row r="307" spans="1:20" s="34" customFormat="1" x14ac:dyDescent="0.3">
      <c r="A307" s="306" t="s">
        <v>454</v>
      </c>
      <c r="B307" s="307"/>
      <c r="C307" s="307"/>
      <c r="D307" s="307"/>
      <c r="E307" s="307"/>
      <c r="F307" s="307"/>
      <c r="G307" s="307"/>
      <c r="H307" s="308"/>
      <c r="I307" s="34">
        <v>1</v>
      </c>
      <c r="J307" s="33"/>
    </row>
    <row r="308" spans="1:20" s="34" customFormat="1" ht="15.75" customHeight="1" x14ac:dyDescent="0.3">
      <c r="A308" s="302">
        <v>1</v>
      </c>
      <c r="B308" s="310" t="s">
        <v>435</v>
      </c>
      <c r="C308" s="302" t="s">
        <v>429</v>
      </c>
      <c r="D308" s="302">
        <f>(128.91)*10.764</f>
        <v>1387.5872399999998</v>
      </c>
      <c r="E308" s="302">
        <f>(4.64)*10.764</f>
        <v>49.944959999999995</v>
      </c>
      <c r="F308" s="302">
        <f>D308+E308</f>
        <v>1437.5321999999999</v>
      </c>
      <c r="G308" s="302">
        <v>0</v>
      </c>
      <c r="H308" s="302">
        <f>F308*(($H$167)+1)+(IF(G308&lt;101,G308,IF(G308&lt;201,G308/2,IF(G308&lt;=301,G308/3,G308/4))))</f>
        <v>2156.2982999999999</v>
      </c>
      <c r="I308" s="33"/>
      <c r="L308" s="135"/>
      <c r="M308" s="135"/>
      <c r="N308" s="33"/>
    </row>
    <row r="309" spans="1:20" s="34" customFormat="1" ht="15.75" customHeight="1" x14ac:dyDescent="0.3">
      <c r="A309" s="302">
        <v>2</v>
      </c>
      <c r="B309" s="303" t="s">
        <v>434</v>
      </c>
      <c r="C309" s="304"/>
      <c r="D309" s="304"/>
      <c r="E309" s="304"/>
      <c r="F309" s="304"/>
      <c r="G309" s="304"/>
      <c r="H309" s="305"/>
      <c r="I309" s="33"/>
      <c r="L309" s="135"/>
      <c r="M309" s="135"/>
      <c r="N309" s="33"/>
    </row>
    <row r="310" spans="1:20" s="34" customFormat="1" ht="15.75" customHeight="1" x14ac:dyDescent="0.3">
      <c r="A310" s="302">
        <v>3</v>
      </c>
      <c r="B310" s="310" t="s">
        <v>435</v>
      </c>
      <c r="C310" s="302" t="s">
        <v>430</v>
      </c>
      <c r="D310" s="302">
        <f>(184.13)*10.764</f>
        <v>1981.9753199999998</v>
      </c>
      <c r="E310" s="302">
        <f>(18.88)*10.764</f>
        <v>203.22431999999998</v>
      </c>
      <c r="F310" s="302">
        <f>D310+E310</f>
        <v>2185.1996399999998</v>
      </c>
      <c r="G310" s="302">
        <v>0</v>
      </c>
      <c r="H310" s="302">
        <f>F310*(($H$167)+1)+(IF(G310&lt;101,G310,IF(G310&lt;201,G310/2,IF(G310&lt;=301,G310/3,G310/4))))</f>
        <v>3277.7994599999997</v>
      </c>
      <c r="I310" s="33"/>
      <c r="L310" s="135"/>
      <c r="M310" s="135"/>
      <c r="N310" s="33"/>
    </row>
    <row r="311" spans="1:20" s="34" customFormat="1" ht="15.75" customHeight="1" x14ac:dyDescent="0.3">
      <c r="A311" s="302">
        <v>4</v>
      </c>
      <c r="B311" s="310" t="s">
        <v>435</v>
      </c>
      <c r="C311" s="302" t="s">
        <v>428</v>
      </c>
      <c r="D311" s="302">
        <f>(113.46)*10.764</f>
        <v>1221.2834399999999</v>
      </c>
      <c r="E311" s="302">
        <f>(3.35*1.22)*10.764</f>
        <v>43.992467999999995</v>
      </c>
      <c r="F311" s="302">
        <f>D311+E311</f>
        <v>1265.2759079999998</v>
      </c>
      <c r="G311" s="302">
        <v>0</v>
      </c>
      <c r="H311" s="302">
        <f>F311*(($H$167)+1)+(IF(G311&lt;101,G311,IF(G311&lt;201,G311/2,IF(G311&lt;=301,G311/3,G311/4))))</f>
        <v>1897.9138619999999</v>
      </c>
      <c r="I311" s="33"/>
      <c r="L311" s="135"/>
      <c r="M311" s="135"/>
      <c r="N311" s="33"/>
      <c r="T311" s="18"/>
    </row>
    <row r="312" spans="1:20" s="34" customFormat="1" ht="15.75" customHeight="1" x14ac:dyDescent="0.3">
      <c r="A312" s="302">
        <v>5</v>
      </c>
      <c r="B312" s="310" t="s">
        <v>435</v>
      </c>
      <c r="C312" s="302" t="s">
        <v>429</v>
      </c>
      <c r="D312" s="302">
        <f>(130.24)*10.764</f>
        <v>1401.90336</v>
      </c>
      <c r="E312" s="302">
        <f>(4.64)*10.764</f>
        <v>49.944959999999995</v>
      </c>
      <c r="F312" s="302">
        <f t="shared" ref="F312" si="26">D312+E312</f>
        <v>1451.8483200000001</v>
      </c>
      <c r="G312" s="302">
        <v>0</v>
      </c>
      <c r="H312" s="302">
        <f t="shared" ref="H312" si="27">F312*(($H$167)+1)+(IF(G312&lt;101,G312,IF(G312&lt;201,G312/2,IF(G312&lt;=301,G312/3,G312/4))))</f>
        <v>2177.7724800000001</v>
      </c>
      <c r="I312" s="33"/>
      <c r="L312" s="135"/>
      <c r="M312" s="135"/>
      <c r="N312" s="33"/>
      <c r="T312" s="18"/>
    </row>
    <row r="313" spans="1:20" s="34" customFormat="1" x14ac:dyDescent="0.3">
      <c r="A313" s="306" t="s">
        <v>478</v>
      </c>
      <c r="B313" s="307"/>
      <c r="C313" s="307"/>
      <c r="D313" s="307"/>
      <c r="E313" s="307"/>
      <c r="F313" s="307"/>
      <c r="G313" s="307"/>
      <c r="H313" s="308"/>
      <c r="I313" s="34">
        <v>1</v>
      </c>
      <c r="J313" s="33"/>
    </row>
    <row r="314" spans="1:20" s="34" customFormat="1" ht="15.75" customHeight="1" x14ac:dyDescent="0.3">
      <c r="A314" s="306" t="s">
        <v>455</v>
      </c>
      <c r="B314" s="307"/>
      <c r="C314" s="307"/>
      <c r="D314" s="307"/>
      <c r="E314" s="307"/>
      <c r="F314" s="307"/>
      <c r="G314" s="307"/>
      <c r="H314" s="308"/>
      <c r="I314" s="34">
        <v>1</v>
      </c>
      <c r="J314" s="33"/>
    </row>
    <row r="315" spans="1:20" s="34" customFormat="1" x14ac:dyDescent="0.3">
      <c r="A315" s="306" t="s">
        <v>456</v>
      </c>
      <c r="B315" s="307"/>
      <c r="C315" s="307"/>
      <c r="D315" s="307"/>
      <c r="E315" s="307"/>
      <c r="F315" s="307"/>
      <c r="G315" s="307"/>
      <c r="H315" s="308"/>
      <c r="I315" s="34">
        <v>1</v>
      </c>
      <c r="J315" s="33"/>
    </row>
    <row r="316" spans="1:20" s="34" customFormat="1" x14ac:dyDescent="0.3">
      <c r="A316" s="306" t="s">
        <v>457</v>
      </c>
      <c r="B316" s="307"/>
      <c r="C316" s="307"/>
      <c r="D316" s="307"/>
      <c r="E316" s="307"/>
      <c r="F316" s="307"/>
      <c r="G316" s="307"/>
      <c r="H316" s="308"/>
      <c r="I316" s="34">
        <v>3</v>
      </c>
      <c r="J316" s="33"/>
    </row>
    <row r="317" spans="1:20" s="34" customFormat="1" ht="15.75" customHeight="1" x14ac:dyDescent="0.3">
      <c r="A317" s="302">
        <v>1</v>
      </c>
      <c r="B317" s="310" t="s">
        <v>435</v>
      </c>
      <c r="C317" s="302" t="s">
        <v>431</v>
      </c>
      <c r="D317" s="302">
        <f>(281.56)*10.764</f>
        <v>3030.7118399999999</v>
      </c>
      <c r="E317" s="302">
        <f>(9.97)*10.764</f>
        <v>107.31708</v>
      </c>
      <c r="F317" s="302">
        <f>D317+E317</f>
        <v>3138.0289199999997</v>
      </c>
      <c r="G317" s="302">
        <v>0</v>
      </c>
      <c r="H317" s="302">
        <f>F317*(($H$167)+1)+(IF(G317&lt;101,G317,IF(G317&lt;201,G317/2,IF(G317&lt;=301,G317/3,G317/4))))</f>
        <v>4707.0433799999992</v>
      </c>
      <c r="I317" s="33"/>
      <c r="L317" s="135"/>
      <c r="M317" s="135"/>
      <c r="N317" s="33"/>
    </row>
    <row r="318" spans="1:20" s="34" customFormat="1" ht="15.75" customHeight="1" x14ac:dyDescent="0.3">
      <c r="A318" s="302">
        <v>2</v>
      </c>
      <c r="B318" s="310" t="s">
        <v>435</v>
      </c>
      <c r="C318" s="302" t="s">
        <v>430</v>
      </c>
      <c r="D318" s="302">
        <f>(219.12)*10.764</f>
        <v>2358.6076800000001</v>
      </c>
      <c r="E318" s="302">
        <f>(10.79)*10.764</f>
        <v>116.14355999999998</v>
      </c>
      <c r="F318" s="302">
        <f>D318+E318</f>
        <v>2474.7512400000001</v>
      </c>
      <c r="G318" s="302">
        <v>0</v>
      </c>
      <c r="H318" s="302">
        <f>F318*(($H$167)+1)+(IF(G318&lt;101,G318,IF(G318&lt;201,G318/2,IF(G318&lt;=301,G318/3,G318/4))))</f>
        <v>3712.1268600000003</v>
      </c>
      <c r="I318" s="33"/>
      <c r="L318" s="135"/>
      <c r="M318" s="135"/>
      <c r="N318" s="33"/>
    </row>
    <row r="319" spans="1:20" s="34" customFormat="1" x14ac:dyDescent="0.3">
      <c r="A319" s="306" t="s">
        <v>458</v>
      </c>
      <c r="B319" s="307"/>
      <c r="C319" s="307"/>
      <c r="D319" s="307"/>
      <c r="E319" s="307"/>
      <c r="F319" s="307"/>
      <c r="G319" s="307"/>
      <c r="H319" s="308"/>
      <c r="I319" s="34">
        <f>3+6+1</f>
        <v>10</v>
      </c>
      <c r="J319" s="33"/>
    </row>
    <row r="320" spans="1:20" s="34" customFormat="1" ht="15.75" customHeight="1" x14ac:dyDescent="0.3">
      <c r="A320" s="302">
        <v>1</v>
      </c>
      <c r="B320" s="310" t="s">
        <v>435</v>
      </c>
      <c r="C320" s="302" t="s">
        <v>431</v>
      </c>
      <c r="D320" s="302">
        <f>(284.96)*10.764</f>
        <v>3067.3094399999995</v>
      </c>
      <c r="E320" s="302">
        <f>(10.46)*10.764</f>
        <v>112.59144000000001</v>
      </c>
      <c r="F320" s="302">
        <f>D320+E320</f>
        <v>3179.9008799999997</v>
      </c>
      <c r="G320" s="302">
        <v>0</v>
      </c>
      <c r="H320" s="302">
        <f>F320*(($H$167)+1)+(IF(G320&lt;101,G320,IF(G320&lt;201,G320/2,IF(G320&lt;=301,G320/3,G320/4))))</f>
        <v>4769.8513199999998</v>
      </c>
      <c r="I320" s="33"/>
      <c r="L320" s="135"/>
      <c r="M320" s="135"/>
      <c r="N320" s="33"/>
    </row>
    <row r="321" spans="1:14" s="34" customFormat="1" ht="15.75" customHeight="1" x14ac:dyDescent="0.3">
      <c r="A321" s="302">
        <v>2</v>
      </c>
      <c r="B321" s="310" t="s">
        <v>435</v>
      </c>
      <c r="C321" s="302" t="s">
        <v>430</v>
      </c>
      <c r="D321" s="302">
        <f>(222.21)*10.764</f>
        <v>2391.8684399999997</v>
      </c>
      <c r="E321" s="302">
        <f>(11.02)*10.764</f>
        <v>118.61927999999999</v>
      </c>
      <c r="F321" s="302">
        <f>D321+E321</f>
        <v>2510.4877199999996</v>
      </c>
      <c r="G321" s="302">
        <v>0</v>
      </c>
      <c r="H321" s="302">
        <f>F321*(($H$167)+1)+(IF(G321&lt;101,G321,IF(G321&lt;201,G321/2,IF(G321&lt;=301,G321/3,G321/4))))</f>
        <v>3765.7315799999997</v>
      </c>
      <c r="I321" s="33"/>
      <c r="L321" s="135"/>
      <c r="M321" s="135"/>
      <c r="N321" s="33"/>
    </row>
    <row r="322" spans="1:14" s="34" customFormat="1" x14ac:dyDescent="0.3">
      <c r="A322" s="306" t="s">
        <v>459</v>
      </c>
      <c r="B322" s="307"/>
      <c r="C322" s="307"/>
      <c r="D322" s="307"/>
      <c r="E322" s="307"/>
      <c r="F322" s="307"/>
      <c r="G322" s="307"/>
      <c r="H322" s="308"/>
      <c r="I322" s="34">
        <v>2</v>
      </c>
      <c r="J322" s="33"/>
    </row>
    <row r="323" spans="1:14" s="34" customFormat="1" ht="15.75" customHeight="1" x14ac:dyDescent="0.3">
      <c r="A323" s="302">
        <v>1</v>
      </c>
      <c r="B323" s="310" t="s">
        <v>435</v>
      </c>
      <c r="C323" s="302" t="s">
        <v>429</v>
      </c>
      <c r="D323" s="302">
        <f>(211.22)*10.764</f>
        <v>2273.5720799999999</v>
      </c>
      <c r="E323" s="302">
        <f>(10.46)*10.764</f>
        <v>112.59144000000001</v>
      </c>
      <c r="F323" s="302">
        <f>D323+E323</f>
        <v>2386.1635200000001</v>
      </c>
      <c r="G323" s="302">
        <v>0</v>
      </c>
      <c r="H323" s="302">
        <f>F323*(($H$167)+1)+(IF(G323&lt;101,G323,IF(G323&lt;201,G323/2,IF(G323&lt;=301,G323/3,G323/4))))</f>
        <v>3579.2452800000001</v>
      </c>
      <c r="I323" s="33"/>
      <c r="L323" s="135"/>
      <c r="M323" s="135"/>
      <c r="N323" s="33"/>
    </row>
    <row r="324" spans="1:14" s="34" customFormat="1" ht="15.75" customHeight="1" x14ac:dyDescent="0.3">
      <c r="A324" s="302">
        <v>2</v>
      </c>
      <c r="B324" s="310" t="s">
        <v>435</v>
      </c>
      <c r="C324" s="302" t="s">
        <v>430</v>
      </c>
      <c r="D324" s="302">
        <f>(170.64)*10.764</f>
        <v>1836.7689599999997</v>
      </c>
      <c r="E324" s="302">
        <f>(11.02)*10.764</f>
        <v>118.61927999999999</v>
      </c>
      <c r="F324" s="302">
        <f>D324+E324</f>
        <v>1955.3882399999995</v>
      </c>
      <c r="G324" s="302">
        <v>0</v>
      </c>
      <c r="H324" s="302">
        <f>F324*(($H$167)+1)+(IF(G324&lt;101,G324,IF(G324&lt;201,G324/2,IF(G324&lt;=301,G324/3,G324/4))))</f>
        <v>2933.0823599999994</v>
      </c>
      <c r="I324" s="33"/>
      <c r="L324" s="135"/>
      <c r="M324" s="135"/>
      <c r="N324" s="33"/>
    </row>
    <row r="325" spans="1:14" s="34" customFormat="1" x14ac:dyDescent="0.3">
      <c r="A325" s="306" t="s">
        <v>460</v>
      </c>
      <c r="B325" s="307"/>
      <c r="C325" s="307"/>
      <c r="D325" s="307"/>
      <c r="E325" s="307"/>
      <c r="F325" s="307"/>
      <c r="G325" s="307"/>
      <c r="H325" s="308"/>
      <c r="I325" s="34">
        <v>4</v>
      </c>
      <c r="J325" s="33"/>
    </row>
    <row r="326" spans="1:14" s="34" customFormat="1" ht="15.75" customHeight="1" x14ac:dyDescent="0.3">
      <c r="A326" s="302">
        <v>1</v>
      </c>
      <c r="B326" s="310" t="s">
        <v>435</v>
      </c>
      <c r="C326" s="302" t="s">
        <v>431</v>
      </c>
      <c r="D326" s="302">
        <f>(287.91)*10.764</f>
        <v>3099.06324</v>
      </c>
      <c r="E326" s="302">
        <f>(10.46)*10.764</f>
        <v>112.59144000000001</v>
      </c>
      <c r="F326" s="302">
        <f>D326+E326</f>
        <v>3211.6546800000001</v>
      </c>
      <c r="G326" s="302">
        <v>0</v>
      </c>
      <c r="H326" s="302">
        <f>F326*(($H$167)+1)+(IF(G326&lt;101,G326,IF(G326&lt;201,G326/2,IF(G326&lt;=301,G326/3,G326/4))))</f>
        <v>4817.4820200000004</v>
      </c>
      <c r="I326" s="33"/>
      <c r="L326" s="135"/>
      <c r="M326" s="135"/>
      <c r="N326" s="33"/>
    </row>
    <row r="327" spans="1:14" s="34" customFormat="1" ht="15.75" customHeight="1" x14ac:dyDescent="0.3">
      <c r="A327" s="302">
        <v>2</v>
      </c>
      <c r="B327" s="310" t="s">
        <v>435</v>
      </c>
      <c r="C327" s="302" t="s">
        <v>430</v>
      </c>
      <c r="D327" s="302">
        <f>(228.45)*10.764</f>
        <v>2459.0357999999997</v>
      </c>
      <c r="E327" s="302">
        <f>(11.17)*10.764</f>
        <v>120.23387999999998</v>
      </c>
      <c r="F327" s="302">
        <f>D327+E327</f>
        <v>2579.2696799999994</v>
      </c>
      <c r="G327" s="302">
        <v>0</v>
      </c>
      <c r="H327" s="302">
        <f>F327*(($H$167)+1)+(IF(G327&lt;101,G327,IF(G327&lt;201,G327/2,IF(G327&lt;=301,G327/3,G327/4))))</f>
        <v>3868.9045199999991</v>
      </c>
      <c r="I327" s="33"/>
      <c r="L327" s="135"/>
      <c r="M327" s="135"/>
      <c r="N327" s="33"/>
    </row>
    <row r="328" spans="1:14" s="34" customFormat="1" x14ac:dyDescent="0.3">
      <c r="A328" s="306" t="s">
        <v>481</v>
      </c>
      <c r="B328" s="307"/>
      <c r="C328" s="307"/>
      <c r="D328" s="307"/>
      <c r="E328" s="307"/>
      <c r="F328" s="307"/>
      <c r="G328" s="307"/>
      <c r="H328" s="308"/>
      <c r="I328" s="34">
        <v>1</v>
      </c>
      <c r="J328" s="33"/>
    </row>
    <row r="329" spans="1:14" s="34" customFormat="1" x14ac:dyDescent="0.3">
      <c r="A329" s="306" t="s">
        <v>482</v>
      </c>
      <c r="B329" s="307"/>
      <c r="C329" s="307"/>
      <c r="D329" s="307"/>
      <c r="E329" s="307"/>
      <c r="F329" s="307"/>
      <c r="G329" s="307"/>
      <c r="H329" s="308"/>
      <c r="I329" s="34">
        <v>1</v>
      </c>
      <c r="J329" s="33"/>
    </row>
    <row r="330" spans="1:14" s="34" customFormat="1" ht="15.75" customHeight="1" x14ac:dyDescent="0.3">
      <c r="A330" s="302">
        <v>1</v>
      </c>
      <c r="B330" s="310" t="s">
        <v>435</v>
      </c>
      <c r="C330" s="302" t="s">
        <v>431</v>
      </c>
      <c r="D330" s="302">
        <f>(506.59-(7.65*7.54+7.66*6.3))*10.764</f>
        <v>4312.6073639999995</v>
      </c>
      <c r="E330" s="302">
        <v>0</v>
      </c>
      <c r="F330" s="302">
        <f>D330+E330</f>
        <v>4312.6073639999995</v>
      </c>
      <c r="G330" s="302">
        <f>(7.65*7.54+7.66*6.3)*10.764</f>
        <v>1140.3273959999999</v>
      </c>
      <c r="H330" s="302">
        <f>F330*(($H$167)+1)+(IF(G330&lt;101,G330,IF(G330&lt;201,G330/2,IF(G330&lt;=301,G330/3,G330/4))))</f>
        <v>6753.9928949999994</v>
      </c>
      <c r="I330" s="33"/>
      <c r="L330" s="135"/>
      <c r="M330" s="135"/>
      <c r="N330" s="33"/>
    </row>
    <row r="331" spans="1:14" s="34" customFormat="1" x14ac:dyDescent="0.3">
      <c r="A331" s="306" t="s">
        <v>463</v>
      </c>
      <c r="B331" s="307"/>
      <c r="C331" s="307"/>
      <c r="D331" s="307"/>
      <c r="E331" s="307"/>
      <c r="F331" s="307"/>
      <c r="G331" s="307"/>
      <c r="H331" s="308"/>
      <c r="I331" s="34">
        <v>1</v>
      </c>
      <c r="J331" s="33"/>
    </row>
    <row r="332" spans="1:14" s="34" customFormat="1" ht="15.75" customHeight="1" x14ac:dyDescent="0.3">
      <c r="A332" s="302">
        <v>1</v>
      </c>
      <c r="B332" s="310" t="s">
        <v>435</v>
      </c>
      <c r="C332" s="302" t="s">
        <v>429</v>
      </c>
      <c r="D332" s="302">
        <f>(403.11-(5.27*7.54+5.27*6.3))*10.764</f>
        <v>3553.9843247999997</v>
      </c>
      <c r="E332" s="302">
        <v>0</v>
      </c>
      <c r="F332" s="302">
        <f>D332+E332</f>
        <v>3553.9843247999997</v>
      </c>
      <c r="G332" s="302">
        <f>(5.27*7.54+5.27*6.3)*10.764</f>
        <v>785.09171519999984</v>
      </c>
      <c r="H332" s="302">
        <f>F332*(($H$167)+1)+(IF(G332&lt;101,G332,IF(G332&lt;201,G332/2,IF(G332&lt;=301,G332/3,G332/4))))</f>
        <v>5527.2494159999997</v>
      </c>
      <c r="I332" s="33"/>
      <c r="L332" s="135"/>
      <c r="M332" s="135"/>
      <c r="N332" s="33"/>
    </row>
    <row r="333" spans="1:14" s="34" customFormat="1" x14ac:dyDescent="0.3">
      <c r="A333" s="306" t="s">
        <v>483</v>
      </c>
      <c r="B333" s="307"/>
      <c r="C333" s="307"/>
      <c r="D333" s="307"/>
      <c r="E333" s="307"/>
      <c r="F333" s="307"/>
      <c r="G333" s="307"/>
      <c r="H333" s="308"/>
      <c r="I333" s="34">
        <v>1</v>
      </c>
      <c r="J333" s="33"/>
    </row>
    <row r="334" spans="1:14" s="34" customFormat="1" ht="15.75" customHeight="1" x14ac:dyDescent="0.3">
      <c r="A334" s="39">
        <v>1</v>
      </c>
      <c r="B334" s="91" t="s">
        <v>435</v>
      </c>
      <c r="C334" s="39" t="s">
        <v>429</v>
      </c>
      <c r="D334" s="39">
        <f>(329.76-(4.9*7.54+4.9*3.1+4.9*3.2))*10.764</f>
        <v>2819.5652159999995</v>
      </c>
      <c r="E334" s="39">
        <v>0</v>
      </c>
      <c r="F334" s="39">
        <f>D334+E334</f>
        <v>2819.5652159999995</v>
      </c>
      <c r="G334" s="39">
        <f>(4.9*7.54+4.9*3.1+4.9*3.2)*10.764</f>
        <v>729.97142400000018</v>
      </c>
      <c r="H334" s="39">
        <f>F334*(($H$167)+1)+(IF(G334&lt;101,G334,IF(G334&lt;201,G334/2,IF(G334&lt;=301,G334/3,G334/4))))</f>
        <v>4411.8406799999993</v>
      </c>
      <c r="I334" s="33">
        <f>7.3*7.54+3.95*5.89+4.87*7.54+5.57*4.51+5.57*3.55+1.8*2.74+3.12*(1.87+2.12)+1.8*(2.2+1.22+1.37)+1.67*4.91+1.92*1.3+7.34*4.77+3.95*1.65+2.05*2.2+1.2*1.77+0.75*1.87+1.2*1.62+4.8*1.62+4.9*3.2+4.9*(3.1+7.54)</f>
        <v>323.72179999999997</v>
      </c>
      <c r="L334" s="135"/>
      <c r="M334" s="135"/>
      <c r="N334" s="33"/>
    </row>
    <row r="335" spans="1:14" s="34" customFormat="1" hidden="1" x14ac:dyDescent="0.3">
      <c r="A335" s="107"/>
      <c r="B335" s="108"/>
      <c r="C335" s="108"/>
      <c r="D335" s="108"/>
      <c r="E335" s="108"/>
      <c r="F335" s="108"/>
      <c r="G335" s="108"/>
      <c r="H335" s="109"/>
      <c r="J335" s="33"/>
    </row>
    <row r="336" spans="1:14" s="34" customFormat="1" ht="15.75" hidden="1" customHeight="1" x14ac:dyDescent="0.3">
      <c r="A336" s="39">
        <v>1</v>
      </c>
      <c r="B336" s="39"/>
      <c r="C336" s="39"/>
      <c r="D336" s="39"/>
      <c r="E336" s="39">
        <v>0</v>
      </c>
      <c r="F336" s="39">
        <f>D336+E336</f>
        <v>0</v>
      </c>
      <c r="G336" s="39">
        <v>0</v>
      </c>
      <c r="H336" s="39">
        <f>F336*(($H$167)+1)+(IF(G336&lt;101,G336,IF(G336&lt;201,G336/2,IF(G336&lt;=301,G336/3,G336/4))))</f>
        <v>0</v>
      </c>
      <c r="I336" s="33"/>
      <c r="L336" s="135"/>
      <c r="M336" s="135"/>
      <c r="N336" s="33"/>
    </row>
    <row r="337" spans="1:20" s="34" customFormat="1" ht="15.75" hidden="1" customHeight="1" x14ac:dyDescent="0.3">
      <c r="A337" s="39">
        <v>2</v>
      </c>
      <c r="B337" s="39"/>
      <c r="C337" s="39"/>
      <c r="D337" s="39"/>
      <c r="E337" s="39">
        <v>0</v>
      </c>
      <c r="F337" s="39">
        <f>D337+E337</f>
        <v>0</v>
      </c>
      <c r="G337" s="39">
        <v>0</v>
      </c>
      <c r="H337" s="39">
        <f>F337*(($H$167)+1)+(IF(G337&lt;101,G337,IF(G337&lt;201,G337/2,IF(G337&lt;=301,G337/3,G337/4))))</f>
        <v>0</v>
      </c>
      <c r="I337" s="33"/>
      <c r="L337" s="135"/>
      <c r="M337" s="135"/>
      <c r="N337" s="33"/>
    </row>
    <row r="338" spans="1:20" s="34" customFormat="1" ht="15.75" hidden="1" customHeight="1" x14ac:dyDescent="0.3">
      <c r="A338" s="39">
        <v>3</v>
      </c>
      <c r="B338" s="39"/>
      <c r="C338" s="39"/>
      <c r="D338" s="39"/>
      <c r="E338" s="39">
        <v>0</v>
      </c>
      <c r="F338" s="39">
        <f>D338+E338</f>
        <v>0</v>
      </c>
      <c r="G338" s="39">
        <v>0</v>
      </c>
      <c r="H338" s="39">
        <f>F338*(($H$167)+1)+(IF(G338&lt;101,G338,IF(G338&lt;201,G338/2,IF(G338&lt;=301,G338/3,G338/4))))</f>
        <v>0</v>
      </c>
      <c r="I338" s="33"/>
      <c r="L338" s="135"/>
      <c r="M338" s="135"/>
      <c r="N338" s="33"/>
    </row>
    <row r="339" spans="1:20" s="34" customFormat="1" ht="15.75" hidden="1" customHeight="1" x14ac:dyDescent="0.3">
      <c r="A339" s="39">
        <v>4</v>
      </c>
      <c r="B339" s="39"/>
      <c r="C339" s="39"/>
      <c r="D339" s="39"/>
      <c r="E339" s="39">
        <v>0</v>
      </c>
      <c r="F339" s="39">
        <f>D339+E339</f>
        <v>0</v>
      </c>
      <c r="G339" s="39">
        <v>0</v>
      </c>
      <c r="H339" s="39">
        <f>F339*(($H$167)+1)+(IF(G339&lt;101,G339,IF(G339&lt;201,G339/2,IF(G339&lt;=301,G339/3,G339/4))))</f>
        <v>0</v>
      </c>
      <c r="I339" s="33"/>
      <c r="L339" s="135"/>
      <c r="M339" s="135"/>
      <c r="N339" s="33"/>
      <c r="T339" s="18"/>
    </row>
    <row r="340" spans="1:20" s="34" customFormat="1" ht="15.75" hidden="1" customHeight="1" x14ac:dyDescent="0.3">
      <c r="A340" s="39">
        <v>5</v>
      </c>
      <c r="B340" s="39"/>
      <c r="C340" s="39"/>
      <c r="D340" s="39"/>
      <c r="E340" s="39">
        <v>0</v>
      </c>
      <c r="F340" s="39">
        <f t="shared" ref="F340:F341" si="28">D340+E340</f>
        <v>0</v>
      </c>
      <c r="G340" s="39">
        <v>0</v>
      </c>
      <c r="H340" s="39">
        <f t="shared" ref="H340:H341" si="29">F340*(($H$167)+1)+(IF(G340&lt;101,G340,IF(G340&lt;201,G340/2,IF(G340&lt;=301,G340/3,G340/4))))</f>
        <v>0</v>
      </c>
      <c r="I340" s="33"/>
      <c r="L340" s="135"/>
      <c r="M340" s="135"/>
      <c r="N340" s="33"/>
      <c r="T340" s="18"/>
    </row>
    <row r="341" spans="1:20" s="34" customFormat="1" ht="15.75" hidden="1" customHeight="1" x14ac:dyDescent="0.3">
      <c r="A341" s="39">
        <v>6</v>
      </c>
      <c r="B341" s="39"/>
      <c r="C341" s="39"/>
      <c r="D341" s="39"/>
      <c r="E341" s="39">
        <v>0</v>
      </c>
      <c r="F341" s="39">
        <f t="shared" si="28"/>
        <v>0</v>
      </c>
      <c r="G341" s="39">
        <v>0</v>
      </c>
      <c r="H341" s="39">
        <f t="shared" si="29"/>
        <v>0</v>
      </c>
      <c r="I341" s="33"/>
      <c r="L341" s="135"/>
      <c r="M341" s="135"/>
      <c r="N341" s="33"/>
      <c r="T341" s="18"/>
    </row>
    <row r="342" spans="1:20" s="34" customFormat="1" x14ac:dyDescent="0.3">
      <c r="A342" s="280" t="s">
        <v>422</v>
      </c>
      <c r="B342" s="281"/>
      <c r="C342" s="281"/>
      <c r="D342" s="281"/>
      <c r="E342" s="281"/>
      <c r="F342" s="281"/>
      <c r="G342" s="281"/>
      <c r="H342" s="282"/>
      <c r="J342" s="33"/>
    </row>
    <row r="343" spans="1:20" s="34" customFormat="1" x14ac:dyDescent="0.3">
      <c r="A343" s="107" t="s">
        <v>418</v>
      </c>
      <c r="B343" s="108"/>
      <c r="C343" s="108"/>
      <c r="D343" s="108"/>
      <c r="E343" s="108"/>
      <c r="F343" s="108"/>
      <c r="G343" s="108"/>
      <c r="H343" s="109"/>
      <c r="J343" s="33"/>
    </row>
    <row r="344" spans="1:20" s="34" customFormat="1" x14ac:dyDescent="0.3">
      <c r="A344" s="107" t="s">
        <v>419</v>
      </c>
      <c r="B344" s="108"/>
      <c r="C344" s="108"/>
      <c r="D344" s="108"/>
      <c r="E344" s="108"/>
      <c r="F344" s="108"/>
      <c r="G344" s="108"/>
      <c r="H344" s="109"/>
      <c r="J344" s="33"/>
    </row>
    <row r="345" spans="1:20" s="34" customFormat="1" x14ac:dyDescent="0.3">
      <c r="A345" s="107" t="s">
        <v>420</v>
      </c>
      <c r="B345" s="108"/>
      <c r="C345" s="108"/>
      <c r="D345" s="108"/>
      <c r="E345" s="108"/>
      <c r="F345" s="108"/>
      <c r="G345" s="108"/>
      <c r="H345" s="109"/>
      <c r="J345" s="33"/>
    </row>
    <row r="346" spans="1:20" s="34" customFormat="1" ht="15.75" customHeight="1" x14ac:dyDescent="0.3">
      <c r="A346" s="107" t="s">
        <v>421</v>
      </c>
      <c r="B346" s="108"/>
      <c r="C346" s="108"/>
      <c r="D346" s="108"/>
      <c r="E346" s="108"/>
      <c r="F346" s="108"/>
      <c r="G346" s="108"/>
      <c r="H346" s="109"/>
      <c r="J346" s="33"/>
    </row>
    <row r="347" spans="1:20" s="34" customFormat="1" x14ac:dyDescent="0.3">
      <c r="A347" s="107" t="s">
        <v>423</v>
      </c>
      <c r="B347" s="108"/>
      <c r="C347" s="108"/>
      <c r="D347" s="108"/>
      <c r="E347" s="108"/>
      <c r="F347" s="108"/>
      <c r="G347" s="108"/>
      <c r="H347" s="109"/>
      <c r="J347" s="33"/>
    </row>
    <row r="348" spans="1:20" s="34" customFormat="1" x14ac:dyDescent="0.3">
      <c r="A348" s="107" t="s">
        <v>424</v>
      </c>
      <c r="B348" s="108"/>
      <c r="C348" s="108"/>
      <c r="D348" s="108"/>
      <c r="E348" s="108"/>
      <c r="F348" s="108"/>
      <c r="G348" s="108"/>
      <c r="H348" s="109"/>
      <c r="I348" s="34">
        <v>1</v>
      </c>
      <c r="J348" s="33"/>
    </row>
    <row r="349" spans="1:20" s="34" customFormat="1" ht="15.75" customHeight="1" x14ac:dyDescent="0.3">
      <c r="A349" s="39">
        <v>1</v>
      </c>
      <c r="B349" s="39" t="s">
        <v>426</v>
      </c>
      <c r="C349" s="39" t="s">
        <v>428</v>
      </c>
      <c r="D349" s="39">
        <f>(54.08)*10.764</f>
        <v>582.11712</v>
      </c>
      <c r="E349" s="39">
        <v>0</v>
      </c>
      <c r="F349" s="39">
        <f>D349+E349</f>
        <v>582.11712</v>
      </c>
      <c r="G349" s="39">
        <v>0</v>
      </c>
      <c r="H349" s="39">
        <f>F349*(($H$167)+1)+(IF(G349&lt;101,G349,IF(G349&lt;201,G349/2,IF(G349&lt;=301,G349/3,G349/4))))</f>
        <v>873.17568000000006</v>
      </c>
      <c r="I349" s="33"/>
      <c r="L349" s="135"/>
      <c r="M349" s="135"/>
      <c r="N349" s="33"/>
    </row>
    <row r="350" spans="1:20" s="34" customFormat="1" ht="15.75" customHeight="1" x14ac:dyDescent="0.3">
      <c r="A350" s="39">
        <v>2</v>
      </c>
      <c r="B350" s="39" t="s">
        <v>426</v>
      </c>
      <c r="C350" s="39" t="s">
        <v>428</v>
      </c>
      <c r="D350" s="39">
        <f>(54)*10.764</f>
        <v>581.25599999999997</v>
      </c>
      <c r="E350" s="39">
        <v>0</v>
      </c>
      <c r="F350" s="39">
        <f>D350+E350</f>
        <v>581.25599999999997</v>
      </c>
      <c r="G350" s="39">
        <v>0</v>
      </c>
      <c r="H350" s="39">
        <f>F350*(($H$167)+1)+(IF(G350&lt;101,G350,IF(G350&lt;201,G350/2,IF(G350&lt;=301,G350/3,G350/4))))</f>
        <v>871.88400000000001</v>
      </c>
      <c r="I350" s="33"/>
      <c r="L350" s="135"/>
      <c r="M350" s="135"/>
      <c r="N350" s="33"/>
    </row>
    <row r="351" spans="1:20" s="34" customFormat="1" ht="15.75" customHeight="1" x14ac:dyDescent="0.3">
      <c r="A351" s="39">
        <v>3</v>
      </c>
      <c r="B351" s="39" t="s">
        <v>426</v>
      </c>
      <c r="C351" s="39" t="s">
        <v>428</v>
      </c>
      <c r="D351" s="39">
        <f>(54.08)*10.764</f>
        <v>582.11712</v>
      </c>
      <c r="E351" s="39">
        <v>0</v>
      </c>
      <c r="F351" s="39">
        <f>D351+E351</f>
        <v>582.11712</v>
      </c>
      <c r="G351" s="39">
        <v>0</v>
      </c>
      <c r="H351" s="39">
        <f>F351*(($H$167)+1)+(IF(G351&lt;101,G351,IF(G351&lt;201,G351/2,IF(G351&lt;=301,G351/3,G351/4))))</f>
        <v>873.17568000000006</v>
      </c>
      <c r="I351" s="33"/>
      <c r="L351" s="135"/>
      <c r="M351" s="135"/>
      <c r="N351" s="33"/>
    </row>
    <row r="352" spans="1:20" s="34" customFormat="1" ht="15.75" customHeight="1" x14ac:dyDescent="0.3">
      <c r="A352" s="39">
        <v>4</v>
      </c>
      <c r="B352" s="39" t="s">
        <v>426</v>
      </c>
      <c r="C352" s="39" t="s">
        <v>428</v>
      </c>
      <c r="D352" s="39">
        <f>(53.94)*10.764</f>
        <v>580.61015999999995</v>
      </c>
      <c r="E352" s="39">
        <v>0</v>
      </c>
      <c r="F352" s="39">
        <f>D352+E352</f>
        <v>580.61015999999995</v>
      </c>
      <c r="G352" s="39">
        <v>0</v>
      </c>
      <c r="H352" s="39">
        <f>F352*(($H$167)+1)+(IF(G352&lt;101,G352,IF(G352&lt;201,G352/2,IF(G352&lt;=301,G352/3,G352/4))))</f>
        <v>870.91523999999993</v>
      </c>
      <c r="I352" s="33"/>
      <c r="L352" s="135"/>
      <c r="M352" s="135"/>
      <c r="N352" s="33"/>
      <c r="T352" s="18"/>
    </row>
    <row r="353" spans="1:20" s="34" customFormat="1" ht="15.75" customHeight="1" x14ac:dyDescent="0.3">
      <c r="A353" s="39">
        <v>5</v>
      </c>
      <c r="B353" s="39" t="s">
        <v>426</v>
      </c>
      <c r="C353" s="39" t="s">
        <v>428</v>
      </c>
      <c r="D353" s="39">
        <f>(54.37)*10.764</f>
        <v>585.23867999999993</v>
      </c>
      <c r="E353" s="39">
        <v>0</v>
      </c>
      <c r="F353" s="39">
        <f t="shared" ref="F353:F354" si="30">D353+E353</f>
        <v>585.23867999999993</v>
      </c>
      <c r="G353" s="39">
        <v>0</v>
      </c>
      <c r="H353" s="39">
        <f t="shared" ref="H353:H354" si="31">F353*(($H$167)+1)+(IF(G353&lt;101,G353,IF(G353&lt;201,G353/2,IF(G353&lt;=301,G353/3,G353/4))))</f>
        <v>877.8580199999999</v>
      </c>
      <c r="I353" s="33"/>
      <c r="L353" s="135"/>
      <c r="M353" s="135"/>
      <c r="N353" s="33"/>
      <c r="T353" s="18"/>
    </row>
    <row r="354" spans="1:20" s="34" customFormat="1" ht="15.75" customHeight="1" x14ac:dyDescent="0.3">
      <c r="A354" s="39">
        <v>6</v>
      </c>
      <c r="B354" s="39" t="s">
        <v>426</v>
      </c>
      <c r="C354" s="39" t="s">
        <v>428</v>
      </c>
      <c r="D354" s="39">
        <f>(54.11)*10.764</f>
        <v>582.44003999999995</v>
      </c>
      <c r="E354" s="39">
        <v>0</v>
      </c>
      <c r="F354" s="39">
        <f t="shared" si="30"/>
        <v>582.44003999999995</v>
      </c>
      <c r="G354" s="39">
        <v>0</v>
      </c>
      <c r="H354" s="39">
        <f t="shared" si="31"/>
        <v>873.66005999999993</v>
      </c>
      <c r="I354" s="33"/>
      <c r="L354" s="135"/>
      <c r="M354" s="135"/>
      <c r="N354" s="33"/>
      <c r="T354" s="18"/>
    </row>
    <row r="355" spans="1:20" s="34" customFormat="1" x14ac:dyDescent="0.3">
      <c r="A355" s="107" t="s">
        <v>432</v>
      </c>
      <c r="B355" s="108"/>
      <c r="C355" s="108"/>
      <c r="D355" s="108"/>
      <c r="E355" s="108"/>
      <c r="F355" s="108"/>
      <c r="G355" s="108"/>
      <c r="H355" s="109"/>
      <c r="I355" s="34">
        <f>5+6+4</f>
        <v>15</v>
      </c>
      <c r="J355" s="33"/>
    </row>
    <row r="356" spans="1:20" s="34" customFormat="1" ht="15.75" customHeight="1" x14ac:dyDescent="0.3">
      <c r="A356" s="39">
        <v>1</v>
      </c>
      <c r="B356" s="39" t="s">
        <v>426</v>
      </c>
      <c r="C356" s="39" t="s">
        <v>428</v>
      </c>
      <c r="D356" s="39">
        <f>(54.08)*10.764</f>
        <v>582.11712</v>
      </c>
      <c r="E356" s="39">
        <v>0</v>
      </c>
      <c r="F356" s="39">
        <f>D356+E356</f>
        <v>582.11712</v>
      </c>
      <c r="G356" s="39">
        <v>0</v>
      </c>
      <c r="H356" s="39">
        <f>F356*(($H$167)+1)+(IF(G356&lt;101,G356,IF(G356&lt;201,G356/2,IF(G356&lt;=301,G356/3,G356/4))))</f>
        <v>873.17568000000006</v>
      </c>
      <c r="I356" s="33"/>
      <c r="L356" s="135"/>
      <c r="M356" s="135"/>
      <c r="N356" s="33"/>
    </row>
    <row r="357" spans="1:20" s="34" customFormat="1" ht="15.75" customHeight="1" x14ac:dyDescent="0.3">
      <c r="A357" s="39">
        <v>2</v>
      </c>
      <c r="B357" s="39" t="s">
        <v>426</v>
      </c>
      <c r="C357" s="39" t="s">
        <v>428</v>
      </c>
      <c r="D357" s="39">
        <f>(54)*10.764</f>
        <v>581.25599999999997</v>
      </c>
      <c r="E357" s="39">
        <v>0</v>
      </c>
      <c r="F357" s="39">
        <f>D357+E357</f>
        <v>581.25599999999997</v>
      </c>
      <c r="G357" s="39">
        <v>0</v>
      </c>
      <c r="H357" s="39">
        <f>F357*(($H$167)+1)+(IF(G357&lt;101,G357,IF(G357&lt;201,G357/2,IF(G357&lt;=301,G357/3,G357/4))))</f>
        <v>871.88400000000001</v>
      </c>
      <c r="I357" s="33"/>
      <c r="L357" s="135"/>
      <c r="M357" s="135"/>
      <c r="N357" s="33"/>
    </row>
    <row r="358" spans="1:20" s="34" customFormat="1" ht="15.75" customHeight="1" x14ac:dyDescent="0.3">
      <c r="A358" s="39">
        <v>3</v>
      </c>
      <c r="B358" s="39" t="s">
        <v>426</v>
      </c>
      <c r="C358" s="39" t="s">
        <v>428</v>
      </c>
      <c r="D358" s="39">
        <f>(54.08)*10.764</f>
        <v>582.11712</v>
      </c>
      <c r="E358" s="39">
        <v>0</v>
      </c>
      <c r="F358" s="39">
        <f>D358+E358</f>
        <v>582.11712</v>
      </c>
      <c r="G358" s="39">
        <v>0</v>
      </c>
      <c r="H358" s="39">
        <f>F358*(($H$167)+1)+(IF(G358&lt;101,G358,IF(G358&lt;201,G358/2,IF(G358&lt;=301,G358/3,G358/4))))</f>
        <v>873.17568000000006</v>
      </c>
      <c r="I358" s="33"/>
      <c r="L358" s="135"/>
      <c r="M358" s="135"/>
      <c r="N358" s="33"/>
    </row>
    <row r="359" spans="1:20" s="34" customFormat="1" ht="15.75" customHeight="1" x14ac:dyDescent="0.3">
      <c r="A359" s="39">
        <v>4</v>
      </c>
      <c r="B359" s="39" t="s">
        <v>426</v>
      </c>
      <c r="C359" s="39" t="s">
        <v>428</v>
      </c>
      <c r="D359" s="39">
        <f>(53.94)*10.764</f>
        <v>580.61015999999995</v>
      </c>
      <c r="E359" s="39">
        <v>0</v>
      </c>
      <c r="F359" s="39">
        <f>D359+E359</f>
        <v>580.61015999999995</v>
      </c>
      <c r="G359" s="39">
        <v>0</v>
      </c>
      <c r="H359" s="39">
        <f>F359*(($H$167)+1)+(IF(G359&lt;101,G359,IF(G359&lt;201,G359/2,IF(G359&lt;=301,G359/3,G359/4))))</f>
        <v>870.91523999999993</v>
      </c>
      <c r="I359" s="33"/>
      <c r="L359" s="135"/>
      <c r="M359" s="135"/>
      <c r="N359" s="33"/>
      <c r="T359" s="18"/>
    </row>
    <row r="360" spans="1:20" s="34" customFormat="1" ht="15.75" customHeight="1" x14ac:dyDescent="0.3">
      <c r="A360" s="39">
        <v>5</v>
      </c>
      <c r="B360" s="39" t="s">
        <v>426</v>
      </c>
      <c r="C360" s="39" t="s">
        <v>428</v>
      </c>
      <c r="D360" s="39">
        <f>(54.37)*10.764</f>
        <v>585.23867999999993</v>
      </c>
      <c r="E360" s="39">
        <v>0</v>
      </c>
      <c r="F360" s="39">
        <f t="shared" ref="F360:F361" si="32">D360+E360</f>
        <v>585.23867999999993</v>
      </c>
      <c r="G360" s="39">
        <v>0</v>
      </c>
      <c r="H360" s="39">
        <f t="shared" ref="H360:H361" si="33">F360*(($H$167)+1)+(IF(G360&lt;101,G360,IF(G360&lt;201,G360/2,IF(G360&lt;=301,G360/3,G360/4))))</f>
        <v>877.8580199999999</v>
      </c>
      <c r="I360" s="33"/>
      <c r="L360" s="135"/>
      <c r="M360" s="135"/>
      <c r="N360" s="33"/>
      <c r="T360" s="18"/>
    </row>
    <row r="361" spans="1:20" s="34" customFormat="1" ht="15.75" customHeight="1" x14ac:dyDescent="0.3">
      <c r="A361" s="39">
        <v>6</v>
      </c>
      <c r="B361" s="39" t="s">
        <v>426</v>
      </c>
      <c r="C361" s="39" t="s">
        <v>428</v>
      </c>
      <c r="D361" s="39">
        <f>(54.11)*10.764</f>
        <v>582.44003999999995</v>
      </c>
      <c r="E361" s="39">
        <v>0</v>
      </c>
      <c r="F361" s="39">
        <f t="shared" si="32"/>
        <v>582.44003999999995</v>
      </c>
      <c r="G361" s="39">
        <v>0</v>
      </c>
      <c r="H361" s="39">
        <f t="shared" si="33"/>
        <v>873.66005999999993</v>
      </c>
      <c r="I361" s="33"/>
      <c r="L361" s="135"/>
      <c r="M361" s="135"/>
      <c r="N361" s="33"/>
      <c r="T361" s="18"/>
    </row>
    <row r="362" spans="1:20" s="34" customFormat="1" x14ac:dyDescent="0.3">
      <c r="A362" s="107" t="s">
        <v>433</v>
      </c>
      <c r="B362" s="108"/>
      <c r="C362" s="108"/>
      <c r="D362" s="108"/>
      <c r="E362" s="108"/>
      <c r="F362" s="108"/>
      <c r="G362" s="108"/>
      <c r="H362" s="109"/>
      <c r="I362" s="34">
        <f>3</f>
        <v>3</v>
      </c>
      <c r="J362" s="33"/>
    </row>
    <row r="363" spans="1:20" s="34" customFormat="1" ht="15.75" customHeight="1" x14ac:dyDescent="0.3">
      <c r="A363" s="39">
        <v>1</v>
      </c>
      <c r="B363" s="39" t="s">
        <v>426</v>
      </c>
      <c r="C363" s="39" t="s">
        <v>428</v>
      </c>
      <c r="D363" s="39">
        <f>(54.08)*10.764</f>
        <v>582.11712</v>
      </c>
      <c r="E363" s="39">
        <v>0</v>
      </c>
      <c r="F363" s="39">
        <f>D363+E363</f>
        <v>582.11712</v>
      </c>
      <c r="G363" s="39">
        <v>0</v>
      </c>
      <c r="H363" s="39">
        <f>F363*(($H$167)+1)+(IF(G363&lt;101,G363,IF(G363&lt;201,G363/2,IF(G363&lt;=301,G363/3,G363/4))))</f>
        <v>873.17568000000006</v>
      </c>
      <c r="I363" s="33"/>
      <c r="L363" s="135"/>
      <c r="M363" s="135"/>
      <c r="N363" s="33"/>
    </row>
    <row r="364" spans="1:20" s="34" customFormat="1" ht="15.75" customHeight="1" x14ac:dyDescent="0.3">
      <c r="A364" s="39">
        <v>2</v>
      </c>
      <c r="B364" s="39" t="s">
        <v>426</v>
      </c>
      <c r="C364" s="39" t="s">
        <v>428</v>
      </c>
      <c r="D364" s="39">
        <f>(54)*10.764</f>
        <v>581.25599999999997</v>
      </c>
      <c r="E364" s="39">
        <v>0</v>
      </c>
      <c r="F364" s="39">
        <f>D364+E364</f>
        <v>581.25599999999997</v>
      </c>
      <c r="G364" s="39">
        <v>0</v>
      </c>
      <c r="H364" s="39">
        <f>F364*(($H$167)+1)+(IF(G364&lt;101,G364,IF(G364&lt;201,G364/2,IF(G364&lt;=301,G364/3,G364/4))))</f>
        <v>871.88400000000001</v>
      </c>
      <c r="I364" s="33"/>
      <c r="L364" s="135"/>
      <c r="M364" s="135"/>
      <c r="N364" s="33"/>
    </row>
    <row r="365" spans="1:20" s="34" customFormat="1" ht="15.75" customHeight="1" x14ac:dyDescent="0.3">
      <c r="A365" s="39">
        <v>3</v>
      </c>
      <c r="B365" s="39" t="s">
        <v>426</v>
      </c>
      <c r="C365" s="39" t="s">
        <v>428</v>
      </c>
      <c r="D365" s="39">
        <f>(54.08)*10.764</f>
        <v>582.11712</v>
      </c>
      <c r="E365" s="39">
        <v>0</v>
      </c>
      <c r="F365" s="39">
        <f>D365+E365</f>
        <v>582.11712</v>
      </c>
      <c r="G365" s="39">
        <v>0</v>
      </c>
      <c r="H365" s="39">
        <f>F365*(($H$167)+1)+(IF(G365&lt;101,G365,IF(G365&lt;201,G365/2,IF(G365&lt;=301,G365/3,G365/4))))</f>
        <v>873.17568000000006</v>
      </c>
      <c r="I365" s="33"/>
      <c r="L365" s="135"/>
      <c r="M365" s="135"/>
      <c r="N365" s="33"/>
    </row>
    <row r="366" spans="1:20" s="34" customFormat="1" ht="15.75" customHeight="1" x14ac:dyDescent="0.3">
      <c r="A366" s="39">
        <v>4</v>
      </c>
      <c r="B366" s="39" t="s">
        <v>426</v>
      </c>
      <c r="C366" s="39" t="s">
        <v>428</v>
      </c>
      <c r="D366" s="39">
        <f>(53.94)*10.764</f>
        <v>580.61015999999995</v>
      </c>
      <c r="E366" s="39">
        <v>0</v>
      </c>
      <c r="F366" s="39">
        <f>D366+E366</f>
        <v>580.61015999999995</v>
      </c>
      <c r="G366" s="39">
        <v>0</v>
      </c>
      <c r="H366" s="39">
        <f>F366*(($H$167)+1)+(IF(G366&lt;101,G366,IF(G366&lt;201,G366/2,IF(G366&lt;=301,G366/3,G366/4))))</f>
        <v>870.91523999999993</v>
      </c>
      <c r="I366" s="33"/>
      <c r="L366" s="135"/>
      <c r="M366" s="135"/>
      <c r="N366" s="33"/>
      <c r="T366" s="18"/>
    </row>
    <row r="367" spans="1:20" s="34" customFormat="1" ht="15.75" customHeight="1" x14ac:dyDescent="0.3">
      <c r="A367" s="39">
        <v>5</v>
      </c>
      <c r="B367" s="91" t="s">
        <v>435</v>
      </c>
      <c r="C367" s="39" t="s">
        <v>427</v>
      </c>
      <c r="D367" s="39">
        <f>(29.74)*10.764</f>
        <v>320.12135999999998</v>
      </c>
      <c r="E367" s="39">
        <v>0</v>
      </c>
      <c r="F367" s="39">
        <f t="shared" ref="F367" si="34">D367+E367</f>
        <v>320.12135999999998</v>
      </c>
      <c r="G367" s="39">
        <v>0</v>
      </c>
      <c r="H367" s="39">
        <f t="shared" ref="H367" si="35">F367*(($H$167)+1)+(IF(G367&lt;101,G367,IF(G367&lt;201,G367/2,IF(G367&lt;=301,G367/3,G367/4))))</f>
        <v>480.18203999999997</v>
      </c>
      <c r="I367" s="33"/>
      <c r="L367" s="135"/>
      <c r="M367" s="135"/>
      <c r="N367" s="33"/>
      <c r="T367" s="18"/>
    </row>
    <row r="368" spans="1:20" s="34" customFormat="1" ht="15.75" customHeight="1" x14ac:dyDescent="0.3">
      <c r="A368" s="39">
        <v>6</v>
      </c>
      <c r="B368" s="140" t="s">
        <v>434</v>
      </c>
      <c r="C368" s="159"/>
      <c r="D368" s="159"/>
      <c r="E368" s="159"/>
      <c r="F368" s="159"/>
      <c r="G368" s="159"/>
      <c r="H368" s="141"/>
      <c r="I368" s="33"/>
      <c r="L368" s="135"/>
      <c r="M368" s="135"/>
      <c r="N368" s="33"/>
      <c r="T368" s="18"/>
    </row>
    <row r="369" spans="1:20" s="34" customFormat="1" x14ac:dyDescent="0.3">
      <c r="A369" s="107" t="s">
        <v>436</v>
      </c>
      <c r="B369" s="108"/>
      <c r="C369" s="108"/>
      <c r="D369" s="108"/>
      <c r="E369" s="108"/>
      <c r="F369" s="108"/>
      <c r="G369" s="108"/>
      <c r="H369" s="109"/>
      <c r="I369" s="34">
        <f>2+6+6+2</f>
        <v>16</v>
      </c>
      <c r="J369" s="33"/>
    </row>
    <row r="370" spans="1:20" s="34" customFormat="1" ht="15.75" customHeight="1" x14ac:dyDescent="0.3">
      <c r="A370" s="39">
        <v>1</v>
      </c>
      <c r="B370" s="39" t="s">
        <v>426</v>
      </c>
      <c r="C370" s="39" t="s">
        <v>428</v>
      </c>
      <c r="D370" s="39">
        <f>(54.08)*10.764</f>
        <v>582.11712</v>
      </c>
      <c r="E370" s="39">
        <v>0</v>
      </c>
      <c r="F370" s="39">
        <f>D370+E370</f>
        <v>582.11712</v>
      </c>
      <c r="G370" s="39">
        <v>0</v>
      </c>
      <c r="H370" s="39">
        <f>F370*(($H$167)+1)+(IF(G370&lt;101,G370,IF(G370&lt;201,G370/2,IF(G370&lt;=301,G370/3,G370/4))))</f>
        <v>873.17568000000006</v>
      </c>
      <c r="I370" s="33"/>
      <c r="L370" s="135"/>
      <c r="M370" s="135"/>
      <c r="N370" s="33"/>
    </row>
    <row r="371" spans="1:20" s="34" customFormat="1" ht="15.75" customHeight="1" x14ac:dyDescent="0.3">
      <c r="A371" s="39">
        <v>2</v>
      </c>
      <c r="B371" s="39" t="s">
        <v>426</v>
      </c>
      <c r="C371" s="39" t="s">
        <v>428</v>
      </c>
      <c r="D371" s="39">
        <f>(54)*10.764</f>
        <v>581.25599999999997</v>
      </c>
      <c r="E371" s="39">
        <v>0</v>
      </c>
      <c r="F371" s="39">
        <f>D371+E371</f>
        <v>581.25599999999997</v>
      </c>
      <c r="G371" s="39">
        <v>0</v>
      </c>
      <c r="H371" s="39">
        <f>F371*(($H$167)+1)+(IF(G371&lt;101,G371,IF(G371&lt;201,G371/2,IF(G371&lt;=301,G371/3,G371/4))))</f>
        <v>871.88400000000001</v>
      </c>
      <c r="I371" s="33"/>
      <c r="L371" s="135"/>
      <c r="M371" s="135"/>
      <c r="N371" s="33"/>
    </row>
    <row r="372" spans="1:20" s="34" customFormat="1" ht="15.75" customHeight="1" x14ac:dyDescent="0.3">
      <c r="A372" s="39">
        <v>3</v>
      </c>
      <c r="B372" s="39" t="s">
        <v>426</v>
      </c>
      <c r="C372" s="39" t="s">
        <v>428</v>
      </c>
      <c r="D372" s="39">
        <f>(54.08)*10.764</f>
        <v>582.11712</v>
      </c>
      <c r="E372" s="39">
        <v>0</v>
      </c>
      <c r="F372" s="39">
        <f>D372+E372</f>
        <v>582.11712</v>
      </c>
      <c r="G372" s="39">
        <v>0</v>
      </c>
      <c r="H372" s="39">
        <f>F372*(($H$167)+1)+(IF(G372&lt;101,G372,IF(G372&lt;201,G372/2,IF(G372&lt;=301,G372/3,G372/4))))</f>
        <v>873.17568000000006</v>
      </c>
      <c r="I372" s="33"/>
      <c r="L372" s="135"/>
      <c r="M372" s="135"/>
      <c r="N372" s="33"/>
    </row>
    <row r="373" spans="1:20" s="34" customFormat="1" ht="15.75" customHeight="1" x14ac:dyDescent="0.3">
      <c r="A373" s="39">
        <v>4</v>
      </c>
      <c r="B373" s="39" t="s">
        <v>426</v>
      </c>
      <c r="C373" s="39" t="s">
        <v>428</v>
      </c>
      <c r="D373" s="39">
        <f>(53.94)*10.764</f>
        <v>580.61015999999995</v>
      </c>
      <c r="E373" s="39">
        <v>0</v>
      </c>
      <c r="F373" s="39">
        <f>D373+E373</f>
        <v>580.61015999999995</v>
      </c>
      <c r="G373" s="39">
        <v>0</v>
      </c>
      <c r="H373" s="39">
        <f>F373*(($H$167)+1)+(IF(G373&lt;101,G373,IF(G373&lt;201,G373/2,IF(G373&lt;=301,G373/3,G373/4))))</f>
        <v>870.91523999999993</v>
      </c>
      <c r="I373" s="33"/>
      <c r="L373" s="135"/>
      <c r="M373" s="135"/>
      <c r="N373" s="33"/>
      <c r="T373" s="18"/>
    </row>
    <row r="374" spans="1:20" s="34" customFormat="1" ht="15.75" customHeight="1" x14ac:dyDescent="0.3">
      <c r="A374" s="39">
        <v>5</v>
      </c>
      <c r="B374" s="39" t="s">
        <v>426</v>
      </c>
      <c r="C374" s="39" t="s">
        <v>428</v>
      </c>
      <c r="D374" s="39">
        <f>(54.37)*10.764</f>
        <v>585.23867999999993</v>
      </c>
      <c r="E374" s="39">
        <v>0</v>
      </c>
      <c r="F374" s="39">
        <f t="shared" ref="F374:F375" si="36">D374+E374</f>
        <v>585.23867999999993</v>
      </c>
      <c r="G374" s="39">
        <v>0</v>
      </c>
      <c r="H374" s="39">
        <f t="shared" ref="H374:H375" si="37">F374*(($H$167)+1)+(IF(G374&lt;101,G374,IF(G374&lt;201,G374/2,IF(G374&lt;=301,G374/3,G374/4))))</f>
        <v>877.8580199999999</v>
      </c>
      <c r="I374" s="33"/>
      <c r="L374" s="135"/>
      <c r="M374" s="135"/>
      <c r="N374" s="33"/>
      <c r="T374" s="18"/>
    </row>
    <row r="375" spans="1:20" s="34" customFormat="1" ht="15.75" customHeight="1" x14ac:dyDescent="0.3">
      <c r="A375" s="39">
        <v>6</v>
      </c>
      <c r="B375" s="39" t="s">
        <v>426</v>
      </c>
      <c r="C375" s="39" t="s">
        <v>428</v>
      </c>
      <c r="D375" s="39">
        <f>(54.11)*10.764</f>
        <v>582.44003999999995</v>
      </c>
      <c r="E375" s="39">
        <v>0</v>
      </c>
      <c r="F375" s="39">
        <f t="shared" si="36"/>
        <v>582.44003999999995</v>
      </c>
      <c r="G375" s="39">
        <v>0</v>
      </c>
      <c r="H375" s="39">
        <f t="shared" si="37"/>
        <v>873.66005999999993</v>
      </c>
      <c r="I375" s="33"/>
      <c r="L375" s="135"/>
      <c r="M375" s="135"/>
      <c r="N375" s="33"/>
      <c r="T375" s="18"/>
    </row>
    <row r="376" spans="1:20" s="34" customFormat="1" x14ac:dyDescent="0.3">
      <c r="A376" s="107" t="s">
        <v>437</v>
      </c>
      <c r="B376" s="108"/>
      <c r="C376" s="108"/>
      <c r="D376" s="108"/>
      <c r="E376" s="108"/>
      <c r="F376" s="108"/>
      <c r="G376" s="108"/>
      <c r="H376" s="109"/>
      <c r="I376" s="34">
        <v>1</v>
      </c>
      <c r="J376" s="33"/>
    </row>
    <row r="377" spans="1:20" s="34" customFormat="1" ht="15.75" customHeight="1" x14ac:dyDescent="0.3">
      <c r="A377" s="39">
        <v>1</v>
      </c>
      <c r="B377" s="39" t="s">
        <v>426</v>
      </c>
      <c r="C377" s="39" t="s">
        <v>428</v>
      </c>
      <c r="D377" s="39">
        <f>(54.08)*10.764</f>
        <v>582.11712</v>
      </c>
      <c r="E377" s="39">
        <v>0</v>
      </c>
      <c r="F377" s="39">
        <f>D377+E377</f>
        <v>582.11712</v>
      </c>
      <c r="G377" s="39">
        <v>0</v>
      </c>
      <c r="H377" s="39">
        <f>F377*(($H$167)+1)+(IF(G377&lt;101,G377,IF(G377&lt;201,G377/2,IF(G377&lt;=301,G377/3,G377/4))))</f>
        <v>873.17568000000006</v>
      </c>
      <c r="I377" s="33"/>
      <c r="L377" s="135"/>
      <c r="M377" s="135"/>
      <c r="N377" s="33"/>
    </row>
    <row r="378" spans="1:20" s="34" customFormat="1" ht="15.75" customHeight="1" x14ac:dyDescent="0.3">
      <c r="A378" s="39">
        <v>2</v>
      </c>
      <c r="B378" s="39" t="s">
        <v>426</v>
      </c>
      <c r="C378" s="39" t="s">
        <v>428</v>
      </c>
      <c r="D378" s="39">
        <f>(54)*10.764</f>
        <v>581.25599999999997</v>
      </c>
      <c r="E378" s="39">
        <v>0</v>
      </c>
      <c r="F378" s="39">
        <f>D378+E378</f>
        <v>581.25599999999997</v>
      </c>
      <c r="G378" s="39">
        <v>0</v>
      </c>
      <c r="H378" s="39">
        <f>F378*(($H$167)+1)+(IF(G378&lt;101,G378,IF(G378&lt;201,G378/2,IF(G378&lt;=301,G378/3,G378/4))))</f>
        <v>871.88400000000001</v>
      </c>
      <c r="I378" s="33"/>
      <c r="L378" s="135"/>
      <c r="M378" s="135"/>
      <c r="N378" s="33"/>
    </row>
    <row r="379" spans="1:20" s="34" customFormat="1" ht="15.75" customHeight="1" x14ac:dyDescent="0.3">
      <c r="A379" s="39">
        <v>3</v>
      </c>
      <c r="B379" s="39" t="s">
        <v>426</v>
      </c>
      <c r="C379" s="39" t="s">
        <v>428</v>
      </c>
      <c r="D379" s="39">
        <f>(54.08)*10.764</f>
        <v>582.11712</v>
      </c>
      <c r="E379" s="39">
        <v>0</v>
      </c>
      <c r="F379" s="39">
        <f>D379+E379</f>
        <v>582.11712</v>
      </c>
      <c r="G379" s="39">
        <v>0</v>
      </c>
      <c r="H379" s="39">
        <f>F379*(($H$167)+1)+(IF(G379&lt;101,G379,IF(G379&lt;201,G379/2,IF(G379&lt;=301,G379/3,G379/4))))</f>
        <v>873.17568000000006</v>
      </c>
      <c r="I379" s="33"/>
      <c r="L379" s="135"/>
      <c r="M379" s="135"/>
      <c r="N379" s="33"/>
    </row>
    <row r="380" spans="1:20" s="34" customFormat="1" ht="15.75" customHeight="1" x14ac:dyDescent="0.3">
      <c r="A380" s="39">
        <v>4</v>
      </c>
      <c r="B380" s="39" t="s">
        <v>426</v>
      </c>
      <c r="C380" s="39" t="s">
        <v>428</v>
      </c>
      <c r="D380" s="39">
        <f>(53.94)*10.764</f>
        <v>580.61015999999995</v>
      </c>
      <c r="E380" s="39">
        <v>0</v>
      </c>
      <c r="F380" s="39">
        <f>D380+E380</f>
        <v>580.61015999999995</v>
      </c>
      <c r="G380" s="39">
        <v>0</v>
      </c>
      <c r="H380" s="39">
        <f>F380*(($H$167)+1)+(IF(G380&lt;101,G380,IF(G380&lt;201,G380/2,IF(G380&lt;=301,G380/3,G380/4))))</f>
        <v>870.91523999999993</v>
      </c>
      <c r="I380" s="33"/>
      <c r="L380" s="135"/>
      <c r="M380" s="135"/>
      <c r="N380" s="33"/>
      <c r="T380" s="18"/>
    </row>
    <row r="381" spans="1:20" s="34" customFormat="1" ht="15.75" customHeight="1" x14ac:dyDescent="0.3">
      <c r="A381" s="39">
        <v>5</v>
      </c>
      <c r="B381" s="283" t="s">
        <v>434</v>
      </c>
      <c r="C381" s="284"/>
      <c r="D381" s="284"/>
      <c r="E381" s="284"/>
      <c r="F381" s="284"/>
      <c r="G381" s="284"/>
      <c r="H381" s="285"/>
      <c r="I381" s="33"/>
      <c r="L381" s="135"/>
      <c r="M381" s="135"/>
      <c r="N381" s="33"/>
      <c r="T381" s="18"/>
    </row>
    <row r="382" spans="1:20" s="34" customFormat="1" ht="15.75" customHeight="1" x14ac:dyDescent="0.3">
      <c r="A382" s="39">
        <v>6</v>
      </c>
      <c r="B382" s="286"/>
      <c r="C382" s="287"/>
      <c r="D382" s="287"/>
      <c r="E382" s="287"/>
      <c r="F382" s="287"/>
      <c r="G382" s="287"/>
      <c r="H382" s="288"/>
      <c r="I382" s="33"/>
      <c r="L382" s="135"/>
      <c r="M382" s="135"/>
      <c r="N382" s="33"/>
      <c r="T382" s="18"/>
    </row>
    <row r="383" spans="1:20" s="34" customFormat="1" x14ac:dyDescent="0.3">
      <c r="A383" s="107" t="s">
        <v>438</v>
      </c>
      <c r="B383" s="108"/>
      <c r="C383" s="108"/>
      <c r="D383" s="108"/>
      <c r="E383" s="108"/>
      <c r="F383" s="108"/>
      <c r="G383" s="108"/>
      <c r="H383" s="109"/>
      <c r="I383" s="34">
        <v>1</v>
      </c>
      <c r="J383" s="33"/>
    </row>
    <row r="384" spans="1:20" s="34" customFormat="1" ht="15.75" customHeight="1" x14ac:dyDescent="0.3">
      <c r="A384" s="39">
        <v>1</v>
      </c>
      <c r="B384" s="39" t="s">
        <v>426</v>
      </c>
      <c r="C384" s="39" t="s">
        <v>428</v>
      </c>
      <c r="D384" s="39">
        <f>(54.08)*10.764</f>
        <v>582.11712</v>
      </c>
      <c r="E384" s="39">
        <v>0</v>
      </c>
      <c r="F384" s="39">
        <f>D384+E384</f>
        <v>582.11712</v>
      </c>
      <c r="G384" s="39">
        <v>0</v>
      </c>
      <c r="H384" s="39">
        <f>F384*(($H$167)+1)+(IF(G384&lt;101,G384,IF(G384&lt;201,G384/2,IF(G384&lt;=301,G384/3,G384/4))))</f>
        <v>873.17568000000006</v>
      </c>
      <c r="I384" s="33"/>
      <c r="L384" s="135"/>
      <c r="M384" s="135"/>
      <c r="N384" s="33"/>
    </row>
    <row r="385" spans="1:20" s="34" customFormat="1" ht="15.75" customHeight="1" x14ac:dyDescent="0.3">
      <c r="A385" s="39">
        <v>2</v>
      </c>
      <c r="B385" s="39" t="s">
        <v>426</v>
      </c>
      <c r="C385" s="39" t="s">
        <v>428</v>
      </c>
      <c r="D385" s="39">
        <f>(54)*10.764</f>
        <v>581.25599999999997</v>
      </c>
      <c r="E385" s="39">
        <v>0</v>
      </c>
      <c r="F385" s="39">
        <f>D385+E385</f>
        <v>581.25599999999997</v>
      </c>
      <c r="G385" s="39">
        <v>0</v>
      </c>
      <c r="H385" s="39">
        <f>F385*(($H$167)+1)+(IF(G385&lt;101,G385,IF(G385&lt;201,G385/2,IF(G385&lt;=301,G385/3,G385/4))))</f>
        <v>871.88400000000001</v>
      </c>
      <c r="I385" s="33"/>
      <c r="L385" s="135"/>
      <c r="M385" s="135"/>
      <c r="N385" s="33"/>
    </row>
    <row r="386" spans="1:20" s="34" customFormat="1" ht="15.75" customHeight="1" x14ac:dyDescent="0.3">
      <c r="A386" s="39">
        <v>3</v>
      </c>
      <c r="B386" s="39" t="s">
        <v>426</v>
      </c>
      <c r="C386" s="39" t="s">
        <v>428</v>
      </c>
      <c r="D386" s="39">
        <f>(54.08)*10.764</f>
        <v>582.11712</v>
      </c>
      <c r="E386" s="39">
        <v>0</v>
      </c>
      <c r="F386" s="39">
        <f>D386+E386</f>
        <v>582.11712</v>
      </c>
      <c r="G386" s="39">
        <v>0</v>
      </c>
      <c r="H386" s="39">
        <f>F386*(($H$167)+1)+(IF(G386&lt;101,G386,IF(G386&lt;201,G386/2,IF(G386&lt;=301,G386/3,G386/4))))</f>
        <v>873.17568000000006</v>
      </c>
      <c r="I386" s="33"/>
      <c r="L386" s="135"/>
      <c r="M386" s="135"/>
      <c r="N386" s="33"/>
    </row>
    <row r="387" spans="1:20" s="34" customFormat="1" ht="15.75" customHeight="1" x14ac:dyDescent="0.3">
      <c r="A387" s="39">
        <v>4</v>
      </c>
      <c r="B387" s="39" t="s">
        <v>426</v>
      </c>
      <c r="C387" s="39" t="s">
        <v>428</v>
      </c>
      <c r="D387" s="39">
        <f>(53.94)*10.764</f>
        <v>580.61015999999995</v>
      </c>
      <c r="E387" s="39">
        <v>0</v>
      </c>
      <c r="F387" s="39">
        <f>D387+E387</f>
        <v>580.61015999999995</v>
      </c>
      <c r="G387" s="39">
        <v>0</v>
      </c>
      <c r="H387" s="39">
        <f>F387*(($H$167)+1)+(IF(G387&lt;101,G387,IF(G387&lt;201,G387/2,IF(G387&lt;=301,G387/3,G387/4))))</f>
        <v>870.91523999999993</v>
      </c>
      <c r="I387" s="33"/>
      <c r="L387" s="135"/>
      <c r="M387" s="135"/>
      <c r="N387" s="33"/>
      <c r="T387" s="18"/>
    </row>
    <row r="388" spans="1:20" s="34" customFormat="1" ht="15.75" customHeight="1" x14ac:dyDescent="0.3">
      <c r="A388" s="39">
        <v>5</v>
      </c>
      <c r="B388" s="39" t="s">
        <v>426</v>
      </c>
      <c r="C388" s="39" t="s">
        <v>428</v>
      </c>
      <c r="D388" s="39">
        <f>(54.37)*10.764</f>
        <v>585.23867999999993</v>
      </c>
      <c r="E388" s="39">
        <v>0</v>
      </c>
      <c r="F388" s="39">
        <f t="shared" ref="F388" si="38">D388+E388</f>
        <v>585.23867999999993</v>
      </c>
      <c r="G388" s="39">
        <v>0</v>
      </c>
      <c r="H388" s="39">
        <f t="shared" ref="H388" si="39">F388*(($H$167)+1)+(IF(G388&lt;101,G388,IF(G388&lt;201,G388/2,IF(G388&lt;=301,G388/3,G388/4))))</f>
        <v>877.8580199999999</v>
      </c>
      <c r="I388" s="33"/>
      <c r="L388" s="135"/>
      <c r="M388" s="135"/>
      <c r="N388" s="33"/>
      <c r="T388" s="18"/>
    </row>
    <row r="389" spans="1:20" s="34" customFormat="1" ht="15.75" customHeight="1" x14ac:dyDescent="0.3">
      <c r="A389" s="39">
        <v>6</v>
      </c>
      <c r="B389" s="140" t="s">
        <v>434</v>
      </c>
      <c r="C389" s="159"/>
      <c r="D389" s="159"/>
      <c r="E389" s="159"/>
      <c r="F389" s="159"/>
      <c r="G389" s="159"/>
      <c r="H389" s="141"/>
      <c r="I389" s="33"/>
      <c r="L389" s="135"/>
      <c r="M389" s="135"/>
      <c r="N389" s="33"/>
      <c r="T389" s="18"/>
    </row>
    <row r="390" spans="1:20" s="34" customFormat="1" x14ac:dyDescent="0.3">
      <c r="A390" s="289" t="s">
        <v>439</v>
      </c>
      <c r="B390" s="290"/>
      <c r="C390" s="290"/>
      <c r="D390" s="290"/>
      <c r="E390" s="290"/>
      <c r="F390" s="290"/>
      <c r="G390" s="290"/>
      <c r="H390" s="291"/>
      <c r="I390" s="34">
        <v>1</v>
      </c>
      <c r="J390" s="33"/>
    </row>
    <row r="391" spans="1:20" s="34" customFormat="1" ht="15.75" customHeight="1" x14ac:dyDescent="0.3">
      <c r="A391" s="39">
        <v>1</v>
      </c>
      <c r="B391" s="283" t="s">
        <v>440</v>
      </c>
      <c r="C391" s="284"/>
      <c r="D391" s="284"/>
      <c r="E391" s="284"/>
      <c r="F391" s="284"/>
      <c r="G391" s="284"/>
      <c r="H391" s="285"/>
      <c r="I391" s="33"/>
      <c r="L391" s="135"/>
      <c r="M391" s="135"/>
      <c r="N391" s="33"/>
    </row>
    <row r="392" spans="1:20" s="34" customFormat="1" ht="15.75" customHeight="1" x14ac:dyDescent="0.3">
      <c r="A392" s="39">
        <v>2</v>
      </c>
      <c r="B392" s="286"/>
      <c r="C392" s="287"/>
      <c r="D392" s="287"/>
      <c r="E392" s="287"/>
      <c r="F392" s="287"/>
      <c r="G392" s="287"/>
      <c r="H392" s="288"/>
      <c r="I392" s="33"/>
      <c r="L392" s="135"/>
      <c r="M392" s="135"/>
      <c r="N392" s="33"/>
    </row>
    <row r="393" spans="1:20" s="34" customFormat="1" ht="15.75" customHeight="1" x14ac:dyDescent="0.3">
      <c r="A393" s="39">
        <v>3</v>
      </c>
      <c r="B393" s="39" t="s">
        <v>426</v>
      </c>
      <c r="C393" s="39" t="s">
        <v>428</v>
      </c>
      <c r="D393" s="39">
        <f>(54.08)*10.764</f>
        <v>582.11712</v>
      </c>
      <c r="E393" s="39">
        <v>0</v>
      </c>
      <c r="F393" s="39">
        <f>D393+E393</f>
        <v>582.11712</v>
      </c>
      <c r="G393" s="39">
        <v>0</v>
      </c>
      <c r="H393" s="39">
        <f>F393*(($H$167)+1)+(IF(G393&lt;101,G393,IF(G393&lt;201,G393/2,IF(G393&lt;=301,G393/3,G393/4))))</f>
        <v>873.17568000000006</v>
      </c>
      <c r="I393" s="33"/>
      <c r="L393" s="135"/>
      <c r="M393" s="135"/>
      <c r="N393" s="33"/>
    </row>
    <row r="394" spans="1:20" s="34" customFormat="1" ht="15.75" customHeight="1" x14ac:dyDescent="0.3">
      <c r="A394" s="39">
        <v>4</v>
      </c>
      <c r="B394" s="91" t="s">
        <v>435</v>
      </c>
      <c r="C394" s="39" t="s">
        <v>428</v>
      </c>
      <c r="D394" s="39">
        <f>(53.94)*10.764</f>
        <v>580.61015999999995</v>
      </c>
      <c r="E394" s="39">
        <v>0</v>
      </c>
      <c r="F394" s="39">
        <f>D394+E394</f>
        <v>580.61015999999995</v>
      </c>
      <c r="G394" s="39">
        <v>0</v>
      </c>
      <c r="H394" s="39">
        <f>F394*(($H$167)+1)+(IF(G394&lt;101,G394,IF(G394&lt;201,G394/2,IF(G394&lt;=301,G394/3,G394/4))))</f>
        <v>870.91523999999993</v>
      </c>
      <c r="I394" s="33"/>
      <c r="L394" s="135"/>
      <c r="M394" s="135"/>
      <c r="N394" s="33"/>
      <c r="T394" s="18"/>
    </row>
    <row r="395" spans="1:20" s="34" customFormat="1" ht="15.75" customHeight="1" x14ac:dyDescent="0.3">
      <c r="A395" s="39">
        <v>5</v>
      </c>
      <c r="B395" s="39" t="s">
        <v>426</v>
      </c>
      <c r="C395" s="39" t="s">
        <v>428</v>
      </c>
      <c r="D395" s="39">
        <f>(54.37)*10.764</f>
        <v>585.23867999999993</v>
      </c>
      <c r="E395" s="39">
        <v>0</v>
      </c>
      <c r="F395" s="39">
        <f t="shared" ref="F395:F396" si="40">D395+E395</f>
        <v>585.23867999999993</v>
      </c>
      <c r="G395" s="39">
        <v>0</v>
      </c>
      <c r="H395" s="39">
        <f t="shared" ref="H395:H396" si="41">F395*(($H$167)+1)+(IF(G395&lt;101,G395,IF(G395&lt;201,G395/2,IF(G395&lt;=301,G395/3,G395/4))))</f>
        <v>877.8580199999999</v>
      </c>
      <c r="I395" s="33"/>
      <c r="L395" s="135"/>
      <c r="M395" s="135"/>
      <c r="N395" s="33"/>
      <c r="T395" s="18"/>
    </row>
    <row r="396" spans="1:20" s="34" customFormat="1" ht="15.75" customHeight="1" x14ac:dyDescent="0.3">
      <c r="A396" s="39">
        <v>6</v>
      </c>
      <c r="B396" s="39" t="s">
        <v>426</v>
      </c>
      <c r="C396" s="39" t="s">
        <v>428</v>
      </c>
      <c r="D396" s="39">
        <f>(54.11)*10.764</f>
        <v>582.44003999999995</v>
      </c>
      <c r="E396" s="39">
        <v>0</v>
      </c>
      <c r="F396" s="39">
        <f t="shared" si="40"/>
        <v>582.44003999999995</v>
      </c>
      <c r="G396" s="39">
        <v>0</v>
      </c>
      <c r="H396" s="39">
        <f t="shared" si="41"/>
        <v>873.66005999999993</v>
      </c>
      <c r="I396" s="33"/>
      <c r="L396" s="135"/>
      <c r="M396" s="135"/>
      <c r="N396" s="33"/>
      <c r="T396" s="18"/>
    </row>
    <row r="397" spans="1:20" s="34" customFormat="1" hidden="1" x14ac:dyDescent="0.3">
      <c r="A397" s="107"/>
      <c r="B397" s="108"/>
      <c r="C397" s="108"/>
      <c r="D397" s="108"/>
      <c r="E397" s="108"/>
      <c r="F397" s="108"/>
      <c r="G397" s="108"/>
      <c r="H397" s="109"/>
      <c r="J397" s="33"/>
    </row>
    <row r="398" spans="1:20" s="34" customFormat="1" ht="15.75" hidden="1" customHeight="1" x14ac:dyDescent="0.3">
      <c r="A398" s="39">
        <v>1</v>
      </c>
      <c r="B398" s="39"/>
      <c r="C398" s="39"/>
      <c r="D398" s="39"/>
      <c r="E398" s="39">
        <v>0</v>
      </c>
      <c r="F398" s="39">
        <f>D398+E398</f>
        <v>0</v>
      </c>
      <c r="G398" s="39">
        <v>0</v>
      </c>
      <c r="H398" s="39">
        <f>F398*(($H$167)+1)+(IF(G398&lt;101,G398,IF(G398&lt;201,G398/2,IF(G398&lt;=301,G398/3,G398/4))))</f>
        <v>0</v>
      </c>
      <c r="I398" s="33"/>
      <c r="L398" s="135"/>
      <c r="M398" s="135"/>
      <c r="N398" s="33"/>
    </row>
    <row r="399" spans="1:20" s="34" customFormat="1" ht="15.75" hidden="1" customHeight="1" x14ac:dyDescent="0.3">
      <c r="A399" s="39">
        <v>2</v>
      </c>
      <c r="B399" s="39"/>
      <c r="C399" s="39"/>
      <c r="D399" s="39"/>
      <c r="E399" s="39">
        <v>0</v>
      </c>
      <c r="F399" s="39">
        <f>D399+E399</f>
        <v>0</v>
      </c>
      <c r="G399" s="39">
        <v>0</v>
      </c>
      <c r="H399" s="39">
        <f>F399*(($H$167)+1)+(IF(G399&lt;101,G399,IF(G399&lt;201,G399/2,IF(G399&lt;=301,G399/3,G399/4))))</f>
        <v>0</v>
      </c>
      <c r="I399" s="33"/>
      <c r="L399" s="135"/>
      <c r="M399" s="135"/>
      <c r="N399" s="33"/>
    </row>
    <row r="400" spans="1:20" s="34" customFormat="1" ht="15.75" hidden="1" customHeight="1" x14ac:dyDescent="0.3">
      <c r="A400" s="39">
        <v>3</v>
      </c>
      <c r="B400" s="39"/>
      <c r="C400" s="39"/>
      <c r="D400" s="39"/>
      <c r="E400" s="39">
        <v>0</v>
      </c>
      <c r="F400" s="39">
        <f>D400+E400</f>
        <v>0</v>
      </c>
      <c r="G400" s="39">
        <v>0</v>
      </c>
      <c r="H400" s="39">
        <f>F400*(($H$167)+1)+(IF(G400&lt;101,G400,IF(G400&lt;201,G400/2,IF(G400&lt;=301,G400/3,G400/4))))</f>
        <v>0</v>
      </c>
      <c r="I400" s="33"/>
      <c r="L400" s="135"/>
      <c r="M400" s="135"/>
      <c r="N400" s="33"/>
    </row>
    <row r="401" spans="1:20" s="34" customFormat="1" ht="15.75" hidden="1" customHeight="1" x14ac:dyDescent="0.3">
      <c r="A401" s="39">
        <v>4</v>
      </c>
      <c r="B401" s="39"/>
      <c r="C401" s="39"/>
      <c r="D401" s="39"/>
      <c r="E401" s="39">
        <v>0</v>
      </c>
      <c r="F401" s="39">
        <f>D401+E401</f>
        <v>0</v>
      </c>
      <c r="G401" s="39">
        <v>0</v>
      </c>
      <c r="H401" s="39">
        <f>F401*(($H$167)+1)+(IF(G401&lt;101,G401,IF(G401&lt;201,G401/2,IF(G401&lt;=301,G401/3,G401/4))))</f>
        <v>0</v>
      </c>
      <c r="I401" s="33"/>
      <c r="L401" s="135"/>
      <c r="M401" s="135"/>
      <c r="N401" s="33"/>
      <c r="T401" s="18"/>
    </row>
    <row r="402" spans="1:20" s="34" customFormat="1" ht="15.75" hidden="1" customHeight="1" x14ac:dyDescent="0.3">
      <c r="A402" s="39">
        <v>5</v>
      </c>
      <c r="B402" s="39"/>
      <c r="C402" s="39"/>
      <c r="D402" s="39"/>
      <c r="E402" s="39">
        <v>0</v>
      </c>
      <c r="F402" s="39">
        <f t="shared" ref="F402:F403" si="42">D402+E402</f>
        <v>0</v>
      </c>
      <c r="G402" s="39">
        <v>0</v>
      </c>
      <c r="H402" s="39">
        <f t="shared" ref="H402:H403" si="43">F402*(($H$167)+1)+(IF(G402&lt;101,G402,IF(G402&lt;201,G402/2,IF(G402&lt;=301,G402/3,G402/4))))</f>
        <v>0</v>
      </c>
      <c r="I402" s="33"/>
      <c r="L402" s="135"/>
      <c r="M402" s="135"/>
      <c r="N402" s="33"/>
      <c r="T402" s="18"/>
    </row>
    <row r="403" spans="1:20" s="34" customFormat="1" ht="15.75" hidden="1" customHeight="1" x14ac:dyDescent="0.3">
      <c r="A403" s="39">
        <v>6</v>
      </c>
      <c r="B403" s="39"/>
      <c r="C403" s="39"/>
      <c r="D403" s="39"/>
      <c r="E403" s="39">
        <v>0</v>
      </c>
      <c r="F403" s="39">
        <f t="shared" si="42"/>
        <v>0</v>
      </c>
      <c r="G403" s="39">
        <v>0</v>
      </c>
      <c r="H403" s="39">
        <f t="shared" si="43"/>
        <v>0</v>
      </c>
      <c r="I403" s="33"/>
      <c r="L403" s="135"/>
      <c r="M403" s="135"/>
      <c r="N403" s="33"/>
      <c r="T403" s="18"/>
    </row>
    <row r="404" spans="1:20" s="34" customFormat="1" hidden="1" x14ac:dyDescent="0.3">
      <c r="A404" s="260" t="s">
        <v>117</v>
      </c>
      <c r="B404" s="260"/>
      <c r="C404" s="260"/>
      <c r="D404" s="260"/>
      <c r="E404" s="260"/>
      <c r="F404" s="260"/>
      <c r="G404" s="260"/>
      <c r="H404" s="260"/>
      <c r="I404" s="33"/>
      <c r="L404" s="135"/>
      <c r="M404" s="135"/>
    </row>
    <row r="405" spans="1:20" s="34" customFormat="1" hidden="1" x14ac:dyDescent="0.3">
      <c r="A405" s="139">
        <f>LEFT(A404,SUM(LEN(A404)-LEN(SUBSTITUTE(A404,{"0","1","2","3","4","5","6","7","8","9"},""))))*100+1</f>
        <v>201</v>
      </c>
      <c r="B405" s="139"/>
      <c r="C405" s="39"/>
      <c r="D405" s="39"/>
      <c r="E405" s="39">
        <v>0</v>
      </c>
      <c r="F405" s="39">
        <f>D405+E405</f>
        <v>0</v>
      </c>
      <c r="G405" s="39">
        <v>0</v>
      </c>
      <c r="H405" s="39">
        <f>F405*(($H$167)+1)+(IF(G405&lt;101,G405,IF(G405&lt;201,G405/2,IF(G405&lt;=301,G405/3,G405/4))))</f>
        <v>0</v>
      </c>
      <c r="I405" s="33"/>
      <c r="N405" s="33"/>
    </row>
    <row r="406" spans="1:20" s="34" customFormat="1" hidden="1" x14ac:dyDescent="0.3">
      <c r="A406" s="139">
        <f>A405+1</f>
        <v>202</v>
      </c>
      <c r="B406" s="139"/>
      <c r="C406" s="39"/>
      <c r="D406" s="39"/>
      <c r="E406" s="39">
        <v>0</v>
      </c>
      <c r="F406" s="39">
        <f>D406+E406</f>
        <v>0</v>
      </c>
      <c r="G406" s="39">
        <v>0</v>
      </c>
      <c r="H406" s="39">
        <f>F406*(($H$167)+1)+(IF(G406&lt;101,G406,IF(G406&lt;201,G406/2,IF(G406&lt;=301,G406/3,G406/4))))</f>
        <v>0</v>
      </c>
      <c r="I406" s="33"/>
      <c r="N406" s="33"/>
    </row>
    <row r="407" spans="1:20" s="34" customFormat="1" hidden="1" x14ac:dyDescent="0.3">
      <c r="A407" s="139">
        <f>A406+1</f>
        <v>203</v>
      </c>
      <c r="B407" s="139"/>
      <c r="C407" s="39"/>
      <c r="D407" s="39"/>
      <c r="E407" s="39">
        <v>0</v>
      </c>
      <c r="F407" s="39">
        <f>D407+E407</f>
        <v>0</v>
      </c>
      <c r="G407" s="39">
        <v>0</v>
      </c>
      <c r="H407" s="39">
        <f>F407*(($H$167)+1)+(IF(G407&lt;101,G407,IF(G407&lt;201,G407/2,IF(G407&lt;=301,G407/3,G407/4))))</f>
        <v>0</v>
      </c>
      <c r="I407" s="33"/>
      <c r="N407" s="33"/>
    </row>
    <row r="408" spans="1:20" s="34" customFormat="1" hidden="1" x14ac:dyDescent="0.3">
      <c r="A408" s="139">
        <f>A407+1</f>
        <v>204</v>
      </c>
      <c r="B408" s="139"/>
      <c r="C408" s="39"/>
      <c r="D408" s="39"/>
      <c r="E408" s="39">
        <v>0</v>
      </c>
      <c r="F408" s="39">
        <f>D408+E408</f>
        <v>0</v>
      </c>
      <c r="G408" s="39">
        <v>0</v>
      </c>
      <c r="H408" s="39">
        <f>F408*(($H$167)+1)+(IF(G408&lt;101,G408,IF(G408&lt;201,G408/2,IF(G408&lt;=301,G408/3,G408/4))))</f>
        <v>0</v>
      </c>
      <c r="I408" s="33"/>
      <c r="N408" s="33"/>
    </row>
    <row r="409" spans="1:20" s="34" customFormat="1" hidden="1" x14ac:dyDescent="0.3">
      <c r="A409" s="139">
        <f>A408+1</f>
        <v>205</v>
      </c>
      <c r="B409" s="139"/>
      <c r="C409" s="39"/>
      <c r="D409" s="39"/>
      <c r="E409" s="39">
        <v>0</v>
      </c>
      <c r="F409" s="39">
        <f>D409+E409</f>
        <v>0</v>
      </c>
      <c r="G409" s="39">
        <v>0</v>
      </c>
      <c r="H409" s="39">
        <f>F409*(($H$167)+1)+(IF(G409&lt;101,G409,IF(G409&lt;201,G409/2,IF(G409&lt;=301,G409/3,G409/4))))</f>
        <v>0</v>
      </c>
      <c r="I409" s="33"/>
      <c r="N409" s="33"/>
    </row>
    <row r="410" spans="1:20" s="34" customFormat="1" ht="15.75" hidden="1" customHeight="1" x14ac:dyDescent="0.3">
      <c r="A410" s="107" t="s">
        <v>151</v>
      </c>
      <c r="B410" s="108"/>
      <c r="C410" s="108"/>
      <c r="D410" s="108"/>
      <c r="E410" s="108"/>
      <c r="F410" s="108"/>
      <c r="G410" s="108"/>
      <c r="H410" s="109"/>
      <c r="I410" s="33"/>
    </row>
    <row r="411" spans="1:20" s="34" customFormat="1" ht="15.75" hidden="1" customHeight="1" x14ac:dyDescent="0.3">
      <c r="A411" s="140" t="str">
        <f ca="1">(SUMPRODUCT(MID(0&amp;(LEFT(A410,SUM(LEN(A410)-LEN(SUBSTITUTE(A410,{"0","1","2"},""))))), LARGE(INDEX(ISNUMBER(--MID((LEFT(A410,SUM(LEN(A410)-LEN(SUBSTITUTE(A410,{"0","1","2"},""))))), ROW(INDIRECT("1:"&amp;LEN((LEFT(A410,SUM(LEN(A410)-LEN(SUBSTITUTE(A410,{"0","1","2"},"")))))))), 1)) * ROW(INDIRECT("1:"&amp;LEN((LEFT(A410,SUM(LEN(A410)-LEN(SUBSTITUTE(A410,{"0","1","2"},"")))))))), 0), ROW(INDIRECT("1:"&amp;LEN((LEFT(A410,SUM(LEN(A410)-LEN(SUBSTITUTE(A410,{"0","1","2"},"")))))))))+1, 1) * 10^ROW(INDIRECT("1:"&amp;LEN((LEFT(A410,SUM(LEN(A410)-LEN(SUBSTITUTE(A410,{"0","1","2"},""))))))))/10))*100+1&amp;""&amp;" ,.., "&amp;""&amp;(SUMPRODUCT(MID(0&amp;(--TRIM(RIGHT(SUBSTITUTE(LEFT(A410,_xlfn.AGGREGATE(16,6,FIND({0,1,2,3,4,5,6,7,8,9},A410,ROW(INDIRECT("1:"&amp;LEN(A410)))),1))," ",REPT(" ",LEN(A410))),LEN(A410)))), LARGE(INDEX(ISNUMBER(--MID((--TRIM(RIGHT(SUBSTITUTE(LEFT(A410,_xlfn.AGGREGATE(16,6,FIND({0,1,2,3,4,5,6,7,8,9},A410,ROW(INDIRECT("1:"&amp;LEN(A410)))),1))," ",REPT(" ",LEN(A410))),LEN(A410)))), ROW(INDIRECT("1:"&amp;LEN((--TRIM(RIGHT(SUBSTITUTE(LEFT(A410,_xlfn.AGGREGATE(16,6,FIND({0,1,2,3,4,5,6,7,8,9},A410,ROW(INDIRECT("1:"&amp;LEN(A410)))),1))," ",REPT(" ",LEN(A410))),LEN(A410))))))), 1)) * ROW(INDIRECT("1:"&amp;LEN((--TRIM(RIGHT(SUBSTITUTE(LEFT(A410,_xlfn.AGGREGATE(16,6,FIND({0,1,2,3,4,5,6,7,8,9},A410,ROW(INDIRECT("1:"&amp;LEN(A410)))),1))," ",REPT(" ",LEN(A410))),LEN(A410))))))), 0), ROW(INDIRECT("1:"&amp;LEN((--TRIM(RIGHT(SUBSTITUTE(LEFT(A410,_xlfn.AGGREGATE(16,6,FIND({0,1,2,3,4,5,6,7,8,9},A410,ROW(INDIRECT("1:"&amp;LEN(A410)))),1))," ",REPT(" ",LEN(A410))),LEN(A410))))))))+1, 1) * 10^ROW(INDIRECT("1:"&amp;LEN((--TRIM(RIGHT(SUBSTITUTE(LEFT(A410,_xlfn.AGGREGATE(16,6,FIND({0,1,2,3,4,5,6,7,8,9},A410,ROW(INDIRECT("1:"&amp;LEN(A410)))),1))," ",REPT(" ",LEN(A410))),LEN(A410)))))))/10))*100+1</f>
        <v>301 ,.., 1501</v>
      </c>
      <c r="B411" s="141"/>
      <c r="C411" s="39"/>
      <c r="D411" s="39"/>
      <c r="E411" s="39">
        <v>0</v>
      </c>
      <c r="F411" s="39">
        <f>D411+E411</f>
        <v>0</v>
      </c>
      <c r="G411" s="39">
        <v>0</v>
      </c>
      <c r="H411" s="39">
        <f>F411*(($H$167)+1)+(IF(G411&lt;101,G411,IF(G411&lt;201,G411/2,IF(G411&lt;=301,G411/3,G411/4))))</f>
        <v>0</v>
      </c>
      <c r="I411" s="33"/>
    </row>
    <row r="412" spans="1:20" s="34" customFormat="1" ht="15.75" hidden="1" customHeight="1" x14ac:dyDescent="0.3">
      <c r="A412" s="140" t="str">
        <f ca="1">(SUMPRODUCT(MID(0&amp;(LEFT(A411,SUM(LEN(A411)-LEN(SUBSTITUTE(A411,{"0","1","2"},""))))), LARGE(INDEX(ISNUMBER(--MID((LEFT(A411,SUM(LEN(A411)-LEN(SUBSTITUTE(A411,{"0","1","2"},""))))), ROW(INDIRECT("1:"&amp;LEN((LEFT(A411,SUM(LEN(A411)-LEN(SUBSTITUTE(A411,{"0","1","2"},"")))))))), 1)) * ROW(INDIRECT("1:"&amp;LEN((LEFT(A411,SUM(LEN(A411)-LEN(SUBSTITUTE(A411,{"0","1","2"},"")))))))), 0), ROW(INDIRECT("1:"&amp;LEN((LEFT(A411,SUM(LEN(A411)-LEN(SUBSTITUTE(A411,{"0","1","2"},"")))))))))+1, 1) * 10^ROW(INDIRECT("1:"&amp;LEN((LEFT(A411,SUM(LEN(A411)-LEN(SUBSTITUTE(A411,{"0","1","2"},""))))))))/10))*1+1&amp;""&amp;" ,.., "&amp;""&amp;(SUMPRODUCT(MID(0&amp;(--TRIM(RIGHT(SUBSTITUTE(LEFT(A411,_xlfn.AGGREGATE(16,6,FIND({0,1,2,3,4,5,6,7,8,9},A411,ROW(INDIRECT("1:"&amp;LEN(A411)))),1))," ",REPT(" ",LEN(A411))),LEN(A411)))), LARGE(INDEX(ISNUMBER(--MID((--TRIM(RIGHT(SUBSTITUTE(LEFT(A411,_xlfn.AGGREGATE(16,6,FIND({0,1,2,3,4,5,6,7,8,9},A411,ROW(INDIRECT("1:"&amp;LEN(A411)))),1))," ",REPT(" ",LEN(A411))),LEN(A411)))), ROW(INDIRECT("1:"&amp;LEN((--TRIM(RIGHT(SUBSTITUTE(LEFT(A411,_xlfn.AGGREGATE(16,6,FIND({0,1,2,3,4,5,6,7,8,9},A411,ROW(INDIRECT("1:"&amp;LEN(A411)))),1))," ",REPT(" ",LEN(A411))),LEN(A411))))))), 1)) * ROW(INDIRECT("1:"&amp;LEN((--TRIM(RIGHT(SUBSTITUTE(LEFT(A411,_xlfn.AGGREGATE(16,6,FIND({0,1,2,3,4,5,6,7,8,9},A411,ROW(INDIRECT("1:"&amp;LEN(A411)))),1))," ",REPT(" ",LEN(A411))),LEN(A411))))))), 0), ROW(INDIRECT("1:"&amp;LEN((--TRIM(RIGHT(SUBSTITUTE(LEFT(A411,_xlfn.AGGREGATE(16,6,FIND({0,1,2,3,4,5,6,7,8,9},A411,ROW(INDIRECT("1:"&amp;LEN(A411)))),1))," ",REPT(" ",LEN(A411))),LEN(A411))))))))+1, 1) * 10^ROW(INDIRECT("1:"&amp;LEN((--TRIM(RIGHT(SUBSTITUTE(LEFT(A411,_xlfn.AGGREGATE(16,6,FIND({0,1,2,3,4,5,6,7,8,9},A411,ROW(INDIRECT("1:"&amp;LEN(A411)))),1))," ",REPT(" ",LEN(A411))),LEN(A411)))))))/10))*1+1</f>
        <v>302 ,.., 1502</v>
      </c>
      <c r="B412" s="141"/>
      <c r="C412" s="39"/>
      <c r="D412" s="39"/>
      <c r="E412" s="39">
        <v>0</v>
      </c>
      <c r="F412" s="39">
        <f>D412+E412</f>
        <v>0</v>
      </c>
      <c r="G412" s="39">
        <v>0</v>
      </c>
      <c r="H412" s="39">
        <f>F412*(($H$167)+1)+(IF(G412&lt;101,G412,IF(G412&lt;201,G412/2,IF(G412&lt;=301,G412/3,G412/4))))</f>
        <v>0</v>
      </c>
      <c r="I412" s="33"/>
    </row>
    <row r="413" spans="1:20" s="34" customFormat="1" ht="15.75" hidden="1" customHeight="1" x14ac:dyDescent="0.3">
      <c r="A413" s="140" t="str">
        <f ca="1">(SUMPRODUCT(MID(0&amp;(LEFT(A412,SUM(LEN(A412)-LEN(SUBSTITUTE(A412,{"0","1","2"},""))))), LARGE(INDEX(ISNUMBER(--MID((LEFT(A412,SUM(LEN(A412)-LEN(SUBSTITUTE(A412,{"0","1","2"},""))))), ROW(INDIRECT("1:"&amp;LEN((LEFT(A412,SUM(LEN(A412)-LEN(SUBSTITUTE(A412,{"0","1","2"},"")))))))), 1)) * ROW(INDIRECT("1:"&amp;LEN((LEFT(A412,SUM(LEN(A412)-LEN(SUBSTITUTE(A412,{"0","1","2"},"")))))))), 0), ROW(INDIRECT("1:"&amp;LEN((LEFT(A412,SUM(LEN(A412)-LEN(SUBSTITUTE(A412,{"0","1","2"},"")))))))))+1, 1) * 10^ROW(INDIRECT("1:"&amp;LEN((LEFT(A412,SUM(LEN(A412)-LEN(SUBSTITUTE(A412,{"0","1","2"},""))))))))/10))*1+1&amp;""&amp;" ,.., "&amp;""&amp;(SUMPRODUCT(MID(0&amp;(--TRIM(RIGHT(SUBSTITUTE(LEFT(A412,_xlfn.AGGREGATE(16,6,FIND({0,1,2,3,4,5,6,7,8,9},A412,ROW(INDIRECT("1:"&amp;LEN(A412)))),1))," ",REPT(" ",LEN(A412))),LEN(A412)))), LARGE(INDEX(ISNUMBER(--MID((--TRIM(RIGHT(SUBSTITUTE(LEFT(A412,_xlfn.AGGREGATE(16,6,FIND({0,1,2,3,4,5,6,7,8,9},A412,ROW(INDIRECT("1:"&amp;LEN(A412)))),1))," ",REPT(" ",LEN(A412))),LEN(A412)))), ROW(INDIRECT("1:"&amp;LEN((--TRIM(RIGHT(SUBSTITUTE(LEFT(A412,_xlfn.AGGREGATE(16,6,FIND({0,1,2,3,4,5,6,7,8,9},A412,ROW(INDIRECT("1:"&amp;LEN(A412)))),1))," ",REPT(" ",LEN(A412))),LEN(A412))))))), 1)) * ROW(INDIRECT("1:"&amp;LEN((--TRIM(RIGHT(SUBSTITUTE(LEFT(A412,_xlfn.AGGREGATE(16,6,FIND({0,1,2,3,4,5,6,7,8,9},A412,ROW(INDIRECT("1:"&amp;LEN(A412)))),1))," ",REPT(" ",LEN(A412))),LEN(A412))))))), 0), ROW(INDIRECT("1:"&amp;LEN((--TRIM(RIGHT(SUBSTITUTE(LEFT(A412,_xlfn.AGGREGATE(16,6,FIND({0,1,2,3,4,5,6,7,8,9},A412,ROW(INDIRECT("1:"&amp;LEN(A412)))),1))," ",REPT(" ",LEN(A412))),LEN(A412))))))))+1, 1) * 10^ROW(INDIRECT("1:"&amp;LEN((--TRIM(RIGHT(SUBSTITUTE(LEFT(A412,_xlfn.AGGREGATE(16,6,FIND({0,1,2,3,4,5,6,7,8,9},A412,ROW(INDIRECT("1:"&amp;LEN(A412)))),1))," ",REPT(" ",LEN(A412))),LEN(A412)))))))/10))*1+1</f>
        <v>303 ,.., 1503</v>
      </c>
      <c r="B413" s="141"/>
      <c r="C413" s="39"/>
      <c r="D413" s="39"/>
      <c r="E413" s="39">
        <v>0</v>
      </c>
      <c r="F413" s="39">
        <f>D413+E413</f>
        <v>0</v>
      </c>
      <c r="G413" s="39">
        <v>0</v>
      </c>
      <c r="H413" s="39">
        <f>F413*(($H$167)+1)+(IF(G413&lt;101,G413,IF(G413&lt;201,G413/2,IF(G413&lt;=301,G413/3,G413/4))))</f>
        <v>0</v>
      </c>
      <c r="I413" s="33"/>
    </row>
    <row r="414" spans="1:20" s="34" customFormat="1" ht="15.75" hidden="1" customHeight="1" x14ac:dyDescent="0.3">
      <c r="A414" s="140" t="str">
        <f ca="1">(SUMPRODUCT(MID(0&amp;(LEFT(A413,SUM(LEN(A413)-LEN(SUBSTITUTE(A413,{"0","1","2"},""))))), LARGE(INDEX(ISNUMBER(--MID((LEFT(A413,SUM(LEN(A413)-LEN(SUBSTITUTE(A413,{"0","1","2"},""))))), ROW(INDIRECT("1:"&amp;LEN((LEFT(A413,SUM(LEN(A413)-LEN(SUBSTITUTE(A413,{"0","1","2"},"")))))))), 1)) * ROW(INDIRECT("1:"&amp;LEN((LEFT(A413,SUM(LEN(A413)-LEN(SUBSTITUTE(A413,{"0","1","2"},"")))))))), 0), ROW(INDIRECT("1:"&amp;LEN((LEFT(A413,SUM(LEN(A413)-LEN(SUBSTITUTE(A413,{"0","1","2"},"")))))))))+1, 1) * 10^ROW(INDIRECT("1:"&amp;LEN((LEFT(A413,SUM(LEN(A413)-LEN(SUBSTITUTE(A413,{"0","1","2"},""))))))))/10))*1+1&amp;""&amp;" ,.., "&amp;""&amp;(SUMPRODUCT(MID(0&amp;(--TRIM(RIGHT(SUBSTITUTE(LEFT(A413,_xlfn.AGGREGATE(16,6,FIND({0,1,2,3,4,5,6,7,8,9},A413,ROW(INDIRECT("1:"&amp;LEN(A413)))),1))," ",REPT(" ",LEN(A413))),LEN(A413)))), LARGE(INDEX(ISNUMBER(--MID((--TRIM(RIGHT(SUBSTITUTE(LEFT(A413,_xlfn.AGGREGATE(16,6,FIND({0,1,2,3,4,5,6,7,8,9},A413,ROW(INDIRECT("1:"&amp;LEN(A413)))),1))," ",REPT(" ",LEN(A413))),LEN(A413)))), ROW(INDIRECT("1:"&amp;LEN((--TRIM(RIGHT(SUBSTITUTE(LEFT(A413,_xlfn.AGGREGATE(16,6,FIND({0,1,2,3,4,5,6,7,8,9},A413,ROW(INDIRECT("1:"&amp;LEN(A413)))),1))," ",REPT(" ",LEN(A413))),LEN(A413))))))), 1)) * ROW(INDIRECT("1:"&amp;LEN((--TRIM(RIGHT(SUBSTITUTE(LEFT(A413,_xlfn.AGGREGATE(16,6,FIND({0,1,2,3,4,5,6,7,8,9},A413,ROW(INDIRECT("1:"&amp;LEN(A413)))),1))," ",REPT(" ",LEN(A413))),LEN(A413))))))), 0), ROW(INDIRECT("1:"&amp;LEN((--TRIM(RIGHT(SUBSTITUTE(LEFT(A413,_xlfn.AGGREGATE(16,6,FIND({0,1,2,3,4,5,6,7,8,9},A413,ROW(INDIRECT("1:"&amp;LEN(A413)))),1))," ",REPT(" ",LEN(A413))),LEN(A413))))))))+1, 1) * 10^ROW(INDIRECT("1:"&amp;LEN((--TRIM(RIGHT(SUBSTITUTE(LEFT(A413,_xlfn.AGGREGATE(16,6,FIND({0,1,2,3,4,5,6,7,8,9},A413,ROW(INDIRECT("1:"&amp;LEN(A413)))),1))," ",REPT(" ",LEN(A413))),LEN(A413)))))))/10))*1+1</f>
        <v>304 ,.., 1504</v>
      </c>
      <c r="B414" s="141"/>
      <c r="C414" s="39"/>
      <c r="D414" s="39"/>
      <c r="E414" s="39">
        <v>0</v>
      </c>
      <c r="F414" s="39">
        <f>D414+E414</f>
        <v>0</v>
      </c>
      <c r="G414" s="39">
        <v>0</v>
      </c>
      <c r="H414" s="39">
        <f>F414*(($H$167)+1)+(IF(G414&lt;101,G414,IF(G414&lt;201,G414/2,IF(G414&lt;=301,G414/3,G414/4))))</f>
        <v>0</v>
      </c>
      <c r="I414" s="33"/>
    </row>
    <row r="415" spans="1:20" s="34" customFormat="1" ht="15.75" hidden="1" customHeight="1" x14ac:dyDescent="0.3">
      <c r="A415" s="140" t="str">
        <f ca="1">(SUMPRODUCT(MID(0&amp;(LEFT(A414,SUM(LEN(A414)-LEN(SUBSTITUTE(A414,{"0","1","2"},""))))), LARGE(INDEX(ISNUMBER(--MID((LEFT(A414,SUM(LEN(A414)-LEN(SUBSTITUTE(A414,{"0","1","2"},""))))), ROW(INDIRECT("1:"&amp;LEN((LEFT(A414,SUM(LEN(A414)-LEN(SUBSTITUTE(A414,{"0","1","2"},"")))))))), 1)) * ROW(INDIRECT("1:"&amp;LEN((LEFT(A414,SUM(LEN(A414)-LEN(SUBSTITUTE(A414,{"0","1","2"},"")))))))), 0), ROW(INDIRECT("1:"&amp;LEN((LEFT(A414,SUM(LEN(A414)-LEN(SUBSTITUTE(A414,{"0","1","2"},"")))))))))+1, 1) * 10^ROW(INDIRECT("1:"&amp;LEN((LEFT(A414,SUM(LEN(A414)-LEN(SUBSTITUTE(A414,{"0","1","2"},""))))))))/10))*1+1&amp;""&amp;" ,.., "&amp;""&amp;(SUMPRODUCT(MID(0&amp;(--TRIM(RIGHT(SUBSTITUTE(LEFT(A414,_xlfn.AGGREGATE(16,6,FIND({0,1,2,3,4,5,6,7,8,9},A414,ROW(INDIRECT("1:"&amp;LEN(A414)))),1))," ",REPT(" ",LEN(A414))),LEN(A414)))), LARGE(INDEX(ISNUMBER(--MID((--TRIM(RIGHT(SUBSTITUTE(LEFT(A414,_xlfn.AGGREGATE(16,6,FIND({0,1,2,3,4,5,6,7,8,9},A414,ROW(INDIRECT("1:"&amp;LEN(A414)))),1))," ",REPT(" ",LEN(A414))),LEN(A414)))), ROW(INDIRECT("1:"&amp;LEN((--TRIM(RIGHT(SUBSTITUTE(LEFT(A414,_xlfn.AGGREGATE(16,6,FIND({0,1,2,3,4,5,6,7,8,9},A414,ROW(INDIRECT("1:"&amp;LEN(A414)))),1))," ",REPT(" ",LEN(A414))),LEN(A414))))))), 1)) * ROW(INDIRECT("1:"&amp;LEN((--TRIM(RIGHT(SUBSTITUTE(LEFT(A414,_xlfn.AGGREGATE(16,6,FIND({0,1,2,3,4,5,6,7,8,9},A414,ROW(INDIRECT("1:"&amp;LEN(A414)))),1))," ",REPT(" ",LEN(A414))),LEN(A414))))))), 0), ROW(INDIRECT("1:"&amp;LEN((--TRIM(RIGHT(SUBSTITUTE(LEFT(A414,_xlfn.AGGREGATE(16,6,FIND({0,1,2,3,4,5,6,7,8,9},A414,ROW(INDIRECT("1:"&amp;LEN(A414)))),1))," ",REPT(" ",LEN(A414))),LEN(A414))))))))+1, 1) * 10^ROW(INDIRECT("1:"&amp;LEN((--TRIM(RIGHT(SUBSTITUTE(LEFT(A414,_xlfn.AGGREGATE(16,6,FIND({0,1,2,3,4,5,6,7,8,9},A414,ROW(INDIRECT("1:"&amp;LEN(A414)))),1))," ",REPT(" ",LEN(A414))),LEN(A414)))))))/10))*1+1</f>
        <v>305 ,.., 1505</v>
      </c>
      <c r="B415" s="141"/>
      <c r="C415" s="39"/>
      <c r="D415" s="39"/>
      <c r="E415" s="39">
        <v>0</v>
      </c>
      <c r="F415" s="39">
        <f>D415+E415</f>
        <v>0</v>
      </c>
      <c r="G415" s="39">
        <v>0</v>
      </c>
      <c r="H415" s="39">
        <f>F415*(($H$167)+1)+(IF(G415&lt;101,G415,IF(G415&lt;201,G415/2,IF(G415&lt;=301,G415/3,G415/4))))</f>
        <v>0</v>
      </c>
      <c r="I415" s="33"/>
    </row>
    <row r="416" spans="1:20" s="34" customFormat="1" hidden="1" x14ac:dyDescent="0.3">
      <c r="A416" s="107" t="s">
        <v>145</v>
      </c>
      <c r="B416" s="108"/>
      <c r="C416" s="108"/>
      <c r="D416" s="108"/>
      <c r="E416" s="108"/>
      <c r="F416" s="108"/>
      <c r="G416" s="108"/>
      <c r="H416" s="109"/>
      <c r="I416" s="33"/>
    </row>
    <row r="417" spans="1:20" s="34" customFormat="1" ht="15.75" hidden="1" customHeight="1" x14ac:dyDescent="0.3">
      <c r="A417" s="140" t="str">
        <f ca="1">(SUMPRODUCT(MID(0&amp;(LEFT(A416,SUM(LEN(A416)-LEN(SUBSTITUTE(A416,{"0","1","2"},""))))), LARGE(INDEX(ISNUMBER(--MID((LEFT(A416,SUM(LEN(A416)-LEN(SUBSTITUTE(A416,{"0","1","2"},""))))), ROW(INDIRECT("1:"&amp;LEN((LEFT(A416,SUM(LEN(A416)-LEN(SUBSTITUTE(A416,{"0","1","2"},"")))))))), 1)) * ROW(INDIRECT("1:"&amp;LEN((LEFT(A416,SUM(LEN(A416)-LEN(SUBSTITUTE(A416,{"0","1","2"},"")))))))), 0), ROW(INDIRECT("1:"&amp;LEN((LEFT(A416,SUM(LEN(A416)-LEN(SUBSTITUTE(A416,{"0","1","2"},"")))))))))+1, 1) * 10^ROW(INDIRECT("1:"&amp;LEN((LEFT(A416,SUM(LEN(A416)-LEN(SUBSTITUTE(A416,{"0","1","2"},""))))))))/10))*100+1&amp;""&amp;" to "&amp;""&amp;(SUMPRODUCT(MID(0&amp;(--TRIM(RIGHT(SUBSTITUTE(LEFT(A416,_xlfn.AGGREGATE(16,6,FIND({0,1,2,3,4,5,6,7,8,9},A416,ROW(INDIRECT("1:"&amp;LEN(A416)))),1))," ",REPT(" ",LEN(A416))),LEN(A416)))), LARGE(INDEX(ISNUMBER(--MID((--TRIM(RIGHT(SUBSTITUTE(LEFT(A416,_xlfn.AGGREGATE(16,6,FIND({0,1,2,3,4,5,6,7,8,9},A416,ROW(INDIRECT("1:"&amp;LEN(A416)))),1))," ",REPT(" ",LEN(A416))),LEN(A416)))), ROW(INDIRECT("1:"&amp;LEN((--TRIM(RIGHT(SUBSTITUTE(LEFT(A416,_xlfn.AGGREGATE(16,6,FIND({0,1,2,3,4,5,6,7,8,9},A416,ROW(INDIRECT("1:"&amp;LEN(A416)))),1))," ",REPT(" ",LEN(A416))),LEN(A416))))))), 1)) * ROW(INDIRECT("1:"&amp;LEN((--TRIM(RIGHT(SUBSTITUTE(LEFT(A416,_xlfn.AGGREGATE(16,6,FIND({0,1,2,3,4,5,6,7,8,9},A416,ROW(INDIRECT("1:"&amp;LEN(A416)))),1))," ",REPT(" ",LEN(A416))),LEN(A416))))))), 0), ROW(INDIRECT("1:"&amp;LEN((--TRIM(RIGHT(SUBSTITUTE(LEFT(A416,_xlfn.AGGREGATE(16,6,FIND({0,1,2,3,4,5,6,7,8,9},A416,ROW(INDIRECT("1:"&amp;LEN(A416)))),1))," ",REPT(" ",LEN(A416))),LEN(A416))))))))+1, 1) * 10^ROW(INDIRECT("1:"&amp;LEN((--TRIM(RIGHT(SUBSTITUTE(LEFT(A416,_xlfn.AGGREGATE(16,6,FIND({0,1,2,3,4,5,6,7,8,9},A416,ROW(INDIRECT("1:"&amp;LEN(A416)))),1))," ",REPT(" ",LEN(A416))),LEN(A416)))))))/10))*100+1</f>
        <v>201 to 501</v>
      </c>
      <c r="B417" s="141"/>
      <c r="C417" s="39"/>
      <c r="D417" s="39"/>
      <c r="E417" s="39">
        <v>0</v>
      </c>
      <c r="F417" s="39">
        <f>D417+E417</f>
        <v>0</v>
      </c>
      <c r="G417" s="39">
        <v>0</v>
      </c>
      <c r="H417" s="39">
        <f>F417*(($H$167)+1)+(IF(G417&lt;101,G417,IF(G417&lt;201,G417/2,IF(G417&lt;=301,G417/3,G417/4))))</f>
        <v>0</v>
      </c>
      <c r="I417" s="33"/>
    </row>
    <row r="418" spans="1:20" s="34" customFormat="1" ht="15.75" hidden="1" customHeight="1" x14ac:dyDescent="0.3">
      <c r="A418" s="140" t="str">
        <f ca="1">(SUMPRODUCT(MID(0&amp;(LEFT(A417,SUM(LEN(A417)-LEN(SUBSTITUTE(A417,{"0","1","2"},""))))), LARGE(INDEX(ISNUMBER(--MID((LEFT(A417,SUM(LEN(A417)-LEN(SUBSTITUTE(A417,{"0","1","2"},""))))), ROW(INDIRECT("1:"&amp;LEN((LEFT(A417,SUM(LEN(A417)-LEN(SUBSTITUTE(A417,{"0","1","2"},"")))))))), 1)) * ROW(INDIRECT("1:"&amp;LEN((LEFT(A417,SUM(LEN(A417)-LEN(SUBSTITUTE(A417,{"0","1","2"},"")))))))), 0), ROW(INDIRECT("1:"&amp;LEN((LEFT(A417,SUM(LEN(A417)-LEN(SUBSTITUTE(A417,{"0","1","2"},"")))))))))+1, 1) * 10^ROW(INDIRECT("1:"&amp;LEN((LEFT(A417,SUM(LEN(A417)-LEN(SUBSTITUTE(A417,{"0","1","2"},""))))))))/10))*1+1&amp;""&amp;" to "&amp;""&amp;(SUMPRODUCT(MID(0&amp;(--TRIM(RIGHT(SUBSTITUTE(LEFT(A417,_xlfn.AGGREGATE(16,6,FIND({0,1,2,3,4,5,6,7,8,9},A417,ROW(INDIRECT("1:"&amp;LEN(A417)))),1))," ",REPT(" ",LEN(A417))),LEN(A417)))), LARGE(INDEX(ISNUMBER(--MID((--TRIM(RIGHT(SUBSTITUTE(LEFT(A417,_xlfn.AGGREGATE(16,6,FIND({0,1,2,3,4,5,6,7,8,9},A417,ROW(INDIRECT("1:"&amp;LEN(A417)))),1))," ",REPT(" ",LEN(A417))),LEN(A417)))), ROW(INDIRECT("1:"&amp;LEN((--TRIM(RIGHT(SUBSTITUTE(LEFT(A417,_xlfn.AGGREGATE(16,6,FIND({0,1,2,3,4,5,6,7,8,9},A417,ROW(INDIRECT("1:"&amp;LEN(A417)))),1))," ",REPT(" ",LEN(A417))),LEN(A417))))))), 1)) * ROW(INDIRECT("1:"&amp;LEN((--TRIM(RIGHT(SUBSTITUTE(LEFT(A417,_xlfn.AGGREGATE(16,6,FIND({0,1,2,3,4,5,6,7,8,9},A417,ROW(INDIRECT("1:"&amp;LEN(A417)))),1))," ",REPT(" ",LEN(A417))),LEN(A417))))))), 0), ROW(INDIRECT("1:"&amp;LEN((--TRIM(RIGHT(SUBSTITUTE(LEFT(A417,_xlfn.AGGREGATE(16,6,FIND({0,1,2,3,4,5,6,7,8,9},A417,ROW(INDIRECT("1:"&amp;LEN(A417)))),1))," ",REPT(" ",LEN(A417))),LEN(A417))))))))+1, 1) * 10^ROW(INDIRECT("1:"&amp;LEN((--TRIM(RIGHT(SUBSTITUTE(LEFT(A417,_xlfn.AGGREGATE(16,6,FIND({0,1,2,3,4,5,6,7,8,9},A417,ROW(INDIRECT("1:"&amp;LEN(A417)))),1))," ",REPT(" ",LEN(A417))),LEN(A417)))))))/10))*1+1</f>
        <v>202 to 502</v>
      </c>
      <c r="B418" s="141"/>
      <c r="C418" s="39"/>
      <c r="D418" s="39"/>
      <c r="E418" s="39">
        <v>0</v>
      </c>
      <c r="F418" s="39">
        <f>D418+E418</f>
        <v>0</v>
      </c>
      <c r="G418" s="39">
        <v>0</v>
      </c>
      <c r="H418" s="39">
        <f>F418*(($H$167)+1)+(IF(G418&lt;101,G418,IF(G418&lt;201,G418/2,IF(G418&lt;=301,G418/3,G418/4))))</f>
        <v>0</v>
      </c>
      <c r="I418" s="33"/>
    </row>
    <row r="419" spans="1:20" s="34" customFormat="1" ht="15.75" hidden="1" customHeight="1" x14ac:dyDescent="0.3">
      <c r="A419" s="140" t="str">
        <f ca="1">(SUMPRODUCT(MID(0&amp;(LEFT(A418,SUM(LEN(A418)-LEN(SUBSTITUTE(A418,{"0","1","2"},""))))), LARGE(INDEX(ISNUMBER(--MID((LEFT(A418,SUM(LEN(A418)-LEN(SUBSTITUTE(A418,{"0","1","2"},""))))), ROW(INDIRECT("1:"&amp;LEN((LEFT(A418,SUM(LEN(A418)-LEN(SUBSTITUTE(A418,{"0","1","2"},"")))))))), 1)) * ROW(INDIRECT("1:"&amp;LEN((LEFT(A418,SUM(LEN(A418)-LEN(SUBSTITUTE(A418,{"0","1","2"},"")))))))), 0), ROW(INDIRECT("1:"&amp;LEN((LEFT(A418,SUM(LEN(A418)-LEN(SUBSTITUTE(A418,{"0","1","2"},"")))))))))+1, 1) * 10^ROW(INDIRECT("1:"&amp;LEN((LEFT(A418,SUM(LEN(A418)-LEN(SUBSTITUTE(A418,{"0","1","2"},""))))))))/10))*1+1&amp;""&amp;" to "&amp;""&amp;(SUMPRODUCT(MID(0&amp;(--TRIM(RIGHT(SUBSTITUTE(LEFT(A418,_xlfn.AGGREGATE(16,6,FIND({0,1,2,3,4,5,6,7,8,9},A418,ROW(INDIRECT("1:"&amp;LEN(A418)))),1))," ",REPT(" ",LEN(A418))),LEN(A418)))), LARGE(INDEX(ISNUMBER(--MID((--TRIM(RIGHT(SUBSTITUTE(LEFT(A418,_xlfn.AGGREGATE(16,6,FIND({0,1,2,3,4,5,6,7,8,9},A418,ROW(INDIRECT("1:"&amp;LEN(A418)))),1))," ",REPT(" ",LEN(A418))),LEN(A418)))), ROW(INDIRECT("1:"&amp;LEN((--TRIM(RIGHT(SUBSTITUTE(LEFT(A418,_xlfn.AGGREGATE(16,6,FIND({0,1,2,3,4,5,6,7,8,9},A418,ROW(INDIRECT("1:"&amp;LEN(A418)))),1))," ",REPT(" ",LEN(A418))),LEN(A418))))))), 1)) * ROW(INDIRECT("1:"&amp;LEN((--TRIM(RIGHT(SUBSTITUTE(LEFT(A418,_xlfn.AGGREGATE(16,6,FIND({0,1,2,3,4,5,6,7,8,9},A418,ROW(INDIRECT("1:"&amp;LEN(A418)))),1))," ",REPT(" ",LEN(A418))),LEN(A418))))))), 0), ROW(INDIRECT("1:"&amp;LEN((--TRIM(RIGHT(SUBSTITUTE(LEFT(A418,_xlfn.AGGREGATE(16,6,FIND({0,1,2,3,4,5,6,7,8,9},A418,ROW(INDIRECT("1:"&amp;LEN(A418)))),1))," ",REPT(" ",LEN(A418))),LEN(A418))))))))+1, 1) * 10^ROW(INDIRECT("1:"&amp;LEN((--TRIM(RIGHT(SUBSTITUTE(LEFT(A418,_xlfn.AGGREGATE(16,6,FIND({0,1,2,3,4,5,6,7,8,9},A418,ROW(INDIRECT("1:"&amp;LEN(A418)))),1))," ",REPT(" ",LEN(A418))),LEN(A418)))))))/10))*1+1</f>
        <v>203 to 503</v>
      </c>
      <c r="B419" s="141"/>
      <c r="C419" s="39"/>
      <c r="D419" s="39"/>
      <c r="E419" s="39">
        <v>0</v>
      </c>
      <c r="F419" s="39">
        <f>D419+E419</f>
        <v>0</v>
      </c>
      <c r="G419" s="39">
        <v>0</v>
      </c>
      <c r="H419" s="39">
        <f>F419*(($H$167)+1)+(IF(G419&lt;101,G419,IF(G419&lt;201,G419/2,IF(G419&lt;=301,G419/3,G419/4))))</f>
        <v>0</v>
      </c>
      <c r="I419" s="33"/>
    </row>
    <row r="420" spans="1:20" s="34" customFormat="1" ht="15.75" hidden="1" customHeight="1" x14ac:dyDescent="0.3">
      <c r="A420" s="140" t="str">
        <f ca="1">(SUMPRODUCT(MID(0&amp;(LEFT(A419,SUM(LEN(A419)-LEN(SUBSTITUTE(A419,{"0","1","2"},""))))), LARGE(INDEX(ISNUMBER(--MID((LEFT(A419,SUM(LEN(A419)-LEN(SUBSTITUTE(A419,{"0","1","2"},""))))), ROW(INDIRECT("1:"&amp;LEN((LEFT(A419,SUM(LEN(A419)-LEN(SUBSTITUTE(A419,{"0","1","2"},"")))))))), 1)) * ROW(INDIRECT("1:"&amp;LEN((LEFT(A419,SUM(LEN(A419)-LEN(SUBSTITUTE(A419,{"0","1","2"},"")))))))), 0), ROW(INDIRECT("1:"&amp;LEN((LEFT(A419,SUM(LEN(A419)-LEN(SUBSTITUTE(A419,{"0","1","2"},"")))))))))+1, 1) * 10^ROW(INDIRECT("1:"&amp;LEN((LEFT(A419,SUM(LEN(A419)-LEN(SUBSTITUTE(A419,{"0","1","2"},""))))))))/10))*1+1&amp;""&amp;" to "&amp;""&amp;(SUMPRODUCT(MID(0&amp;(--TRIM(RIGHT(SUBSTITUTE(LEFT(A419,_xlfn.AGGREGATE(16,6,FIND({0,1,2,3,4,5,6,7,8,9},A419,ROW(INDIRECT("1:"&amp;LEN(A419)))),1))," ",REPT(" ",LEN(A419))),LEN(A419)))), LARGE(INDEX(ISNUMBER(--MID((--TRIM(RIGHT(SUBSTITUTE(LEFT(A419,_xlfn.AGGREGATE(16,6,FIND({0,1,2,3,4,5,6,7,8,9},A419,ROW(INDIRECT("1:"&amp;LEN(A419)))),1))," ",REPT(" ",LEN(A419))),LEN(A419)))), ROW(INDIRECT("1:"&amp;LEN((--TRIM(RIGHT(SUBSTITUTE(LEFT(A419,_xlfn.AGGREGATE(16,6,FIND({0,1,2,3,4,5,6,7,8,9},A419,ROW(INDIRECT("1:"&amp;LEN(A419)))),1))," ",REPT(" ",LEN(A419))),LEN(A419))))))), 1)) * ROW(INDIRECT("1:"&amp;LEN((--TRIM(RIGHT(SUBSTITUTE(LEFT(A419,_xlfn.AGGREGATE(16,6,FIND({0,1,2,3,4,5,6,7,8,9},A419,ROW(INDIRECT("1:"&amp;LEN(A419)))),1))," ",REPT(" ",LEN(A419))),LEN(A419))))))), 0), ROW(INDIRECT("1:"&amp;LEN((--TRIM(RIGHT(SUBSTITUTE(LEFT(A419,_xlfn.AGGREGATE(16,6,FIND({0,1,2,3,4,5,6,7,8,9},A419,ROW(INDIRECT("1:"&amp;LEN(A419)))),1))," ",REPT(" ",LEN(A419))),LEN(A419))))))))+1, 1) * 10^ROW(INDIRECT("1:"&amp;LEN((--TRIM(RIGHT(SUBSTITUTE(LEFT(A419,_xlfn.AGGREGATE(16,6,FIND({0,1,2,3,4,5,6,7,8,9},A419,ROW(INDIRECT("1:"&amp;LEN(A419)))),1))," ",REPT(" ",LEN(A419))),LEN(A419)))))))/10))*1+1</f>
        <v>204 to 504</v>
      </c>
      <c r="B420" s="141"/>
      <c r="C420" s="39"/>
      <c r="D420" s="39"/>
      <c r="E420" s="39">
        <v>0</v>
      </c>
      <c r="F420" s="39">
        <f>D420+E420</f>
        <v>0</v>
      </c>
      <c r="G420" s="39">
        <v>0</v>
      </c>
      <c r="H420" s="39">
        <f>F420*(($H$167)+1)+(IF(G420&lt;101,G420,IF(G420&lt;201,G420/2,IF(G420&lt;=301,G420/3,G420/4))))</f>
        <v>0</v>
      </c>
      <c r="I420" s="33"/>
    </row>
    <row r="421" spans="1:20" s="34" customFormat="1" ht="15.75" hidden="1" customHeight="1" x14ac:dyDescent="0.3">
      <c r="A421" s="140" t="str">
        <f ca="1">(SUMPRODUCT(MID(0&amp;(LEFT(A420,SUM(LEN(A420)-LEN(SUBSTITUTE(A420,{"0","1","2"},""))))), LARGE(INDEX(ISNUMBER(--MID((LEFT(A420,SUM(LEN(A420)-LEN(SUBSTITUTE(A420,{"0","1","2"},""))))), ROW(INDIRECT("1:"&amp;LEN((LEFT(A420,SUM(LEN(A420)-LEN(SUBSTITUTE(A420,{"0","1","2"},"")))))))), 1)) * ROW(INDIRECT("1:"&amp;LEN((LEFT(A420,SUM(LEN(A420)-LEN(SUBSTITUTE(A420,{"0","1","2"},"")))))))), 0), ROW(INDIRECT("1:"&amp;LEN((LEFT(A420,SUM(LEN(A420)-LEN(SUBSTITUTE(A420,{"0","1","2"},"")))))))))+1, 1) * 10^ROW(INDIRECT("1:"&amp;LEN((LEFT(A420,SUM(LEN(A420)-LEN(SUBSTITUTE(A420,{"0","1","2"},""))))))))/10))*1+1&amp;""&amp;" to "&amp;""&amp;(SUMPRODUCT(MID(0&amp;(--TRIM(RIGHT(SUBSTITUTE(LEFT(A420,_xlfn.AGGREGATE(16,6,FIND({0,1,2,3,4,5,6,7,8,9},A420,ROW(INDIRECT("1:"&amp;LEN(A420)))),1))," ",REPT(" ",LEN(A420))),LEN(A420)))), LARGE(INDEX(ISNUMBER(--MID((--TRIM(RIGHT(SUBSTITUTE(LEFT(A420,_xlfn.AGGREGATE(16,6,FIND({0,1,2,3,4,5,6,7,8,9},A420,ROW(INDIRECT("1:"&amp;LEN(A420)))),1))," ",REPT(" ",LEN(A420))),LEN(A420)))), ROW(INDIRECT("1:"&amp;LEN((--TRIM(RIGHT(SUBSTITUTE(LEFT(A420,_xlfn.AGGREGATE(16,6,FIND({0,1,2,3,4,5,6,7,8,9},A420,ROW(INDIRECT("1:"&amp;LEN(A420)))),1))," ",REPT(" ",LEN(A420))),LEN(A420))))))), 1)) * ROW(INDIRECT("1:"&amp;LEN((--TRIM(RIGHT(SUBSTITUTE(LEFT(A420,_xlfn.AGGREGATE(16,6,FIND({0,1,2,3,4,5,6,7,8,9},A420,ROW(INDIRECT("1:"&amp;LEN(A420)))),1))," ",REPT(" ",LEN(A420))),LEN(A420))))))), 0), ROW(INDIRECT("1:"&amp;LEN((--TRIM(RIGHT(SUBSTITUTE(LEFT(A420,_xlfn.AGGREGATE(16,6,FIND({0,1,2,3,4,5,6,7,8,9},A420,ROW(INDIRECT("1:"&amp;LEN(A420)))),1))," ",REPT(" ",LEN(A420))),LEN(A420))))))))+1, 1) * 10^ROW(INDIRECT("1:"&amp;LEN((--TRIM(RIGHT(SUBSTITUTE(LEFT(A420,_xlfn.AGGREGATE(16,6,FIND({0,1,2,3,4,5,6,7,8,9},A420,ROW(INDIRECT("1:"&amp;LEN(A420)))),1))," ",REPT(" ",LEN(A420))),LEN(A420)))))))/10))*1+1</f>
        <v>205 to 505</v>
      </c>
      <c r="B421" s="141"/>
      <c r="C421" s="39"/>
      <c r="D421" s="39"/>
      <c r="E421" s="39">
        <v>0</v>
      </c>
      <c r="F421" s="39">
        <f>D421+E421</f>
        <v>0</v>
      </c>
      <c r="G421" s="39">
        <v>0</v>
      </c>
      <c r="H421" s="39">
        <f>F421*(($H$167)+1)+(IF(G421&lt;101,G421,IF(G421&lt;201,G421/2,IF(G421&lt;=301,G421/3,G421/4))))</f>
        <v>0</v>
      </c>
      <c r="I421" s="33"/>
    </row>
    <row r="422" spans="1:20" s="34" customFormat="1" hidden="1" x14ac:dyDescent="0.3">
      <c r="A422" s="107" t="s">
        <v>146</v>
      </c>
      <c r="B422" s="108"/>
      <c r="C422" s="108"/>
      <c r="D422" s="108"/>
      <c r="E422" s="108"/>
      <c r="F422" s="108"/>
      <c r="G422" s="108"/>
      <c r="H422" s="109"/>
      <c r="I422" s="33"/>
    </row>
    <row r="423" spans="1:20" s="34" customFormat="1" ht="15.75" hidden="1" customHeight="1" x14ac:dyDescent="0.3">
      <c r="A423" s="140" t="str">
        <f ca="1">(SUMPRODUCT(MID(0&amp;(LEFT(A422,SUM(LEN(A422)-LEN(SUBSTITUTE(A422,{"0","1","2"},""))))), LARGE(INDEX(ISNUMBER(--MID((LEFT(A422,SUM(LEN(A422)-LEN(SUBSTITUTE(A422,{"0","1","2"},""))))), ROW(INDIRECT("1:"&amp;LEN((LEFT(A422,SUM(LEN(A422)-LEN(SUBSTITUTE(A422,{"0","1","2"},"")))))))), 1)) * ROW(INDIRECT("1:"&amp;LEN((LEFT(A422,SUM(LEN(A422)-LEN(SUBSTITUTE(A422,{"0","1","2"},"")))))))), 0), ROW(INDIRECT("1:"&amp;LEN((LEFT(A422,SUM(LEN(A422)-LEN(SUBSTITUTE(A422,{"0","1","2"},"")))))))))+1, 1) * 10^ROW(INDIRECT("1:"&amp;LEN((LEFT(A422,SUM(LEN(A422)-LEN(SUBSTITUTE(A422,{"0","1","2"},""))))))))/10))*100+1&amp;""&amp;" &amp; "&amp;""&amp;(SUMPRODUCT(MID(0&amp;(--TRIM(RIGHT(SUBSTITUTE(LEFT(A422,_xlfn.AGGREGATE(16,6,FIND({0,1,2,3,4,5,6,7,8,9},A422,ROW(INDIRECT("1:"&amp;LEN(A422)))),1))," ",REPT(" ",LEN(A422))),LEN(A422)))), LARGE(INDEX(ISNUMBER(--MID((--TRIM(RIGHT(SUBSTITUTE(LEFT(A422,_xlfn.AGGREGATE(16,6,FIND({0,1,2,3,4,5,6,7,8,9},A422,ROW(INDIRECT("1:"&amp;LEN(A422)))),1))," ",REPT(" ",LEN(A422))),LEN(A422)))), ROW(INDIRECT("1:"&amp;LEN((--TRIM(RIGHT(SUBSTITUTE(LEFT(A422,_xlfn.AGGREGATE(16,6,FIND({0,1,2,3,4,5,6,7,8,9},A422,ROW(INDIRECT("1:"&amp;LEN(A422)))),1))," ",REPT(" ",LEN(A422))),LEN(A422))))))), 1)) * ROW(INDIRECT("1:"&amp;LEN((--TRIM(RIGHT(SUBSTITUTE(LEFT(A422,_xlfn.AGGREGATE(16,6,FIND({0,1,2,3,4,5,6,7,8,9},A422,ROW(INDIRECT("1:"&amp;LEN(A422)))),1))," ",REPT(" ",LEN(A422))),LEN(A422))))))), 0), ROW(INDIRECT("1:"&amp;LEN((--TRIM(RIGHT(SUBSTITUTE(LEFT(A422,_xlfn.AGGREGATE(16,6,FIND({0,1,2,3,4,5,6,7,8,9},A422,ROW(INDIRECT("1:"&amp;LEN(A422)))),1))," ",REPT(" ",LEN(A422))),LEN(A422))))))))+1, 1) * 10^ROW(INDIRECT("1:"&amp;LEN((--TRIM(RIGHT(SUBSTITUTE(LEFT(A422,_xlfn.AGGREGATE(16,6,FIND({0,1,2,3,4,5,6,7,8,9},A422,ROW(INDIRECT("1:"&amp;LEN(A422)))),1))," ",REPT(" ",LEN(A422))),LEN(A422)))))))/10))*100+1</f>
        <v>201 &amp; 501</v>
      </c>
      <c r="B423" s="141"/>
      <c r="C423" s="39"/>
      <c r="D423" s="39"/>
      <c r="E423" s="39">
        <v>0</v>
      </c>
      <c r="F423" s="39">
        <f>D423+E423</f>
        <v>0</v>
      </c>
      <c r="G423" s="39">
        <v>0</v>
      </c>
      <c r="H423" s="39">
        <f>F423*(($H$167)+1)+(IF(G423&lt;101,G423,IF(G423&lt;201,G423/2,IF(G423&lt;=301,G423/3,G423/4))))</f>
        <v>0</v>
      </c>
      <c r="I423" s="33"/>
    </row>
    <row r="424" spans="1:20" s="34" customFormat="1" ht="15.75" hidden="1" customHeight="1" x14ac:dyDescent="0.3">
      <c r="A424" s="140" t="str">
        <f ca="1">(SUMPRODUCT(MID(0&amp;(LEFT(A423,SUM(LEN(A423)-LEN(SUBSTITUTE(A423,{"0","1","2"},""))))), LARGE(INDEX(ISNUMBER(--MID((LEFT(A423,SUM(LEN(A423)-LEN(SUBSTITUTE(A423,{"0","1","2"},""))))), ROW(INDIRECT("1:"&amp;LEN((LEFT(A423,SUM(LEN(A423)-LEN(SUBSTITUTE(A423,{"0","1","2"},"")))))))), 1)) * ROW(INDIRECT("1:"&amp;LEN((LEFT(A423,SUM(LEN(A423)-LEN(SUBSTITUTE(A423,{"0","1","2"},"")))))))), 0), ROW(INDIRECT("1:"&amp;LEN((LEFT(A423,SUM(LEN(A423)-LEN(SUBSTITUTE(A423,{"0","1","2"},"")))))))))+1, 1) * 10^ROW(INDIRECT("1:"&amp;LEN((LEFT(A423,SUM(LEN(A423)-LEN(SUBSTITUTE(A423,{"0","1","2"},""))))))))/10))*1+1&amp;""&amp;" &amp; "&amp;""&amp;(SUMPRODUCT(MID(0&amp;(--TRIM(RIGHT(SUBSTITUTE(LEFT(A423,_xlfn.AGGREGATE(16,6,FIND({0,1,2,3,4,5,6,7,8,9},A423,ROW(INDIRECT("1:"&amp;LEN(A423)))),1))," ",REPT(" ",LEN(A423))),LEN(A423)))), LARGE(INDEX(ISNUMBER(--MID((--TRIM(RIGHT(SUBSTITUTE(LEFT(A423,_xlfn.AGGREGATE(16,6,FIND({0,1,2,3,4,5,6,7,8,9},A423,ROW(INDIRECT("1:"&amp;LEN(A423)))),1))," ",REPT(" ",LEN(A423))),LEN(A423)))), ROW(INDIRECT("1:"&amp;LEN((--TRIM(RIGHT(SUBSTITUTE(LEFT(A423,_xlfn.AGGREGATE(16,6,FIND({0,1,2,3,4,5,6,7,8,9},A423,ROW(INDIRECT("1:"&amp;LEN(A423)))),1))," ",REPT(" ",LEN(A423))),LEN(A423))))))), 1)) * ROW(INDIRECT("1:"&amp;LEN((--TRIM(RIGHT(SUBSTITUTE(LEFT(A423,_xlfn.AGGREGATE(16,6,FIND({0,1,2,3,4,5,6,7,8,9},A423,ROW(INDIRECT("1:"&amp;LEN(A423)))),1))," ",REPT(" ",LEN(A423))),LEN(A423))))))), 0), ROW(INDIRECT("1:"&amp;LEN((--TRIM(RIGHT(SUBSTITUTE(LEFT(A423,_xlfn.AGGREGATE(16,6,FIND({0,1,2,3,4,5,6,7,8,9},A423,ROW(INDIRECT("1:"&amp;LEN(A423)))),1))," ",REPT(" ",LEN(A423))),LEN(A423))))))))+1, 1) * 10^ROW(INDIRECT("1:"&amp;LEN((--TRIM(RIGHT(SUBSTITUTE(LEFT(A423,_xlfn.AGGREGATE(16,6,FIND({0,1,2,3,4,5,6,7,8,9},A423,ROW(INDIRECT("1:"&amp;LEN(A423)))),1))," ",REPT(" ",LEN(A423))),LEN(A423)))))))/10))*1+1</f>
        <v>202 &amp; 502</v>
      </c>
      <c r="B424" s="141"/>
      <c r="C424" s="39"/>
      <c r="D424" s="39"/>
      <c r="E424" s="39">
        <v>0</v>
      </c>
      <c r="F424" s="39">
        <f>D424+E424</f>
        <v>0</v>
      </c>
      <c r="G424" s="39">
        <v>0</v>
      </c>
      <c r="H424" s="39">
        <f>F424*(($H$167)+1)+(IF(G424&lt;101,G424,IF(G424&lt;201,G424/2,IF(G424&lt;=301,G424/3,G424/4))))</f>
        <v>0</v>
      </c>
      <c r="I424" s="33"/>
    </row>
    <row r="425" spans="1:20" s="34" customFormat="1" ht="15.75" hidden="1" customHeight="1" x14ac:dyDescent="0.3">
      <c r="A425" s="140" t="str">
        <f ca="1">(SUMPRODUCT(MID(0&amp;(LEFT(A424,SUM(LEN(A424)-LEN(SUBSTITUTE(A424,{"0","1","2"},""))))), LARGE(INDEX(ISNUMBER(--MID((LEFT(A424,SUM(LEN(A424)-LEN(SUBSTITUTE(A424,{"0","1","2"},""))))), ROW(INDIRECT("1:"&amp;LEN((LEFT(A424,SUM(LEN(A424)-LEN(SUBSTITUTE(A424,{"0","1","2"},"")))))))), 1)) * ROW(INDIRECT("1:"&amp;LEN((LEFT(A424,SUM(LEN(A424)-LEN(SUBSTITUTE(A424,{"0","1","2"},"")))))))), 0), ROW(INDIRECT("1:"&amp;LEN((LEFT(A424,SUM(LEN(A424)-LEN(SUBSTITUTE(A424,{"0","1","2"},"")))))))))+1, 1) * 10^ROW(INDIRECT("1:"&amp;LEN((LEFT(A424,SUM(LEN(A424)-LEN(SUBSTITUTE(A424,{"0","1","2"},""))))))))/10))*1+1&amp;""&amp;" &amp; "&amp;""&amp;(SUMPRODUCT(MID(0&amp;(--TRIM(RIGHT(SUBSTITUTE(LEFT(A424,_xlfn.AGGREGATE(16,6,FIND({0,1,2,3,4,5,6,7,8,9},A424,ROW(INDIRECT("1:"&amp;LEN(A424)))),1))," ",REPT(" ",LEN(A424))),LEN(A424)))), LARGE(INDEX(ISNUMBER(--MID((--TRIM(RIGHT(SUBSTITUTE(LEFT(A424,_xlfn.AGGREGATE(16,6,FIND({0,1,2,3,4,5,6,7,8,9},A424,ROW(INDIRECT("1:"&amp;LEN(A424)))),1))," ",REPT(" ",LEN(A424))),LEN(A424)))), ROW(INDIRECT("1:"&amp;LEN((--TRIM(RIGHT(SUBSTITUTE(LEFT(A424,_xlfn.AGGREGATE(16,6,FIND({0,1,2,3,4,5,6,7,8,9},A424,ROW(INDIRECT("1:"&amp;LEN(A424)))),1))," ",REPT(" ",LEN(A424))),LEN(A424))))))), 1)) * ROW(INDIRECT("1:"&amp;LEN((--TRIM(RIGHT(SUBSTITUTE(LEFT(A424,_xlfn.AGGREGATE(16,6,FIND({0,1,2,3,4,5,6,7,8,9},A424,ROW(INDIRECT("1:"&amp;LEN(A424)))),1))," ",REPT(" ",LEN(A424))),LEN(A424))))))), 0), ROW(INDIRECT("1:"&amp;LEN((--TRIM(RIGHT(SUBSTITUTE(LEFT(A424,_xlfn.AGGREGATE(16,6,FIND({0,1,2,3,4,5,6,7,8,9},A424,ROW(INDIRECT("1:"&amp;LEN(A424)))),1))," ",REPT(" ",LEN(A424))),LEN(A424))))))))+1, 1) * 10^ROW(INDIRECT("1:"&amp;LEN((--TRIM(RIGHT(SUBSTITUTE(LEFT(A424,_xlfn.AGGREGATE(16,6,FIND({0,1,2,3,4,5,6,7,8,9},A424,ROW(INDIRECT("1:"&amp;LEN(A424)))),1))," ",REPT(" ",LEN(A424))),LEN(A424)))))))/10))*1+1</f>
        <v>203 &amp; 503</v>
      </c>
      <c r="B425" s="141"/>
      <c r="C425" s="39"/>
      <c r="D425" s="39"/>
      <c r="E425" s="39">
        <v>0</v>
      </c>
      <c r="F425" s="39">
        <f>D425+E425</f>
        <v>0</v>
      </c>
      <c r="G425" s="39">
        <v>0</v>
      </c>
      <c r="H425" s="39">
        <f>F425*(($H$167)+1)+(IF(G425&lt;101,G425,IF(G425&lt;201,G425/2,IF(G425&lt;=301,G425/3,G425/4))))</f>
        <v>0</v>
      </c>
      <c r="I425" s="33"/>
    </row>
    <row r="426" spans="1:20" s="34" customFormat="1" ht="15.75" hidden="1" customHeight="1" x14ac:dyDescent="0.3">
      <c r="A426" s="140" t="str">
        <f ca="1">(SUMPRODUCT(MID(0&amp;(LEFT(A425,SUM(LEN(A425)-LEN(SUBSTITUTE(A425,{"0","1","2"},""))))), LARGE(INDEX(ISNUMBER(--MID((LEFT(A425,SUM(LEN(A425)-LEN(SUBSTITUTE(A425,{"0","1","2"},""))))), ROW(INDIRECT("1:"&amp;LEN((LEFT(A425,SUM(LEN(A425)-LEN(SUBSTITUTE(A425,{"0","1","2"},"")))))))), 1)) * ROW(INDIRECT("1:"&amp;LEN((LEFT(A425,SUM(LEN(A425)-LEN(SUBSTITUTE(A425,{"0","1","2"},"")))))))), 0), ROW(INDIRECT("1:"&amp;LEN((LEFT(A425,SUM(LEN(A425)-LEN(SUBSTITUTE(A425,{"0","1","2"},"")))))))))+1, 1) * 10^ROW(INDIRECT("1:"&amp;LEN((LEFT(A425,SUM(LEN(A425)-LEN(SUBSTITUTE(A425,{"0","1","2"},""))))))))/10))*1+1&amp;""&amp;" &amp; "&amp;""&amp;(SUMPRODUCT(MID(0&amp;(--TRIM(RIGHT(SUBSTITUTE(LEFT(A425,_xlfn.AGGREGATE(16,6,FIND({0,1,2,3,4,5,6,7,8,9},A425,ROW(INDIRECT("1:"&amp;LEN(A425)))),1))," ",REPT(" ",LEN(A425))),LEN(A425)))), LARGE(INDEX(ISNUMBER(--MID((--TRIM(RIGHT(SUBSTITUTE(LEFT(A425,_xlfn.AGGREGATE(16,6,FIND({0,1,2,3,4,5,6,7,8,9},A425,ROW(INDIRECT("1:"&amp;LEN(A425)))),1))," ",REPT(" ",LEN(A425))),LEN(A425)))), ROW(INDIRECT("1:"&amp;LEN((--TRIM(RIGHT(SUBSTITUTE(LEFT(A425,_xlfn.AGGREGATE(16,6,FIND({0,1,2,3,4,5,6,7,8,9},A425,ROW(INDIRECT("1:"&amp;LEN(A425)))),1))," ",REPT(" ",LEN(A425))),LEN(A425))))))), 1)) * ROW(INDIRECT("1:"&amp;LEN((--TRIM(RIGHT(SUBSTITUTE(LEFT(A425,_xlfn.AGGREGATE(16,6,FIND({0,1,2,3,4,5,6,7,8,9},A425,ROW(INDIRECT("1:"&amp;LEN(A425)))),1))," ",REPT(" ",LEN(A425))),LEN(A425))))))), 0), ROW(INDIRECT("1:"&amp;LEN((--TRIM(RIGHT(SUBSTITUTE(LEFT(A425,_xlfn.AGGREGATE(16,6,FIND({0,1,2,3,4,5,6,7,8,9},A425,ROW(INDIRECT("1:"&amp;LEN(A425)))),1))," ",REPT(" ",LEN(A425))),LEN(A425))))))))+1, 1) * 10^ROW(INDIRECT("1:"&amp;LEN((--TRIM(RIGHT(SUBSTITUTE(LEFT(A425,_xlfn.AGGREGATE(16,6,FIND({0,1,2,3,4,5,6,7,8,9},A425,ROW(INDIRECT("1:"&amp;LEN(A425)))),1))," ",REPT(" ",LEN(A425))),LEN(A425)))))))/10))*1+1</f>
        <v>204 &amp; 504</v>
      </c>
      <c r="B426" s="141"/>
      <c r="C426" s="39"/>
      <c r="D426" s="39"/>
      <c r="E426" s="39">
        <v>0</v>
      </c>
      <c r="F426" s="39">
        <f>D426+E426</f>
        <v>0</v>
      </c>
      <c r="G426" s="39">
        <v>0</v>
      </c>
      <c r="H426" s="39">
        <f>F426*(($H$167)+1)+(IF(G426&lt;101,G426,IF(G426&lt;201,G426/2,IF(G426&lt;=301,G426/3,G426/4))))</f>
        <v>0</v>
      </c>
      <c r="I426" s="33"/>
    </row>
    <row r="427" spans="1:20" s="34" customFormat="1" ht="15.75" hidden="1" customHeight="1" x14ac:dyDescent="0.3">
      <c r="A427" s="140" t="str">
        <f ca="1">(SUMPRODUCT(MID(0&amp;(LEFT(A426,SUM(LEN(A426)-LEN(SUBSTITUTE(A426,{"0","1","2"},""))))), LARGE(INDEX(ISNUMBER(--MID((LEFT(A426,SUM(LEN(A426)-LEN(SUBSTITUTE(A426,{"0","1","2"},""))))), ROW(INDIRECT("1:"&amp;LEN((LEFT(A426,SUM(LEN(A426)-LEN(SUBSTITUTE(A426,{"0","1","2"},"")))))))), 1)) * ROW(INDIRECT("1:"&amp;LEN((LEFT(A426,SUM(LEN(A426)-LEN(SUBSTITUTE(A426,{"0","1","2"},"")))))))), 0), ROW(INDIRECT("1:"&amp;LEN((LEFT(A426,SUM(LEN(A426)-LEN(SUBSTITUTE(A426,{"0","1","2"},"")))))))))+1, 1) * 10^ROW(INDIRECT("1:"&amp;LEN((LEFT(A426,SUM(LEN(A426)-LEN(SUBSTITUTE(A426,{"0","1","2"},""))))))))/10))*1+1&amp;""&amp;" &amp; "&amp;""&amp;(SUMPRODUCT(MID(0&amp;(--TRIM(RIGHT(SUBSTITUTE(LEFT(A426,_xlfn.AGGREGATE(16,6,FIND({0,1,2,3,4,5,6,7,8,9},A426,ROW(INDIRECT("1:"&amp;LEN(A426)))),1))," ",REPT(" ",LEN(A426))),LEN(A426)))), LARGE(INDEX(ISNUMBER(--MID((--TRIM(RIGHT(SUBSTITUTE(LEFT(A426,_xlfn.AGGREGATE(16,6,FIND({0,1,2,3,4,5,6,7,8,9},A426,ROW(INDIRECT("1:"&amp;LEN(A426)))),1))," ",REPT(" ",LEN(A426))),LEN(A426)))), ROW(INDIRECT("1:"&amp;LEN((--TRIM(RIGHT(SUBSTITUTE(LEFT(A426,_xlfn.AGGREGATE(16,6,FIND({0,1,2,3,4,5,6,7,8,9},A426,ROW(INDIRECT("1:"&amp;LEN(A426)))),1))," ",REPT(" ",LEN(A426))),LEN(A426))))))), 1)) * ROW(INDIRECT("1:"&amp;LEN((--TRIM(RIGHT(SUBSTITUTE(LEFT(A426,_xlfn.AGGREGATE(16,6,FIND({0,1,2,3,4,5,6,7,8,9},A426,ROW(INDIRECT("1:"&amp;LEN(A426)))),1))," ",REPT(" ",LEN(A426))),LEN(A426))))))), 0), ROW(INDIRECT("1:"&amp;LEN((--TRIM(RIGHT(SUBSTITUTE(LEFT(A426,_xlfn.AGGREGATE(16,6,FIND({0,1,2,3,4,5,6,7,8,9},A426,ROW(INDIRECT("1:"&amp;LEN(A426)))),1))," ",REPT(" ",LEN(A426))),LEN(A426))))))))+1, 1) * 10^ROW(INDIRECT("1:"&amp;LEN((--TRIM(RIGHT(SUBSTITUTE(LEFT(A426,_xlfn.AGGREGATE(16,6,FIND({0,1,2,3,4,5,6,7,8,9},A426,ROW(INDIRECT("1:"&amp;LEN(A426)))),1))," ",REPT(" ",LEN(A426))),LEN(A426)))))))/10))*1+1</f>
        <v>205 &amp; 505</v>
      </c>
      <c r="B427" s="141"/>
      <c r="C427" s="39"/>
      <c r="D427" s="39"/>
      <c r="E427" s="39">
        <v>0</v>
      </c>
      <c r="F427" s="39">
        <f>D427+E427</f>
        <v>0</v>
      </c>
      <c r="G427" s="39">
        <v>0</v>
      </c>
      <c r="H427" s="39">
        <f>F427*(($H$167)+1)+(IF(G427&lt;101,G427,IF(G427&lt;201,G427/2,IF(G427&lt;=301,G427/3,G427/4))))</f>
        <v>0</v>
      </c>
      <c r="I427" s="33"/>
    </row>
    <row r="428" spans="1:20" s="32" customFormat="1" x14ac:dyDescent="0.3">
      <c r="A428" s="267" t="s">
        <v>64</v>
      </c>
      <c r="B428" s="267"/>
      <c r="C428" s="267"/>
      <c r="D428" s="267"/>
      <c r="E428" s="267"/>
      <c r="F428" s="267"/>
      <c r="G428" s="267"/>
      <c r="H428" s="267"/>
      <c r="T428" s="34"/>
    </row>
    <row r="429" spans="1:20" s="32" customFormat="1" ht="32.25" customHeight="1" x14ac:dyDescent="0.3">
      <c r="A429" s="41" t="s">
        <v>155</v>
      </c>
      <c r="B429" s="136" t="s">
        <v>511</v>
      </c>
      <c r="C429" s="137"/>
      <c r="D429" s="137"/>
      <c r="E429" s="137"/>
      <c r="F429" s="137"/>
      <c r="G429" s="137"/>
      <c r="H429" s="138"/>
      <c r="T429" s="34"/>
    </row>
    <row r="430" spans="1:20" s="32" customFormat="1" x14ac:dyDescent="0.3">
      <c r="A430" s="41" t="s">
        <v>155</v>
      </c>
      <c r="B430" s="136" t="str">
        <f>(IF(H166="Saleable area Loading :","We have considered Saleable area of Flats as per our Calculation.","We considered Saleable area of Flat as per Builder area Sheet."))</f>
        <v>We have considered Saleable area of Flats as per our Calculation.</v>
      </c>
      <c r="C430" s="137"/>
      <c r="D430" s="137"/>
      <c r="E430" s="137"/>
      <c r="F430" s="137"/>
      <c r="G430" s="137"/>
      <c r="H430" s="138"/>
      <c r="T430" s="34"/>
    </row>
    <row r="431" spans="1:20" s="32" customFormat="1" x14ac:dyDescent="0.3">
      <c r="A431" s="41" t="s">
        <v>155</v>
      </c>
      <c r="B431" s="151" t="str">
        <f>(IF(H158="Saleable area Loading :","We have considered Saleable area of Commercial as per our Calculation.","We considered Saleable area of Commercial as per Builder area Sheet."))</f>
        <v>We have considered Saleable area of Commercial as per our Calculation.</v>
      </c>
      <c r="C431" s="152"/>
      <c r="D431" s="152"/>
      <c r="E431" s="152"/>
      <c r="F431" s="152"/>
      <c r="G431" s="152"/>
      <c r="H431" s="153"/>
      <c r="T431" s="34"/>
    </row>
    <row r="432" spans="1:20" s="32" customFormat="1" x14ac:dyDescent="0.3">
      <c r="A432" s="41" t="s">
        <v>155</v>
      </c>
      <c r="B432" s="154" t="s">
        <v>122</v>
      </c>
      <c r="C432" s="155"/>
      <c r="D432" s="155"/>
      <c r="E432" s="155"/>
      <c r="F432" s="155"/>
      <c r="G432" s="155"/>
      <c r="H432" s="156"/>
      <c r="T432" s="34"/>
    </row>
    <row r="433" spans="1:20" s="32" customFormat="1" x14ac:dyDescent="0.3">
      <c r="A433" s="41" t="s">
        <v>155</v>
      </c>
      <c r="B433" s="151" t="s">
        <v>479</v>
      </c>
      <c r="C433" s="152"/>
      <c r="D433" s="152"/>
      <c r="E433" s="152"/>
      <c r="F433" s="152"/>
      <c r="G433" s="152"/>
      <c r="H433" s="153"/>
      <c r="T433" s="34"/>
    </row>
    <row r="434" spans="1:20" s="32" customFormat="1" x14ac:dyDescent="0.3">
      <c r="A434" s="41" t="s">
        <v>155</v>
      </c>
      <c r="B434" s="154" t="s">
        <v>154</v>
      </c>
      <c r="C434" s="155"/>
      <c r="D434" s="155"/>
      <c r="E434" s="155"/>
      <c r="F434" s="155"/>
      <c r="G434" s="155"/>
      <c r="H434" s="156"/>
    </row>
    <row r="435" spans="1:20" s="32" customFormat="1" x14ac:dyDescent="0.3">
      <c r="A435" s="41" t="s">
        <v>155</v>
      </c>
      <c r="B435" s="154" t="s">
        <v>123</v>
      </c>
      <c r="C435" s="155"/>
      <c r="D435" s="155"/>
      <c r="E435" s="155"/>
      <c r="F435" s="155"/>
      <c r="G435" s="155"/>
      <c r="H435" s="156"/>
    </row>
    <row r="436" spans="1:20" s="32" customFormat="1" ht="34.5" customHeight="1" x14ac:dyDescent="0.3">
      <c r="A436" s="41" t="s">
        <v>155</v>
      </c>
      <c r="B436" s="151" t="s">
        <v>156</v>
      </c>
      <c r="C436" s="152"/>
      <c r="D436" s="152"/>
      <c r="E436" s="152"/>
      <c r="F436" s="152"/>
      <c r="G436" s="152"/>
      <c r="H436" s="153"/>
    </row>
    <row r="437" spans="1:20" s="32" customFormat="1" x14ac:dyDescent="0.3">
      <c r="A437" s="41" t="s">
        <v>155</v>
      </c>
      <c r="B437" s="154" t="s">
        <v>124</v>
      </c>
      <c r="C437" s="155"/>
      <c r="D437" s="155"/>
      <c r="E437" s="155"/>
      <c r="F437" s="155"/>
      <c r="G437" s="155"/>
      <c r="H437" s="156"/>
    </row>
    <row r="438" spans="1:20" s="32" customFormat="1" ht="32.25" hidden="1" customHeight="1" x14ac:dyDescent="0.3">
      <c r="A438" s="41" t="s">
        <v>155</v>
      </c>
      <c r="B438" s="142" t="s">
        <v>178</v>
      </c>
      <c r="C438" s="143"/>
      <c r="D438" s="143"/>
      <c r="E438" s="143"/>
      <c r="F438" s="143"/>
      <c r="G438" s="143"/>
      <c r="H438" s="144"/>
    </row>
    <row r="439" spans="1:20" s="32" customFormat="1" x14ac:dyDescent="0.3">
      <c r="A439" s="41" t="s">
        <v>155</v>
      </c>
      <c r="B439" s="151" t="s">
        <v>350</v>
      </c>
      <c r="C439" s="152"/>
      <c r="D439" s="152"/>
      <c r="E439" s="152"/>
      <c r="F439" s="152"/>
      <c r="G439" s="152"/>
      <c r="H439" s="153"/>
    </row>
    <row r="440" spans="1:20" s="32" customFormat="1" hidden="1" x14ac:dyDescent="0.3">
      <c r="A440" s="41" t="s">
        <v>155</v>
      </c>
      <c r="B440" s="142" t="str">
        <f ca="1">IF(G58&gt;EDATE(E3,-48),"NO REMARK FOR CC","REMARK FOR CC")</f>
        <v>NO REMARK FOR CC</v>
      </c>
      <c r="C440" s="143"/>
      <c r="D440" s="143"/>
      <c r="E440" s="143"/>
      <c r="F440" s="143"/>
      <c r="G440" s="143"/>
      <c r="H440" s="144"/>
    </row>
    <row r="441" spans="1:20" s="32" customFormat="1" ht="81.75" hidden="1" customHeight="1" x14ac:dyDescent="0.3">
      <c r="A441" s="41" t="s">
        <v>155</v>
      </c>
      <c r="B441" s="142" t="s">
        <v>351</v>
      </c>
      <c r="C441" s="143"/>
      <c r="D441" s="143"/>
      <c r="E441" s="143"/>
      <c r="F441" s="143"/>
      <c r="G441" s="143"/>
      <c r="H441" s="144"/>
    </row>
    <row r="442" spans="1:20" s="32" customFormat="1" x14ac:dyDescent="0.3">
      <c r="A442" s="41" t="s">
        <v>155</v>
      </c>
      <c r="B442" s="136" t="s">
        <v>506</v>
      </c>
      <c r="C442" s="137"/>
      <c r="D442" s="137"/>
      <c r="E442" s="137"/>
      <c r="F442" s="137"/>
      <c r="G442" s="137"/>
      <c r="H442" s="138"/>
    </row>
    <row r="443" spans="1:20" x14ac:dyDescent="0.3">
      <c r="A443" s="239" t="s">
        <v>57</v>
      </c>
      <c r="B443" s="239"/>
      <c r="C443" s="239"/>
      <c r="D443" s="239"/>
      <c r="E443" s="239"/>
      <c r="F443" s="239"/>
      <c r="G443" s="239"/>
      <c r="H443" s="239"/>
      <c r="T443" s="32"/>
    </row>
    <row r="444" spans="1:20" x14ac:dyDescent="0.3">
      <c r="A444" s="123" t="s">
        <v>58</v>
      </c>
      <c r="B444" s="123"/>
      <c r="C444" s="123"/>
      <c r="D444" s="123"/>
      <c r="E444" s="123"/>
      <c r="F444" s="123"/>
      <c r="G444" s="123"/>
      <c r="H444" s="123"/>
      <c r="T444" s="32"/>
    </row>
    <row r="445" spans="1:20" ht="15.75" customHeight="1" x14ac:dyDescent="0.3">
      <c r="A445" s="268" t="s">
        <v>59</v>
      </c>
      <c r="B445" s="268"/>
      <c r="C445" s="268"/>
      <c r="D445" s="268"/>
      <c r="E445" s="268"/>
      <c r="F445" s="268"/>
      <c r="G445" s="268"/>
      <c r="H445" s="268"/>
      <c r="T445" s="32"/>
    </row>
    <row r="446" spans="1:20" x14ac:dyDescent="0.3">
      <c r="A446" s="123" t="s">
        <v>60</v>
      </c>
      <c r="B446" s="123"/>
      <c r="C446" s="123"/>
      <c r="D446" s="123"/>
      <c r="E446" s="123"/>
      <c r="F446" s="123"/>
      <c r="G446" s="123"/>
      <c r="H446" s="123"/>
      <c r="T446" s="32"/>
    </row>
    <row r="447" spans="1:20" x14ac:dyDescent="0.3">
      <c r="A447" s="123" t="s">
        <v>61</v>
      </c>
      <c r="B447" s="123"/>
      <c r="C447" s="123"/>
      <c r="D447" s="123"/>
      <c r="E447" s="123"/>
      <c r="F447" s="123"/>
      <c r="G447" s="123"/>
      <c r="H447" s="123"/>
      <c r="T447" s="32"/>
    </row>
    <row r="448" spans="1:20" x14ac:dyDescent="0.3">
      <c r="A448" s="123" t="s">
        <v>125</v>
      </c>
      <c r="B448" s="123"/>
      <c r="C448" s="123"/>
      <c r="D448" s="123"/>
      <c r="E448" s="123"/>
      <c r="F448" s="123"/>
      <c r="G448" s="123"/>
      <c r="H448" s="123"/>
      <c r="T448" s="32"/>
    </row>
    <row r="449" spans="1:8" ht="33.9" customHeight="1" x14ac:dyDescent="0.3">
      <c r="A449" s="122" t="s">
        <v>126</v>
      </c>
      <c r="B449" s="122"/>
      <c r="C449" s="122"/>
      <c r="D449" s="122"/>
      <c r="E449" s="122"/>
      <c r="F449" s="122"/>
      <c r="G449" s="122"/>
      <c r="H449" s="122"/>
    </row>
    <row r="450" spans="1:8" x14ac:dyDescent="0.3">
      <c r="A450" s="258" t="s">
        <v>73</v>
      </c>
      <c r="B450" s="258"/>
      <c r="C450" s="258" t="s">
        <v>487</v>
      </c>
      <c r="D450" s="258"/>
      <c r="E450" s="258" t="s">
        <v>103</v>
      </c>
      <c r="F450" s="258"/>
      <c r="G450" s="259" t="s">
        <v>480</v>
      </c>
      <c r="H450" s="259"/>
    </row>
    <row r="451" spans="1:8" x14ac:dyDescent="0.3">
      <c r="A451" s="257" t="s">
        <v>75</v>
      </c>
      <c r="B451" s="257"/>
      <c r="C451" s="257"/>
      <c r="D451" s="257"/>
      <c r="E451" s="257"/>
      <c r="F451" s="257"/>
      <c r="G451" s="257"/>
      <c r="H451" s="257"/>
    </row>
    <row r="452" spans="1:8" x14ac:dyDescent="0.3">
      <c r="A452" s="257"/>
      <c r="B452" s="257"/>
      <c r="C452" s="257"/>
      <c r="D452" s="257"/>
      <c r="E452" s="257"/>
      <c r="F452" s="257"/>
      <c r="G452" s="257"/>
      <c r="H452" s="257"/>
    </row>
    <row r="453" spans="1:8" x14ac:dyDescent="0.3">
      <c r="A453" s="257"/>
      <c r="B453" s="257"/>
      <c r="C453" s="257"/>
      <c r="D453" s="257"/>
      <c r="E453" s="257"/>
      <c r="F453" s="257"/>
      <c r="G453" s="257"/>
      <c r="H453" s="257"/>
    </row>
    <row r="454" spans="1:8" x14ac:dyDescent="0.3">
      <c r="A454" s="257"/>
      <c r="B454" s="257"/>
      <c r="C454" s="257"/>
      <c r="D454" s="257"/>
      <c r="E454" s="257"/>
      <c r="F454" s="257"/>
      <c r="G454" s="257"/>
      <c r="H454" s="257"/>
    </row>
    <row r="455" spans="1:8" x14ac:dyDescent="0.3">
      <c r="A455" s="35" t="s">
        <v>62</v>
      </c>
      <c r="B455" s="36"/>
      <c r="C455" s="36"/>
      <c r="D455" s="35" t="str">
        <f>E9</f>
        <v>Aaradhya Avaan</v>
      </c>
      <c r="F455" s="36"/>
      <c r="G455" s="36"/>
      <c r="H455" s="36"/>
    </row>
    <row r="456" spans="1:8" x14ac:dyDescent="0.3">
      <c r="A456" s="36"/>
      <c r="B456" s="36"/>
      <c r="C456" s="36"/>
      <c r="D456" s="36"/>
      <c r="E456" s="36"/>
      <c r="F456" s="36"/>
      <c r="G456" s="36"/>
      <c r="H456" s="36"/>
    </row>
    <row r="457" spans="1:8" x14ac:dyDescent="0.3">
      <c r="A457" s="36"/>
      <c r="B457" s="36"/>
      <c r="C457" s="36"/>
      <c r="D457" s="36"/>
      <c r="E457" s="36"/>
      <c r="F457" s="36"/>
      <c r="G457" s="36"/>
      <c r="H457" s="36"/>
    </row>
    <row r="458" spans="1:8" ht="15" customHeight="1" x14ac:dyDescent="0.3"/>
    <row r="497" spans="1:1" x14ac:dyDescent="0.3">
      <c r="A497" s="38" t="s">
        <v>165</v>
      </c>
    </row>
    <row r="537" spans="1:1" ht="18.600000000000001" customHeight="1" x14ac:dyDescent="0.3"/>
    <row r="539" spans="1:1" x14ac:dyDescent="0.3">
      <c r="A539" s="38" t="s">
        <v>63</v>
      </c>
    </row>
  </sheetData>
  <mergeCells count="629">
    <mergeCell ref="L296:M296"/>
    <mergeCell ref="B297:H297"/>
    <mergeCell ref="L297:M297"/>
    <mergeCell ref="L298:M298"/>
    <mergeCell ref="L308:M308"/>
    <mergeCell ref="L309:M309"/>
    <mergeCell ref="L310:M310"/>
    <mergeCell ref="L311:M311"/>
    <mergeCell ref="L312:M312"/>
    <mergeCell ref="L299:M299"/>
    <mergeCell ref="L300:M300"/>
    <mergeCell ref="A301:H301"/>
    <mergeCell ref="L302:M302"/>
    <mergeCell ref="L303:M303"/>
    <mergeCell ref="L304:M304"/>
    <mergeCell ref="L305:M305"/>
    <mergeCell ref="L306:M306"/>
    <mergeCell ref="A307:H307"/>
    <mergeCell ref="B309:H309"/>
    <mergeCell ref="L285:M285"/>
    <mergeCell ref="L286:M286"/>
    <mergeCell ref="L287:M287"/>
    <mergeCell ref="A288:H288"/>
    <mergeCell ref="L289:M289"/>
    <mergeCell ref="L290:M290"/>
    <mergeCell ref="L291:M291"/>
    <mergeCell ref="L292:M292"/>
    <mergeCell ref="L293:M293"/>
    <mergeCell ref="B290:H290"/>
    <mergeCell ref="L277:M277"/>
    <mergeCell ref="L278:M278"/>
    <mergeCell ref="L279:M279"/>
    <mergeCell ref="B266:H266"/>
    <mergeCell ref="A282:H282"/>
    <mergeCell ref="L283:M283"/>
    <mergeCell ref="L284:M284"/>
    <mergeCell ref="L269:M269"/>
    <mergeCell ref="A270:H270"/>
    <mergeCell ref="L271:M271"/>
    <mergeCell ref="L272:M272"/>
    <mergeCell ref="L273:M273"/>
    <mergeCell ref="A276:H276"/>
    <mergeCell ref="J257:M258"/>
    <mergeCell ref="L259:M259"/>
    <mergeCell ref="L260:M260"/>
    <mergeCell ref="L261:M261"/>
    <mergeCell ref="L262:M262"/>
    <mergeCell ref="L263:M263"/>
    <mergeCell ref="A264:H264"/>
    <mergeCell ref="L266:M266"/>
    <mergeCell ref="K267:M268"/>
    <mergeCell ref="K264:M265"/>
    <mergeCell ref="L253:M253"/>
    <mergeCell ref="A252:H252"/>
    <mergeCell ref="A251:H251"/>
    <mergeCell ref="A244:H244"/>
    <mergeCell ref="A248:H248"/>
    <mergeCell ref="A249:H249"/>
    <mergeCell ref="A250:H250"/>
    <mergeCell ref="A245:H245"/>
    <mergeCell ref="A246:H246"/>
    <mergeCell ref="A247:H247"/>
    <mergeCell ref="L237:M237"/>
    <mergeCell ref="A238:H238"/>
    <mergeCell ref="L239:M239"/>
    <mergeCell ref="A240:H240"/>
    <mergeCell ref="L241:M241"/>
    <mergeCell ref="A172:H172"/>
    <mergeCell ref="A242:H242"/>
    <mergeCell ref="A243:H243"/>
    <mergeCell ref="L227:M227"/>
    <mergeCell ref="L228:M228"/>
    <mergeCell ref="A229:H229"/>
    <mergeCell ref="L230:M230"/>
    <mergeCell ref="L231:M231"/>
    <mergeCell ref="A232:H232"/>
    <mergeCell ref="L233:M233"/>
    <mergeCell ref="L234:M234"/>
    <mergeCell ref="A235:H235"/>
    <mergeCell ref="L218:M218"/>
    <mergeCell ref="L219:M219"/>
    <mergeCell ref="A220:H220"/>
    <mergeCell ref="L221:M221"/>
    <mergeCell ref="L222:M222"/>
    <mergeCell ref="A223:H223"/>
    <mergeCell ref="L224:M224"/>
    <mergeCell ref="L225:M225"/>
    <mergeCell ref="A226:H226"/>
    <mergeCell ref="A194:H194"/>
    <mergeCell ref="A211:H211"/>
    <mergeCell ref="A212:H212"/>
    <mergeCell ref="A213:H213"/>
    <mergeCell ref="A214:H214"/>
    <mergeCell ref="L215:M215"/>
    <mergeCell ref="L216:M216"/>
    <mergeCell ref="A217:H217"/>
    <mergeCell ref="A203:H203"/>
    <mergeCell ref="L204:M204"/>
    <mergeCell ref="L205:M205"/>
    <mergeCell ref="L206:M206"/>
    <mergeCell ref="A207:H207"/>
    <mergeCell ref="L208:M208"/>
    <mergeCell ref="L209:M209"/>
    <mergeCell ref="L210:M210"/>
    <mergeCell ref="B210:H210"/>
    <mergeCell ref="A195:H195"/>
    <mergeCell ref="L196:M196"/>
    <mergeCell ref="L197:M197"/>
    <mergeCell ref="L198:M198"/>
    <mergeCell ref="L200:M200"/>
    <mergeCell ref="L202:M202"/>
    <mergeCell ref="B202:H202"/>
    <mergeCell ref="A186:H186"/>
    <mergeCell ref="L187:M187"/>
    <mergeCell ref="L188:M188"/>
    <mergeCell ref="L189:M189"/>
    <mergeCell ref="B189:H189"/>
    <mergeCell ref="A190:H190"/>
    <mergeCell ref="L191:M191"/>
    <mergeCell ref="L192:M192"/>
    <mergeCell ref="L193:M193"/>
    <mergeCell ref="L395:M395"/>
    <mergeCell ref="L396:M396"/>
    <mergeCell ref="B391:H392"/>
    <mergeCell ref="A168:H168"/>
    <mergeCell ref="L332:M332"/>
    <mergeCell ref="A333:H333"/>
    <mergeCell ref="L334:M334"/>
    <mergeCell ref="L179:M179"/>
    <mergeCell ref="L180:M180"/>
    <mergeCell ref="L181:M181"/>
    <mergeCell ref="A182:H182"/>
    <mergeCell ref="L183:M183"/>
    <mergeCell ref="L184:M184"/>
    <mergeCell ref="L185:M185"/>
    <mergeCell ref="A169:H169"/>
    <mergeCell ref="A170:H170"/>
    <mergeCell ref="A171:H171"/>
    <mergeCell ref="A173:H173"/>
    <mergeCell ref="A174:H174"/>
    <mergeCell ref="A175:H175"/>
    <mergeCell ref="A176:H176"/>
    <mergeCell ref="A177:H177"/>
    <mergeCell ref="A178:H178"/>
    <mergeCell ref="L201:M201"/>
    <mergeCell ref="L387:M387"/>
    <mergeCell ref="L388:M388"/>
    <mergeCell ref="L389:M389"/>
    <mergeCell ref="B389:H389"/>
    <mergeCell ref="A390:H390"/>
    <mergeCell ref="L391:M391"/>
    <mergeCell ref="L392:M392"/>
    <mergeCell ref="L393:M393"/>
    <mergeCell ref="L394:M394"/>
    <mergeCell ref="L379:M379"/>
    <mergeCell ref="L380:M380"/>
    <mergeCell ref="L381:M381"/>
    <mergeCell ref="L382:M382"/>
    <mergeCell ref="B381:H382"/>
    <mergeCell ref="A383:H383"/>
    <mergeCell ref="L384:M384"/>
    <mergeCell ref="L385:M385"/>
    <mergeCell ref="L386:M386"/>
    <mergeCell ref="L370:M370"/>
    <mergeCell ref="L371:M371"/>
    <mergeCell ref="L372:M372"/>
    <mergeCell ref="L373:M373"/>
    <mergeCell ref="L374:M374"/>
    <mergeCell ref="L375:M375"/>
    <mergeCell ref="A376:H376"/>
    <mergeCell ref="L377:M377"/>
    <mergeCell ref="L378:M378"/>
    <mergeCell ref="L367:M367"/>
    <mergeCell ref="L368:M368"/>
    <mergeCell ref="B368:H368"/>
    <mergeCell ref="A315:H315"/>
    <mergeCell ref="A316:H316"/>
    <mergeCell ref="L317:M317"/>
    <mergeCell ref="L318:M318"/>
    <mergeCell ref="A319:H319"/>
    <mergeCell ref="L320:M320"/>
    <mergeCell ref="L321:M321"/>
    <mergeCell ref="A322:H322"/>
    <mergeCell ref="L356:M356"/>
    <mergeCell ref="A342:H342"/>
    <mergeCell ref="L340:M340"/>
    <mergeCell ref="L341:M341"/>
    <mergeCell ref="A328:H328"/>
    <mergeCell ref="A329:H329"/>
    <mergeCell ref="L330:M330"/>
    <mergeCell ref="A331:H331"/>
    <mergeCell ref="L358:M358"/>
    <mergeCell ref="L359:M359"/>
    <mergeCell ref="L360:M360"/>
    <mergeCell ref="L361:M361"/>
    <mergeCell ref="A362:H362"/>
    <mergeCell ref="L363:M363"/>
    <mergeCell ref="L364:M364"/>
    <mergeCell ref="L365:M365"/>
    <mergeCell ref="L366:M366"/>
    <mergeCell ref="A348:H348"/>
    <mergeCell ref="L349:M349"/>
    <mergeCell ref="L350:M350"/>
    <mergeCell ref="L351:M351"/>
    <mergeCell ref="L352:M352"/>
    <mergeCell ref="L353:M353"/>
    <mergeCell ref="L354:M354"/>
    <mergeCell ref="A355:H355"/>
    <mergeCell ref="L357:M357"/>
    <mergeCell ref="E147:F147"/>
    <mergeCell ref="A156:H156"/>
    <mergeCell ref="A166:A167"/>
    <mergeCell ref="F166:F167"/>
    <mergeCell ref="A343:H343"/>
    <mergeCell ref="A345:H345"/>
    <mergeCell ref="A346:H346"/>
    <mergeCell ref="A344:H344"/>
    <mergeCell ref="A347:H347"/>
    <mergeCell ref="B255:H255"/>
    <mergeCell ref="A154:B154"/>
    <mergeCell ref="C154:D154"/>
    <mergeCell ref="E154:F154"/>
    <mergeCell ref="G154:H154"/>
    <mergeCell ref="A83:C83"/>
    <mergeCell ref="D84:H84"/>
    <mergeCell ref="A90:B90"/>
    <mergeCell ref="G89:H89"/>
    <mergeCell ref="A98:B98"/>
    <mergeCell ref="A99:B99"/>
    <mergeCell ref="A94:B94"/>
    <mergeCell ref="A93:B93"/>
    <mergeCell ref="E89:F89"/>
    <mergeCell ref="A91:B91"/>
    <mergeCell ref="A444:H444"/>
    <mergeCell ref="A134:E134"/>
    <mergeCell ref="A96:B96"/>
    <mergeCell ref="I15:P15"/>
    <mergeCell ref="F138:H138"/>
    <mergeCell ref="F136:H136"/>
    <mergeCell ref="A412:B412"/>
    <mergeCell ref="A157:H157"/>
    <mergeCell ref="G142:H142"/>
    <mergeCell ref="A137:E137"/>
    <mergeCell ref="A162:B162"/>
    <mergeCell ref="A71:B71"/>
    <mergeCell ref="C71:E71"/>
    <mergeCell ref="D73:H73"/>
    <mergeCell ref="F137:H137"/>
    <mergeCell ref="E142:F142"/>
    <mergeCell ref="A142:B142"/>
    <mergeCell ref="A144:B144"/>
    <mergeCell ref="C147:D147"/>
    <mergeCell ref="D83:H83"/>
    <mergeCell ref="D74:H74"/>
    <mergeCell ref="G71:H71"/>
    <mergeCell ref="A61:B62"/>
    <mergeCell ref="A165:H165"/>
    <mergeCell ref="A448:H448"/>
    <mergeCell ref="A445:H445"/>
    <mergeCell ref="A405:B405"/>
    <mergeCell ref="A147:B147"/>
    <mergeCell ref="D166:D167"/>
    <mergeCell ref="E166:E167"/>
    <mergeCell ref="A108:B108"/>
    <mergeCell ref="A110:B110"/>
    <mergeCell ref="F129:H129"/>
    <mergeCell ref="G143:H143"/>
    <mergeCell ref="A113:B113"/>
    <mergeCell ref="F135:H135"/>
    <mergeCell ref="C142:D142"/>
    <mergeCell ref="C153:D153"/>
    <mergeCell ref="A397:H397"/>
    <mergeCell ref="A414:B414"/>
    <mergeCell ref="B433:H433"/>
    <mergeCell ref="A423:B423"/>
    <mergeCell ref="A424:B424"/>
    <mergeCell ref="A427:B427"/>
    <mergeCell ref="B440:H440"/>
    <mergeCell ref="B439:H439"/>
    <mergeCell ref="F131:H131"/>
    <mergeCell ref="A135:E135"/>
    <mergeCell ref="B438:H438"/>
    <mergeCell ref="A155:B155"/>
    <mergeCell ref="A112:B112"/>
    <mergeCell ref="A131:E131"/>
    <mergeCell ref="A128:E128"/>
    <mergeCell ref="F132:H132"/>
    <mergeCell ref="A415:B415"/>
    <mergeCell ref="A132:E132"/>
    <mergeCell ref="B436:H436"/>
    <mergeCell ref="G158:G159"/>
    <mergeCell ref="A418:B418"/>
    <mergeCell ref="A426:B426"/>
    <mergeCell ref="B429:H429"/>
    <mergeCell ref="B430:H430"/>
    <mergeCell ref="B432:H432"/>
    <mergeCell ref="F128:H128"/>
    <mergeCell ref="F133:H133"/>
    <mergeCell ref="A164:B164"/>
    <mergeCell ref="A163:B163"/>
    <mergeCell ref="F134:H134"/>
    <mergeCell ref="A136:E136"/>
    <mergeCell ref="A125:B125"/>
    <mergeCell ref="A428:H428"/>
    <mergeCell ref="A420:B420"/>
    <mergeCell ref="A451:H454"/>
    <mergeCell ref="A450:B450"/>
    <mergeCell ref="E450:F450"/>
    <mergeCell ref="C450:D450"/>
    <mergeCell ref="G450:H450"/>
    <mergeCell ref="A141:H141"/>
    <mergeCell ref="A139:E139"/>
    <mergeCell ref="F139:H139"/>
    <mergeCell ref="A140:E140"/>
    <mergeCell ref="F140:H140"/>
    <mergeCell ref="A404:H404"/>
    <mergeCell ref="A148:B148"/>
    <mergeCell ref="A413:B413"/>
    <mergeCell ref="A143:B143"/>
    <mergeCell ref="A446:H446"/>
    <mergeCell ref="A146:H146"/>
    <mergeCell ref="A449:H449"/>
    <mergeCell ref="A447:H447"/>
    <mergeCell ref="A443:H443"/>
    <mergeCell ref="G147:H147"/>
    <mergeCell ref="B434:H434"/>
    <mergeCell ref="A419:B419"/>
    <mergeCell ref="A408:B408"/>
    <mergeCell ref="C155:D155"/>
    <mergeCell ref="E13:H13"/>
    <mergeCell ref="A1:H1"/>
    <mergeCell ref="A2:H2"/>
    <mergeCell ref="A3:D3"/>
    <mergeCell ref="E3:H3"/>
    <mergeCell ref="A5:D5"/>
    <mergeCell ref="A9:D9"/>
    <mergeCell ref="E9:H9"/>
    <mergeCell ref="A10:D10"/>
    <mergeCell ref="E10:H10"/>
    <mergeCell ref="E5:H5"/>
    <mergeCell ref="A6:D6"/>
    <mergeCell ref="E6:H6"/>
    <mergeCell ref="A7:D7"/>
    <mergeCell ref="E7:H7"/>
    <mergeCell ref="A8:D8"/>
    <mergeCell ref="E8:H8"/>
    <mergeCell ref="A4:D4"/>
    <mergeCell ref="E4:H4"/>
    <mergeCell ref="A28:D28"/>
    <mergeCell ref="E28:H28"/>
    <mergeCell ref="E14:H14"/>
    <mergeCell ref="A15:D15"/>
    <mergeCell ref="A11:D11"/>
    <mergeCell ref="E11:H11"/>
    <mergeCell ref="A23:D24"/>
    <mergeCell ref="A12:D12"/>
    <mergeCell ref="E12:H12"/>
    <mergeCell ref="A17:B17"/>
    <mergeCell ref="A14:D14"/>
    <mergeCell ref="A19:B19"/>
    <mergeCell ref="C19:D19"/>
    <mergeCell ref="E19:F19"/>
    <mergeCell ref="G19:H19"/>
    <mergeCell ref="A20:B20"/>
    <mergeCell ref="C20:D20"/>
    <mergeCell ref="E15:H15"/>
    <mergeCell ref="A16:B16"/>
    <mergeCell ref="C16:H16"/>
    <mergeCell ref="C17:H17"/>
    <mergeCell ref="A18:B18"/>
    <mergeCell ref="C18:H18"/>
    <mergeCell ref="A13:D13"/>
    <mergeCell ref="F37:H37"/>
    <mergeCell ref="A38:H38"/>
    <mergeCell ref="A40:B40"/>
    <mergeCell ref="A25:D25"/>
    <mergeCell ref="E25:H25"/>
    <mergeCell ref="A30:D30"/>
    <mergeCell ref="E30:H30"/>
    <mergeCell ref="A27:D27"/>
    <mergeCell ref="E20:F20"/>
    <mergeCell ref="G20:H20"/>
    <mergeCell ref="A21:B21"/>
    <mergeCell ref="C21:D21"/>
    <mergeCell ref="E21:F21"/>
    <mergeCell ref="G21:H21"/>
    <mergeCell ref="A22:B22"/>
    <mergeCell ref="C22:D22"/>
    <mergeCell ref="E22:F22"/>
    <mergeCell ref="G22:H22"/>
    <mergeCell ref="E23:H24"/>
    <mergeCell ref="E27:H27"/>
    <mergeCell ref="A29:D29"/>
    <mergeCell ref="E29:H29"/>
    <mergeCell ref="A26:D26"/>
    <mergeCell ref="E26:H26"/>
    <mergeCell ref="C67:H67"/>
    <mergeCell ref="A75:C75"/>
    <mergeCell ref="A68:B70"/>
    <mergeCell ref="E43:H43"/>
    <mergeCell ref="A43:D43"/>
    <mergeCell ref="A36:B36"/>
    <mergeCell ref="C36:E36"/>
    <mergeCell ref="A31:D31"/>
    <mergeCell ref="E31:H31"/>
    <mergeCell ref="A32:D32"/>
    <mergeCell ref="E32:H32"/>
    <mergeCell ref="C33:E33"/>
    <mergeCell ref="F36:H36"/>
    <mergeCell ref="F33:H33"/>
    <mergeCell ref="A34:B34"/>
    <mergeCell ref="A33:B33"/>
    <mergeCell ref="C34:E34"/>
    <mergeCell ref="A35:B35"/>
    <mergeCell ref="C35:E35"/>
    <mergeCell ref="F34:H34"/>
    <mergeCell ref="F35:H35"/>
    <mergeCell ref="A37:B37"/>
    <mergeCell ref="C37:E37"/>
    <mergeCell ref="A42:D42"/>
    <mergeCell ref="A49:B49"/>
    <mergeCell ref="C51:E51"/>
    <mergeCell ref="C50:E50"/>
    <mergeCell ref="G50:H50"/>
    <mergeCell ref="A51:B51"/>
    <mergeCell ref="G63:H63"/>
    <mergeCell ref="A88:B88"/>
    <mergeCell ref="A86:B86"/>
    <mergeCell ref="C86:H86"/>
    <mergeCell ref="A81:C81"/>
    <mergeCell ref="D81:H81"/>
    <mergeCell ref="C88:H88"/>
    <mergeCell ref="A82:C82"/>
    <mergeCell ref="D82:H82"/>
    <mergeCell ref="A85:C85"/>
    <mergeCell ref="D85:H85"/>
    <mergeCell ref="A84:C84"/>
    <mergeCell ref="A76:C78"/>
    <mergeCell ref="D76:H76"/>
    <mergeCell ref="D77:H77"/>
    <mergeCell ref="G59:H59"/>
    <mergeCell ref="G58:H58"/>
    <mergeCell ref="A72:H72"/>
    <mergeCell ref="A65:B67"/>
    <mergeCell ref="F130:H130"/>
    <mergeCell ref="A130:E130"/>
    <mergeCell ref="E155:F155"/>
    <mergeCell ref="A39:B39"/>
    <mergeCell ref="C39:H39"/>
    <mergeCell ref="C62:H62"/>
    <mergeCell ref="A58:B60"/>
    <mergeCell ref="C61:E61"/>
    <mergeCell ref="C58:E59"/>
    <mergeCell ref="C63:E63"/>
    <mergeCell ref="G61:H61"/>
    <mergeCell ref="A63:B64"/>
    <mergeCell ref="E42:H42"/>
    <mergeCell ref="A41:H41"/>
    <mergeCell ref="A46:D46"/>
    <mergeCell ref="A47:D47"/>
    <mergeCell ref="A44:D44"/>
    <mergeCell ref="E44:H44"/>
    <mergeCell ref="E45:H45"/>
    <mergeCell ref="E46:H46"/>
    <mergeCell ref="E47:H47"/>
    <mergeCell ref="C64:H64"/>
    <mergeCell ref="A48:H48"/>
    <mergeCell ref="A45:D45"/>
    <mergeCell ref="C144:D144"/>
    <mergeCell ref="E144:F144"/>
    <mergeCell ref="A119:B119"/>
    <mergeCell ref="C49:H49"/>
    <mergeCell ref="A50:B50"/>
    <mergeCell ref="L164:M164"/>
    <mergeCell ref="L163:M163"/>
    <mergeCell ref="L162:M162"/>
    <mergeCell ref="L161:M161"/>
    <mergeCell ref="A97:B97"/>
    <mergeCell ref="C148:D148"/>
    <mergeCell ref="E148:F148"/>
    <mergeCell ref="G148:H148"/>
    <mergeCell ref="A129:E129"/>
    <mergeCell ref="A100:B100"/>
    <mergeCell ref="C100:H100"/>
    <mergeCell ref="A160:H160"/>
    <mergeCell ref="E158:E159"/>
    <mergeCell ref="A104:B104"/>
    <mergeCell ref="C102:H102"/>
    <mergeCell ref="A105:B105"/>
    <mergeCell ref="A106:B106"/>
    <mergeCell ref="G104:H113"/>
    <mergeCell ref="A107:B107"/>
    <mergeCell ref="G68:H68"/>
    <mergeCell ref="G69:H69"/>
    <mergeCell ref="C70:H70"/>
    <mergeCell ref="F158:F159"/>
    <mergeCell ref="C143:D143"/>
    <mergeCell ref="E143:F143"/>
    <mergeCell ref="B158:B159"/>
    <mergeCell ref="A158:A159"/>
    <mergeCell ref="C166:C167"/>
    <mergeCell ref="G166:G167"/>
    <mergeCell ref="G155:H155"/>
    <mergeCell ref="A122:B122"/>
    <mergeCell ref="A124:B124"/>
    <mergeCell ref="A126:B126"/>
    <mergeCell ref="G144:H144"/>
    <mergeCell ref="A145:B145"/>
    <mergeCell ref="C145:D145"/>
    <mergeCell ref="E145:F145"/>
    <mergeCell ref="G145:H145"/>
    <mergeCell ref="C152:D152"/>
    <mergeCell ref="E152:F152"/>
    <mergeCell ref="E118:F127"/>
    <mergeCell ref="G118:H127"/>
    <mergeCell ref="G153:H153"/>
    <mergeCell ref="A117:B117"/>
    <mergeCell ref="E117:F117"/>
    <mergeCell ref="G117:H117"/>
    <mergeCell ref="A109:B109"/>
    <mergeCell ref="G103:H103"/>
    <mergeCell ref="A111:B111"/>
    <mergeCell ref="A118:B118"/>
    <mergeCell ref="A95:B95"/>
    <mergeCell ref="A52:B54"/>
    <mergeCell ref="C52:E53"/>
    <mergeCell ref="G52:H52"/>
    <mergeCell ref="G53:H53"/>
    <mergeCell ref="C54:H54"/>
    <mergeCell ref="A55:B57"/>
    <mergeCell ref="C55:E56"/>
    <mergeCell ref="G55:H55"/>
    <mergeCell ref="E90:F99"/>
    <mergeCell ref="G90:H99"/>
    <mergeCell ref="A92:B92"/>
    <mergeCell ref="C65:E66"/>
    <mergeCell ref="D78:H78"/>
    <mergeCell ref="G56:H56"/>
    <mergeCell ref="C57:H57"/>
    <mergeCell ref="C68:E69"/>
    <mergeCell ref="B431:H431"/>
    <mergeCell ref="B437:H437"/>
    <mergeCell ref="A411:B411"/>
    <mergeCell ref="A314:H314"/>
    <mergeCell ref="B435:H435"/>
    <mergeCell ref="A294:H294"/>
    <mergeCell ref="A161:B161"/>
    <mergeCell ref="D158:D159"/>
    <mergeCell ref="B198:H198"/>
    <mergeCell ref="A199:H199"/>
    <mergeCell ref="A236:H236"/>
    <mergeCell ref="A258:H258"/>
    <mergeCell ref="A295:H295"/>
    <mergeCell ref="A421:B421"/>
    <mergeCell ref="A416:H416"/>
    <mergeCell ref="A410:H410"/>
    <mergeCell ref="A425:B425"/>
    <mergeCell ref="A422:H422"/>
    <mergeCell ref="A369:H369"/>
    <mergeCell ref="B442:H442"/>
    <mergeCell ref="C149:D149"/>
    <mergeCell ref="E149:F149"/>
    <mergeCell ref="G149:H149"/>
    <mergeCell ref="A335:H335"/>
    <mergeCell ref="L336:M336"/>
    <mergeCell ref="L337:M337"/>
    <mergeCell ref="L338:M338"/>
    <mergeCell ref="L339:M339"/>
    <mergeCell ref="L404:M404"/>
    <mergeCell ref="A409:B409"/>
    <mergeCell ref="A406:B406"/>
    <mergeCell ref="A407:B407"/>
    <mergeCell ref="A417:B417"/>
    <mergeCell ref="L401:M401"/>
    <mergeCell ref="L398:M398"/>
    <mergeCell ref="L399:M399"/>
    <mergeCell ref="J254:M256"/>
    <mergeCell ref="L400:M400"/>
    <mergeCell ref="L402:M402"/>
    <mergeCell ref="L403:M403"/>
    <mergeCell ref="B441:H441"/>
    <mergeCell ref="C158:C159"/>
    <mergeCell ref="B166:B167"/>
    <mergeCell ref="G51:H51"/>
    <mergeCell ref="D75:H75"/>
    <mergeCell ref="A120:B120"/>
    <mergeCell ref="A121:B121"/>
    <mergeCell ref="L323:M323"/>
    <mergeCell ref="L324:M324"/>
    <mergeCell ref="A325:H325"/>
    <mergeCell ref="L326:M326"/>
    <mergeCell ref="L327:M327"/>
    <mergeCell ref="A313:H313"/>
    <mergeCell ref="A127:B127"/>
    <mergeCell ref="G152:H152"/>
    <mergeCell ref="A153:B153"/>
    <mergeCell ref="E153:F153"/>
    <mergeCell ref="A138:E138"/>
    <mergeCell ref="A123:B123"/>
    <mergeCell ref="A133:E133"/>
    <mergeCell ref="A103:B103"/>
    <mergeCell ref="E103:F103"/>
    <mergeCell ref="E104:F113"/>
    <mergeCell ref="A114:B114"/>
    <mergeCell ref="C114:H114"/>
    <mergeCell ref="A116:B116"/>
    <mergeCell ref="C116:H116"/>
    <mergeCell ref="K274:N275"/>
    <mergeCell ref="K280:N281"/>
    <mergeCell ref="I14:L14"/>
    <mergeCell ref="C151:D151"/>
    <mergeCell ref="E151:F151"/>
    <mergeCell ref="G151:H151"/>
    <mergeCell ref="A151:A152"/>
    <mergeCell ref="C150:D150"/>
    <mergeCell ref="E150:F150"/>
    <mergeCell ref="G150:H150"/>
    <mergeCell ref="C40:H40"/>
    <mergeCell ref="A102:B102"/>
    <mergeCell ref="C60:H60"/>
    <mergeCell ref="A73:C73"/>
    <mergeCell ref="A79:C79"/>
    <mergeCell ref="A80:C80"/>
    <mergeCell ref="D79:H79"/>
    <mergeCell ref="A74:C74"/>
    <mergeCell ref="G66:H66"/>
    <mergeCell ref="A89:B89"/>
    <mergeCell ref="D80:H80"/>
    <mergeCell ref="G65:H65"/>
  </mergeCells>
  <dataValidations count="18">
    <dataValidation type="list" allowBlank="1" showInputMessage="1" showErrorMessage="1" sqref="E5:H5" xr:uid="{00000000-0002-0000-0000-000000000000}">
      <formula1>OFFSET($L$3,1,MATCH($E4,$L$3:$P$3,0)-1,10,1)</formula1>
    </dataValidation>
    <dataValidation type="list" allowBlank="1" showInputMessage="1" showErrorMessage="1" sqref="A17:B17" xr:uid="{00000000-0002-0000-0000-000001000000}">
      <formula1>"CTS No,Survey No,Plot No,Gut No,FP No,"</formula1>
    </dataValidation>
    <dataValidation type="list" allowBlank="1" showInputMessage="1" showErrorMessage="1" sqref="G20:H20" xr:uid="{00000000-0002-0000-0000-000002000000}">
      <formula1>$S$13:$W$13</formula1>
    </dataValidation>
    <dataValidation type="list" allowBlank="1" showInputMessage="1" showErrorMessage="1" sqref="E158:E159" xr:uid="{00000000-0002-0000-0000-000003000000}">
      <formula1>"Attached Loft area,Attached Otla area,Attached Mezzanine area"</formula1>
    </dataValidation>
    <dataValidation type="list" allowBlank="1" showInputMessage="1" showErrorMessage="1" sqref="G450:H450" xr:uid="{00000000-0002-0000-0000-000004000000}">
      <formula1>"Kunal Kadam,Pranita Mhatre,Shruti Fule,Pooja Kawale,Gaurav Panchal,Shruti Tathare, Dipti Gothawade,Saurav Panse, Sachin Sawant"</formula1>
    </dataValidation>
    <dataValidation type="list" allowBlank="1" showInputMessage="1" showErrorMessage="1" sqref="F128:H128" xr:uid="{00000000-0002-0000-0000-000005000000}">
      <formula1>"On Saleable Area,On Builtup Area,On Carpet Area,On Plot Area"</formula1>
    </dataValidation>
    <dataValidation type="list" allowBlank="1" showInputMessage="1" showErrorMessage="1" sqref="F139:H139" xr:uid="{00000000-0002-0000-0000-000006000000}">
      <formula1>OFFSET($S$128,1,MATCH($G20,$S$128:$W$128,0)-1,15,1)</formula1>
    </dataValidation>
    <dataValidation type="list" allowBlank="1" showInputMessage="1" showErrorMessage="1" sqref="B158:B159" xr:uid="{00000000-0002-0000-0000-000007000000}">
      <formula1>"Shop No. (Sale Plan),Sale / Rehab,Sale / Mhada"</formula1>
    </dataValidation>
    <dataValidation type="list" allowBlank="1" showInputMessage="1" showErrorMessage="1" sqref="B166:B167" xr:uid="{00000000-0002-0000-0000-000008000000}">
      <formula1>"Flat No. (Sale Plan),Sale / Rehab,Sale / Mhada"</formula1>
    </dataValidation>
    <dataValidation type="list" allowBlank="1" showInputMessage="1" showErrorMessage="1" sqref="C21:D21" xr:uid="{00000000-0002-0000-0000-000009000000}">
      <formula1>OFFSET($S$13,1,MATCH($G20,$S$13:$W$13,0)-1,15,1)</formula1>
    </dataValidation>
    <dataValidation type="list" allowBlank="1" showInputMessage="1" showErrorMessage="1" sqref="Y13" xr:uid="{00000000-0002-0000-0000-00000A000000}">
      <formula1>$D$5:$H$5</formula1>
    </dataValidation>
    <dataValidation type="list" allowBlank="1" showInputMessage="1" showErrorMessage="1" sqref="E166:E167" xr:uid="{00000000-0002-0000-0000-00000B000000}">
      <formula1>"Deck Area,Balcony Area,Chajja Area,Cornice Area,AP Area,WS Area"</formula1>
    </dataValidation>
    <dataValidation type="list" allowBlank="1" showInputMessage="1" showErrorMessage="1" sqref="H159 H167" xr:uid="{00000000-0002-0000-0000-00000C000000}">
      <formula1>".45,.50,.55,.60"</formula1>
    </dataValidation>
    <dataValidation type="list" allowBlank="1" showInputMessage="1" showErrorMessage="1" sqref="E4:H4" xr:uid="{00000000-0002-0000-0000-00000D000000}">
      <formula1>$L$3:$P$3</formula1>
    </dataValidation>
    <dataValidation type="list" allowBlank="1" showInputMessage="1" showErrorMessage="1" sqref="C49:H49" xr:uid="{00000000-0002-0000-0000-00000E000000}">
      <formula1>OFFSET($S$49,1,MATCH($G20,$S$49:$W$49,0)-1,15,1)</formula1>
    </dataValidation>
    <dataValidation type="list" allowBlank="1" showInputMessage="1" showErrorMessage="1" sqref="H158 H166" xr:uid="{00000000-0002-0000-0000-00000F000000}">
      <formula1>"Saleable area Loading :,Builder Saleable Area"</formula1>
    </dataValidation>
    <dataValidation type="list" allowBlank="1" showInputMessage="1" showErrorMessage="1" sqref="D158:D159" xr:uid="{00000000-0002-0000-0000-000010000000}">
      <formula1>"Carpet area,RERA Carpet area"</formula1>
    </dataValidation>
    <dataValidation type="list" allowBlank="1" showInputMessage="1" showErrorMessage="1" sqref="D166:D167" xr:uid="{00000000-0002-0000-0000-000011000000}">
      <formula1>"Carpet Area,Carpet + Encl Balcony Area,RERA Carpet area"</formula1>
    </dataValidation>
  </dataValidations>
  <hyperlinks>
    <hyperlink ref="C40" r:id="rId1" xr:uid="{24C20019-90ED-44E4-90B2-CB109AE12148}"/>
    <hyperlink ref="I82" r:id="rId2" xr:uid="{3D3FB267-9FD6-402E-8292-6BBAFDAA5E44}"/>
    <hyperlink ref="K100" r:id="rId3" xr:uid="{1BBE005C-36B9-48C4-A7E2-B12D7342951C}"/>
  </hyperlinks>
  <printOptions horizontalCentered="1"/>
  <pageMargins left="0.39370078740157483" right="0.39370078740157483" top="0.82677165354330717" bottom="0.78740157480314965" header="0.15748031496062992" footer="0.19685039370078741"/>
  <pageSetup paperSize="2" orientation="portrait" r:id="rId4"/>
  <headerFooter>
    <oddHeader>&amp;C&amp;G</oddHeader>
    <oddFooter>&amp;L&amp;"Times New Roman,Bold"&amp;12Ref No: &amp;F&amp;C&amp;G&amp;R&amp;"Times New Roman,Bold"&amp;12&amp;P</oddFooter>
  </headerFooter>
  <rowBreaks count="5" manualBreakCount="5">
    <brk id="62" max="7" man="1"/>
    <brk id="85" max="16383" man="1"/>
    <brk id="454" max="16383" man="1"/>
    <brk id="496" max="16383" man="1"/>
    <brk id="538" max="16383" man="1"/>
  </rowBreaks>
  <drawing r:id="rId5"/>
  <legacyDrawing r:id="rId6"/>
  <legacyDrawingHF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I16"/>
  <sheetViews>
    <sheetView zoomScale="85" zoomScaleNormal="85" workbookViewId="0">
      <selection activeCell="K3" sqref="K3"/>
    </sheetView>
  </sheetViews>
  <sheetFormatPr defaultColWidth="8.6640625" defaultRowHeight="14.4" x14ac:dyDescent="0.3"/>
  <cols>
    <col min="1" max="1" width="8.6640625" style="1"/>
    <col min="2" max="2" width="22.109375" style="1" customWidth="1"/>
    <col min="3" max="3" width="37" style="1" customWidth="1"/>
    <col min="4" max="5" width="11.44140625" style="1" customWidth="1"/>
    <col min="6" max="6" width="14" style="1" customWidth="1"/>
    <col min="7" max="7" width="20" style="1" customWidth="1"/>
    <col min="8" max="8" width="16.44140625" style="1" customWidth="1"/>
    <col min="9" max="16384" width="8.6640625" style="1"/>
  </cols>
  <sheetData>
    <row r="1" spans="1:9" ht="15" customHeight="1" x14ac:dyDescent="0.3"/>
    <row r="2" spans="1:9" ht="15" customHeight="1" x14ac:dyDescent="0.3">
      <c r="A2" s="2"/>
      <c r="B2" s="2"/>
      <c r="C2" s="2"/>
      <c r="D2" s="2"/>
      <c r="E2" s="2"/>
      <c r="F2" s="2"/>
      <c r="G2" s="2"/>
      <c r="H2" s="2"/>
    </row>
    <row r="3" spans="1:9" ht="15.75" customHeight="1" x14ac:dyDescent="0.3">
      <c r="A3" s="2"/>
      <c r="B3" s="293" t="s">
        <v>104</v>
      </c>
      <c r="C3" s="293"/>
      <c r="D3" s="293"/>
      <c r="E3" s="293"/>
      <c r="F3" s="293"/>
      <c r="G3" s="293"/>
      <c r="H3" s="293"/>
    </row>
    <row r="4" spans="1:9" x14ac:dyDescent="0.3">
      <c r="A4" s="2"/>
      <c r="B4" s="3" t="s">
        <v>105</v>
      </c>
      <c r="C4" s="3" t="s">
        <v>106</v>
      </c>
      <c r="D4" s="3" t="s">
        <v>65</v>
      </c>
      <c r="E4" s="3" t="s">
        <v>107</v>
      </c>
      <c r="F4" s="3" t="s">
        <v>113</v>
      </c>
      <c r="G4" s="3" t="s">
        <v>114</v>
      </c>
      <c r="H4" s="3" t="s">
        <v>108</v>
      </c>
    </row>
    <row r="5" spans="1:9" ht="15" customHeight="1" x14ac:dyDescent="0.3">
      <c r="A5" s="2"/>
      <c r="B5" s="5" t="s">
        <v>109</v>
      </c>
      <c r="C5" s="6"/>
      <c r="D5" s="5"/>
      <c r="E5" s="5"/>
      <c r="F5" s="7">
        <f>E5*1.6</f>
        <v>0</v>
      </c>
      <c r="G5" s="7" t="e">
        <f>H5/F5</f>
        <v>#DIV/0!</v>
      </c>
      <c r="H5" s="8"/>
    </row>
    <row r="6" spans="1:9" x14ac:dyDescent="0.3">
      <c r="A6" s="2"/>
      <c r="B6" s="5" t="s">
        <v>109</v>
      </c>
      <c r="C6" s="9"/>
      <c r="D6" s="5"/>
      <c r="E6" s="5"/>
      <c r="F6" s="7">
        <f t="shared" ref="F6:F11" si="0">E6*1.6</f>
        <v>0</v>
      </c>
      <c r="G6" s="7" t="e">
        <f t="shared" ref="G6:G11" si="1">H6/F6</f>
        <v>#DIV/0!</v>
      </c>
      <c r="H6" s="8"/>
    </row>
    <row r="7" spans="1:9" ht="15" customHeight="1" x14ac:dyDescent="0.3">
      <c r="A7" s="2"/>
      <c r="B7" s="5" t="s">
        <v>109</v>
      </c>
      <c r="C7" s="6"/>
      <c r="D7" s="5"/>
      <c r="E7" s="5"/>
      <c r="F7" s="7">
        <f t="shared" si="0"/>
        <v>0</v>
      </c>
      <c r="G7" s="7" t="e">
        <f t="shared" si="1"/>
        <v>#DIV/0!</v>
      </c>
      <c r="H7" s="8"/>
    </row>
    <row r="8" spans="1:9" x14ac:dyDescent="0.3">
      <c r="A8" s="2"/>
      <c r="B8" s="5" t="s">
        <v>109</v>
      </c>
      <c r="C8" s="9"/>
      <c r="D8" s="5"/>
      <c r="E8" s="5"/>
      <c r="F8" s="7">
        <f t="shared" si="0"/>
        <v>0</v>
      </c>
      <c r="G8" s="7" t="e">
        <f t="shared" si="1"/>
        <v>#DIV/0!</v>
      </c>
      <c r="H8" s="8"/>
    </row>
    <row r="9" spans="1:9" ht="15" customHeight="1" x14ac:dyDescent="0.3">
      <c r="A9" s="2"/>
      <c r="B9" s="5" t="s">
        <v>109</v>
      </c>
      <c r="C9" s="9"/>
      <c r="D9" s="5"/>
      <c r="E9" s="5"/>
      <c r="F9" s="7">
        <f t="shared" si="0"/>
        <v>0</v>
      </c>
      <c r="G9" s="7" t="e">
        <f t="shared" si="1"/>
        <v>#DIV/0!</v>
      </c>
      <c r="H9" s="8"/>
    </row>
    <row r="10" spans="1:9" ht="15" customHeight="1" x14ac:dyDescent="0.3">
      <c r="A10" s="2"/>
      <c r="B10" s="5" t="s">
        <v>110</v>
      </c>
      <c r="C10" s="6"/>
      <c r="D10" s="5"/>
      <c r="E10" s="5"/>
      <c r="F10" s="7">
        <f t="shared" si="0"/>
        <v>0</v>
      </c>
      <c r="G10" s="7" t="e">
        <f t="shared" si="1"/>
        <v>#DIV/0!</v>
      </c>
      <c r="H10" s="8"/>
    </row>
    <row r="11" spans="1:9" ht="15" customHeight="1" x14ac:dyDescent="0.3">
      <c r="A11" s="2"/>
      <c r="B11" s="5" t="s">
        <v>110</v>
      </c>
      <c r="C11" s="6"/>
      <c r="D11" s="5"/>
      <c r="E11" s="5"/>
      <c r="F11" s="7">
        <f t="shared" si="0"/>
        <v>0</v>
      </c>
      <c r="G11" s="7" t="e">
        <f t="shared" si="1"/>
        <v>#DIV/0!</v>
      </c>
      <c r="H11" s="8"/>
    </row>
    <row r="12" spans="1:9" ht="15" customHeight="1" x14ac:dyDescent="0.3">
      <c r="A12" s="2"/>
      <c r="B12" s="10" t="s">
        <v>111</v>
      </c>
      <c r="C12" s="5"/>
      <c r="D12" s="5"/>
      <c r="E12" s="5"/>
      <c r="F12" s="5"/>
      <c r="G12" s="11" t="e">
        <f>AVERAGE(G5:G11)</f>
        <v>#DIV/0!</v>
      </c>
      <c r="H12" s="5"/>
    </row>
    <row r="13" spans="1:9" ht="15" customHeight="1" x14ac:dyDescent="0.3">
      <c r="B13" s="10" t="s">
        <v>112</v>
      </c>
      <c r="C13" s="5"/>
      <c r="D13" s="5"/>
      <c r="E13" s="5"/>
      <c r="F13" s="12"/>
      <c r="G13" s="10"/>
      <c r="H13" s="10"/>
      <c r="I13" s="4"/>
    </row>
    <row r="14" spans="1:9" ht="15" customHeight="1" x14ac:dyDescent="0.3"/>
    <row r="15" spans="1:9" ht="15" customHeight="1" x14ac:dyDescent="0.3"/>
    <row r="16" spans="1:9" ht="15" customHeight="1" x14ac:dyDescent="0.3"/>
  </sheetData>
  <mergeCells count="1">
    <mergeCell ref="B3:H3"/>
  </mergeCell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3:K69"/>
  <sheetViews>
    <sheetView topLeftCell="A55" zoomScale="130" zoomScaleNormal="130" workbookViewId="0">
      <selection activeCell="C43" sqref="C43:D69"/>
    </sheetView>
  </sheetViews>
  <sheetFormatPr defaultRowHeight="14.4" x14ac:dyDescent="0.3"/>
  <cols>
    <col min="4" max="4" width="13.88671875" bestFit="1" customWidth="1"/>
    <col min="5" max="5" width="10.44140625" bestFit="1" customWidth="1"/>
    <col min="6" max="6" width="12.44140625" bestFit="1" customWidth="1"/>
    <col min="7" max="7" width="18.109375" customWidth="1"/>
    <col min="8" max="8" width="10.5546875" bestFit="1" customWidth="1"/>
  </cols>
  <sheetData>
    <row r="3" spans="2:11" x14ac:dyDescent="0.3">
      <c r="J3">
        <v>1</v>
      </c>
      <c r="K3">
        <v>2</v>
      </c>
    </row>
    <row r="4" spans="2:11" x14ac:dyDescent="0.3">
      <c r="B4" s="47"/>
      <c r="C4" s="47" t="s">
        <v>11</v>
      </c>
      <c r="D4" s="48" t="s">
        <v>179</v>
      </c>
      <c r="E4" s="48" t="s">
        <v>189</v>
      </c>
      <c r="F4" s="48" t="s">
        <v>173</v>
      </c>
      <c r="G4" s="48" t="s">
        <v>194</v>
      </c>
      <c r="H4" s="48" t="s">
        <v>212</v>
      </c>
      <c r="J4" t="s">
        <v>194</v>
      </c>
      <c r="K4" t="s">
        <v>210</v>
      </c>
    </row>
    <row r="5" spans="2:11" x14ac:dyDescent="0.3">
      <c r="B5" s="47"/>
      <c r="C5" s="47"/>
      <c r="D5" s="48" t="s">
        <v>180</v>
      </c>
      <c r="E5" s="48" t="s">
        <v>187</v>
      </c>
      <c r="F5" s="48" t="s">
        <v>209</v>
      </c>
      <c r="G5" s="48" t="s">
        <v>195</v>
      </c>
      <c r="H5" s="48" t="s">
        <v>213</v>
      </c>
    </row>
    <row r="6" spans="2:11" x14ac:dyDescent="0.3">
      <c r="B6" s="47"/>
      <c r="C6" s="47"/>
      <c r="D6" s="48" t="s">
        <v>181</v>
      </c>
      <c r="E6" s="48" t="s">
        <v>188</v>
      </c>
      <c r="F6" s="48" t="s">
        <v>210</v>
      </c>
      <c r="G6" s="48" t="s">
        <v>196</v>
      </c>
      <c r="H6" s="48" t="s">
        <v>226</v>
      </c>
    </row>
    <row r="7" spans="2:11" x14ac:dyDescent="0.3">
      <c r="B7" s="47"/>
      <c r="C7" s="47"/>
      <c r="D7" s="48" t="s">
        <v>182</v>
      </c>
      <c r="E7" s="48" t="s">
        <v>190</v>
      </c>
      <c r="F7" s="48" t="s">
        <v>211</v>
      </c>
      <c r="G7" s="48" t="s">
        <v>197</v>
      </c>
      <c r="H7" s="48" t="s">
        <v>214</v>
      </c>
    </row>
    <row r="8" spans="2:11" x14ac:dyDescent="0.3">
      <c r="B8" s="47"/>
      <c r="C8" s="47"/>
      <c r="D8" s="48" t="s">
        <v>183</v>
      </c>
      <c r="E8" s="48" t="s">
        <v>191</v>
      </c>
      <c r="F8" s="48"/>
      <c r="G8" s="48" t="s">
        <v>198</v>
      </c>
      <c r="H8" s="48" t="s">
        <v>215</v>
      </c>
    </row>
    <row r="9" spans="2:11" x14ac:dyDescent="0.3">
      <c r="B9" s="47"/>
      <c r="C9" s="47"/>
      <c r="D9" s="48" t="s">
        <v>184</v>
      </c>
      <c r="E9" s="48" t="s">
        <v>189</v>
      </c>
      <c r="F9" s="48"/>
      <c r="G9" s="48" t="s">
        <v>199</v>
      </c>
      <c r="H9" s="48" t="s">
        <v>216</v>
      </c>
    </row>
    <row r="10" spans="2:11" x14ac:dyDescent="0.3">
      <c r="B10" s="47"/>
      <c r="C10" s="47"/>
      <c r="D10" s="48" t="s">
        <v>185</v>
      </c>
      <c r="E10" s="48" t="s">
        <v>192</v>
      </c>
      <c r="F10" s="48"/>
      <c r="G10" s="48" t="s">
        <v>200</v>
      </c>
      <c r="H10" s="48" t="s">
        <v>217</v>
      </c>
    </row>
    <row r="11" spans="2:11" x14ac:dyDescent="0.3">
      <c r="B11" s="47"/>
      <c r="C11" s="47"/>
      <c r="D11" s="48" t="s">
        <v>186</v>
      </c>
      <c r="E11" s="48" t="s">
        <v>193</v>
      </c>
      <c r="F11" s="48"/>
      <c r="G11" s="48" t="s">
        <v>201</v>
      </c>
      <c r="H11" s="48" t="s">
        <v>218</v>
      </c>
    </row>
    <row r="12" spans="2:11" x14ac:dyDescent="0.3">
      <c r="B12" s="47"/>
      <c r="C12" s="47"/>
      <c r="D12" s="48"/>
      <c r="E12" s="48"/>
      <c r="F12" s="48"/>
      <c r="G12" s="48" t="s">
        <v>202</v>
      </c>
      <c r="H12" s="48" t="s">
        <v>219</v>
      </c>
    </row>
    <row r="13" spans="2:11" x14ac:dyDescent="0.3">
      <c r="B13" s="47"/>
      <c r="C13" s="47"/>
      <c r="D13" s="48"/>
      <c r="E13" s="48"/>
      <c r="F13" s="48"/>
      <c r="G13" s="48" t="s">
        <v>203</v>
      </c>
      <c r="H13" s="48" t="s">
        <v>220</v>
      </c>
    </row>
    <row r="14" spans="2:11" x14ac:dyDescent="0.3">
      <c r="B14" s="47"/>
      <c r="C14" s="47"/>
      <c r="D14" s="48"/>
      <c r="E14" s="48"/>
      <c r="F14" s="48"/>
      <c r="G14" s="48" t="s">
        <v>204</v>
      </c>
      <c r="H14" s="48" t="s">
        <v>221</v>
      </c>
    </row>
    <row r="15" spans="2:11" x14ac:dyDescent="0.3">
      <c r="B15" s="47"/>
      <c r="C15" s="47"/>
      <c r="D15" s="48"/>
      <c r="E15" s="48"/>
      <c r="F15" s="48"/>
      <c r="G15" s="48" t="s">
        <v>205</v>
      </c>
      <c r="H15" s="48" t="s">
        <v>222</v>
      </c>
    </row>
    <row r="16" spans="2:11" x14ac:dyDescent="0.3">
      <c r="B16" s="47"/>
      <c r="C16" s="47"/>
      <c r="D16" s="48"/>
      <c r="E16" s="48"/>
      <c r="F16" s="48"/>
      <c r="G16" s="48" t="s">
        <v>206</v>
      </c>
      <c r="H16" s="48" t="s">
        <v>223</v>
      </c>
    </row>
    <row r="17" spans="2:8" x14ac:dyDescent="0.3">
      <c r="B17" s="47"/>
      <c r="C17" s="47"/>
      <c r="D17" s="48"/>
      <c r="E17" s="48"/>
      <c r="F17" s="48"/>
      <c r="G17" s="48" t="s">
        <v>207</v>
      </c>
      <c r="H17" s="48" t="s">
        <v>224</v>
      </c>
    </row>
    <row r="18" spans="2:8" x14ac:dyDescent="0.3">
      <c r="B18" s="47"/>
      <c r="C18" s="47"/>
      <c r="D18" s="48"/>
      <c r="E18" s="48"/>
      <c r="F18" s="48"/>
      <c r="G18" s="48" t="s">
        <v>208</v>
      </c>
      <c r="H18" s="48" t="s">
        <v>225</v>
      </c>
    </row>
    <row r="24" spans="2:8" x14ac:dyDescent="0.3">
      <c r="C24" t="s">
        <v>170</v>
      </c>
    </row>
    <row r="25" spans="2:8" x14ac:dyDescent="0.3">
      <c r="C25" t="s">
        <v>227</v>
      </c>
    </row>
    <row r="26" spans="2:8" x14ac:dyDescent="0.3">
      <c r="C26" t="s">
        <v>228</v>
      </c>
    </row>
    <row r="27" spans="2:8" x14ac:dyDescent="0.3">
      <c r="C27" t="s">
        <v>229</v>
      </c>
    </row>
    <row r="28" spans="2:8" x14ac:dyDescent="0.3">
      <c r="C28" t="s">
        <v>230</v>
      </c>
    </row>
    <row r="29" spans="2:8" x14ac:dyDescent="0.3">
      <c r="C29" t="s">
        <v>231</v>
      </c>
    </row>
    <row r="30" spans="2:8" x14ac:dyDescent="0.3">
      <c r="C30" t="s">
        <v>170</v>
      </c>
    </row>
    <row r="33" spans="3:11" x14ac:dyDescent="0.3">
      <c r="J33">
        <v>1</v>
      </c>
      <c r="K33">
        <v>2</v>
      </c>
    </row>
    <row r="34" spans="3:11" x14ac:dyDescent="0.3">
      <c r="C34" s="50" t="s">
        <v>236</v>
      </c>
      <c r="D34" s="48" t="s">
        <v>234</v>
      </c>
      <c r="E34" s="48" t="s">
        <v>239</v>
      </c>
      <c r="F34" s="48" t="s">
        <v>237</v>
      </c>
      <c r="G34" s="48" t="s">
        <v>238</v>
      </c>
      <c r="H34" s="48" t="s">
        <v>240</v>
      </c>
      <c r="J34" t="s">
        <v>194</v>
      </c>
      <c r="K34" t="s">
        <v>210</v>
      </c>
    </row>
    <row r="35" spans="3:11" x14ac:dyDescent="0.3">
      <c r="C35" s="47" t="s">
        <v>235</v>
      </c>
      <c r="D35" s="48" t="s">
        <v>171</v>
      </c>
      <c r="E35" s="48" t="s">
        <v>244</v>
      </c>
      <c r="F35" s="48" t="s">
        <v>246</v>
      </c>
      <c r="G35" s="48" t="s">
        <v>248</v>
      </c>
      <c r="H35" s="48"/>
    </row>
    <row r="36" spans="3:11" x14ac:dyDescent="0.3">
      <c r="C36" s="47"/>
      <c r="D36" s="48" t="s">
        <v>241</v>
      </c>
      <c r="E36" s="48" t="s">
        <v>245</v>
      </c>
      <c r="F36" s="48" t="s">
        <v>247</v>
      </c>
      <c r="G36" s="48" t="s">
        <v>249</v>
      </c>
      <c r="H36" s="48"/>
    </row>
    <row r="37" spans="3:11" x14ac:dyDescent="0.3">
      <c r="C37" s="47"/>
      <c r="D37" s="48" t="s">
        <v>242</v>
      </c>
      <c r="E37" s="48"/>
      <c r="F37" s="48"/>
      <c r="G37" s="48" t="s">
        <v>250</v>
      </c>
      <c r="H37" s="48"/>
    </row>
    <row r="38" spans="3:11" x14ac:dyDescent="0.3">
      <c r="C38" s="47"/>
      <c r="D38" s="48" t="s">
        <v>243</v>
      </c>
      <c r="E38" s="48"/>
      <c r="F38" s="48"/>
      <c r="G38" s="48" t="s">
        <v>250</v>
      </c>
      <c r="H38" s="48"/>
    </row>
    <row r="39" spans="3:11" x14ac:dyDescent="0.3">
      <c r="C39" s="47"/>
      <c r="D39" s="48"/>
      <c r="E39" s="48"/>
      <c r="F39" s="48"/>
      <c r="G39" s="48" t="s">
        <v>251</v>
      </c>
      <c r="H39" s="48"/>
    </row>
    <row r="40" spans="3:11" x14ac:dyDescent="0.3">
      <c r="C40" s="47"/>
      <c r="D40" s="48"/>
      <c r="E40" s="48"/>
      <c r="F40" s="48"/>
      <c r="G40" s="48" t="s">
        <v>252</v>
      </c>
      <c r="H40" s="48"/>
    </row>
    <row r="41" spans="3:11" x14ac:dyDescent="0.3">
      <c r="C41" s="47"/>
      <c r="D41" s="48"/>
      <c r="E41" s="48"/>
      <c r="F41" s="48"/>
      <c r="G41" s="48"/>
      <c r="H41" s="48"/>
    </row>
    <row r="43" spans="3:11" x14ac:dyDescent="0.3">
      <c r="C43" t="s">
        <v>253</v>
      </c>
    </row>
    <row r="44" spans="3:11" x14ac:dyDescent="0.3">
      <c r="C44" t="s">
        <v>173</v>
      </c>
      <c r="D44" t="s">
        <v>254</v>
      </c>
    </row>
    <row r="45" spans="3:11" x14ac:dyDescent="0.3">
      <c r="D45" t="s">
        <v>255</v>
      </c>
    </row>
    <row r="46" spans="3:11" x14ac:dyDescent="0.3">
      <c r="D46" t="s">
        <v>256</v>
      </c>
    </row>
    <row r="47" spans="3:11" x14ac:dyDescent="0.3">
      <c r="D47" t="s">
        <v>257</v>
      </c>
    </row>
    <row r="48" spans="3:11" x14ac:dyDescent="0.3">
      <c r="D48" t="s">
        <v>258</v>
      </c>
    </row>
    <row r="49" spans="3:4" x14ac:dyDescent="0.3">
      <c r="C49" t="s">
        <v>179</v>
      </c>
      <c r="D49" t="s">
        <v>259</v>
      </c>
    </row>
    <row r="50" spans="3:4" x14ac:dyDescent="0.3">
      <c r="D50" t="s">
        <v>260</v>
      </c>
    </row>
    <row r="51" spans="3:4" x14ac:dyDescent="0.3">
      <c r="D51" t="s">
        <v>261</v>
      </c>
    </row>
    <row r="52" spans="3:4" x14ac:dyDescent="0.3">
      <c r="D52" t="s">
        <v>264</v>
      </c>
    </row>
    <row r="53" spans="3:4" x14ac:dyDescent="0.3">
      <c r="D53" t="s">
        <v>262</v>
      </c>
    </row>
    <row r="54" spans="3:4" x14ac:dyDescent="0.3">
      <c r="D54" t="s">
        <v>263</v>
      </c>
    </row>
    <row r="55" spans="3:4" x14ac:dyDescent="0.3">
      <c r="D55" t="s">
        <v>265</v>
      </c>
    </row>
    <row r="56" spans="3:4" x14ac:dyDescent="0.3">
      <c r="D56" t="s">
        <v>266</v>
      </c>
    </row>
    <row r="57" spans="3:4" x14ac:dyDescent="0.3">
      <c r="D57" t="s">
        <v>267</v>
      </c>
    </row>
    <row r="58" spans="3:4" x14ac:dyDescent="0.3">
      <c r="D58" t="s">
        <v>269</v>
      </c>
    </row>
    <row r="59" spans="3:4" x14ac:dyDescent="0.3">
      <c r="D59" t="s">
        <v>278</v>
      </c>
    </row>
    <row r="60" spans="3:4" x14ac:dyDescent="0.3">
      <c r="C60" t="s">
        <v>194</v>
      </c>
      <c r="D60" t="s">
        <v>270</v>
      </c>
    </row>
    <row r="61" spans="3:4" x14ac:dyDescent="0.3">
      <c r="D61" t="s">
        <v>268</v>
      </c>
    </row>
    <row r="62" spans="3:4" x14ac:dyDescent="0.3">
      <c r="D62" t="s">
        <v>258</v>
      </c>
    </row>
    <row r="63" spans="3:4" x14ac:dyDescent="0.3">
      <c r="D63" t="s">
        <v>271</v>
      </c>
    </row>
    <row r="64" spans="3:4" x14ac:dyDescent="0.3">
      <c r="D64" t="s">
        <v>272</v>
      </c>
    </row>
    <row r="65" spans="3:4" x14ac:dyDescent="0.3">
      <c r="D65" t="s">
        <v>273</v>
      </c>
    </row>
    <row r="66" spans="3:4" x14ac:dyDescent="0.3">
      <c r="D66" t="s">
        <v>274</v>
      </c>
    </row>
    <row r="67" spans="3:4" x14ac:dyDescent="0.3">
      <c r="C67" t="s">
        <v>189</v>
      </c>
      <c r="D67" t="s">
        <v>275</v>
      </c>
    </row>
    <row r="68" spans="3:4" x14ac:dyDescent="0.3">
      <c r="D68" t="s">
        <v>276</v>
      </c>
    </row>
    <row r="69" spans="3:4" x14ac:dyDescent="0.3">
      <c r="D69" t="s">
        <v>277</v>
      </c>
    </row>
  </sheetData>
  <dataValidations count="2">
    <dataValidation type="list" allowBlank="1" showInputMessage="1" showErrorMessage="1" sqref="J4 J34" xr:uid="{00000000-0002-0000-0200-000000000000}">
      <formula1>$D$4:$H$4</formula1>
    </dataValidation>
    <dataValidation type="list" allowBlank="1" showInputMessage="1" showErrorMessage="1" sqref="K4 K34" xr:uid="{00000000-0002-0000-0200-000001000000}">
      <formula1>OFFSET($D$4,1,MATCH($J4,$D$4:$H$4,0)-1,15,1)</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F55"/>
  <sheetViews>
    <sheetView topLeftCell="A43" zoomScaleNormal="100" workbookViewId="0">
      <selection activeCell="C57" sqref="C57"/>
    </sheetView>
  </sheetViews>
  <sheetFormatPr defaultRowHeight="14.4" x14ac:dyDescent="0.3"/>
  <cols>
    <col min="2" max="2" width="3" bestFit="1" customWidth="1"/>
    <col min="3" max="3" width="155.33203125" customWidth="1"/>
  </cols>
  <sheetData>
    <row r="2" spans="2:3" ht="15" customHeight="1" x14ac:dyDescent="0.3">
      <c r="B2" s="51">
        <v>1</v>
      </c>
      <c r="C2" s="53" t="s">
        <v>283</v>
      </c>
    </row>
    <row r="3" spans="2:3" x14ac:dyDescent="0.3">
      <c r="B3" s="51">
        <v>2</v>
      </c>
      <c r="C3" s="52" t="s">
        <v>284</v>
      </c>
    </row>
    <row r="4" spans="2:3" x14ac:dyDescent="0.3">
      <c r="B4" s="51">
        <v>3</v>
      </c>
      <c r="C4" s="51" t="s">
        <v>285</v>
      </c>
    </row>
    <row r="5" spans="2:3" x14ac:dyDescent="0.3">
      <c r="B5" s="51">
        <v>4</v>
      </c>
      <c r="C5" s="52" t="s">
        <v>286</v>
      </c>
    </row>
    <row r="6" spans="2:3" x14ac:dyDescent="0.3">
      <c r="B6" s="51">
        <v>5</v>
      </c>
      <c r="C6" s="51" t="s">
        <v>287</v>
      </c>
    </row>
    <row r="7" spans="2:3" x14ac:dyDescent="0.3">
      <c r="B7" s="51">
        <v>6</v>
      </c>
      <c r="C7" s="52" t="s">
        <v>288</v>
      </c>
    </row>
    <row r="8" spans="2:3" ht="72" x14ac:dyDescent="0.3">
      <c r="B8" s="51">
        <v>7</v>
      </c>
      <c r="C8" s="52" t="s">
        <v>289</v>
      </c>
    </row>
    <row r="9" spans="2:3" x14ac:dyDescent="0.3">
      <c r="B9" s="51">
        <v>8</v>
      </c>
      <c r="C9" s="51" t="s">
        <v>290</v>
      </c>
    </row>
    <row r="10" spans="2:3" x14ac:dyDescent="0.3">
      <c r="B10" s="51">
        <v>9</v>
      </c>
      <c r="C10" s="51" t="s">
        <v>291</v>
      </c>
    </row>
    <row r="11" spans="2:3" x14ac:dyDescent="0.3">
      <c r="B11" s="51">
        <v>10</v>
      </c>
      <c r="C11" s="51" t="s">
        <v>292</v>
      </c>
    </row>
    <row r="12" spans="2:3" x14ac:dyDescent="0.3">
      <c r="B12" s="51">
        <v>11</v>
      </c>
      <c r="C12" s="51" t="s">
        <v>293</v>
      </c>
    </row>
    <row r="13" spans="2:3" x14ac:dyDescent="0.3">
      <c r="B13" s="51">
        <v>12</v>
      </c>
      <c r="C13" s="51" t="s">
        <v>294</v>
      </c>
    </row>
    <row r="14" spans="2:3" x14ac:dyDescent="0.3">
      <c r="B14" s="51">
        <v>13</v>
      </c>
      <c r="C14" s="51" t="s">
        <v>295</v>
      </c>
    </row>
    <row r="15" spans="2:3" x14ac:dyDescent="0.3">
      <c r="B15" s="51">
        <v>14</v>
      </c>
      <c r="C15" s="51" t="s">
        <v>285</v>
      </c>
    </row>
    <row r="16" spans="2:3" x14ac:dyDescent="0.3">
      <c r="B16" s="51">
        <v>15</v>
      </c>
      <c r="C16" s="51" t="s">
        <v>297</v>
      </c>
    </row>
    <row r="17" spans="2:3" x14ac:dyDescent="0.3">
      <c r="B17" s="71">
        <v>16</v>
      </c>
      <c r="C17" s="56" t="s">
        <v>298</v>
      </c>
    </row>
    <row r="18" spans="2:3" x14ac:dyDescent="0.3">
      <c r="B18" s="55">
        <v>17</v>
      </c>
      <c r="C18" s="56" t="s">
        <v>299</v>
      </c>
    </row>
    <row r="19" spans="2:3" x14ac:dyDescent="0.3">
      <c r="B19" s="54">
        <v>18</v>
      </c>
      <c r="C19" s="51" t="s">
        <v>300</v>
      </c>
    </row>
    <row r="20" spans="2:3" x14ac:dyDescent="0.3">
      <c r="B20" s="55">
        <v>19</v>
      </c>
      <c r="C20" s="51" t="s">
        <v>336</v>
      </c>
    </row>
    <row r="21" spans="2:3" x14ac:dyDescent="0.3">
      <c r="B21" s="51">
        <v>20</v>
      </c>
      <c r="C21" s="51" t="s">
        <v>301</v>
      </c>
    </row>
    <row r="22" spans="2:3" x14ac:dyDescent="0.3">
      <c r="B22" s="55">
        <v>21</v>
      </c>
      <c r="C22" s="51" t="s">
        <v>300</v>
      </c>
    </row>
    <row r="23" spans="2:3" s="66" customFormat="1" ht="29.25" customHeight="1" x14ac:dyDescent="0.3">
      <c r="B23" s="65">
        <v>22</v>
      </c>
      <c r="C23" s="53" t="s">
        <v>328</v>
      </c>
    </row>
    <row r="24" spans="2:3" s="66" customFormat="1" ht="30.75" customHeight="1" x14ac:dyDescent="0.3">
      <c r="B24" s="67">
        <v>23</v>
      </c>
      <c r="C24" s="53" t="s">
        <v>329</v>
      </c>
    </row>
    <row r="25" spans="2:3" x14ac:dyDescent="0.3">
      <c r="B25" s="51">
        <v>24</v>
      </c>
      <c r="C25" s="51" t="s">
        <v>332</v>
      </c>
    </row>
    <row r="26" spans="2:3" x14ac:dyDescent="0.3">
      <c r="B26" s="55">
        <v>25</v>
      </c>
      <c r="C26" s="51" t="s">
        <v>330</v>
      </c>
    </row>
    <row r="27" spans="2:3" x14ac:dyDescent="0.3">
      <c r="B27" s="67">
        <v>26</v>
      </c>
      <c r="C27" s="51" t="s">
        <v>331</v>
      </c>
    </row>
    <row r="28" spans="2:3" x14ac:dyDescent="0.3">
      <c r="B28" s="55">
        <v>27</v>
      </c>
      <c r="C28" s="51" t="s">
        <v>333</v>
      </c>
    </row>
    <row r="29" spans="2:3" ht="43.2" x14ac:dyDescent="0.3">
      <c r="B29" s="70">
        <v>28</v>
      </c>
      <c r="C29" s="52" t="s">
        <v>334</v>
      </c>
    </row>
    <row r="30" spans="2:3" x14ac:dyDescent="0.3">
      <c r="B30" s="67">
        <v>29</v>
      </c>
      <c r="C30" s="51" t="s">
        <v>335</v>
      </c>
    </row>
    <row r="31" spans="2:3" ht="28.8" x14ac:dyDescent="0.3">
      <c r="B31" s="67">
        <v>30</v>
      </c>
      <c r="C31" s="52" t="s">
        <v>337</v>
      </c>
    </row>
    <row r="32" spans="2:3" x14ac:dyDescent="0.3">
      <c r="B32" s="67">
        <v>31</v>
      </c>
      <c r="C32" s="51" t="s">
        <v>338</v>
      </c>
    </row>
    <row r="33" spans="2:4" x14ac:dyDescent="0.3">
      <c r="B33" s="67">
        <v>32</v>
      </c>
      <c r="C33" s="51" t="s">
        <v>339</v>
      </c>
    </row>
    <row r="34" spans="2:4" ht="36.75" customHeight="1" x14ac:dyDescent="0.3">
      <c r="B34" s="67">
        <v>33</v>
      </c>
      <c r="C34" s="56" t="s">
        <v>340</v>
      </c>
    </row>
    <row r="35" spans="2:4" x14ac:dyDescent="0.3">
      <c r="B35" s="65">
        <v>34</v>
      </c>
      <c r="C35" s="51" t="s">
        <v>348</v>
      </c>
    </row>
    <row r="36" spans="2:4" ht="57.6" x14ac:dyDescent="0.3">
      <c r="B36" s="65">
        <v>35</v>
      </c>
      <c r="C36" s="52" t="s">
        <v>351</v>
      </c>
    </row>
    <row r="37" spans="2:4" x14ac:dyDescent="0.3">
      <c r="B37" s="51">
        <v>36</v>
      </c>
      <c r="C37" s="52" t="s">
        <v>361</v>
      </c>
    </row>
    <row r="38" spans="2:4" x14ac:dyDescent="0.3">
      <c r="B38" s="51">
        <f t="shared" ref="B38:B44" si="0">B37+1</f>
        <v>37</v>
      </c>
      <c r="C38" s="51" t="s">
        <v>357</v>
      </c>
    </row>
    <row r="39" spans="2:4" x14ac:dyDescent="0.3">
      <c r="B39" s="51">
        <f t="shared" si="0"/>
        <v>38</v>
      </c>
      <c r="C39" s="51" t="s">
        <v>358</v>
      </c>
    </row>
    <row r="40" spans="2:4" x14ac:dyDescent="0.3">
      <c r="B40" s="51">
        <f t="shared" si="0"/>
        <v>39</v>
      </c>
      <c r="C40" s="51" t="s">
        <v>359</v>
      </c>
    </row>
    <row r="41" spans="2:4" x14ac:dyDescent="0.3">
      <c r="B41" s="51">
        <f t="shared" si="0"/>
        <v>40</v>
      </c>
      <c r="C41" s="51" t="s">
        <v>360</v>
      </c>
    </row>
    <row r="42" spans="2:4" ht="29.4" thickBot="1" x14ac:dyDescent="0.35">
      <c r="B42" s="74">
        <f t="shared" si="0"/>
        <v>41</v>
      </c>
      <c r="C42" s="75" t="s">
        <v>362</v>
      </c>
    </row>
    <row r="43" spans="2:4" ht="28.8" x14ac:dyDescent="0.3">
      <c r="B43" s="78">
        <f t="shared" si="0"/>
        <v>42</v>
      </c>
      <c r="C43" s="83" t="s">
        <v>367</v>
      </c>
      <c r="D43" t="s">
        <v>368</v>
      </c>
    </row>
    <row r="44" spans="2:4" ht="15" thickBot="1" x14ac:dyDescent="0.35">
      <c r="B44" s="80">
        <f t="shared" si="0"/>
        <v>43</v>
      </c>
      <c r="C44" s="82" t="s">
        <v>363</v>
      </c>
    </row>
    <row r="45" spans="2:4" ht="15" thickBot="1" x14ac:dyDescent="0.35">
      <c r="B45" s="76">
        <f t="shared" ref="B45:B54" si="1">B44+1</f>
        <v>44</v>
      </c>
      <c r="C45" s="77" t="s">
        <v>364</v>
      </c>
    </row>
    <row r="46" spans="2:4" ht="28.8" x14ac:dyDescent="0.3">
      <c r="B46" s="78">
        <f t="shared" si="1"/>
        <v>45</v>
      </c>
      <c r="C46" s="79" t="s">
        <v>365</v>
      </c>
    </row>
    <row r="47" spans="2:4" ht="15" thickBot="1" x14ac:dyDescent="0.35">
      <c r="B47" s="80">
        <f t="shared" si="1"/>
        <v>46</v>
      </c>
      <c r="C47" s="81" t="s">
        <v>366</v>
      </c>
    </row>
    <row r="48" spans="2:4" x14ac:dyDescent="0.3">
      <c r="B48" s="84">
        <f t="shared" si="1"/>
        <v>47</v>
      </c>
      <c r="C48" s="85" t="s">
        <v>369</v>
      </c>
    </row>
    <row r="49" spans="2:6" x14ac:dyDescent="0.3">
      <c r="B49" s="84">
        <f t="shared" si="1"/>
        <v>48</v>
      </c>
      <c r="C49" s="85" t="s">
        <v>370</v>
      </c>
    </row>
    <row r="50" spans="2:6" x14ac:dyDescent="0.3">
      <c r="B50" s="84">
        <f t="shared" si="1"/>
        <v>49</v>
      </c>
      <c r="C50" s="85" t="s">
        <v>372</v>
      </c>
      <c r="D50" t="s">
        <v>371</v>
      </c>
    </row>
    <row r="51" spans="2:6" ht="28.8" x14ac:dyDescent="0.3">
      <c r="B51" s="86">
        <f t="shared" si="1"/>
        <v>50</v>
      </c>
      <c r="C51" s="87" t="s">
        <v>373</v>
      </c>
    </row>
    <row r="52" spans="2:6" x14ac:dyDescent="0.3">
      <c r="B52" s="86">
        <f t="shared" si="1"/>
        <v>51</v>
      </c>
      <c r="C52" s="88" t="s">
        <v>374</v>
      </c>
      <c r="D52" t="s">
        <v>375</v>
      </c>
    </row>
    <row r="53" spans="2:6" x14ac:dyDescent="0.3">
      <c r="B53" s="86">
        <f t="shared" si="1"/>
        <v>52</v>
      </c>
      <c r="C53" s="88" t="s">
        <v>377</v>
      </c>
      <c r="D53" t="s">
        <v>378</v>
      </c>
    </row>
    <row r="54" spans="2:6" ht="28.8" x14ac:dyDescent="0.3">
      <c r="B54" s="86">
        <f t="shared" si="1"/>
        <v>53</v>
      </c>
      <c r="C54" s="56" t="s">
        <v>382</v>
      </c>
      <c r="D54" t="s">
        <v>381</v>
      </c>
    </row>
    <row r="55" spans="2:6" ht="28.8" x14ac:dyDescent="0.3">
      <c r="B55">
        <v>54</v>
      </c>
      <c r="C55" s="90" t="s">
        <v>383</v>
      </c>
      <c r="D55" s="294" t="s">
        <v>384</v>
      </c>
      <c r="E55" s="295"/>
      <c r="F55" s="295"/>
    </row>
  </sheetData>
  <mergeCells count="1">
    <mergeCell ref="D55:F55"/>
  </mergeCell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L44"/>
  <sheetViews>
    <sheetView workbookViewId="0">
      <selection sqref="A1:XFD1048576"/>
    </sheetView>
  </sheetViews>
  <sheetFormatPr defaultColWidth="9.109375" defaultRowHeight="14.4" x14ac:dyDescent="0.3"/>
  <cols>
    <col min="1" max="1" width="9.109375" style="47"/>
    <col min="2" max="2" width="12.33203125" style="47" customWidth="1"/>
    <col min="3" max="16384" width="9.109375" style="47"/>
  </cols>
  <sheetData>
    <row r="2" spans="1:12" x14ac:dyDescent="0.3">
      <c r="B2" s="59" t="s">
        <v>302</v>
      </c>
      <c r="C2" s="296"/>
      <c r="D2" s="296"/>
    </row>
    <row r="3" spans="1:12" x14ac:dyDescent="0.3">
      <c r="D3" s="60"/>
      <c r="E3" s="60"/>
      <c r="F3" s="60"/>
      <c r="G3" s="60"/>
      <c r="H3" s="60"/>
      <c r="I3" s="60"/>
    </row>
    <row r="4" spans="1:12" x14ac:dyDescent="0.3">
      <c r="A4" s="59" t="s">
        <v>65</v>
      </c>
      <c r="B4" s="61" t="s">
        <v>303</v>
      </c>
      <c r="C4" s="297" t="s">
        <v>304</v>
      </c>
      <c r="D4" s="297"/>
      <c r="E4" s="297"/>
      <c r="F4" s="61"/>
      <c r="G4" s="298" t="s">
        <v>305</v>
      </c>
      <c r="H4" s="298"/>
      <c r="I4" s="298"/>
      <c r="J4" s="299" t="s">
        <v>306</v>
      </c>
      <c r="K4" s="299"/>
      <c r="L4" s="299"/>
    </row>
    <row r="5" spans="1:12" x14ac:dyDescent="0.3">
      <c r="A5" s="59"/>
      <c r="B5" s="61"/>
      <c r="C5" s="61" t="s">
        <v>307</v>
      </c>
      <c r="D5" s="61" t="s">
        <v>308</v>
      </c>
      <c r="E5" s="61" t="s">
        <v>309</v>
      </c>
      <c r="F5" s="61"/>
      <c r="G5" s="61" t="s">
        <v>307</v>
      </c>
      <c r="H5" s="61" t="s">
        <v>308</v>
      </c>
      <c r="I5" s="61" t="s">
        <v>309</v>
      </c>
      <c r="J5" s="61" t="s">
        <v>307</v>
      </c>
      <c r="K5" s="61" t="s">
        <v>308</v>
      </c>
      <c r="L5" s="61" t="s">
        <v>309</v>
      </c>
    </row>
    <row r="6" spans="1:12" x14ac:dyDescent="0.3">
      <c r="B6" s="48" t="s">
        <v>310</v>
      </c>
      <c r="C6" s="48"/>
      <c r="D6" s="48"/>
      <c r="E6" s="48">
        <f>C6*D6</f>
        <v>0</v>
      </c>
      <c r="F6" s="48" t="s">
        <v>327</v>
      </c>
      <c r="G6" s="48"/>
      <c r="H6" s="48"/>
      <c r="I6" s="48">
        <f>G6*H6</f>
        <v>0</v>
      </c>
      <c r="J6" s="48"/>
      <c r="K6" s="48"/>
      <c r="L6" s="48">
        <f>J6*K6</f>
        <v>0</v>
      </c>
    </row>
    <row r="7" spans="1:12" x14ac:dyDescent="0.3">
      <c r="B7" s="48"/>
      <c r="C7" s="48"/>
      <c r="D7" s="48"/>
      <c r="E7" s="48">
        <f t="shared" ref="E7:E41" si="0">C7*D7</f>
        <v>0</v>
      </c>
      <c r="F7" s="48" t="s">
        <v>327</v>
      </c>
      <c r="G7" s="48"/>
      <c r="H7" s="48"/>
      <c r="I7" s="48">
        <f t="shared" ref="I7:I35" si="1">G7*H7</f>
        <v>0</v>
      </c>
      <c r="J7" s="48"/>
      <c r="K7" s="48"/>
      <c r="L7" s="48">
        <f t="shared" ref="L7:L35" si="2">J7*K7</f>
        <v>0</v>
      </c>
    </row>
    <row r="8" spans="1:12" x14ac:dyDescent="0.3">
      <c r="B8" s="48"/>
      <c r="C8" s="48"/>
      <c r="D8" s="48"/>
      <c r="E8" s="48">
        <f t="shared" si="0"/>
        <v>0</v>
      </c>
      <c r="F8" s="48"/>
      <c r="G8" s="48"/>
      <c r="H8" s="48"/>
      <c r="I8" s="48">
        <f t="shared" si="1"/>
        <v>0</v>
      </c>
      <c r="J8" s="48"/>
      <c r="K8" s="48"/>
      <c r="L8" s="48">
        <f t="shared" si="2"/>
        <v>0</v>
      </c>
    </row>
    <row r="9" spans="1:12" x14ac:dyDescent="0.3">
      <c r="B9" s="48"/>
      <c r="C9" s="48"/>
      <c r="D9" s="48"/>
      <c r="E9" s="48">
        <f t="shared" si="0"/>
        <v>0</v>
      </c>
      <c r="F9" s="48" t="s">
        <v>311</v>
      </c>
      <c r="G9" s="48"/>
      <c r="H9" s="48"/>
      <c r="I9" s="48">
        <f t="shared" si="1"/>
        <v>0</v>
      </c>
      <c r="J9" s="48"/>
      <c r="K9" s="48"/>
      <c r="L9" s="48">
        <f t="shared" si="2"/>
        <v>0</v>
      </c>
    </row>
    <row r="10" spans="1:12" x14ac:dyDescent="0.3">
      <c r="B10" s="48" t="s">
        <v>312</v>
      </c>
      <c r="C10" s="48"/>
      <c r="D10" s="48"/>
      <c r="E10" s="48">
        <f t="shared" si="0"/>
        <v>0</v>
      </c>
      <c r="F10" s="48" t="s">
        <v>311</v>
      </c>
      <c r="G10" s="48"/>
      <c r="H10" s="48"/>
      <c r="I10" s="48">
        <f t="shared" si="1"/>
        <v>0</v>
      </c>
      <c r="J10" s="48"/>
      <c r="K10" s="48"/>
      <c r="L10" s="48">
        <f t="shared" si="2"/>
        <v>0</v>
      </c>
    </row>
    <row r="11" spans="1:12" x14ac:dyDescent="0.3">
      <c r="B11" s="48"/>
      <c r="C11" s="48"/>
      <c r="D11" s="48"/>
      <c r="E11" s="48">
        <f t="shared" si="0"/>
        <v>0</v>
      </c>
      <c r="F11" s="48" t="s">
        <v>313</v>
      </c>
      <c r="G11" s="48"/>
      <c r="H11" s="48"/>
      <c r="I11" s="48">
        <f t="shared" si="1"/>
        <v>0</v>
      </c>
      <c r="J11" s="48"/>
      <c r="K11" s="48"/>
      <c r="L11" s="48">
        <f t="shared" si="2"/>
        <v>0</v>
      </c>
    </row>
    <row r="12" spans="1:12" x14ac:dyDescent="0.3">
      <c r="B12" s="48"/>
      <c r="C12" s="48"/>
      <c r="D12" s="48"/>
      <c r="E12" s="48">
        <f t="shared" si="0"/>
        <v>0</v>
      </c>
      <c r="F12" s="48"/>
      <c r="G12" s="48"/>
      <c r="H12" s="48"/>
      <c r="I12" s="48">
        <f t="shared" si="1"/>
        <v>0</v>
      </c>
      <c r="J12" s="48"/>
      <c r="K12" s="48"/>
      <c r="L12" s="48">
        <f t="shared" si="2"/>
        <v>0</v>
      </c>
    </row>
    <row r="13" spans="1:12" x14ac:dyDescent="0.3">
      <c r="B13" s="48"/>
      <c r="C13" s="48"/>
      <c r="D13" s="48"/>
      <c r="E13" s="48">
        <f t="shared" si="0"/>
        <v>0</v>
      </c>
      <c r="F13" s="48"/>
      <c r="G13" s="48"/>
      <c r="H13" s="48"/>
      <c r="I13" s="48">
        <f t="shared" si="1"/>
        <v>0</v>
      </c>
      <c r="J13" s="48"/>
      <c r="K13" s="48"/>
      <c r="L13" s="48">
        <f t="shared" si="2"/>
        <v>0</v>
      </c>
    </row>
    <row r="14" spans="1:12" x14ac:dyDescent="0.3">
      <c r="B14" s="48" t="s">
        <v>314</v>
      </c>
      <c r="C14" s="48"/>
      <c r="D14" s="48"/>
      <c r="E14" s="48">
        <f t="shared" si="0"/>
        <v>0</v>
      </c>
      <c r="F14" s="48" t="s">
        <v>311</v>
      </c>
      <c r="G14" s="48"/>
      <c r="H14" s="48"/>
      <c r="I14" s="48">
        <f t="shared" si="1"/>
        <v>0</v>
      </c>
      <c r="J14" s="48"/>
      <c r="K14" s="48"/>
      <c r="L14" s="48">
        <f t="shared" si="2"/>
        <v>0</v>
      </c>
    </row>
    <row r="15" spans="1:12" x14ac:dyDescent="0.3">
      <c r="B15" s="48"/>
      <c r="C15" s="48"/>
      <c r="D15" s="48"/>
      <c r="E15" s="48">
        <f t="shared" si="0"/>
        <v>0</v>
      </c>
      <c r="F15" s="48" t="s">
        <v>313</v>
      </c>
      <c r="G15" s="48"/>
      <c r="H15" s="48"/>
      <c r="I15" s="48">
        <f t="shared" si="1"/>
        <v>0</v>
      </c>
      <c r="J15" s="48"/>
      <c r="K15" s="48"/>
      <c r="L15" s="48">
        <f t="shared" si="2"/>
        <v>0</v>
      </c>
    </row>
    <row r="16" spans="1:12" x14ac:dyDescent="0.3">
      <c r="B16" s="48"/>
      <c r="C16" s="48"/>
      <c r="D16" s="48"/>
      <c r="E16" s="48">
        <f t="shared" si="0"/>
        <v>0</v>
      </c>
      <c r="F16" s="48"/>
      <c r="G16" s="48"/>
      <c r="H16" s="48"/>
      <c r="I16" s="48">
        <f t="shared" si="1"/>
        <v>0</v>
      </c>
      <c r="J16" s="48"/>
      <c r="K16" s="48"/>
      <c r="L16" s="48">
        <f t="shared" si="2"/>
        <v>0</v>
      </c>
    </row>
    <row r="17" spans="2:12" x14ac:dyDescent="0.3">
      <c r="B17" s="48"/>
      <c r="C17" s="48"/>
      <c r="D17" s="48"/>
      <c r="E17" s="48">
        <f t="shared" si="0"/>
        <v>0</v>
      </c>
      <c r="F17" s="48"/>
      <c r="G17" s="48"/>
      <c r="H17" s="48"/>
      <c r="I17" s="48">
        <f t="shared" si="1"/>
        <v>0</v>
      </c>
      <c r="J17" s="48"/>
      <c r="K17" s="48"/>
      <c r="L17" s="48">
        <f t="shared" si="2"/>
        <v>0</v>
      </c>
    </row>
    <row r="18" spans="2:12" x14ac:dyDescent="0.3">
      <c r="B18" s="48" t="s">
        <v>315</v>
      </c>
      <c r="C18" s="48"/>
      <c r="D18" s="48"/>
      <c r="E18" s="48">
        <f t="shared" si="0"/>
        <v>0</v>
      </c>
      <c r="F18" s="48" t="s">
        <v>311</v>
      </c>
      <c r="G18" s="48"/>
      <c r="H18" s="48"/>
      <c r="I18" s="48">
        <f t="shared" si="1"/>
        <v>0</v>
      </c>
      <c r="J18" s="48"/>
      <c r="K18" s="48"/>
      <c r="L18" s="48">
        <f t="shared" si="2"/>
        <v>0</v>
      </c>
    </row>
    <row r="19" spans="2:12" x14ac:dyDescent="0.3">
      <c r="B19" s="48"/>
      <c r="C19" s="48"/>
      <c r="D19" s="48"/>
      <c r="E19" s="48">
        <f t="shared" si="0"/>
        <v>0</v>
      </c>
      <c r="F19" s="48" t="s">
        <v>313</v>
      </c>
      <c r="G19" s="48"/>
      <c r="H19" s="48"/>
      <c r="I19" s="48">
        <f t="shared" si="1"/>
        <v>0</v>
      </c>
      <c r="J19" s="48"/>
      <c r="K19" s="48"/>
      <c r="L19" s="48">
        <f t="shared" si="2"/>
        <v>0</v>
      </c>
    </row>
    <row r="20" spans="2:12" x14ac:dyDescent="0.3">
      <c r="B20" s="48"/>
      <c r="C20" s="48"/>
      <c r="D20" s="48"/>
      <c r="E20" s="48">
        <f t="shared" si="0"/>
        <v>0</v>
      </c>
      <c r="F20" s="48"/>
      <c r="G20" s="48"/>
      <c r="H20" s="48"/>
      <c r="I20" s="48">
        <f t="shared" si="1"/>
        <v>0</v>
      </c>
      <c r="J20" s="48"/>
      <c r="K20" s="48"/>
      <c r="L20" s="48">
        <f t="shared" si="2"/>
        <v>0</v>
      </c>
    </row>
    <row r="21" spans="2:12" x14ac:dyDescent="0.3">
      <c r="B21" s="48" t="s">
        <v>316</v>
      </c>
      <c r="C21" s="48"/>
      <c r="D21" s="48"/>
      <c r="E21" s="48">
        <f t="shared" si="0"/>
        <v>0</v>
      </c>
      <c r="F21" s="48" t="s">
        <v>311</v>
      </c>
      <c r="G21" s="48"/>
      <c r="H21" s="48"/>
      <c r="I21" s="48">
        <f t="shared" si="1"/>
        <v>0</v>
      </c>
      <c r="J21" s="48"/>
      <c r="K21" s="48"/>
      <c r="L21" s="48">
        <f t="shared" si="2"/>
        <v>0</v>
      </c>
    </row>
    <row r="22" spans="2:12" x14ac:dyDescent="0.3">
      <c r="B22" s="48"/>
      <c r="C22" s="48"/>
      <c r="D22" s="48"/>
      <c r="E22" s="48">
        <f t="shared" si="0"/>
        <v>0</v>
      </c>
      <c r="F22" s="48" t="s">
        <v>313</v>
      </c>
      <c r="G22" s="48"/>
      <c r="H22" s="48"/>
      <c r="I22" s="48">
        <f t="shared" si="1"/>
        <v>0</v>
      </c>
      <c r="J22" s="48"/>
      <c r="K22" s="48"/>
      <c r="L22" s="48">
        <f t="shared" si="2"/>
        <v>0</v>
      </c>
    </row>
    <row r="23" spans="2:12" x14ac:dyDescent="0.3">
      <c r="B23" s="48"/>
      <c r="C23" s="48"/>
      <c r="D23" s="48"/>
      <c r="E23" s="48">
        <f t="shared" si="0"/>
        <v>0</v>
      </c>
      <c r="F23" s="48"/>
      <c r="G23" s="48"/>
      <c r="H23" s="48"/>
      <c r="I23" s="48">
        <f t="shared" si="1"/>
        <v>0</v>
      </c>
      <c r="J23" s="48"/>
      <c r="K23" s="48"/>
      <c r="L23" s="48">
        <f t="shared" si="2"/>
        <v>0</v>
      </c>
    </row>
    <row r="24" spans="2:12" x14ac:dyDescent="0.3">
      <c r="B24" s="48" t="s">
        <v>317</v>
      </c>
      <c r="C24" s="48"/>
      <c r="D24" s="48"/>
      <c r="E24" s="48">
        <f t="shared" si="0"/>
        <v>0</v>
      </c>
      <c r="F24" s="48" t="s">
        <v>318</v>
      </c>
      <c r="G24" s="48"/>
      <c r="H24" s="48"/>
      <c r="I24" s="48">
        <f t="shared" si="1"/>
        <v>0</v>
      </c>
      <c r="J24" s="48"/>
      <c r="K24" s="48"/>
      <c r="L24" s="48">
        <f t="shared" si="2"/>
        <v>0</v>
      </c>
    </row>
    <row r="25" spans="2:12" x14ac:dyDescent="0.3">
      <c r="B25" s="48"/>
      <c r="C25" s="48"/>
      <c r="D25" s="48"/>
      <c r="E25" s="48">
        <f>C25*D25</f>
        <v>0</v>
      </c>
      <c r="F25" s="48" t="s">
        <v>318</v>
      </c>
      <c r="G25" s="48"/>
      <c r="H25" s="48"/>
      <c r="I25" s="48">
        <f>G25*H25</f>
        <v>0</v>
      </c>
      <c r="J25" s="48"/>
      <c r="K25" s="48"/>
      <c r="L25" s="48">
        <f>J25*K25</f>
        <v>0</v>
      </c>
    </row>
    <row r="26" spans="2:12" x14ac:dyDescent="0.3">
      <c r="B26" s="48"/>
      <c r="C26" s="48"/>
      <c r="D26" s="48"/>
      <c r="E26" s="48">
        <f>C26*D26</f>
        <v>0</v>
      </c>
      <c r="F26" s="48" t="s">
        <v>318</v>
      </c>
      <c r="G26" s="48"/>
      <c r="H26" s="48"/>
      <c r="I26" s="48">
        <f>G26*H26</f>
        <v>0</v>
      </c>
      <c r="J26" s="48"/>
      <c r="K26" s="48"/>
      <c r="L26" s="48">
        <f>J26*K26</f>
        <v>0</v>
      </c>
    </row>
    <row r="27" spans="2:12" x14ac:dyDescent="0.3">
      <c r="B27" s="48"/>
      <c r="C27" s="48"/>
      <c r="D27" s="48"/>
      <c r="E27" s="48">
        <f>C27*D27</f>
        <v>0</v>
      </c>
      <c r="F27" s="48" t="s">
        <v>318</v>
      </c>
      <c r="G27" s="48"/>
      <c r="H27" s="48"/>
      <c r="I27" s="48">
        <f>G27*H27</f>
        <v>0</v>
      </c>
      <c r="J27" s="48"/>
      <c r="K27" s="48"/>
      <c r="L27" s="48">
        <f>J27*K27</f>
        <v>0</v>
      </c>
    </row>
    <row r="28" spans="2:12" x14ac:dyDescent="0.3">
      <c r="B28" s="48" t="s">
        <v>319</v>
      </c>
      <c r="C28" s="48"/>
      <c r="D28" s="48"/>
      <c r="E28" s="48">
        <f t="shared" si="0"/>
        <v>0</v>
      </c>
      <c r="F28" s="48" t="s">
        <v>318</v>
      </c>
      <c r="G28" s="48"/>
      <c r="H28" s="48"/>
      <c r="I28" s="48">
        <f t="shared" si="1"/>
        <v>0</v>
      </c>
      <c r="J28" s="48"/>
      <c r="K28" s="48"/>
      <c r="L28" s="48">
        <f t="shared" si="2"/>
        <v>0</v>
      </c>
    </row>
    <row r="29" spans="2:12" x14ac:dyDescent="0.3">
      <c r="B29" s="48" t="s">
        <v>320</v>
      </c>
      <c r="C29" s="48"/>
      <c r="D29" s="48"/>
      <c r="E29" s="48">
        <f t="shared" si="0"/>
        <v>0</v>
      </c>
      <c r="F29" s="48" t="s">
        <v>318</v>
      </c>
      <c r="G29" s="48"/>
      <c r="H29" s="48"/>
      <c r="I29" s="48">
        <f t="shared" si="1"/>
        <v>0</v>
      </c>
      <c r="J29" s="48"/>
      <c r="K29" s="48"/>
      <c r="L29" s="48">
        <f t="shared" si="2"/>
        <v>0</v>
      </c>
    </row>
    <row r="30" spans="2:12" x14ac:dyDescent="0.3">
      <c r="B30" s="48" t="s">
        <v>324</v>
      </c>
      <c r="C30" s="48"/>
      <c r="D30" s="48"/>
      <c r="E30" s="48">
        <f t="shared" si="0"/>
        <v>0</v>
      </c>
      <c r="F30" s="48"/>
      <c r="G30" s="48"/>
      <c r="H30" s="48"/>
      <c r="I30" s="48">
        <f t="shared" si="1"/>
        <v>0</v>
      </c>
      <c r="J30" s="48"/>
      <c r="K30" s="48"/>
      <c r="L30" s="48">
        <f t="shared" si="2"/>
        <v>0</v>
      </c>
    </row>
    <row r="31" spans="2:12" x14ac:dyDescent="0.3">
      <c r="B31" s="48"/>
      <c r="C31" s="48"/>
      <c r="D31" s="48"/>
      <c r="E31" s="48">
        <f>C31*D31</f>
        <v>0</v>
      </c>
      <c r="F31" s="48"/>
      <c r="G31" s="48"/>
      <c r="H31" s="48"/>
      <c r="I31" s="48">
        <f>G31*H31</f>
        <v>0</v>
      </c>
      <c r="J31" s="48"/>
      <c r="K31" s="48"/>
      <c r="L31" s="48">
        <f>J31*K31</f>
        <v>0</v>
      </c>
    </row>
    <row r="32" spans="2:12" x14ac:dyDescent="0.3">
      <c r="B32" s="48"/>
      <c r="C32" s="48"/>
      <c r="D32" s="48"/>
      <c r="E32" s="48">
        <f>C32*D32</f>
        <v>0</v>
      </c>
      <c r="F32" s="48"/>
      <c r="G32" s="48"/>
      <c r="H32" s="48"/>
      <c r="I32" s="48">
        <f>G32*H32</f>
        <v>0</v>
      </c>
      <c r="J32" s="48"/>
      <c r="K32" s="48"/>
      <c r="L32" s="48">
        <f>J32*K32</f>
        <v>0</v>
      </c>
    </row>
    <row r="33" spans="2:12" x14ac:dyDescent="0.3">
      <c r="B33" s="48" t="s">
        <v>321</v>
      </c>
      <c r="C33" s="48"/>
      <c r="D33" s="48"/>
      <c r="E33" s="48">
        <f t="shared" si="0"/>
        <v>0</v>
      </c>
      <c r="F33" s="48"/>
      <c r="G33" s="48"/>
      <c r="H33" s="48"/>
      <c r="I33" s="48">
        <f t="shared" si="1"/>
        <v>0</v>
      </c>
      <c r="J33" s="48"/>
      <c r="K33" s="48"/>
      <c r="L33" s="48">
        <f t="shared" si="2"/>
        <v>0</v>
      </c>
    </row>
    <row r="34" spans="2:12" x14ac:dyDescent="0.3">
      <c r="B34" s="48" t="s">
        <v>325</v>
      </c>
      <c r="C34" s="48"/>
      <c r="D34" s="48"/>
      <c r="E34" s="48">
        <f t="shared" si="0"/>
        <v>0</v>
      </c>
      <c r="F34" s="48"/>
      <c r="G34" s="48"/>
      <c r="H34" s="48"/>
      <c r="I34" s="48">
        <f t="shared" si="1"/>
        <v>0</v>
      </c>
      <c r="J34" s="48"/>
      <c r="K34" s="48"/>
      <c r="L34" s="48">
        <f t="shared" si="2"/>
        <v>0</v>
      </c>
    </row>
    <row r="35" spans="2:12" x14ac:dyDescent="0.3">
      <c r="B35" s="48" t="s">
        <v>322</v>
      </c>
      <c r="C35" s="48"/>
      <c r="D35" s="48"/>
      <c r="E35" s="48">
        <f t="shared" si="0"/>
        <v>0</v>
      </c>
      <c r="F35" s="48"/>
      <c r="G35" s="48"/>
      <c r="H35" s="48"/>
      <c r="I35" s="48">
        <f t="shared" si="1"/>
        <v>0</v>
      </c>
      <c r="J35" s="48"/>
      <c r="K35" s="48"/>
      <c r="L35" s="48">
        <f t="shared" si="2"/>
        <v>0</v>
      </c>
    </row>
    <row r="36" spans="2:12" x14ac:dyDescent="0.3">
      <c r="B36" s="48" t="s">
        <v>323</v>
      </c>
      <c r="C36" s="48"/>
      <c r="D36" s="48"/>
      <c r="E36" s="48">
        <f t="shared" si="0"/>
        <v>0</v>
      </c>
      <c r="F36" s="48"/>
      <c r="G36" s="48"/>
      <c r="H36" s="48"/>
      <c r="I36" s="48">
        <f t="shared" ref="I36:I41" si="3">G36*H36</f>
        <v>0</v>
      </c>
      <c r="J36" s="48"/>
      <c r="K36" s="48"/>
      <c r="L36" s="48">
        <f t="shared" ref="L36:L41" si="4">J36*K36</f>
        <v>0</v>
      </c>
    </row>
    <row r="37" spans="2:12" x14ac:dyDescent="0.3">
      <c r="B37" s="48"/>
      <c r="C37" s="48"/>
      <c r="D37" s="48"/>
      <c r="E37" s="48">
        <f>C37*D37</f>
        <v>0</v>
      </c>
      <c r="F37" s="48"/>
      <c r="G37" s="48"/>
      <c r="H37" s="48"/>
      <c r="I37" s="48">
        <f t="shared" si="3"/>
        <v>0</v>
      </c>
      <c r="J37" s="48"/>
      <c r="K37" s="48"/>
      <c r="L37" s="48">
        <f t="shared" si="4"/>
        <v>0</v>
      </c>
    </row>
    <row r="38" spans="2:12" x14ac:dyDescent="0.3">
      <c r="B38" s="48" t="s">
        <v>326</v>
      </c>
      <c r="C38" s="48"/>
      <c r="D38" s="48"/>
      <c r="E38" s="48">
        <f>C38*D38</f>
        <v>0</v>
      </c>
      <c r="F38" s="48"/>
      <c r="G38" s="48"/>
      <c r="H38" s="48"/>
      <c r="I38" s="48">
        <f t="shared" si="3"/>
        <v>0</v>
      </c>
      <c r="J38" s="48"/>
      <c r="K38" s="48"/>
      <c r="L38" s="48">
        <f t="shared" si="4"/>
        <v>0</v>
      </c>
    </row>
    <row r="39" spans="2:12" x14ac:dyDescent="0.3">
      <c r="B39" s="48"/>
      <c r="C39" s="48"/>
      <c r="D39" s="48"/>
      <c r="E39" s="48">
        <f t="shared" si="0"/>
        <v>0</v>
      </c>
      <c r="F39" s="48"/>
      <c r="G39" s="48"/>
      <c r="H39" s="48"/>
      <c r="I39" s="48">
        <f t="shared" si="3"/>
        <v>0</v>
      </c>
      <c r="J39" s="48"/>
      <c r="K39" s="48"/>
      <c r="L39" s="48">
        <f t="shared" si="4"/>
        <v>0</v>
      </c>
    </row>
    <row r="40" spans="2:12" x14ac:dyDescent="0.3">
      <c r="B40" s="48"/>
      <c r="C40" s="48"/>
      <c r="D40" s="48"/>
      <c r="E40" s="48">
        <f t="shared" si="0"/>
        <v>0</v>
      </c>
      <c r="F40" s="48"/>
      <c r="G40" s="48"/>
      <c r="H40" s="48"/>
      <c r="I40" s="48">
        <f t="shared" si="3"/>
        <v>0</v>
      </c>
      <c r="J40" s="48"/>
      <c r="K40" s="48"/>
      <c r="L40" s="48">
        <f t="shared" si="4"/>
        <v>0</v>
      </c>
    </row>
    <row r="41" spans="2:12" x14ac:dyDescent="0.3">
      <c r="B41" s="48"/>
      <c r="C41" s="48"/>
      <c r="D41" s="48"/>
      <c r="E41" s="48">
        <f t="shared" si="0"/>
        <v>0</v>
      </c>
      <c r="F41" s="48"/>
      <c r="G41" s="48"/>
      <c r="H41" s="48"/>
      <c r="I41" s="48">
        <f t="shared" si="3"/>
        <v>0</v>
      </c>
      <c r="J41" s="48"/>
      <c r="K41" s="48"/>
      <c r="L41" s="48">
        <f t="shared" si="4"/>
        <v>0</v>
      </c>
    </row>
    <row r="42" spans="2:12" x14ac:dyDescent="0.3">
      <c r="B42" s="48" t="s">
        <v>152</v>
      </c>
      <c r="C42" s="48"/>
      <c r="D42" s="48">
        <f>E42*10.764</f>
        <v>0</v>
      </c>
      <c r="E42" s="64">
        <f>SUM(E6:E41)</f>
        <v>0</v>
      </c>
      <c r="F42" s="48"/>
      <c r="G42" s="48"/>
      <c r="H42" s="48">
        <f>I42*10.764</f>
        <v>0</v>
      </c>
      <c r="I42" s="63">
        <f>SUM(I6:I41)</f>
        <v>0</v>
      </c>
      <c r="J42" s="48"/>
      <c r="K42" s="48">
        <f>L42*10.764</f>
        <v>0</v>
      </c>
      <c r="L42" s="62">
        <f>SUM(L6:L41)</f>
        <v>0</v>
      </c>
    </row>
    <row r="44" spans="2:12" x14ac:dyDescent="0.3">
      <c r="D44" s="47">
        <f>D42+H42</f>
        <v>0</v>
      </c>
      <c r="E44" s="47">
        <f>E42+I42</f>
        <v>0</v>
      </c>
    </row>
  </sheetData>
  <mergeCells count="4">
    <mergeCell ref="C2:D2"/>
    <mergeCell ref="C4:E4"/>
    <mergeCell ref="G4:I4"/>
    <mergeCell ref="J4:L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Report</vt:lpstr>
      <vt:lpstr>valuation</vt:lpstr>
      <vt:lpstr>Research</vt:lpstr>
      <vt:lpstr>Remarks</vt:lpstr>
      <vt:lpstr>Area Calculation</vt:lpstr>
      <vt:lpstr>Report!Print_Area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USER</cp:lastModifiedBy>
  <cp:lastPrinted>2025-09-12T11:54:17Z</cp:lastPrinted>
  <dcterms:created xsi:type="dcterms:W3CDTF">2019-07-16T09:29:46Z</dcterms:created>
  <dcterms:modified xsi:type="dcterms:W3CDTF">2025-09-12T11:54:31Z</dcterms:modified>
</cp:coreProperties>
</file>