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VSJCV\Making\AXIS\2025-26\Axis\APF Old\Sept 2025\05-09-2025\"/>
    </mc:Choice>
  </mc:AlternateContent>
  <bookViews>
    <workbookView xWindow="0" yWindow="0" windowWidth="19200" windowHeight="6640" tabRatio="849"/>
  </bookViews>
  <sheets>
    <sheet name="Report (2)" sheetId="1" r:id="rId1"/>
    <sheet name="VALUATION" sheetId="9" r:id="rId2"/>
    <sheet name="Note" sheetId="8" r:id="rId3"/>
    <sheet name="all" sheetId="2" r:id="rId4"/>
    <sheet name="C" sheetId="4" r:id="rId5"/>
    <sheet name="D" sheetId="5" r:id="rId6"/>
    <sheet name="E" sheetId="6" r:id="rId7"/>
    <sheet name="X" sheetId="7" r:id="rId8"/>
    <sheet name="Flat detail" sheetId="3" r:id="rId9"/>
  </sheets>
  <definedNames>
    <definedName name="_xlnm.Print_Area" localSheetId="0">'Report (2)'!$A$1:$J$255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7" i="1" l="1"/>
  <c r="D106" i="1"/>
  <c r="L105" i="1"/>
  <c r="D105" i="1"/>
  <c r="L104" i="1"/>
  <c r="D104" i="1"/>
  <c r="L103" i="1"/>
  <c r="D103" i="1"/>
  <c r="L102" i="1"/>
  <c r="D102" i="1"/>
  <c r="D101" i="1"/>
  <c r="L100" i="1"/>
  <c r="L101" i="1" s="1"/>
  <c r="L106" i="1" s="1"/>
  <c r="L107" i="1" s="1"/>
  <c r="C99" i="1" s="1"/>
  <c r="D100" i="1"/>
  <c r="L99" i="1"/>
  <c r="C98" i="1" s="1"/>
  <c r="L98" i="1"/>
  <c r="L97" i="1"/>
  <c r="L94" i="1"/>
  <c r="L96" i="1" s="1"/>
  <c r="C79" i="1"/>
  <c r="L78" i="1"/>
  <c r="L77" i="1"/>
  <c r="L76" i="1"/>
  <c r="L75" i="1"/>
  <c r="L74" i="1"/>
  <c r="L73" i="1"/>
  <c r="L72" i="1"/>
  <c r="K71" i="1"/>
  <c r="H98" i="1" l="1"/>
  <c r="D98" i="1"/>
  <c r="D99" i="1"/>
  <c r="F98" i="1"/>
  <c r="D131" i="1"/>
  <c r="D132" i="1"/>
  <c r="G132" i="1" s="1"/>
  <c r="D133" i="1"/>
  <c r="G133" i="1" s="1"/>
  <c r="D130" i="1"/>
  <c r="C121" i="1" s="1"/>
  <c r="G131" i="1"/>
  <c r="K95" i="1" l="1"/>
  <c r="L95" i="1"/>
  <c r="D121" i="1"/>
  <c r="G130" i="1"/>
  <c r="G121" i="1" s="1"/>
  <c r="L133" i="1"/>
  <c r="N133" i="1"/>
  <c r="L132" i="1"/>
  <c r="N132" i="1"/>
  <c r="L131" i="1"/>
  <c r="N131" i="1"/>
  <c r="M130" i="1"/>
  <c r="L130" i="1"/>
  <c r="H130" i="1"/>
  <c r="K96" i="1" l="1"/>
  <c r="K94" i="1" s="1"/>
  <c r="C96" i="1" s="1"/>
  <c r="N130" i="1"/>
  <c r="L149" i="1"/>
  <c r="L138" i="1"/>
  <c r="L139" i="1"/>
  <c r="L140" i="1"/>
  <c r="L141" i="1"/>
  <c r="L142" i="1"/>
  <c r="L143" i="1"/>
  <c r="L144" i="1"/>
  <c r="L146" i="1"/>
  <c r="L147" i="1"/>
  <c r="L137" i="1"/>
  <c r="D155" i="1"/>
  <c r="G155" i="1" s="1"/>
  <c r="D154" i="1"/>
  <c r="G154" i="1" s="1"/>
  <c r="D153" i="1"/>
  <c r="D159" i="1"/>
  <c r="D158" i="1"/>
  <c r="D157" i="1"/>
  <c r="G157" i="1" s="1"/>
  <c r="D156" i="1"/>
  <c r="D152" i="1"/>
  <c r="D151" i="1"/>
  <c r="D150" i="1"/>
  <c r="M149" i="1"/>
  <c r="H149" i="1"/>
  <c r="D149" i="1"/>
  <c r="D147" i="1"/>
  <c r="N147" i="1" s="1"/>
  <c r="D146" i="1"/>
  <c r="N146" i="1" s="1"/>
  <c r="D145" i="1"/>
  <c r="G145" i="1" s="1"/>
  <c r="N145" i="1" s="1"/>
  <c r="D144" i="1"/>
  <c r="N144" i="1" s="1"/>
  <c r="D142" i="1"/>
  <c r="N142" i="1" s="1"/>
  <c r="D143" i="1"/>
  <c r="N143" i="1" s="1"/>
  <c r="D141" i="1"/>
  <c r="N141" i="1" s="1"/>
  <c r="D140" i="1"/>
  <c r="N140" i="1" s="1"/>
  <c r="D139" i="1"/>
  <c r="N139" i="1" s="1"/>
  <c r="D138" i="1"/>
  <c r="N138" i="1" s="1"/>
  <c r="D137" i="1"/>
  <c r="N137" i="1" s="1"/>
  <c r="M137" i="1"/>
  <c r="H137" i="1"/>
  <c r="L145" i="1" l="1"/>
  <c r="G122" i="1"/>
  <c r="G123" i="1" s="1"/>
  <c r="C122" i="1"/>
  <c r="C123" i="1" s="1"/>
  <c r="D122" i="1"/>
  <c r="D123" i="1" s="1"/>
  <c r="H52" i="1"/>
  <c r="H53" i="1" s="1"/>
  <c r="C52" i="1"/>
  <c r="L91" i="1"/>
  <c r="L90" i="1"/>
  <c r="L89" i="1"/>
  <c r="L88" i="1"/>
  <c r="L85" i="1" l="1"/>
  <c r="C84" i="1" s="1"/>
  <c r="D84" i="1" s="1"/>
  <c r="L83" i="1"/>
  <c r="D93" i="1"/>
  <c r="D91" i="1"/>
  <c r="D89" i="1"/>
  <c r="D87" i="1"/>
  <c r="D92" i="1"/>
  <c r="D90" i="1"/>
  <c r="D88" i="1"/>
  <c r="D86" i="1"/>
  <c r="L84" i="1"/>
  <c r="L80" i="1"/>
  <c r="L82" i="1" s="1"/>
  <c r="L86" i="1"/>
  <c r="L87" i="1" s="1"/>
  <c r="L92" i="1" s="1"/>
  <c r="L93" i="1" l="1"/>
  <c r="C85" i="1" s="1"/>
  <c r="H84" i="1" s="1"/>
  <c r="J108" i="1" s="1"/>
  <c r="F84" i="1" l="1"/>
  <c r="D108" i="1" s="1"/>
  <c r="D85" i="1"/>
  <c r="K81" i="1" s="1"/>
  <c r="K82" i="1" s="1"/>
  <c r="L81" i="1"/>
  <c r="K80" i="1" l="1"/>
  <c r="C82" i="1" s="1"/>
  <c r="F3" i="1"/>
  <c r="M49" i="1" l="1"/>
  <c r="L65" i="1" l="1"/>
  <c r="L63" i="1"/>
  <c r="L66" i="1"/>
  <c r="L67" i="1" s="1"/>
  <c r="L68" i="1" s="1"/>
  <c r="L64" i="1"/>
  <c r="L69" i="1" l="1"/>
  <c r="K62" i="1" l="1"/>
  <c r="C70" i="1" s="1"/>
  <c r="H47" i="1" l="1"/>
  <c r="F6" i="9" l="1"/>
  <c r="F9" i="9"/>
  <c r="G9" i="9" s="1"/>
  <c r="F5" i="9"/>
  <c r="G5" i="9" s="1"/>
  <c r="G6" i="9"/>
  <c r="G7" i="9"/>
  <c r="F10" i="9"/>
  <c r="G8" i="9"/>
  <c r="G10" i="9" l="1"/>
  <c r="F40" i="1"/>
  <c r="B16" i="6" l="1"/>
  <c r="B14" i="6"/>
  <c r="E9" i="6" s="1"/>
  <c r="B12" i="6"/>
  <c r="M7" i="6" s="1"/>
  <c r="H17" i="6" s="1"/>
  <c r="E10" i="6"/>
  <c r="B10" i="6"/>
  <c r="L7" i="6" s="1"/>
  <c r="H16" i="6" s="1"/>
  <c r="E8" i="6"/>
  <c r="B8" i="6"/>
  <c r="K7" i="6" s="1"/>
  <c r="H15" i="6" s="1"/>
  <c r="O7" i="6"/>
  <c r="H19" i="6" s="1"/>
  <c r="O6" i="6"/>
  <c r="G19" i="6" s="1"/>
  <c r="I6" i="6"/>
  <c r="G13" i="6" s="1"/>
  <c r="B6" i="6"/>
  <c r="J7" i="6" s="1"/>
  <c r="H14" i="6" s="1"/>
  <c r="E4" i="6"/>
  <c r="L6" i="6" l="1"/>
  <c r="G16" i="6" s="1"/>
  <c r="M6" i="6"/>
  <c r="G17" i="6" s="1"/>
  <c r="E6" i="6"/>
  <c r="E7" i="6"/>
  <c r="I7" i="6"/>
  <c r="H13" i="6" s="1"/>
  <c r="E5" i="6"/>
  <c r="J6" i="6"/>
  <c r="G14" i="6" s="1"/>
  <c r="N6" i="6"/>
  <c r="G18" i="6" s="1"/>
  <c r="N7" i="6"/>
  <c r="H18" i="6" s="1"/>
  <c r="K6" i="6"/>
  <c r="G15" i="6" s="1"/>
  <c r="B16" i="7"/>
  <c r="O7" i="7" s="1"/>
  <c r="H19" i="7" s="1"/>
  <c r="B14" i="7"/>
  <c r="E9" i="7" s="1"/>
  <c r="B12" i="7"/>
  <c r="M7" i="7" s="1"/>
  <c r="H17" i="7" s="1"/>
  <c r="B10" i="7"/>
  <c r="L7" i="7" s="1"/>
  <c r="H16" i="7" s="1"/>
  <c r="B8" i="7"/>
  <c r="K7" i="7" s="1"/>
  <c r="H15" i="7" s="1"/>
  <c r="I6" i="7"/>
  <c r="G13" i="7" s="1"/>
  <c r="B6" i="7"/>
  <c r="J7" i="7" s="1"/>
  <c r="H14" i="7" s="1"/>
  <c r="E4" i="7"/>
  <c r="M6" i="7" l="1"/>
  <c r="G17" i="7" s="1"/>
  <c r="J6" i="7"/>
  <c r="G14" i="7" s="1"/>
  <c r="L6" i="7"/>
  <c r="G16" i="7" s="1"/>
  <c r="N6" i="7"/>
  <c r="G18" i="7" s="1"/>
  <c r="E8" i="7"/>
  <c r="E7" i="7"/>
  <c r="N7" i="7"/>
  <c r="H18" i="7" s="1"/>
  <c r="E5" i="7"/>
  <c r="E6" i="7"/>
  <c r="G20" i="6"/>
  <c r="H20" i="6"/>
  <c r="I7" i="7"/>
  <c r="H13" i="7" s="1"/>
  <c r="E10" i="7"/>
  <c r="K6" i="7"/>
  <c r="G15" i="7" s="1"/>
  <c r="O6" i="7"/>
  <c r="G19" i="7" s="1"/>
  <c r="H20" i="7" l="1"/>
  <c r="G20" i="7"/>
  <c r="C14" i="1"/>
  <c r="B16" i="5"/>
  <c r="B14" i="5"/>
  <c r="N6" i="5" s="1"/>
  <c r="G18" i="5" s="1"/>
  <c r="B12" i="5"/>
  <c r="M6" i="5" s="1"/>
  <c r="G17" i="5" s="1"/>
  <c r="E10" i="5"/>
  <c r="B10" i="5"/>
  <c r="L7" i="5" s="1"/>
  <c r="H16" i="5" s="1"/>
  <c r="B8" i="5"/>
  <c r="E6" i="5" s="1"/>
  <c r="O7" i="5"/>
  <c r="H19" i="5" s="1"/>
  <c r="O6" i="5"/>
  <c r="G19" i="5" s="1"/>
  <c r="I6" i="5"/>
  <c r="I7" i="5" s="1"/>
  <c r="H13" i="5" s="1"/>
  <c r="B6" i="5"/>
  <c r="J7" i="5" s="1"/>
  <c r="H14" i="5" s="1"/>
  <c r="E4" i="5"/>
  <c r="B16" i="4"/>
  <c r="E10" i="4" s="1"/>
  <c r="B14" i="4"/>
  <c r="N6" i="4" s="1"/>
  <c r="G18" i="4" s="1"/>
  <c r="B12" i="4"/>
  <c r="M6" i="4" s="1"/>
  <c r="G17" i="4" s="1"/>
  <c r="B10" i="4"/>
  <c r="L7" i="4" s="1"/>
  <c r="H16" i="4" s="1"/>
  <c r="B8" i="4"/>
  <c r="K6" i="4" s="1"/>
  <c r="G15" i="4" s="1"/>
  <c r="N7" i="4"/>
  <c r="H18" i="4" s="1"/>
  <c r="M7" i="4"/>
  <c r="H17" i="4" s="1"/>
  <c r="I6" i="4"/>
  <c r="I7" i="4" s="1"/>
  <c r="H13" i="4" s="1"/>
  <c r="B6" i="4"/>
  <c r="E5" i="4" s="1"/>
  <c r="E4" i="4"/>
  <c r="O7" i="4" l="1"/>
  <c r="H19" i="4" s="1"/>
  <c r="E8" i="4"/>
  <c r="E9" i="4"/>
  <c r="O6" i="4"/>
  <c r="G19" i="4" s="1"/>
  <c r="K7" i="4"/>
  <c r="H15" i="4" s="1"/>
  <c r="E6" i="4"/>
  <c r="E5" i="5"/>
  <c r="J6" i="4"/>
  <c r="G14" i="4" s="1"/>
  <c r="J7" i="4"/>
  <c r="H14" i="4" s="1"/>
  <c r="G13" i="4"/>
  <c r="J6" i="5"/>
  <c r="G14" i="5" s="1"/>
  <c r="G13" i="5"/>
  <c r="K7" i="5"/>
  <c r="H15" i="5" s="1"/>
  <c r="K6" i="5"/>
  <c r="G15" i="5" s="1"/>
  <c r="M7" i="5"/>
  <c r="H17" i="5" s="1"/>
  <c r="E8" i="5"/>
  <c r="N7" i="5"/>
  <c r="H18" i="5" s="1"/>
  <c r="E9" i="5"/>
  <c r="L6" i="5"/>
  <c r="G16" i="5" s="1"/>
  <c r="E7" i="5"/>
  <c r="L6" i="4"/>
  <c r="G16" i="4" s="1"/>
  <c r="E7" i="4"/>
  <c r="G20" i="4" l="1"/>
  <c r="H20" i="4"/>
  <c r="H20" i="5"/>
  <c r="G20" i="5"/>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B16" i="2"/>
  <c r="O6" i="2" s="1"/>
  <c r="G19" i="2" s="1"/>
  <c r="B14" i="2"/>
  <c r="E9" i="2" s="1"/>
  <c r="B12" i="2"/>
  <c r="E8" i="2" s="1"/>
  <c r="B10" i="2"/>
  <c r="L7" i="2" s="1"/>
  <c r="H16" i="2" s="1"/>
  <c r="B8" i="2"/>
  <c r="K7" i="2" s="1"/>
  <c r="H15" i="2" s="1"/>
  <c r="K6" i="2"/>
  <c r="G15" i="2" s="1"/>
  <c r="I6" i="2"/>
  <c r="G13" i="2" s="1"/>
  <c r="B6" i="2"/>
  <c r="J7" i="2" s="1"/>
  <c r="H14" i="2" s="1"/>
  <c r="E4" i="2"/>
  <c r="E6" i="2" l="1"/>
  <c r="M6" i="2"/>
  <c r="G17" i="2" s="1"/>
  <c r="M7" i="2"/>
  <c r="H17" i="2" s="1"/>
  <c r="L34" i="3"/>
  <c r="K34" i="3" s="1"/>
  <c r="E10" i="2"/>
  <c r="O7" i="2"/>
  <c r="H19" i="2" s="1"/>
  <c r="E34" i="3"/>
  <c r="I34" i="3"/>
  <c r="H34" i="3" s="1"/>
  <c r="L6" i="2"/>
  <c r="G16" i="2" s="1"/>
  <c r="E7" i="2"/>
  <c r="I7" i="2"/>
  <c r="H13" i="2" s="1"/>
  <c r="E5" i="2"/>
  <c r="J6" i="2"/>
  <c r="G14" i="2" s="1"/>
  <c r="N6" i="2"/>
  <c r="G18" i="2" s="1"/>
  <c r="N7" i="2"/>
  <c r="H18" i="2" s="1"/>
  <c r="D165" i="1"/>
  <c r="G118" i="1"/>
  <c r="H48" i="1"/>
  <c r="H50" i="1" s="1"/>
  <c r="D56" i="1" s="1"/>
  <c r="C48" i="1"/>
  <c r="F41" i="1"/>
  <c r="F7" i="1"/>
  <c r="H20" i="2" l="1"/>
  <c r="D34" i="3"/>
  <c r="D36" i="3" s="1"/>
  <c r="E36" i="3"/>
</calcChain>
</file>

<file path=xl/sharedStrings.xml><?xml version="1.0" encoding="utf-8"?>
<sst xmlns="http://schemas.openxmlformats.org/spreadsheetml/2006/main" count="617" uniqueCount="266">
  <si>
    <t xml:space="preserve">Valuation Report </t>
  </si>
  <si>
    <t>Date:</t>
  </si>
  <si>
    <t>CPC Name:</t>
  </si>
  <si>
    <t>Date Of Property Visit</t>
  </si>
  <si>
    <t>Name of the builder group</t>
  </si>
  <si>
    <t>Name of the builder company</t>
  </si>
  <si>
    <t>Name of the Project</t>
  </si>
  <si>
    <t>Contect Details ( Name &amp; Contect No.)</t>
  </si>
  <si>
    <t>Name / No of the Building</t>
  </si>
  <si>
    <t>Docouments Provided</t>
  </si>
  <si>
    <t xml:space="preserve">Project location details       </t>
  </si>
  <si>
    <t>Locality</t>
  </si>
  <si>
    <t>Road</t>
  </si>
  <si>
    <t>District</t>
  </si>
  <si>
    <t>City</t>
  </si>
  <si>
    <t>Pin Code</t>
  </si>
  <si>
    <t>Near by Landmark</t>
  </si>
  <si>
    <t xml:space="preserve">Distance from city centre: </t>
  </si>
  <si>
    <t>Accessibility to the Project from the City:
(Proximity to civic amenities like school, hospital, market)</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</si>
  <si>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</si>
  <si>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</si>
  <si>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</si>
  <si>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</si>
  <si>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</si>
  <si>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</si>
  <si>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</si>
  <si>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</si>
  <si>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</si>
  <si>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</si>
  <si>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</si>
  <si>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</si>
  <si>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</si>
  <si>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</si>
  <si>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</si>
  <si>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</si>
  <si>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</si>
  <si>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</si>
  <si>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</si>
  <si>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</si>
  <si>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</si>
  <si>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</si>
  <si>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Latitude</t>
  </si>
  <si>
    <t>Longitude</t>
  </si>
  <si>
    <t>Approval details:</t>
  </si>
  <si>
    <t xml:space="preserve">Approved usage of the Property:                                                                                                                                             </t>
  </si>
  <si>
    <t>Residential</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</si>
  <si>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</si>
  <si>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</si>
  <si>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</si>
  <si>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</si>
  <si>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</si>
  <si>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</si>
  <si>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</si>
  <si>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</si>
  <si>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</si>
  <si>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</si>
  <si>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Dated</t>
  </si>
  <si>
    <t xml:space="preserve">O. Certificate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</si>
  <si>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</si>
  <si>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</si>
  <si>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</si>
  <si>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</si>
  <si>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</si>
  <si>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</si>
  <si>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</si>
  <si>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Quality of construction: Good</t>
  </si>
  <si>
    <t>Plinth</t>
  </si>
  <si>
    <t>RCC</t>
  </si>
  <si>
    <t>Plaster</t>
  </si>
  <si>
    <t>Flooring</t>
  </si>
  <si>
    <t>Finishing</t>
  </si>
  <si>
    <t>Violations Observed if any : NA</t>
  </si>
  <si>
    <r>
      <t xml:space="preserve">Proposed Amenities :                                                                                                                                                                                                                      </t>
    </r>
    <r>
      <rPr>
        <sz val="11"/>
        <rFont val="Times New Roman"/>
        <family val="1"/>
      </rPr>
      <t xml:space="preserve">   </t>
    </r>
    <r>
      <rPr>
        <b/>
        <sz val="11"/>
        <rFont val="Times New Roman"/>
        <family val="1"/>
      </rPr>
      <t xml:space="preserve">                                               </t>
    </r>
  </si>
  <si>
    <r>
      <t xml:space="preserve">: </t>
    </r>
    <r>
      <rPr>
        <sz val="11"/>
        <rFont val="Times New Roman"/>
        <family val="1"/>
      </rPr>
      <t>1.Vitrified tiles flooring 2. Granite Kitchen Platform  3. Decorative Enternace  etc.</t>
    </r>
    <r>
      <rPr>
        <b/>
        <sz val="11"/>
        <rFont val="Times New Roman"/>
        <family val="1"/>
      </rPr>
      <t xml:space="preserve">                                                                                                                                                                                                                                 </t>
    </r>
    <r>
      <rPr>
        <sz val="11"/>
        <rFont val="Times New Roman"/>
        <family val="1"/>
      </rPr>
      <t xml:space="preserve">   </t>
    </r>
    <r>
      <rPr>
        <b/>
        <sz val="11"/>
        <rFont val="Times New Roman"/>
        <family val="1"/>
      </rPr>
      <t xml:space="preserve">                                               </t>
    </r>
  </si>
  <si>
    <t>Recommended Rates of the Property :</t>
  </si>
  <si>
    <t>Recommended rate of the flat Per Sq. Ft. ( on Saleable area)</t>
  </si>
  <si>
    <t>Distressed valuation of the Property</t>
  </si>
  <si>
    <t>A</t>
  </si>
  <si>
    <t>Total</t>
  </si>
  <si>
    <t>Authorized Signatory
                                                                                                                                                                                                                                                                                     Name &amp; Seal of the agency</t>
  </si>
  <si>
    <t xml:space="preserve">PHOTOGRAPHS OF PROPERTY : 
</t>
  </si>
  <si>
    <t>Google Map :</t>
  </si>
  <si>
    <t>Particulars</t>
  </si>
  <si>
    <t xml:space="preserve">totaL floor </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</si>
  <si>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</si>
  <si>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</si>
  <si>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</si>
  <si>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</si>
  <si>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</si>
  <si>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</si>
  <si>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</si>
  <si>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</si>
  <si>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</si>
  <si>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</si>
  <si>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</si>
  <si>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</si>
  <si>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</si>
  <si>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</si>
  <si>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</si>
  <si>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</si>
  <si>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</si>
  <si>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</si>
  <si>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</si>
  <si>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</si>
  <si>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</si>
  <si>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</si>
  <si>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</si>
  <si>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</si>
  <si>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</si>
  <si>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</si>
  <si>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</si>
  <si>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</si>
  <si>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</si>
  <si>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</si>
  <si>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</si>
  <si>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</si>
  <si>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</si>
  <si>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</si>
  <si>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</si>
  <si>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</si>
  <si>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</si>
  <si>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</si>
  <si>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</si>
  <si>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</si>
  <si>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</si>
  <si>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Axis Sanpada</t>
  </si>
  <si>
    <t>Open</t>
  </si>
  <si>
    <t>Sr.No</t>
  </si>
  <si>
    <t>Asmita</t>
  </si>
  <si>
    <t>OLD APF</t>
  </si>
  <si>
    <t>Refer Data</t>
  </si>
  <si>
    <t>M/s.Dipti Home Makers Pvt. Ltd.</t>
  </si>
  <si>
    <t>Dipti Sky City</t>
  </si>
  <si>
    <t>Mr. Pravin - 9322124710</t>
  </si>
  <si>
    <t>Name of the Building</t>
  </si>
  <si>
    <t>Ambernath</t>
  </si>
  <si>
    <t xml:space="preserve">Thane </t>
  </si>
  <si>
    <t>JP Harmony</t>
  </si>
  <si>
    <t>Pale</t>
  </si>
  <si>
    <t>About 4.2 Km from Ambernath Railway Station</t>
  </si>
  <si>
    <t>AMC/TPD/BP/17-18/1435/8806/90</t>
  </si>
  <si>
    <t>25/01/2018.</t>
  </si>
  <si>
    <t>AMC/TPD/BP/17-18/1435/8806/90
Valid Up to: 
Building 6 - Stilt/Ground + 1st to 7th Floor.</t>
  </si>
  <si>
    <t>Development Charges, MSEB &amp; Society Formation Charges</t>
  </si>
  <si>
    <t>Club House &amp; Gym Charge</t>
  </si>
  <si>
    <t>Grill Charges</t>
  </si>
  <si>
    <t>Market Research Data</t>
  </si>
  <si>
    <t>Source</t>
  </si>
  <si>
    <t>Distance from proposed property</t>
  </si>
  <si>
    <t>Net Carpet</t>
  </si>
  <si>
    <t>Saleable Area</t>
  </si>
  <si>
    <t>Rate on Saleable</t>
  </si>
  <si>
    <t>Market Value</t>
  </si>
  <si>
    <t>magicbricks</t>
  </si>
  <si>
    <t>Average</t>
  </si>
  <si>
    <t xml:space="preserve">Valuation Adopted </t>
  </si>
  <si>
    <t>99acres</t>
  </si>
  <si>
    <t>1BHK</t>
  </si>
  <si>
    <t>2BHK</t>
  </si>
  <si>
    <t>Pratiksha</t>
  </si>
  <si>
    <t xml:space="preserve">Dipti Sky City </t>
  </si>
  <si>
    <t>Name &amp; RERA No.</t>
  </si>
  <si>
    <t>AMC/TPD/BP/2013-14/886/2309/82</t>
  </si>
  <si>
    <t>22/11/2013.</t>
  </si>
  <si>
    <t>AMC/TPD/BP/2013-14/886/2309/82
Valid Up to: 
Building No. 1 to 5 - Stilt/Ground + 1st to 7th Floor.</t>
  </si>
  <si>
    <t xml:space="preserve">Approved Floor plan No. 
(Bldg No.1 to 5)  </t>
  </si>
  <si>
    <t xml:space="preserve">Layout Approval No  
(Bldg No.1 to 5)    </t>
  </si>
  <si>
    <t xml:space="preserve">Layout Approval No (Bldg No.6 Purvanchal)    </t>
  </si>
  <si>
    <t>Approved Floor plan No. 
(Bldg No.6 Purvanchal)</t>
  </si>
  <si>
    <t xml:space="preserve">Commencement Certificate No.
(Bldg No.1 to 5)  </t>
  </si>
  <si>
    <t>Commencement Certificate No.
(Bldg No.6 Purvanchal)</t>
  </si>
  <si>
    <t>Wheather the construction is as per approved Building plan : Yes</t>
  </si>
  <si>
    <t>Material laying at Site: Nothing</t>
  </si>
  <si>
    <t>Construction details:</t>
  </si>
  <si>
    <t xml:space="preserve">Stage of construction: </t>
  </si>
  <si>
    <t>All work Completed. OC Received.</t>
  </si>
  <si>
    <t>Progress %</t>
  </si>
  <si>
    <t>Disbursement %</t>
  </si>
  <si>
    <t>Piling Work in process</t>
  </si>
  <si>
    <t>Excavation in process</t>
  </si>
  <si>
    <t>Excavation Completed</t>
  </si>
  <si>
    <t>Footing in Process</t>
  </si>
  <si>
    <t>Brickwork &amp; Internal Plaster</t>
  </si>
  <si>
    <t>Footing Completed</t>
  </si>
  <si>
    <t>Basement 1</t>
  </si>
  <si>
    <t>External Plaster &amp; Plumbing</t>
  </si>
  <si>
    <t>Basement 2</t>
  </si>
  <si>
    <t>Building</t>
  </si>
  <si>
    <t>Floor</t>
  </si>
  <si>
    <t>Gr + 1st to 7th Floor</t>
  </si>
  <si>
    <t xml:space="preserve">Building 6 - Purvanchal </t>
  </si>
  <si>
    <t xml:space="preserve">Building No.2 - Aravali </t>
  </si>
  <si>
    <t xml:space="preserve">Building No.4 - Nilgiri </t>
  </si>
  <si>
    <t xml:space="preserve">Building No.1-Saptpura
(Wing A &amp; B) </t>
  </si>
  <si>
    <t>Building No.3-Himalaya (Wing A &amp; B)</t>
  </si>
  <si>
    <t xml:space="preserve">Building No.5-
Karakoram 
(Wing C &amp; D) </t>
  </si>
  <si>
    <t>3,00,000/-</t>
  </si>
  <si>
    <t>50,000/-</t>
  </si>
  <si>
    <t>Recommended rate For Parking</t>
  </si>
  <si>
    <t>Building No.1 to 5 - Not Registered on Rera
Building No.6 Purvanchal  - P51700016603
Building No.7 - P51700048627</t>
  </si>
  <si>
    <t>54/3/, 54/3/D,  Plot A2 &amp; Sr.No.57/1(pt)</t>
  </si>
  <si>
    <t>Pale Village Road</t>
  </si>
  <si>
    <t>Location Link</t>
  </si>
  <si>
    <t>https://goo.gl/maps/Di5krNPbavMiPD678</t>
  </si>
  <si>
    <t>Basement</t>
  </si>
  <si>
    <t>Ground</t>
  </si>
  <si>
    <t>Podium</t>
  </si>
  <si>
    <t>Floors</t>
  </si>
  <si>
    <t>Type of Work</t>
  </si>
  <si>
    <t>Slab/Floor</t>
  </si>
  <si>
    <t>Complition %</t>
  </si>
  <si>
    <t>Excavation</t>
  </si>
  <si>
    <t>RCC (Including podiums)</t>
  </si>
  <si>
    <t>Brickwork</t>
  </si>
  <si>
    <t>Internal Plaster</t>
  </si>
  <si>
    <t>Ext. Plaster &amp; Plumbing</t>
  </si>
  <si>
    <t>Flooring &amp; Fitting</t>
  </si>
  <si>
    <t>Basement 3</t>
  </si>
  <si>
    <t>Painting &amp; Wooden</t>
  </si>
  <si>
    <t>Basement 4</t>
  </si>
  <si>
    <t>Building Common Amenities</t>
  </si>
  <si>
    <t>Plinth in process</t>
  </si>
  <si>
    <t>Possession</t>
  </si>
  <si>
    <t>Plinth completed</t>
  </si>
  <si>
    <t>Commencement Certificate No.
(Bldg No.7)</t>
  </si>
  <si>
    <t>Building 1 to 6 - Stilt/Ground + 1st to 7th Floor.
Building No.7 - Stilt/Ground + 1st to 12th Floor.</t>
  </si>
  <si>
    <t xml:space="preserve">Layout Approval No  
(Bldg No.7)    </t>
  </si>
  <si>
    <t>ANP/NRV/BP/2022-23/839/9363/55</t>
  </si>
  <si>
    <t xml:space="preserve">Approved Floor plan No.  (Bldg No.7) </t>
  </si>
  <si>
    <t>ANP/NRV/BP/2022-23/839/9363/55
Valid Up to: 
Building No.7 - Stilt/Ground + 1st to 12th Floor.</t>
  </si>
  <si>
    <t>Building &amp; Wing</t>
  </si>
  <si>
    <t>No. of Units</t>
  </si>
  <si>
    <t>Total Carpet Area</t>
  </si>
  <si>
    <t>Total Saleable Area</t>
  </si>
  <si>
    <t>Residential Area Details :</t>
  </si>
  <si>
    <t>Building details Floor Wise</t>
  </si>
  <si>
    <t xml:space="preserve">Details of Flats in Building   </t>
  </si>
  <si>
    <t>Flat/Shop No.</t>
  </si>
  <si>
    <t>Description</t>
  </si>
  <si>
    <t>Gross Carpet area</t>
  </si>
  <si>
    <t>Attached Terrace area</t>
  </si>
  <si>
    <t>Saleable area</t>
  </si>
  <si>
    <t>3BHK</t>
  </si>
  <si>
    <t>Building No.07</t>
  </si>
  <si>
    <t>Ground Floor for Parking</t>
  </si>
  <si>
    <t xml:space="preserve">1st to 7th &amp; 9th to 12th Floor </t>
  </si>
  <si>
    <t>8th Floor (Part Refuge Area)</t>
  </si>
  <si>
    <t>Building No.7</t>
  </si>
  <si>
    <t>Projected life of the structure: 60 Years After Completion</t>
  </si>
  <si>
    <t>Building No.7 - 31/12/2026</t>
  </si>
  <si>
    <t>1,50,000/-</t>
  </si>
  <si>
    <t>7 Buildings(10 Wings)</t>
  </si>
  <si>
    <t>Building No.1 Saptpura(Wing A &amp; B)
Building No.2 Aravali 
Building No.3 Himalaya(Wing A &amp; B)
Building No.4 Nilgiri 
Building No.5 Karakoram (Wing C &amp; D)
Building No.6 Purvanchal 
Building No.7</t>
  </si>
  <si>
    <t>Building No.02</t>
  </si>
  <si>
    <t xml:space="preserve">1st to 7th Floor </t>
  </si>
  <si>
    <t>ANP/NRV/BP/2013-14/886/2309/82</t>
  </si>
  <si>
    <t>Building No.2</t>
  </si>
  <si>
    <t>Building No.2 &amp; 7 - 160</t>
  </si>
  <si>
    <t xml:space="preserve">Office No. 1031, Wing J, Akshar Business Park, Plot No. 03 Sector 25, Near APMC Market, Vashi, 
Navi Mumbai, Maharashtra 400703 TEL: 022-46090378/79/80
E mail : vsjcapf@gmail.com. Web site : www.vsjadon.com
</t>
  </si>
  <si>
    <t>ANP/NRV/1718/25
Building 2, 4, 5 (A &amp; B) - Stilt/Ground + 1st to 7th Floor.</t>
  </si>
  <si>
    <t>ANP/NRV/2022-23/336
Approved Upto : Bldg No.6 = Gr/Stilt + 1st to 7th Floor</t>
  </si>
  <si>
    <t xml:space="preserve">Remark :
1. Building No.1, 3 = All Work Completed. Please Provide OC.
    Building No.2, 4, 5 &amp; 6 = All Work Completed. OC Received.
    Building No. 7 = Construction work is in process at the time of Visit.
2. We have considered rate by verifying it from market inquire.
3. We considered Saleable area of Flat as per Builder area Sheet.
4. We have considered Other charges from cost sheet.
5. Car parking is subjected to authentic documentation.
6. We have released report on the basis of Other Vendor report.
7. Recommended rate should be considered as all inclusive rate if other charges are not mentioned. (Excluding GST &amp; other government Taxes).
8. We considered Gross carpet area = Net carpet + C.B Area + Balcony + OP Area.
9. We have updated approved floor plan &amp; C.C for Building No.7 (on 26/04/2023).
10. We have updated approved floor plan &amp; OC for Building No.2 (on 25/05/2023).
11. We have updated OC for Bldg No.6 from Rera (On 17/06/2024).
</t>
  </si>
  <si>
    <t>Part I = Building No.7 - Stilt/Ground + 1st to 16th Floor.</t>
  </si>
  <si>
    <t>Part II = Building No.7 - Stilt/Ground + 1st to 16th Floor.</t>
  </si>
  <si>
    <t>Average Disbursement %</t>
  </si>
  <si>
    <t>Average Progress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</si>
</sst>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_(* #,##0.00_);_(* \(#,##0.00\);_(* &quot;-&quot;??_);_(@_)"/>
    <numFmt numFmtId="165" formatCode="0.0"/>
    <numFmt numFmtId="166" formatCode="0.000"/>
    <numFmt numFmtId="167" formatCode="_(* #,##0_);_(* \(#,##0\);_(* &quot;-&quot;??_);_(@_)"/>
  </numFmts>
  <fonts count="29"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theme="1"/>
      <name val="Times New Roman"/>
      <family val="1"/>
    </font>
    <font>
      <sz val="11"/>
      <color indexed="8"/>
      <name val="Times New Roman"/>
      <family val="1"/>
    </font>
    <font>
      <sz val="11"/>
      <color rgb="FFFF0000"/>
      <name val="Times New Roman"/>
      <family val="1"/>
    </font>
    <font>
      <sz val="11"/>
      <name val="Times New Roman"/>
      <family val="1"/>
    </font>
    <font>
      <b/>
      <sz val="11"/>
      <name val="Times New Roman"/>
      <family val="1"/>
    </font>
    <font>
      <sz val="11"/>
      <color indexed="8"/>
      <name val="Calibri"/>
      <family val="2"/>
    </font>
    <font>
      <b/>
      <sz val="10"/>
      <color indexed="8"/>
      <name val="Times New Roman"/>
      <family val="1"/>
    </font>
    <font>
      <b/>
      <sz val="11"/>
      <color theme="1"/>
      <name val="Times New Roman"/>
      <family val="1"/>
    </font>
    <font>
      <sz val="11"/>
      <color rgb="FFFF0000"/>
      <name val="Calibri"/>
      <family val="2"/>
      <scheme val="minor"/>
    </font>
    <font>
      <b/>
      <sz val="11"/>
      <color theme="1"/>
      <name val="Calibri"/>
      <family val="2"/>
      <scheme val="minor"/>
    </font>
    <font>
      <u/>
      <sz val="11"/>
      <color theme="10"/>
      <name val="Calibri"/>
      <family val="2"/>
    </font>
    <font>
      <sz val="11"/>
      <name val="Calibri"/>
      <family val="2"/>
    </font>
    <font>
      <sz val="11"/>
      <color rgb="FFFF0000"/>
      <name val="Calibri"/>
      <family val="2"/>
    </font>
    <font>
      <sz val="11"/>
      <color rgb="FF000000"/>
      <name val="Calibri"/>
      <family val="2"/>
    </font>
    <font>
      <sz val="11"/>
      <color rgb="FF000000"/>
      <name val="Times New Roman"/>
      <family val="1"/>
    </font>
    <font>
      <b/>
      <sz val="12"/>
      <name val="Times New Roman"/>
      <family val="1"/>
    </font>
    <font>
      <sz val="11"/>
      <color theme="0"/>
      <name val="Calibri"/>
      <family val="2"/>
    </font>
    <font>
      <sz val="12"/>
      <name val="Times New Roman"/>
      <family val="1"/>
    </font>
    <font>
      <sz val="12"/>
      <color theme="1"/>
      <name val="Times New Roman"/>
      <family val="1"/>
    </font>
    <font>
      <b/>
      <sz val="12"/>
      <color indexed="8"/>
      <name val="Times New Roman"/>
      <family val="1"/>
    </font>
    <font>
      <b/>
      <sz val="12"/>
      <color theme="1"/>
      <name val="Times New Roman"/>
      <family val="1"/>
    </font>
    <font>
      <sz val="12"/>
      <color indexed="8"/>
      <name val="Times New Roman"/>
      <family val="1"/>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0" fontId="5" fillId="0" borderId="0"/>
    <xf numFmtId="0" fontId="12" fillId="0" borderId="0"/>
    <xf numFmtId="0" fontId="4" fillId="0" borderId="0"/>
    <xf numFmtId="0" fontId="12" fillId="0" borderId="0"/>
    <xf numFmtId="0" fontId="1" fillId="0" borderId="0"/>
    <xf numFmtId="0" fontId="17" fillId="0" borderId="0" applyNumberFormat="0" applyFill="0" applyBorder="0" applyAlignment="0" applyProtection="0"/>
    <xf numFmtId="164" fontId="12" fillId="0" borderId="0" applyFont="0" applyFill="0" applyBorder="0" applyAlignment="0" applyProtection="0"/>
  </cellStyleXfs>
  <cellXfs count="252">
    <xf numFmtId="0" fontId="0" fillId="0" borderId="0" xfId="0"/>
    <xf numFmtId="0" fontId="8" fillId="0" borderId="4" xfId="1" applyFont="1" applyFill="1" applyBorder="1" applyAlignment="1">
      <alignment vertical="top" wrapText="1"/>
    </xf>
    <xf numFmtId="0" fontId="8" fillId="0" borderId="4" xfId="1" applyFont="1" applyFill="1" applyBorder="1" applyAlignment="1">
      <alignment vertical="top"/>
    </xf>
    <xf numFmtId="0" fontId="9" fillId="0" borderId="3" xfId="1" applyFont="1" applyFill="1" applyBorder="1" applyAlignment="1">
      <alignment vertical="top" wrapText="1"/>
    </xf>
    <xf numFmtId="0" fontId="4" fillId="0" borderId="0" xfId="3"/>
    <xf numFmtId="0" fontId="16" fillId="2" borderId="4" xfId="3" applyFont="1" applyFill="1" applyBorder="1"/>
    <xf numFmtId="0" fontId="4" fillId="0" borderId="4" xfId="3" applyBorder="1"/>
    <xf numFmtId="0" fontId="4" fillId="0" borderId="0" xfId="3" applyBorder="1"/>
    <xf numFmtId="0" fontId="4" fillId="0" borderId="13" xfId="3" applyBorder="1"/>
    <xf numFmtId="0" fontId="4" fillId="0" borderId="0" xfId="3" applyAlignment="1">
      <alignment wrapText="1"/>
    </xf>
    <xf numFmtId="0" fontId="4" fillId="0" borderId="4" xfId="3" applyBorder="1" applyAlignment="1">
      <alignment wrapText="1"/>
    </xf>
    <xf numFmtId="0" fontId="15" fillId="0" borderId="0" xfId="3" applyFont="1"/>
    <xf numFmtId="0" fontId="0" fillId="2" borderId="4" xfId="0" applyFill="1" applyBorder="1"/>
    <xf numFmtId="0" fontId="0" fillId="0" borderId="9" xfId="0" applyBorder="1" applyAlignment="1"/>
    <xf numFmtId="0" fontId="16" fillId="0" borderId="4" xfId="0" applyFont="1" applyBorder="1"/>
    <xf numFmtId="0" fontId="16" fillId="0" borderId="4" xfId="0" applyFont="1" applyBorder="1" applyAlignment="1">
      <alignment horizontal="center"/>
    </xf>
    <xf numFmtId="0" fontId="0" fillId="0" borderId="4" xfId="0" applyBorder="1"/>
    <xf numFmtId="0" fontId="3" fillId="0" borderId="0" xfId="3" applyFont="1"/>
    <xf numFmtId="14" fontId="0" fillId="0" borderId="0" xfId="0" applyNumberFormat="1"/>
    <xf numFmtId="0" fontId="2" fillId="0" borderId="0" xfId="3" applyFont="1" applyBorder="1"/>
    <xf numFmtId="0" fontId="12" fillId="0" borderId="0" xfId="4" applyFont="1"/>
    <xf numFmtId="0" fontId="12" fillId="0" borderId="0" xfId="4"/>
    <xf numFmtId="0" fontId="1" fillId="0" borderId="0" xfId="5"/>
    <xf numFmtId="0" fontId="16" fillId="0" borderId="4" xfId="5" applyFont="1" applyBorder="1" applyAlignment="1">
      <alignment horizontal="center" vertical="top" wrapText="1"/>
    </xf>
    <xf numFmtId="0" fontId="18" fillId="0" borderId="4" xfId="6" applyFont="1" applyBorder="1" applyAlignment="1">
      <alignment horizontal="center" vertical="top" wrapText="1"/>
    </xf>
    <xf numFmtId="0" fontId="1" fillId="0" borderId="4" xfId="5" applyFont="1" applyBorder="1" applyAlignment="1">
      <alignment horizontal="left" vertical="center"/>
    </xf>
    <xf numFmtId="0" fontId="1" fillId="0" borderId="4" xfId="5" applyFont="1" applyBorder="1" applyAlignment="1">
      <alignment horizontal="center" vertical="center"/>
    </xf>
    <xf numFmtId="1" fontId="1" fillId="0" borderId="4" xfId="5" applyNumberFormat="1" applyFont="1" applyBorder="1" applyAlignment="1">
      <alignment horizontal="center" vertical="center"/>
    </xf>
    <xf numFmtId="1" fontId="1" fillId="0" borderId="4" xfId="5" applyNumberFormat="1" applyBorder="1" applyAlignment="1">
      <alignment horizontal="center" vertical="center"/>
    </xf>
    <xf numFmtId="167" fontId="1" fillId="0" borderId="4" xfId="7" applyNumberFormat="1" applyFont="1" applyBorder="1" applyAlignment="1">
      <alignment horizontal="right" vertical="center"/>
    </xf>
    <xf numFmtId="43" fontId="12" fillId="0" borderId="0" xfId="4" applyNumberFormat="1"/>
    <xf numFmtId="0" fontId="16" fillId="0" borderId="4" xfId="5" applyFont="1" applyBorder="1" applyAlignment="1">
      <alignment horizontal="center" vertical="center"/>
    </xf>
    <xf numFmtId="0" fontId="1" fillId="0" borderId="4" xfId="5" applyBorder="1" applyAlignment="1">
      <alignment horizontal="center" vertical="center"/>
    </xf>
    <xf numFmtId="1" fontId="15" fillId="0" borderId="4" xfId="5" applyNumberFormat="1" applyFont="1" applyBorder="1" applyAlignment="1">
      <alignment horizontal="center" vertical="center"/>
    </xf>
    <xf numFmtId="0" fontId="12" fillId="0" borderId="4" xfId="4" applyFont="1" applyBorder="1" applyAlignment="1">
      <alignment horizontal="center" vertical="center"/>
    </xf>
    <xf numFmtId="0" fontId="19" fillId="0" borderId="0" xfId="4" applyFont="1"/>
    <xf numFmtId="1" fontId="12" fillId="0" borderId="0" xfId="4" applyNumberFormat="1"/>
    <xf numFmtId="0" fontId="12" fillId="0" borderId="0" xfId="4" applyAlignment="1">
      <alignment wrapText="1"/>
    </xf>
    <xf numFmtId="0" fontId="8" fillId="0" borderId="3" xfId="1" applyFont="1" applyFill="1" applyBorder="1" applyAlignment="1">
      <alignment horizontal="left" vertical="top"/>
    </xf>
    <xf numFmtId="0" fontId="8" fillId="0" borderId="1" xfId="1" applyFont="1" applyFill="1" applyBorder="1" applyAlignment="1">
      <alignment vertical="top"/>
    </xf>
    <xf numFmtId="0" fontId="8" fillId="0" borderId="4" xfId="1" applyFont="1" applyFill="1" applyBorder="1" applyAlignment="1">
      <alignment horizontal="left" vertical="top"/>
    </xf>
    <xf numFmtId="0" fontId="7" fillId="0" borderId="14" xfId="1" applyFont="1" applyFill="1" applyBorder="1" applyProtection="1">
      <protection hidden="1"/>
    </xf>
    <xf numFmtId="0" fontId="7" fillId="0" borderId="0" xfId="1" applyFont="1" applyFill="1" applyBorder="1" applyProtection="1">
      <protection hidden="1"/>
    </xf>
    <xf numFmtId="0" fontId="21" fillId="0" borderId="0" xfId="0" applyFont="1" applyFill="1" applyBorder="1" applyProtection="1">
      <protection hidden="1"/>
    </xf>
    <xf numFmtId="0" fontId="7" fillId="0" borderId="0" xfId="1" applyFont="1" applyFill="1"/>
    <xf numFmtId="0" fontId="7" fillId="0" borderId="15" xfId="1" applyFont="1" applyFill="1" applyBorder="1" applyProtection="1">
      <protection hidden="1"/>
    </xf>
    <xf numFmtId="0" fontId="7" fillId="0" borderId="17" xfId="1" applyFont="1" applyFill="1" applyBorder="1"/>
    <xf numFmtId="0" fontId="21" fillId="0" borderId="17" xfId="0" applyNumberFormat="1" applyFont="1" applyFill="1" applyBorder="1" applyProtection="1">
      <protection hidden="1"/>
    </xf>
    <xf numFmtId="1" fontId="20" fillId="0" borderId="17" xfId="0" applyNumberFormat="1" applyFont="1" applyFill="1" applyBorder="1"/>
    <xf numFmtId="0" fontId="7" fillId="0" borderId="17" xfId="1" applyFont="1" applyFill="1" applyBorder="1" applyProtection="1">
      <protection hidden="1"/>
    </xf>
    <xf numFmtId="0" fontId="8" fillId="0" borderId="0" xfId="2" applyFont="1" applyFill="1"/>
    <xf numFmtId="0" fontId="7" fillId="0" borderId="0" xfId="0" applyFont="1" applyFill="1"/>
    <xf numFmtId="0" fontId="13" fillId="0" borderId="0" xfId="1" applyFont="1" applyFill="1" applyBorder="1" applyAlignment="1">
      <alignment vertical="top"/>
    </xf>
    <xf numFmtId="0" fontId="6" fillId="0" borderId="0" xfId="1" applyFont="1" applyFill="1" applyBorder="1" applyAlignment="1">
      <alignment vertical="top" wrapText="1"/>
    </xf>
    <xf numFmtId="0" fontId="6" fillId="0" borderId="0" xfId="1" applyFont="1" applyFill="1" applyBorder="1" applyAlignment="1">
      <alignment vertical="top"/>
    </xf>
    <xf numFmtId="0" fontId="6" fillId="0" borderId="0" xfId="1" applyFont="1" applyFill="1" applyBorder="1" applyAlignment="1">
      <alignment horizontal="center" vertical="top" wrapText="1"/>
    </xf>
    <xf numFmtId="0" fontId="14" fillId="0" borderId="0" xfId="1" applyFont="1" applyFill="1"/>
    <xf numFmtId="0" fontId="8" fillId="0" borderId="4" xfId="1" applyFont="1" applyFill="1" applyBorder="1" applyAlignment="1">
      <alignment horizontal="left" vertical="top"/>
    </xf>
    <xf numFmtId="0" fontId="18" fillId="2" borderId="27" xfId="0" applyFont="1" applyFill="1" applyBorder="1"/>
    <xf numFmtId="0" fontId="23" fillId="0" borderId="28" xfId="0" applyFont="1" applyBorder="1"/>
    <xf numFmtId="0" fontId="24" fillId="0" borderId="16" xfId="1" applyFont="1" applyBorder="1" applyAlignment="1" applyProtection="1">
      <alignment horizontal="center" vertical="top"/>
      <protection locked="0"/>
    </xf>
    <xf numFmtId="0" fontId="24" fillId="0" borderId="4" xfId="1" applyFont="1" applyBorder="1" applyAlignment="1" applyProtection="1">
      <alignment horizontal="center" vertical="top"/>
      <protection locked="0"/>
    </xf>
    <xf numFmtId="0" fontId="23" fillId="0" borderId="3" xfId="0" applyFont="1" applyBorder="1"/>
    <xf numFmtId="0" fontId="23" fillId="0" borderId="18" xfId="0" applyFont="1" applyBorder="1"/>
    <xf numFmtId="0" fontId="24" fillId="0" borderId="4" xfId="1" applyFont="1" applyBorder="1" applyAlignment="1" applyProtection="1">
      <alignment horizontal="center" vertical="top" wrapText="1"/>
      <protection locked="0"/>
    </xf>
    <xf numFmtId="0" fontId="21" fillId="0" borderId="0" xfId="0" applyFont="1" applyProtection="1">
      <protection hidden="1"/>
    </xf>
    <xf numFmtId="0" fontId="25" fillId="0" borderId="17" xfId="1" applyFont="1" applyBorder="1"/>
    <xf numFmtId="0" fontId="24" fillId="0" borderId="4" xfId="1" applyFont="1" applyBorder="1" applyAlignment="1" applyProtection="1">
      <alignment horizontal="center" wrapText="1"/>
      <protection locked="0"/>
    </xf>
    <xf numFmtId="0" fontId="21" fillId="0" borderId="17" xfId="0" applyFont="1" applyBorder="1" applyProtection="1">
      <protection hidden="1"/>
    </xf>
    <xf numFmtId="1" fontId="24" fillId="0" borderId="4" xfId="1" applyNumberFormat="1" applyFont="1" applyBorder="1" applyAlignment="1" applyProtection="1">
      <alignment horizontal="center" wrapText="1"/>
      <protection locked="0"/>
    </xf>
    <xf numFmtId="1" fontId="0" fillId="0" borderId="17" xfId="0" applyNumberFormat="1" applyBorder="1"/>
    <xf numFmtId="1" fontId="0" fillId="0" borderId="17" xfId="0" applyNumberFormat="1" applyBorder="1" applyAlignment="1">
      <alignment horizontal="right"/>
    </xf>
    <xf numFmtId="0" fontId="21" fillId="0" borderId="30" xfId="0" applyFont="1" applyBorder="1" applyProtection="1">
      <protection hidden="1"/>
    </xf>
    <xf numFmtId="1" fontId="0" fillId="0" borderId="31" xfId="0" applyNumberFormat="1" applyBorder="1"/>
    <xf numFmtId="0" fontId="25" fillId="0" borderId="0" xfId="0" applyFont="1" applyAlignment="1">
      <alignment horizontal="center" vertical="center"/>
    </xf>
    <xf numFmtId="0" fontId="27" fillId="0" borderId="4" xfId="0" applyFont="1" applyBorder="1" applyAlignment="1">
      <alignment horizontal="center" vertical="center"/>
    </xf>
    <xf numFmtId="0" fontId="25" fillId="0" borderId="4" xfId="0" applyFont="1" applyBorder="1" applyAlignment="1">
      <alignment horizontal="center" vertical="center"/>
    </xf>
    <xf numFmtId="0" fontId="28" fillId="0" borderId="0" xfId="2" applyFont="1"/>
    <xf numFmtId="0" fontId="25" fillId="0" borderId="0" xfId="1" applyFont="1"/>
    <xf numFmtId="1" fontId="26" fillId="0" borderId="4" xfId="1" applyNumberFormat="1" applyFont="1" applyBorder="1" applyAlignment="1">
      <alignment horizontal="center" vertical="top" wrapText="1"/>
    </xf>
    <xf numFmtId="1" fontId="6" fillId="0" borderId="4" xfId="1" applyNumberFormat="1" applyFont="1" applyBorder="1" applyAlignment="1">
      <alignment horizontal="center" vertical="top" wrapText="1"/>
    </xf>
    <xf numFmtId="0" fontId="25" fillId="0" borderId="0" xfId="1" applyFont="1" applyAlignment="1">
      <alignment horizontal="center" vertical="center"/>
    </xf>
    <xf numFmtId="1" fontId="28" fillId="0" borderId="4" xfId="1" applyNumberFormat="1" applyFont="1" applyBorder="1" applyAlignment="1">
      <alignment horizontal="center" vertical="center" wrapText="1"/>
    </xf>
    <xf numFmtId="0" fontId="6" fillId="0" borderId="4" xfId="1" applyFont="1" applyFill="1" applyBorder="1" applyAlignment="1">
      <alignment horizontal="left" vertical="top"/>
    </xf>
    <xf numFmtId="0" fontId="27" fillId="0" borderId="0" xfId="0" applyFont="1" applyAlignment="1">
      <alignment horizontal="center" vertical="center"/>
    </xf>
    <xf numFmtId="0" fontId="24" fillId="0" borderId="4" xfId="1" applyFont="1" applyBorder="1" applyAlignment="1" applyProtection="1">
      <alignment horizontal="center" vertical="top" wrapText="1"/>
      <protection locked="0"/>
    </xf>
    <xf numFmtId="0" fontId="8" fillId="0" borderId="4" xfId="1" applyFont="1" applyFill="1" applyBorder="1" applyAlignment="1">
      <alignment horizontal="left" vertical="top"/>
    </xf>
    <xf numFmtId="9" fontId="22" fillId="4" borderId="4" xfId="1" applyNumberFormat="1" applyFont="1" applyFill="1" applyBorder="1" applyAlignment="1" applyProtection="1">
      <alignment horizontal="center" vertical="center" wrapText="1"/>
      <protection hidden="1"/>
    </xf>
    <xf numFmtId="1" fontId="28" fillId="0" borderId="4" xfId="1" applyNumberFormat="1" applyFont="1" applyBorder="1" applyAlignment="1">
      <alignment horizontal="center" vertical="center" wrapText="1"/>
    </xf>
    <xf numFmtId="0" fontId="22" fillId="4" borderId="4" xfId="1" applyFont="1" applyFill="1" applyBorder="1" applyAlignment="1" applyProtection="1">
      <alignment horizontal="center" vertical="center" wrapText="1"/>
      <protection locked="0"/>
    </xf>
    <xf numFmtId="9" fontId="22" fillId="4" borderId="4" xfId="1" applyNumberFormat="1" applyFont="1" applyFill="1" applyBorder="1" applyAlignment="1" applyProtection="1">
      <alignment horizontal="center" vertical="center" wrapText="1"/>
      <protection hidden="1"/>
    </xf>
    <xf numFmtId="0" fontId="24" fillId="0" borderId="4" xfId="1" applyFont="1" applyBorder="1" applyAlignment="1" applyProtection="1">
      <alignment horizontal="center" vertical="top" wrapText="1"/>
      <protection locked="0"/>
    </xf>
    <xf numFmtId="9" fontId="24" fillId="3" borderId="4" xfId="1" applyNumberFormat="1" applyFont="1" applyFill="1" applyBorder="1" applyAlignment="1" applyProtection="1">
      <alignment horizontal="center" vertical="center" wrapText="1"/>
      <protection hidden="1"/>
    </xf>
    <xf numFmtId="0" fontId="11" fillId="0" borderId="19" xfId="1" applyFont="1" applyFill="1" applyBorder="1" applyAlignment="1" applyProtection="1">
      <alignment horizontal="left" vertical="center"/>
      <protection locked="0"/>
    </xf>
    <xf numFmtId="0" fontId="22" fillId="0" borderId="20" xfId="1" applyFont="1" applyFill="1" applyBorder="1" applyAlignment="1" applyProtection="1">
      <alignment horizontal="left" vertical="center"/>
      <protection locked="0"/>
    </xf>
    <xf numFmtId="0" fontId="22" fillId="0" borderId="21" xfId="1" applyFont="1" applyFill="1" applyBorder="1" applyAlignment="1" applyProtection="1">
      <alignment horizontal="left" vertical="center" wrapText="1"/>
      <protection locked="0"/>
    </xf>
    <xf numFmtId="0" fontId="22" fillId="0" borderId="22" xfId="1" applyFont="1" applyFill="1" applyBorder="1" applyAlignment="1" applyProtection="1">
      <alignment horizontal="left" vertical="center" wrapText="1"/>
      <protection locked="0"/>
    </xf>
    <xf numFmtId="0" fontId="22" fillId="0" borderId="23" xfId="1" applyFont="1" applyFill="1" applyBorder="1" applyAlignment="1" applyProtection="1">
      <alignment horizontal="left" vertical="center" wrapText="1"/>
      <protection locked="0"/>
    </xf>
    <xf numFmtId="0" fontId="22" fillId="0" borderId="4" xfId="1" applyFont="1" applyBorder="1" applyAlignment="1" applyProtection="1">
      <alignment horizontal="left" vertical="top" wrapText="1"/>
      <protection locked="0"/>
    </xf>
    <xf numFmtId="0" fontId="24" fillId="0" borderId="4" xfId="1" applyFont="1" applyBorder="1" applyAlignment="1" applyProtection="1">
      <alignment horizontal="center" vertical="top"/>
      <protection locked="0"/>
    </xf>
    <xf numFmtId="0" fontId="22" fillId="0" borderId="4" xfId="1" applyFont="1" applyBorder="1" applyAlignment="1" applyProtection="1">
      <alignment horizontal="left" vertical="top"/>
      <protection locked="0"/>
    </xf>
    <xf numFmtId="0" fontId="11" fillId="0" borderId="4" xfId="1" applyFont="1" applyFill="1" applyBorder="1" applyAlignment="1" applyProtection="1">
      <alignment horizontal="left" vertical="top" wrapText="1"/>
      <protection locked="0"/>
    </xf>
    <xf numFmtId="0" fontId="11" fillId="0" borderId="4" xfId="1" applyFont="1" applyFill="1" applyBorder="1" applyAlignment="1" applyProtection="1">
      <alignment horizontal="center" vertical="top" wrapText="1"/>
      <protection locked="0"/>
    </xf>
    <xf numFmtId="0" fontId="10" fillId="0" borderId="4" xfId="1" applyFont="1" applyFill="1" applyBorder="1" applyAlignment="1" applyProtection="1">
      <alignment horizontal="center" vertical="top" wrapText="1"/>
      <protection locked="0"/>
    </xf>
    <xf numFmtId="0" fontId="11" fillId="0" borderId="4" xfId="1" applyFont="1" applyFill="1" applyBorder="1" applyAlignment="1" applyProtection="1">
      <alignment horizontal="center" vertical="center" wrapText="1"/>
      <protection locked="0"/>
    </xf>
    <xf numFmtId="9" fontId="11" fillId="0" borderId="4" xfId="1" applyNumberFormat="1" applyFont="1" applyFill="1" applyBorder="1" applyAlignment="1" applyProtection="1">
      <alignment horizontal="center" vertical="center" wrapText="1"/>
      <protection hidden="1"/>
    </xf>
    <xf numFmtId="0" fontId="6" fillId="0" borderId="1" xfId="1" applyFont="1" applyFill="1" applyBorder="1" applyAlignment="1">
      <alignment horizontal="left" vertical="top" wrapText="1"/>
    </xf>
    <xf numFmtId="0" fontId="6" fillId="0" borderId="3" xfId="1" applyFont="1" applyFill="1" applyBorder="1" applyAlignment="1">
      <alignment horizontal="left" vertical="top" wrapText="1"/>
    </xf>
    <xf numFmtId="0" fontId="6" fillId="0" borderId="2" xfId="1" applyFont="1" applyFill="1" applyBorder="1" applyAlignment="1">
      <alignment horizontal="left" vertical="top"/>
    </xf>
    <xf numFmtId="0" fontId="6" fillId="0" borderId="3" xfId="1" applyFont="1" applyFill="1" applyBorder="1" applyAlignment="1">
      <alignment horizontal="left" vertical="top"/>
    </xf>
    <xf numFmtId="14" fontId="6" fillId="0" borderId="1" xfId="1" applyNumberFormat="1" applyFont="1" applyFill="1" applyBorder="1" applyAlignment="1">
      <alignment horizontal="left" vertical="top" wrapText="1"/>
    </xf>
    <xf numFmtId="0" fontId="6" fillId="0" borderId="2" xfId="1" applyFont="1" applyFill="1" applyBorder="1" applyAlignment="1">
      <alignment horizontal="left" vertical="top" wrapText="1"/>
    </xf>
    <xf numFmtId="0" fontId="8" fillId="0" borderId="1" xfId="1" applyFont="1" applyFill="1" applyBorder="1" applyAlignment="1">
      <alignment horizontal="left" vertical="top"/>
    </xf>
    <xf numFmtId="0" fontId="8" fillId="0" borderId="2" xfId="1" applyFont="1" applyFill="1" applyBorder="1" applyAlignment="1">
      <alignment horizontal="left" vertical="top"/>
    </xf>
    <xf numFmtId="0" fontId="8" fillId="0" borderId="3" xfId="1" applyFont="1" applyFill="1" applyBorder="1" applyAlignment="1">
      <alignment horizontal="left" vertical="top"/>
    </xf>
    <xf numFmtId="0" fontId="10" fillId="0" borderId="1" xfId="1" applyFont="1" applyFill="1" applyBorder="1" applyAlignment="1">
      <alignment horizontal="left" vertical="top" wrapText="1"/>
    </xf>
    <xf numFmtId="0" fontId="10" fillId="0" borderId="2" xfId="1" applyFont="1" applyFill="1" applyBorder="1" applyAlignment="1">
      <alignment horizontal="left" vertical="top" wrapText="1"/>
    </xf>
    <xf numFmtId="0" fontId="10" fillId="0" borderId="3" xfId="1" applyFont="1" applyFill="1" applyBorder="1" applyAlignment="1">
      <alignment horizontal="left" vertical="top" wrapText="1"/>
    </xf>
    <xf numFmtId="0" fontId="8" fillId="0" borderId="1" xfId="1" applyFont="1" applyFill="1" applyBorder="1" applyAlignment="1">
      <alignment horizontal="left" vertical="top" wrapText="1"/>
    </xf>
    <xf numFmtId="0" fontId="8" fillId="0" borderId="4" xfId="1" applyFont="1" applyFill="1" applyBorder="1" applyAlignment="1">
      <alignment horizontal="left" vertical="top" wrapText="1"/>
    </xf>
    <xf numFmtId="0" fontId="8" fillId="0" borderId="2" xfId="1" applyFont="1" applyFill="1" applyBorder="1" applyAlignment="1">
      <alignment horizontal="left" vertical="top" wrapText="1"/>
    </xf>
    <xf numFmtId="0" fontId="8" fillId="0" borderId="3" xfId="1" applyFont="1" applyFill="1" applyBorder="1" applyAlignment="1">
      <alignment horizontal="left" vertical="top" wrapText="1"/>
    </xf>
    <xf numFmtId="0" fontId="8" fillId="0" borderId="5" xfId="1" applyFont="1" applyFill="1" applyBorder="1" applyAlignment="1">
      <alignment horizontal="left" vertical="top" wrapText="1"/>
    </xf>
    <xf numFmtId="0" fontId="8" fillId="0" borderId="6" xfId="1" applyFont="1" applyFill="1" applyBorder="1" applyAlignment="1">
      <alignment horizontal="left" vertical="top" wrapText="1"/>
    </xf>
    <xf numFmtId="0" fontId="8" fillId="0" borderId="7" xfId="1" applyFont="1" applyFill="1" applyBorder="1" applyAlignment="1">
      <alignment horizontal="left" vertical="top" wrapText="1"/>
    </xf>
    <xf numFmtId="0" fontId="8" fillId="0" borderId="8" xfId="1" applyFont="1" applyFill="1" applyBorder="1" applyAlignment="1">
      <alignment horizontal="left" vertical="top" wrapText="1"/>
    </xf>
    <xf numFmtId="0" fontId="8" fillId="0" borderId="9" xfId="1" applyFont="1" applyFill="1" applyBorder="1" applyAlignment="1">
      <alignment horizontal="left" vertical="top" wrapText="1"/>
    </xf>
    <xf numFmtId="0" fontId="8" fillId="0" borderId="10" xfId="1" applyFont="1" applyFill="1" applyBorder="1" applyAlignment="1">
      <alignment horizontal="left" vertical="top" wrapText="1"/>
    </xf>
    <xf numFmtId="0" fontId="7" fillId="0" borderId="1" xfId="1" applyFont="1" applyFill="1" applyBorder="1" applyAlignment="1" applyProtection="1">
      <alignment horizontal="left" vertical="center" wrapText="1"/>
      <protection locked="0"/>
    </xf>
    <xf numFmtId="0" fontId="7" fillId="0" borderId="2" xfId="1" applyFont="1" applyFill="1" applyBorder="1" applyAlignment="1" applyProtection="1">
      <alignment horizontal="left" vertical="center" wrapText="1"/>
      <protection locked="0"/>
    </xf>
    <xf numFmtId="0" fontId="8" fillId="0" borderId="1" xfId="1" applyFont="1" applyFill="1" applyBorder="1" applyAlignment="1">
      <alignment vertical="top"/>
    </xf>
    <xf numFmtId="0" fontId="8" fillId="0" borderId="2" xfId="1" applyFont="1" applyFill="1" applyBorder="1" applyAlignment="1">
      <alignment vertical="top"/>
    </xf>
    <xf numFmtId="0" fontId="8" fillId="0" borderId="3" xfId="1" applyFont="1" applyFill="1" applyBorder="1" applyAlignment="1">
      <alignment vertical="top"/>
    </xf>
    <xf numFmtId="0" fontId="8" fillId="0" borderId="4" xfId="1" applyFont="1" applyFill="1" applyBorder="1" applyAlignment="1">
      <alignment horizontal="left" vertical="top"/>
    </xf>
    <xf numFmtId="0" fontId="10" fillId="0" borderId="2" xfId="1" applyFont="1" applyFill="1" applyBorder="1" applyAlignment="1">
      <alignment horizontal="left" vertical="top"/>
    </xf>
    <xf numFmtId="0" fontId="10" fillId="0" borderId="3" xfId="1" applyFont="1" applyFill="1" applyBorder="1" applyAlignment="1">
      <alignment horizontal="left" vertical="top"/>
    </xf>
    <xf numFmtId="14" fontId="10" fillId="0" borderId="1" xfId="1" applyNumberFormat="1" applyFont="1" applyFill="1" applyBorder="1" applyAlignment="1">
      <alignment horizontal="left" vertical="top"/>
    </xf>
    <xf numFmtId="14" fontId="10" fillId="0" borderId="2" xfId="1" applyNumberFormat="1" applyFont="1" applyFill="1" applyBorder="1" applyAlignment="1">
      <alignment horizontal="left" vertical="top"/>
    </xf>
    <xf numFmtId="14" fontId="10" fillId="0" borderId="3" xfId="1" applyNumberFormat="1" applyFont="1" applyFill="1" applyBorder="1" applyAlignment="1">
      <alignment horizontal="left" vertical="top"/>
    </xf>
    <xf numFmtId="0" fontId="8" fillId="0" borderId="1" xfId="1" applyFont="1" applyFill="1" applyBorder="1" applyAlignment="1">
      <alignment horizontal="center" vertical="top" wrapText="1"/>
    </xf>
    <xf numFmtId="0" fontId="8" fillId="0" borderId="3" xfId="1" applyFont="1" applyFill="1" applyBorder="1" applyAlignment="1">
      <alignment horizontal="center" vertical="top" wrapText="1"/>
    </xf>
    <xf numFmtId="0" fontId="6" fillId="0" borderId="1" xfId="1" applyFont="1" applyFill="1" applyBorder="1" applyAlignment="1">
      <alignment horizontal="center" vertical="top" wrapText="1"/>
    </xf>
    <xf numFmtId="0" fontId="6" fillId="0" borderId="2" xfId="1" applyFont="1" applyFill="1" applyBorder="1" applyAlignment="1">
      <alignment horizontal="center" vertical="top" wrapText="1"/>
    </xf>
    <xf numFmtId="0" fontId="6" fillId="0" borderId="3" xfId="1" applyFont="1" applyFill="1" applyBorder="1" applyAlignment="1">
      <alignment horizontal="center" vertical="top" wrapText="1"/>
    </xf>
    <xf numFmtId="0" fontId="6" fillId="0" borderId="1" xfId="1" applyFont="1" applyFill="1" applyBorder="1" applyAlignment="1">
      <alignment horizontal="center" vertical="top"/>
    </xf>
    <xf numFmtId="0" fontId="6" fillId="0" borderId="2" xfId="1" applyFont="1" applyFill="1" applyBorder="1" applyAlignment="1">
      <alignment horizontal="center" vertical="top"/>
    </xf>
    <xf numFmtId="0" fontId="6" fillId="0" borderId="3" xfId="1" applyFont="1" applyFill="1" applyBorder="1" applyAlignment="1">
      <alignment horizontal="center" vertical="top"/>
    </xf>
    <xf numFmtId="14" fontId="8" fillId="0" borderId="1" xfId="1" applyNumberFormat="1" applyFont="1" applyFill="1" applyBorder="1" applyAlignment="1">
      <alignment horizontal="left" vertical="top"/>
    </xf>
    <xf numFmtId="14" fontId="8" fillId="0" borderId="2" xfId="1" applyNumberFormat="1" applyFont="1" applyFill="1" applyBorder="1" applyAlignment="1">
      <alignment horizontal="left" vertical="top"/>
    </xf>
    <xf numFmtId="14" fontId="8" fillId="0" borderId="3" xfId="1" applyNumberFormat="1" applyFont="1" applyFill="1" applyBorder="1" applyAlignment="1">
      <alignment horizontal="left" vertical="top"/>
    </xf>
    <xf numFmtId="0" fontId="6" fillId="0" borderId="1" xfId="1" applyFont="1" applyFill="1" applyBorder="1" applyAlignment="1">
      <alignment horizontal="left" vertical="top"/>
    </xf>
    <xf numFmtId="0" fontId="8" fillId="0" borderId="5" xfId="1" applyFont="1" applyFill="1" applyBorder="1" applyAlignment="1">
      <alignment horizontal="left" vertical="top"/>
    </xf>
    <xf numFmtId="0" fontId="8" fillId="0" borderId="6" xfId="1" applyFont="1" applyFill="1" applyBorder="1" applyAlignment="1">
      <alignment horizontal="left" vertical="top"/>
    </xf>
    <xf numFmtId="0" fontId="8" fillId="0" borderId="7" xfId="1" applyFont="1" applyFill="1" applyBorder="1" applyAlignment="1">
      <alignment horizontal="left" vertical="top"/>
    </xf>
    <xf numFmtId="0" fontId="8" fillId="0" borderId="8" xfId="1" applyFont="1" applyFill="1" applyBorder="1" applyAlignment="1">
      <alignment horizontal="left" vertical="top"/>
    </xf>
    <xf numFmtId="0" fontId="8" fillId="0" borderId="9" xfId="1" applyFont="1" applyFill="1" applyBorder="1" applyAlignment="1">
      <alignment horizontal="left" vertical="top"/>
    </xf>
    <xf numFmtId="0" fontId="8" fillId="0" borderId="10" xfId="1" applyFont="1" applyFill="1" applyBorder="1" applyAlignment="1">
      <alignment horizontal="left" vertical="top"/>
    </xf>
    <xf numFmtId="0" fontId="7" fillId="0" borderId="1" xfId="1" applyFont="1" applyFill="1" applyBorder="1" applyAlignment="1">
      <alignment horizontal="center" vertical="top"/>
    </xf>
    <xf numFmtId="0" fontId="7" fillId="0" borderId="3" xfId="1" applyFont="1" applyFill="1" applyBorder="1" applyAlignment="1">
      <alignment horizontal="center" vertical="top"/>
    </xf>
    <xf numFmtId="0" fontId="8" fillId="0" borderId="1" xfId="1" applyFont="1" applyFill="1" applyBorder="1" applyAlignment="1">
      <alignment horizontal="center" vertical="top"/>
    </xf>
    <xf numFmtId="0" fontId="8" fillId="0" borderId="3" xfId="1" applyFont="1" applyFill="1" applyBorder="1" applyAlignment="1">
      <alignment horizontal="center" vertical="top"/>
    </xf>
    <xf numFmtId="0" fontId="6" fillId="0" borderId="4" xfId="1" applyFont="1" applyFill="1" applyBorder="1" applyAlignment="1">
      <alignment horizontal="left" vertical="top"/>
    </xf>
    <xf numFmtId="0" fontId="10" fillId="0" borderId="4" xfId="1" applyFont="1" applyFill="1" applyBorder="1" applyAlignment="1" applyProtection="1">
      <alignment horizontal="left" vertical="center" wrapText="1"/>
      <protection locked="0"/>
    </xf>
    <xf numFmtId="0" fontId="17" fillId="0" borderId="1" xfId="6" applyFill="1" applyBorder="1" applyAlignment="1">
      <alignment horizontal="left" vertical="top"/>
    </xf>
    <xf numFmtId="165" fontId="8" fillId="0" borderId="4" xfId="1" applyNumberFormat="1" applyFont="1" applyFill="1" applyBorder="1" applyAlignment="1">
      <alignment horizontal="left" vertical="top"/>
    </xf>
    <xf numFmtId="166" fontId="8" fillId="0" borderId="4" xfId="1" applyNumberFormat="1" applyFont="1" applyFill="1" applyBorder="1" applyAlignment="1">
      <alignment horizontal="left" vertical="top"/>
    </xf>
    <xf numFmtId="0" fontId="10" fillId="0" borderId="4" xfId="1" applyFont="1" applyFill="1" applyBorder="1" applyAlignment="1">
      <alignment horizontal="left" vertical="top"/>
    </xf>
    <xf numFmtId="166" fontId="8" fillId="0" borderId="4" xfId="1" applyNumberFormat="1" applyFont="1" applyFill="1" applyBorder="1" applyAlignment="1">
      <alignment horizontal="left" vertical="top" wrapText="1"/>
    </xf>
    <xf numFmtId="0" fontId="10" fillId="0" borderId="1" xfId="1" applyFont="1" applyFill="1" applyBorder="1" applyAlignment="1">
      <alignment horizontal="left" vertical="top"/>
    </xf>
    <xf numFmtId="0" fontId="10" fillId="0" borderId="4" xfId="1" applyFont="1" applyFill="1" applyBorder="1" applyAlignment="1">
      <alignment horizontal="left" vertical="top" wrapText="1"/>
    </xf>
    <xf numFmtId="0" fontId="8" fillId="0" borderId="4" xfId="1" applyFont="1" applyFill="1" applyBorder="1" applyAlignment="1">
      <alignment horizontal="center" vertical="top"/>
    </xf>
    <xf numFmtId="0" fontId="7" fillId="0" borderId="3" xfId="1" applyFont="1" applyFill="1" applyBorder="1" applyAlignment="1">
      <alignment horizontal="left"/>
    </xf>
    <xf numFmtId="0" fontId="6" fillId="0" borderId="1" xfId="1" applyFont="1" applyFill="1" applyBorder="1" applyAlignment="1">
      <alignment vertical="top"/>
    </xf>
    <xf numFmtId="0" fontId="6" fillId="0" borderId="2" xfId="1" applyFont="1" applyFill="1" applyBorder="1" applyAlignment="1">
      <alignment vertical="top"/>
    </xf>
    <xf numFmtId="0" fontId="6" fillId="0" borderId="3" xfId="1" applyFont="1" applyFill="1" applyBorder="1" applyAlignment="1">
      <alignment vertical="top"/>
    </xf>
    <xf numFmtId="4" fontId="8" fillId="0" borderId="1" xfId="1" applyNumberFormat="1" applyFont="1" applyFill="1" applyBorder="1" applyAlignment="1">
      <alignment horizontal="center" vertical="top"/>
    </xf>
    <xf numFmtId="0" fontId="10" fillId="0" borderId="1" xfId="1" applyFont="1" applyFill="1" applyBorder="1" applyAlignment="1">
      <alignment horizontal="center" vertical="top" wrapText="1"/>
    </xf>
    <xf numFmtId="0" fontId="10" fillId="0" borderId="3" xfId="1" applyFont="1" applyFill="1" applyBorder="1" applyAlignment="1">
      <alignment horizontal="center" vertical="top" wrapText="1"/>
    </xf>
    <xf numFmtId="0" fontId="6" fillId="0" borderId="5" xfId="1" applyFont="1" applyFill="1" applyBorder="1" applyAlignment="1">
      <alignment horizontal="center" vertical="top" wrapText="1"/>
    </xf>
    <xf numFmtId="0" fontId="6" fillId="0" borderId="6" xfId="1" applyFont="1" applyFill="1" applyBorder="1" applyAlignment="1">
      <alignment horizontal="center" vertical="top" wrapText="1"/>
    </xf>
    <xf numFmtId="0" fontId="6" fillId="0" borderId="7" xfId="1" applyFont="1" applyFill="1" applyBorder="1" applyAlignment="1">
      <alignment horizontal="center" vertical="top" wrapText="1"/>
    </xf>
    <xf numFmtId="0" fontId="6" fillId="0" borderId="11" xfId="1" applyFont="1" applyFill="1" applyBorder="1" applyAlignment="1">
      <alignment horizontal="center" vertical="top" wrapText="1"/>
    </xf>
    <xf numFmtId="0" fontId="6" fillId="0" borderId="0" xfId="1" applyFont="1" applyFill="1" applyBorder="1" applyAlignment="1">
      <alignment horizontal="center" vertical="top" wrapText="1"/>
    </xf>
    <xf numFmtId="0" fontId="6" fillId="0" borderId="12" xfId="1" applyFont="1" applyFill="1" applyBorder="1" applyAlignment="1">
      <alignment horizontal="center" vertical="top" wrapText="1"/>
    </xf>
    <xf numFmtId="0" fontId="6" fillId="0" borderId="8" xfId="1" applyFont="1" applyFill="1" applyBorder="1" applyAlignment="1">
      <alignment horizontal="center" vertical="top" wrapText="1"/>
    </xf>
    <xf numFmtId="0" fontId="6" fillId="0" borderId="9" xfId="1" applyFont="1" applyFill="1" applyBorder="1" applyAlignment="1">
      <alignment horizontal="center" vertical="top" wrapText="1"/>
    </xf>
    <xf numFmtId="0" fontId="6" fillId="0" borderId="10" xfId="1" applyFont="1" applyFill="1" applyBorder="1" applyAlignment="1">
      <alignment horizontal="center" vertical="top" wrapText="1"/>
    </xf>
    <xf numFmtId="0" fontId="11" fillId="0" borderId="4" xfId="2" applyFont="1" applyFill="1" applyBorder="1" applyAlignment="1">
      <alignment horizontal="left" vertical="top" wrapText="1"/>
    </xf>
    <xf numFmtId="0" fontId="11" fillId="0" borderId="4" xfId="1" applyFont="1" applyFill="1" applyBorder="1" applyAlignment="1">
      <alignment horizontal="left" vertical="top"/>
    </xf>
    <xf numFmtId="0" fontId="11" fillId="0" borderId="4" xfId="1" applyFont="1" applyFill="1" applyBorder="1" applyAlignment="1">
      <alignment horizontal="left" vertical="top" wrapText="1"/>
    </xf>
    <xf numFmtId="0" fontId="11" fillId="0" borderId="4" xfId="1" applyFont="1" applyFill="1" applyBorder="1" applyAlignment="1" applyProtection="1">
      <alignment horizontal="left" vertical="center"/>
      <protection locked="0"/>
    </xf>
    <xf numFmtId="0" fontId="22" fillId="0" borderId="4" xfId="1" applyFont="1" applyFill="1" applyBorder="1" applyAlignment="1" applyProtection="1">
      <alignment horizontal="left" vertical="center"/>
      <protection locked="0"/>
    </xf>
    <xf numFmtId="0" fontId="22" fillId="0" borderId="4" xfId="1" applyFont="1" applyFill="1" applyBorder="1" applyAlignment="1" applyProtection="1">
      <alignment horizontal="left" vertical="center" wrapText="1"/>
      <protection locked="0"/>
    </xf>
    <xf numFmtId="0" fontId="24" fillId="0" borderId="16" xfId="1" applyFont="1" applyBorder="1" applyAlignment="1" applyProtection="1">
      <alignment horizontal="center" vertical="top" wrapText="1"/>
      <protection locked="0"/>
    </xf>
    <xf numFmtId="0" fontId="24" fillId="0" borderId="1" xfId="1" applyFont="1" applyBorder="1" applyAlignment="1" applyProtection="1">
      <alignment horizontal="center" vertical="top" wrapText="1"/>
      <protection locked="0"/>
    </xf>
    <xf numFmtId="0" fontId="24" fillId="0" borderId="3" xfId="1" applyFont="1" applyBorder="1" applyAlignment="1" applyProtection="1">
      <alignment horizontal="center" vertical="top" wrapText="1"/>
      <protection locked="0"/>
    </xf>
    <xf numFmtId="0" fontId="24" fillId="0" borderId="2" xfId="1" applyFont="1" applyBorder="1" applyAlignment="1" applyProtection="1">
      <alignment horizontal="center" vertical="top" wrapText="1"/>
      <protection locked="0"/>
    </xf>
    <xf numFmtId="0" fontId="24" fillId="0" borderId="29" xfId="1" applyFont="1" applyBorder="1" applyAlignment="1" applyProtection="1">
      <alignment horizontal="center" vertical="top" wrapText="1"/>
      <protection locked="0"/>
    </xf>
    <xf numFmtId="14" fontId="8" fillId="0" borderId="1" xfId="1" applyNumberFormat="1" applyFont="1" applyFill="1" applyBorder="1" applyAlignment="1">
      <alignment horizontal="left" vertical="top" wrapText="1"/>
    </xf>
    <xf numFmtId="0" fontId="22" fillId="0" borderId="24" xfId="1" applyFont="1" applyBorder="1" applyAlignment="1" applyProtection="1">
      <alignment horizontal="left" vertical="top" wrapText="1"/>
      <protection locked="0"/>
    </xf>
    <xf numFmtId="0" fontId="22" fillId="0" borderId="25" xfId="1" applyFont="1" applyBorder="1" applyAlignment="1" applyProtection="1">
      <alignment horizontal="left" vertical="top" wrapText="1"/>
      <protection locked="0"/>
    </xf>
    <xf numFmtId="0" fontId="22" fillId="0" borderId="26" xfId="1" applyFont="1" applyBorder="1" applyAlignment="1" applyProtection="1">
      <alignment horizontal="left" vertical="top" wrapText="1"/>
      <protection locked="0"/>
    </xf>
    <xf numFmtId="0" fontId="22" fillId="0" borderId="14" xfId="1" applyFont="1" applyBorder="1" applyAlignment="1" applyProtection="1">
      <alignment horizontal="left" vertical="top" wrapText="1"/>
      <protection locked="0"/>
    </xf>
    <xf numFmtId="0" fontId="22" fillId="0" borderId="15" xfId="1" applyFont="1" applyBorder="1" applyAlignment="1" applyProtection="1">
      <alignment horizontal="left" vertical="top" wrapText="1"/>
      <protection locked="0"/>
    </xf>
    <xf numFmtId="0" fontId="24" fillId="0" borderId="1" xfId="1" applyFont="1" applyBorder="1" applyAlignment="1" applyProtection="1">
      <alignment horizontal="center" vertical="top"/>
      <protection locked="0"/>
    </xf>
    <xf numFmtId="0" fontId="24" fillId="0" borderId="29" xfId="1" applyFont="1" applyBorder="1" applyAlignment="1" applyProtection="1">
      <alignment horizontal="center" vertical="top"/>
      <protection locked="0"/>
    </xf>
    <xf numFmtId="0" fontId="22" fillId="0" borderId="16" xfId="1" applyFont="1" applyBorder="1" applyAlignment="1" applyProtection="1">
      <alignment horizontal="left" vertical="top"/>
      <protection locked="0"/>
    </xf>
    <xf numFmtId="0" fontId="22" fillId="0" borderId="1" xfId="1" applyFont="1" applyBorder="1" applyAlignment="1" applyProtection="1">
      <alignment horizontal="left" vertical="top" wrapText="1"/>
      <protection locked="0"/>
    </xf>
    <xf numFmtId="0" fontId="22" fillId="0" borderId="2" xfId="1" applyFont="1" applyBorder="1" applyAlignment="1" applyProtection="1">
      <alignment horizontal="left" vertical="top" wrapText="1"/>
      <protection locked="0"/>
    </xf>
    <xf numFmtId="0" fontId="22" fillId="0" borderId="29" xfId="1" applyFont="1" applyBorder="1" applyAlignment="1" applyProtection="1">
      <alignment horizontal="left" vertical="top" wrapText="1"/>
      <protection locked="0"/>
    </xf>
    <xf numFmtId="1" fontId="28" fillId="0" borderId="1" xfId="1" applyNumberFormat="1" applyFont="1" applyBorder="1" applyAlignment="1">
      <alignment horizontal="center" vertical="center" wrapText="1"/>
    </xf>
    <xf numFmtId="1" fontId="28" fillId="0" borderId="3" xfId="1" applyNumberFormat="1" applyFont="1" applyBorder="1" applyAlignment="1">
      <alignment horizontal="center" vertical="center" wrapText="1"/>
    </xf>
    <xf numFmtId="1" fontId="28" fillId="0" borderId="1" xfId="0" applyNumberFormat="1" applyFont="1" applyBorder="1" applyAlignment="1">
      <alignment horizontal="center" vertical="center" wrapText="1"/>
    </xf>
    <xf numFmtId="1" fontId="28" fillId="0" borderId="3" xfId="0" applyNumberFormat="1" applyFont="1" applyBorder="1" applyAlignment="1">
      <alignment horizontal="center" vertical="center" wrapText="1"/>
    </xf>
    <xf numFmtId="1" fontId="25" fillId="0" borderId="1" xfId="0" applyNumberFormat="1" applyFont="1" applyBorder="1" applyAlignment="1">
      <alignment horizontal="center" vertical="top" wrapText="1"/>
    </xf>
    <xf numFmtId="1" fontId="25" fillId="0" borderId="2" xfId="0" applyNumberFormat="1" applyFont="1" applyBorder="1" applyAlignment="1">
      <alignment horizontal="center" vertical="top" wrapText="1"/>
    </xf>
    <xf numFmtId="1" fontId="25" fillId="0" borderId="3" xfId="0" applyNumberFormat="1" applyFont="1" applyBorder="1" applyAlignment="1">
      <alignment horizontal="center" vertical="top" wrapText="1"/>
    </xf>
    <xf numFmtId="1" fontId="28" fillId="0" borderId="1" xfId="0" applyNumberFormat="1" applyFont="1" applyBorder="1" applyAlignment="1">
      <alignment horizontal="center" vertical="top" wrapText="1"/>
    </xf>
    <xf numFmtId="1" fontId="28" fillId="0" borderId="2" xfId="0" applyNumberFormat="1" applyFont="1" applyBorder="1" applyAlignment="1">
      <alignment horizontal="center" vertical="top" wrapText="1"/>
    </xf>
    <xf numFmtId="1" fontId="28" fillId="0" borderId="3" xfId="0" applyNumberFormat="1" applyFont="1" applyBorder="1" applyAlignment="1">
      <alignment horizontal="center" vertical="top" wrapText="1"/>
    </xf>
    <xf numFmtId="1" fontId="26" fillId="0" borderId="4" xfId="0" applyNumberFormat="1" applyFont="1" applyBorder="1" applyAlignment="1">
      <alignment horizontal="center" vertical="center" wrapText="1"/>
    </xf>
    <xf numFmtId="1" fontId="26" fillId="0" borderId="1" xfId="0" applyNumberFormat="1" applyFont="1" applyBorder="1" applyAlignment="1">
      <alignment horizontal="center" vertical="top" wrapText="1"/>
    </xf>
    <xf numFmtId="1" fontId="26" fillId="0" borderId="3" xfId="0" applyNumberFormat="1" applyFont="1" applyBorder="1" applyAlignment="1">
      <alignment horizontal="center" vertical="top" wrapText="1"/>
    </xf>
    <xf numFmtId="0" fontId="27" fillId="0" borderId="1" xfId="0" applyFont="1" applyBorder="1" applyAlignment="1">
      <alignment horizontal="center" vertical="top" wrapText="1"/>
    </xf>
    <xf numFmtId="0" fontId="27" fillId="0" borderId="2" xfId="0" applyFont="1" applyBorder="1" applyAlignment="1">
      <alignment horizontal="center" vertical="top" wrapText="1"/>
    </xf>
    <xf numFmtId="0" fontId="27" fillId="0" borderId="3" xfId="0" applyFont="1" applyBorder="1" applyAlignment="1">
      <alignment horizontal="center" vertical="top" wrapText="1"/>
    </xf>
    <xf numFmtId="1" fontId="26" fillId="0" borderId="2" xfId="0" applyNumberFormat="1" applyFont="1" applyBorder="1" applyAlignment="1">
      <alignment horizontal="center" vertical="top" wrapText="1"/>
    </xf>
    <xf numFmtId="1" fontId="26" fillId="0" borderId="1" xfId="1" applyNumberFormat="1" applyFont="1" applyBorder="1" applyAlignment="1">
      <alignment horizontal="center" vertical="center" wrapText="1"/>
    </xf>
    <xf numFmtId="1" fontId="26" fillId="0" borderId="2" xfId="1" applyNumberFormat="1" applyFont="1" applyBorder="1" applyAlignment="1">
      <alignment horizontal="center" vertical="center" wrapText="1"/>
    </xf>
    <xf numFmtId="1" fontId="26" fillId="0" borderId="3" xfId="1" applyNumberFormat="1" applyFont="1" applyBorder="1" applyAlignment="1">
      <alignment horizontal="center" vertical="center" wrapText="1"/>
    </xf>
    <xf numFmtId="1" fontId="26" fillId="0" borderId="1" xfId="0" applyNumberFormat="1" applyFont="1" applyBorder="1" applyAlignment="1">
      <alignment horizontal="center" vertical="center" wrapText="1"/>
    </xf>
    <xf numFmtId="1" fontId="26" fillId="0" borderId="3" xfId="0" applyNumberFormat="1" applyFont="1" applyBorder="1" applyAlignment="1">
      <alignment horizontal="center" vertical="center" wrapText="1"/>
    </xf>
    <xf numFmtId="1" fontId="27" fillId="0" borderId="1" xfId="0" applyNumberFormat="1" applyFont="1" applyBorder="1" applyAlignment="1">
      <alignment horizontal="center" vertical="top" wrapText="1"/>
    </xf>
    <xf numFmtId="1" fontId="27" fillId="0" borderId="2" xfId="0" applyNumberFormat="1" applyFont="1" applyBorder="1" applyAlignment="1">
      <alignment horizontal="center" vertical="top" wrapText="1"/>
    </xf>
    <xf numFmtId="1" fontId="27" fillId="0" borderId="3" xfId="0" applyNumberFormat="1" applyFont="1" applyBorder="1" applyAlignment="1">
      <alignment horizontal="center" vertical="top" wrapText="1"/>
    </xf>
    <xf numFmtId="1" fontId="26" fillId="0" borderId="1" xfId="1" applyNumberFormat="1" applyFont="1" applyBorder="1" applyAlignment="1">
      <alignment horizontal="center" vertical="top" wrapText="1"/>
    </xf>
    <xf numFmtId="1" fontId="26" fillId="0" borderId="2" xfId="1" applyNumberFormat="1" applyFont="1" applyBorder="1" applyAlignment="1">
      <alignment horizontal="center" vertical="top" wrapText="1"/>
    </xf>
    <xf numFmtId="1" fontId="26" fillId="0" borderId="3" xfId="1" applyNumberFormat="1" applyFont="1" applyBorder="1" applyAlignment="1">
      <alignment horizontal="center" vertical="top" wrapText="1"/>
    </xf>
    <xf numFmtId="0" fontId="26" fillId="0" borderId="1" xfId="1" applyFont="1" applyBorder="1" applyAlignment="1">
      <alignment horizontal="center" vertical="top"/>
    </xf>
    <xf numFmtId="0" fontId="26" fillId="0" borderId="2" xfId="1" applyFont="1" applyBorder="1" applyAlignment="1">
      <alignment horizontal="center" vertical="top"/>
    </xf>
    <xf numFmtId="0" fontId="26" fillId="0" borderId="3" xfId="1" applyFont="1" applyBorder="1" applyAlignment="1">
      <alignment horizontal="center" vertical="top"/>
    </xf>
    <xf numFmtId="1" fontId="28" fillId="0" borderId="4" xfId="1" applyNumberFormat="1" applyFont="1" applyBorder="1" applyAlignment="1">
      <alignment horizontal="center" vertical="center" wrapText="1"/>
    </xf>
    <xf numFmtId="1" fontId="26" fillId="0" borderId="4" xfId="1" applyNumberFormat="1" applyFont="1" applyBorder="1" applyAlignment="1">
      <alignment horizontal="center" vertical="center" wrapText="1"/>
    </xf>
    <xf numFmtId="1" fontId="26" fillId="0" borderId="5" xfId="1" applyNumberFormat="1" applyFont="1" applyBorder="1" applyAlignment="1">
      <alignment horizontal="center" vertical="center" wrapText="1"/>
    </xf>
    <xf numFmtId="1" fontId="26" fillId="0" borderId="6" xfId="1" applyNumberFormat="1" applyFont="1" applyBorder="1" applyAlignment="1">
      <alignment horizontal="center" vertical="center" wrapText="1"/>
    </xf>
    <xf numFmtId="1" fontId="26" fillId="0" borderId="7" xfId="1" applyNumberFormat="1" applyFont="1" applyBorder="1" applyAlignment="1">
      <alignment horizontal="center" vertical="center" wrapText="1"/>
    </xf>
    <xf numFmtId="1" fontId="26" fillId="0" borderId="11" xfId="1" applyNumberFormat="1" applyFont="1" applyBorder="1" applyAlignment="1">
      <alignment horizontal="center" vertical="center" wrapText="1"/>
    </xf>
    <xf numFmtId="1" fontId="26" fillId="0" borderId="0" xfId="1" applyNumberFormat="1" applyFont="1" applyBorder="1" applyAlignment="1">
      <alignment horizontal="center" vertical="center" wrapText="1"/>
    </xf>
    <xf numFmtId="1" fontId="26" fillId="0" borderId="12" xfId="1" applyNumberFormat="1" applyFont="1" applyBorder="1" applyAlignment="1">
      <alignment horizontal="center" vertical="center" wrapText="1"/>
    </xf>
    <xf numFmtId="0" fontId="16" fillId="0" borderId="4" xfId="5" applyFont="1" applyBorder="1" applyAlignment="1">
      <alignment horizontal="left"/>
    </xf>
    <xf numFmtId="0" fontId="0" fillId="2" borderId="4" xfId="0" applyFill="1" applyBorder="1" applyAlignment="1">
      <alignment horizontal="center" wrapText="1"/>
    </xf>
    <xf numFmtId="0" fontId="16" fillId="0" borderId="4" xfId="0" applyFont="1" applyBorder="1" applyAlignment="1">
      <alignment horizontal="center"/>
    </xf>
  </cellXfs>
  <cellStyles count="8">
    <cellStyle name="Comma 2" xfId="7"/>
    <cellStyle name="Excel Built-in Normal" xfId="2"/>
    <cellStyle name="Excel Built-in Normal 2" xfId="4"/>
    <cellStyle name="Hyperlink" xfId="6" builtinId="8"/>
    <cellStyle name="Normal" xfId="0" builtinId="0"/>
    <cellStyle name="Normal 2" xfId="3"/>
    <cellStyle name="Normal 3" xfId="1"/>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image" Target="../media/image6.png"/><Relationship Id="rId13" Type="http://schemas.openxmlformats.org/officeDocument/2006/relationships/image" Target="../media/image11.png"/><Relationship Id="rId3" Type="http://schemas.openxmlformats.org/officeDocument/2006/relationships/image" Target="../media/image2.png"/><Relationship Id="rId7" Type="http://schemas.openxmlformats.org/officeDocument/2006/relationships/image" Target="../media/image5.png"/><Relationship Id="rId12" Type="http://schemas.openxmlformats.org/officeDocument/2006/relationships/image" Target="../media/image10.png"/><Relationship Id="rId17" Type="http://schemas.openxmlformats.org/officeDocument/2006/relationships/image" Target="../media/image15.png"/><Relationship Id="rId2" Type="http://schemas.microsoft.com/office/2007/relationships/hdphoto" Target="../media/hdphoto1.wdp"/><Relationship Id="rId16" Type="http://schemas.openxmlformats.org/officeDocument/2006/relationships/image" Target="../media/image14.png"/><Relationship Id="rId1" Type="http://schemas.openxmlformats.org/officeDocument/2006/relationships/image" Target="../media/image1.png"/><Relationship Id="rId6" Type="http://schemas.openxmlformats.org/officeDocument/2006/relationships/image" Target="../media/image4.png"/><Relationship Id="rId11" Type="http://schemas.openxmlformats.org/officeDocument/2006/relationships/image" Target="../media/image9.png"/><Relationship Id="rId5" Type="http://schemas.openxmlformats.org/officeDocument/2006/relationships/image" Target="../media/image3.png"/><Relationship Id="rId15" Type="http://schemas.openxmlformats.org/officeDocument/2006/relationships/image" Target="../media/image13.png"/><Relationship Id="rId10" Type="http://schemas.openxmlformats.org/officeDocument/2006/relationships/image" Target="../media/image8.png"/><Relationship Id="rId4" Type="http://schemas.microsoft.com/office/2007/relationships/hdphoto" Target="../media/hdphoto2.wdp"/><Relationship Id="rId9" Type="http://schemas.openxmlformats.org/officeDocument/2006/relationships/image" Target="../media/image7.png"/><Relationship Id="rId14" Type="http://schemas.openxmlformats.org/officeDocument/2006/relationships/image" Target="../media/image12.png"/></Relationships>
</file>

<file path=xl/drawings/_rels/drawing2.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6" Type="http://schemas.openxmlformats.org/officeDocument/2006/relationships/image" Target="../media/image23.png"/><Relationship Id="rId5" Type="http://schemas.openxmlformats.org/officeDocument/2006/relationships/image" Target="../media/image22.png"/><Relationship Id="rId4" Type="http://schemas.openxmlformats.org/officeDocument/2006/relationships/image" Target="../media/image2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4.jpg"/></Relationships>
</file>

<file path=xl/drawings/_rels/drawing4.xml.rels><?xml version="1.0" encoding="UTF-8" standalone="yes"?>
<Relationships xmlns="http://schemas.openxmlformats.org/package/2006/relationships"><Relationship Id="rId2" Type="http://schemas.openxmlformats.org/officeDocument/2006/relationships/image" Target="../media/image26.jpeg"/><Relationship Id="rId1" Type="http://schemas.openxmlformats.org/officeDocument/2006/relationships/image" Target="../media/image25.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0</xdr:col>
      <xdr:colOff>448599</xdr:colOff>
      <xdr:row>214</xdr:row>
      <xdr:rowOff>179294</xdr:rowOff>
    </xdr:from>
    <xdr:to>
      <xdr:col>8</xdr:col>
      <xdr:colOff>416554</xdr:colOff>
      <xdr:row>233</xdr:row>
      <xdr:rowOff>159794</xdr:rowOff>
    </xdr:to>
    <xdr:pic>
      <xdr:nvPicPr>
        <xdr:cNvPr id="14" name="Picture 13">
          <a:extLst>
            <a:ext uri="{FF2B5EF4-FFF2-40B4-BE49-F238E27FC236}">
              <a16:creationId xmlns:a16="http://schemas.microsoft.com/office/drawing/2014/main" id="{00000000-0008-0000-0000-00001F000000}"/>
            </a:ext>
          </a:extLst>
        </xdr:cNvPr>
        <xdr:cNvPicPr>
          <a:picLocks noChangeAspect="1"/>
        </xdr:cNvPicPr>
      </xdr:nvPicPr>
      <xdr:blipFill rotWithShape="1">
        <a:blip xmlns:r="http://schemas.openxmlformats.org/officeDocument/2006/relationships" r:embed="rId1" cstate="screen">
          <a:extLst>
            <a:ext uri="{BEBA8EAE-BF5A-486C-A8C5-ECC9F3942E4B}">
              <a14:imgProps xmlns:a14="http://schemas.microsoft.com/office/drawing/2010/main">
                <a14:imgLayer r:embed="rId2">
                  <a14:imgEffect>
                    <a14:brightnessContrast bright="40000" contrast="-40000"/>
                  </a14:imgEffect>
                </a14:imgLayer>
              </a14:imgProps>
            </a:ext>
            <a:ext uri="{28A0092B-C50C-407E-A947-70E740481C1C}">
              <a14:useLocalDpi xmlns:a14="http://schemas.microsoft.com/office/drawing/2010/main"/>
            </a:ext>
          </a:extLst>
        </a:blip>
        <a:srcRect/>
        <a:stretch/>
      </xdr:blipFill>
      <xdr:spPr>
        <a:xfrm>
          <a:off x="448599" y="33763323"/>
          <a:ext cx="5341176" cy="3600000"/>
        </a:xfrm>
        <a:prstGeom prst="rect">
          <a:avLst/>
        </a:prstGeom>
        <a:ln>
          <a:solidFill>
            <a:schemeClr val="tx1"/>
          </a:solidFill>
        </a:ln>
      </xdr:spPr>
    </xdr:pic>
    <xdr:clientData/>
  </xdr:twoCellAnchor>
  <xdr:twoCellAnchor editAs="oneCell">
    <xdr:from>
      <xdr:col>0</xdr:col>
      <xdr:colOff>448233</xdr:colOff>
      <xdr:row>235</xdr:row>
      <xdr:rowOff>64998</xdr:rowOff>
    </xdr:from>
    <xdr:to>
      <xdr:col>8</xdr:col>
      <xdr:colOff>378368</xdr:colOff>
      <xdr:row>254</xdr:row>
      <xdr:rowOff>45497</xdr:rowOff>
    </xdr:to>
    <xdr:pic>
      <xdr:nvPicPr>
        <xdr:cNvPr id="15" name="Picture 14">
          <a:extLst>
            <a:ext uri="{FF2B5EF4-FFF2-40B4-BE49-F238E27FC236}">
              <a16:creationId xmlns:a16="http://schemas.microsoft.com/office/drawing/2014/main" id="{00000000-0008-0000-0000-000020000000}"/>
            </a:ext>
          </a:extLst>
        </xdr:cNvPr>
        <xdr:cNvPicPr>
          <a:picLocks noChangeAspect="1"/>
        </xdr:cNvPicPr>
      </xdr:nvPicPr>
      <xdr:blipFill rotWithShape="1">
        <a:blip xmlns:r="http://schemas.openxmlformats.org/officeDocument/2006/relationships" r:embed="rId3" cstate="screen">
          <a:extLst>
            <a:ext uri="{BEBA8EAE-BF5A-486C-A8C5-ECC9F3942E4B}">
              <a14:imgProps xmlns:a14="http://schemas.microsoft.com/office/drawing/2010/main">
                <a14:imgLayer r:embed="rId4">
                  <a14:imgEffect>
                    <a14:brightnessContrast bright="40000" contrast="-40000"/>
                  </a14:imgEffect>
                </a14:imgLayer>
              </a14:imgProps>
            </a:ext>
            <a:ext uri="{28A0092B-C50C-407E-A947-70E740481C1C}">
              <a14:useLocalDpi xmlns:a14="http://schemas.microsoft.com/office/drawing/2010/main"/>
            </a:ext>
          </a:extLst>
        </a:blip>
        <a:srcRect/>
        <a:stretch/>
      </xdr:blipFill>
      <xdr:spPr>
        <a:xfrm>
          <a:off x="448233" y="37649527"/>
          <a:ext cx="5303356" cy="3599999"/>
        </a:xfrm>
        <a:prstGeom prst="rect">
          <a:avLst/>
        </a:prstGeom>
        <a:ln>
          <a:solidFill>
            <a:schemeClr val="tx1"/>
          </a:solidFill>
        </a:ln>
      </xdr:spPr>
    </xdr:pic>
    <xdr:clientData/>
  </xdr:twoCellAnchor>
  <xdr:twoCellAnchor>
    <xdr:from>
      <xdr:col>12</xdr:col>
      <xdr:colOff>563101</xdr:colOff>
      <xdr:row>171</xdr:row>
      <xdr:rowOff>75855</xdr:rowOff>
    </xdr:from>
    <xdr:to>
      <xdr:col>15</xdr:col>
      <xdr:colOff>74044</xdr:colOff>
      <xdr:row>173</xdr:row>
      <xdr:rowOff>64187</xdr:rowOff>
    </xdr:to>
    <xdr:sp macro="" textlink="">
      <xdr:nvSpPr>
        <xdr:cNvPr id="44" name="Rectangle 43"/>
        <xdr:cNvSpPr/>
      </xdr:nvSpPr>
      <xdr:spPr>
        <a:xfrm>
          <a:off x="7851797" y="38548572"/>
          <a:ext cx="1349682"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Building No.2</a:t>
          </a:r>
        </a:p>
      </xdr:txBody>
    </xdr:sp>
    <xdr:clientData/>
  </xdr:twoCellAnchor>
  <xdr:twoCellAnchor>
    <xdr:from>
      <xdr:col>14</xdr:col>
      <xdr:colOff>575050</xdr:colOff>
      <xdr:row>171</xdr:row>
      <xdr:rowOff>8283</xdr:rowOff>
    </xdr:from>
    <xdr:to>
      <xdr:col>17</xdr:col>
      <xdr:colOff>99745</xdr:colOff>
      <xdr:row>172</xdr:row>
      <xdr:rowOff>187115</xdr:rowOff>
    </xdr:to>
    <xdr:sp macro="" textlink="">
      <xdr:nvSpPr>
        <xdr:cNvPr id="45" name="Rectangle 44"/>
        <xdr:cNvSpPr/>
      </xdr:nvSpPr>
      <xdr:spPr>
        <a:xfrm>
          <a:off x="9089572" y="38481000"/>
          <a:ext cx="1363434"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Building No.3</a:t>
          </a:r>
        </a:p>
      </xdr:txBody>
    </xdr:sp>
    <xdr:clientData/>
  </xdr:twoCellAnchor>
  <xdr:twoCellAnchor>
    <xdr:from>
      <xdr:col>12</xdr:col>
      <xdr:colOff>28503</xdr:colOff>
      <xdr:row>175</xdr:row>
      <xdr:rowOff>117713</xdr:rowOff>
    </xdr:from>
    <xdr:to>
      <xdr:col>14</xdr:col>
      <xdr:colOff>169521</xdr:colOff>
      <xdr:row>177</xdr:row>
      <xdr:rowOff>106045</xdr:rowOff>
    </xdr:to>
    <xdr:sp macro="" textlink="">
      <xdr:nvSpPr>
        <xdr:cNvPr id="46" name="Rectangle 45"/>
        <xdr:cNvSpPr/>
      </xdr:nvSpPr>
      <xdr:spPr>
        <a:xfrm>
          <a:off x="7317199" y="39352430"/>
          <a:ext cx="1366844"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Building No.4</a:t>
          </a:r>
        </a:p>
      </xdr:txBody>
    </xdr:sp>
    <xdr:clientData/>
  </xdr:twoCellAnchor>
  <xdr:twoCellAnchor>
    <xdr:from>
      <xdr:col>12</xdr:col>
      <xdr:colOff>194391</xdr:colOff>
      <xdr:row>178</xdr:row>
      <xdr:rowOff>90406</xdr:rowOff>
    </xdr:from>
    <xdr:to>
      <xdr:col>14</xdr:col>
      <xdr:colOff>319819</xdr:colOff>
      <xdr:row>180</xdr:row>
      <xdr:rowOff>78738</xdr:rowOff>
    </xdr:to>
    <xdr:sp macro="" textlink="">
      <xdr:nvSpPr>
        <xdr:cNvPr id="47" name="Rectangle 46"/>
        <xdr:cNvSpPr/>
      </xdr:nvSpPr>
      <xdr:spPr>
        <a:xfrm>
          <a:off x="7483087" y="39896623"/>
          <a:ext cx="1351254"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Building No.5</a:t>
          </a:r>
        </a:p>
      </xdr:txBody>
    </xdr:sp>
    <xdr:clientData/>
  </xdr:twoCellAnchor>
  <xdr:twoCellAnchor>
    <xdr:from>
      <xdr:col>11</xdr:col>
      <xdr:colOff>268282</xdr:colOff>
      <xdr:row>182</xdr:row>
      <xdr:rowOff>42123</xdr:rowOff>
    </xdr:from>
    <xdr:to>
      <xdr:col>13</xdr:col>
      <xdr:colOff>391761</xdr:colOff>
      <xdr:row>184</xdr:row>
      <xdr:rowOff>30455</xdr:rowOff>
    </xdr:to>
    <xdr:sp macro="" textlink="">
      <xdr:nvSpPr>
        <xdr:cNvPr id="50" name="Rectangle 49"/>
        <xdr:cNvSpPr/>
      </xdr:nvSpPr>
      <xdr:spPr>
        <a:xfrm>
          <a:off x="6944065" y="40610340"/>
          <a:ext cx="1349305"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Building No.6</a:t>
          </a:r>
        </a:p>
      </xdr:txBody>
    </xdr:sp>
    <xdr:clientData/>
  </xdr:twoCellAnchor>
  <xdr:twoCellAnchor>
    <xdr:from>
      <xdr:col>11</xdr:col>
      <xdr:colOff>174812</xdr:colOff>
      <xdr:row>185</xdr:row>
      <xdr:rowOff>3155</xdr:rowOff>
    </xdr:from>
    <xdr:to>
      <xdr:col>14</xdr:col>
      <xdr:colOff>299303</xdr:colOff>
      <xdr:row>186</xdr:row>
      <xdr:rowOff>186796</xdr:rowOff>
    </xdr:to>
    <xdr:sp macro="" textlink="">
      <xdr:nvSpPr>
        <xdr:cNvPr id="51" name="Rectangle 50"/>
        <xdr:cNvSpPr/>
      </xdr:nvSpPr>
      <xdr:spPr>
        <a:xfrm>
          <a:off x="6850595" y="41142872"/>
          <a:ext cx="1963230" cy="37414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Building No.7</a:t>
          </a:r>
        </a:p>
      </xdr:txBody>
    </xdr:sp>
    <xdr:clientData/>
  </xdr:twoCellAnchor>
  <xdr:twoCellAnchor>
    <xdr:from>
      <xdr:col>11</xdr:col>
      <xdr:colOff>0</xdr:colOff>
      <xdr:row>164</xdr:row>
      <xdr:rowOff>1</xdr:rowOff>
    </xdr:from>
    <xdr:to>
      <xdr:col>12</xdr:col>
      <xdr:colOff>520700</xdr:colOff>
      <xdr:row>165</xdr:row>
      <xdr:rowOff>101601</xdr:rowOff>
    </xdr:to>
    <xdr:sp macro="" textlink="">
      <xdr:nvSpPr>
        <xdr:cNvPr id="31" name="Rectangle 30"/>
        <xdr:cNvSpPr/>
      </xdr:nvSpPr>
      <xdr:spPr>
        <a:xfrm>
          <a:off x="7912100" y="41217851"/>
          <a:ext cx="1162050" cy="2794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0" cap="none" spc="0">
              <a:ln w="0"/>
              <a:solidFill>
                <a:schemeClr val="tx1"/>
              </a:solidFill>
              <a:effectLst>
                <a:outerShdw blurRad="38100" dist="19050" dir="2700000" algn="tl" rotWithShape="0">
                  <a:schemeClr val="dk1">
                    <a:alpha val="40000"/>
                  </a:schemeClr>
                </a:outerShdw>
              </a:effectLst>
            </a:rPr>
            <a:t>Bldg No.7 Part I</a:t>
          </a:r>
        </a:p>
      </xdr:txBody>
    </xdr:sp>
    <xdr:clientData/>
  </xdr:twoCellAnchor>
  <xdr:twoCellAnchor>
    <xdr:from>
      <xdr:col>15</xdr:col>
      <xdr:colOff>442791</xdr:colOff>
      <xdr:row>174</xdr:row>
      <xdr:rowOff>12700</xdr:rowOff>
    </xdr:from>
    <xdr:to>
      <xdr:col>16</xdr:col>
      <xdr:colOff>134658</xdr:colOff>
      <xdr:row>176</xdr:row>
      <xdr:rowOff>30597</xdr:rowOff>
    </xdr:to>
    <xdr:sp macro="" textlink="">
      <xdr:nvSpPr>
        <xdr:cNvPr id="32" name="Rectangle 31"/>
        <xdr:cNvSpPr/>
      </xdr:nvSpPr>
      <xdr:spPr>
        <a:xfrm>
          <a:off x="11015541" y="39084250"/>
          <a:ext cx="333217" cy="373497"/>
        </a:xfrm>
        <a:prstGeom prst="rect">
          <a:avLst/>
        </a:prstGeom>
      </xdr:spPr>
      <xdr:style>
        <a:lnRef idx="2">
          <a:schemeClr val="dk1"/>
        </a:lnRef>
        <a:fillRef idx="1">
          <a:schemeClr val="lt1"/>
        </a:fillRef>
        <a:effectRef idx="0">
          <a:schemeClr val="dk1"/>
        </a:effectRef>
        <a:fontRef idx="minor">
          <a:schemeClr val="dk1"/>
        </a:fontRef>
      </xdr:style>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0" cap="none" spc="0">
              <a:ln w="0"/>
              <a:solidFill>
                <a:schemeClr val="tx1"/>
              </a:solidFill>
              <a:effectLst>
                <a:outerShdw blurRad="38100" dist="19050" dir="2700000" algn="tl" rotWithShape="0">
                  <a:schemeClr val="dk1">
                    <a:alpha val="40000"/>
                  </a:schemeClr>
                </a:outerShdw>
              </a:effectLst>
            </a:rPr>
            <a:t>7</a:t>
          </a:r>
        </a:p>
      </xdr:txBody>
    </xdr:sp>
    <xdr:clientData/>
  </xdr:twoCellAnchor>
  <xdr:twoCellAnchor>
    <xdr:from>
      <xdr:col>12</xdr:col>
      <xdr:colOff>0</xdr:colOff>
      <xdr:row>167</xdr:row>
      <xdr:rowOff>158750</xdr:rowOff>
    </xdr:from>
    <xdr:to>
      <xdr:col>13</xdr:col>
      <xdr:colOff>520700</xdr:colOff>
      <xdr:row>169</xdr:row>
      <xdr:rowOff>82550</xdr:rowOff>
    </xdr:to>
    <xdr:sp macro="" textlink="">
      <xdr:nvSpPr>
        <xdr:cNvPr id="33" name="Rectangle 32"/>
        <xdr:cNvSpPr/>
      </xdr:nvSpPr>
      <xdr:spPr>
        <a:xfrm>
          <a:off x="8553450" y="42087800"/>
          <a:ext cx="1162050" cy="2794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0" cap="none" spc="0">
              <a:ln w="0"/>
              <a:solidFill>
                <a:srgbClr val="FFFF00"/>
              </a:solidFill>
              <a:effectLst>
                <a:outerShdw blurRad="38100" dist="19050" dir="2700000" algn="tl" rotWithShape="0">
                  <a:schemeClr val="dk1">
                    <a:alpha val="40000"/>
                  </a:schemeClr>
                </a:outerShdw>
              </a:effectLst>
            </a:rPr>
            <a:t>Bldg No.7 Part I</a:t>
          </a:r>
        </a:p>
      </xdr:txBody>
    </xdr:sp>
    <xdr:clientData/>
  </xdr:twoCellAnchor>
  <xdr:twoCellAnchor>
    <xdr:from>
      <xdr:col>14</xdr:col>
      <xdr:colOff>422051</xdr:colOff>
      <xdr:row>167</xdr:row>
      <xdr:rowOff>0</xdr:rowOff>
    </xdr:from>
    <xdr:to>
      <xdr:col>16</xdr:col>
      <xdr:colOff>356275</xdr:colOff>
      <xdr:row>168</xdr:row>
      <xdr:rowOff>102405</xdr:rowOff>
    </xdr:to>
    <xdr:sp macro="" textlink="">
      <xdr:nvSpPr>
        <xdr:cNvPr id="34" name="Rectangle 33"/>
        <xdr:cNvSpPr/>
      </xdr:nvSpPr>
      <xdr:spPr>
        <a:xfrm>
          <a:off x="10258201" y="41929050"/>
          <a:ext cx="1216924" cy="28020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0" cap="none" spc="0">
              <a:ln w="0"/>
              <a:solidFill>
                <a:srgbClr val="FFFF00"/>
              </a:solidFill>
              <a:effectLst>
                <a:outerShdw blurRad="38100" dist="19050" dir="2700000" algn="tl" rotWithShape="0">
                  <a:schemeClr val="dk1">
                    <a:alpha val="40000"/>
                  </a:schemeClr>
                </a:outerShdw>
              </a:effectLst>
            </a:rPr>
            <a:t>Bldg No.7 Part II</a:t>
          </a:r>
        </a:p>
      </xdr:txBody>
    </xdr:sp>
    <xdr:clientData/>
  </xdr:twoCellAnchor>
  <xdr:twoCellAnchor>
    <xdr:from>
      <xdr:col>0</xdr:col>
      <xdr:colOff>298450</xdr:colOff>
      <xdr:row>165</xdr:row>
      <xdr:rowOff>114300</xdr:rowOff>
    </xdr:from>
    <xdr:to>
      <xdr:col>9</xdr:col>
      <xdr:colOff>942418</xdr:colOff>
      <xdr:row>210</xdr:row>
      <xdr:rowOff>152400</xdr:rowOff>
    </xdr:to>
    <xdr:grpSp>
      <xdr:nvGrpSpPr>
        <xdr:cNvPr id="4" name="Group 3"/>
        <xdr:cNvGrpSpPr/>
      </xdr:nvGrpSpPr>
      <xdr:grpSpPr>
        <a:xfrm>
          <a:off x="298450" y="41687750"/>
          <a:ext cx="6619318" cy="8039100"/>
          <a:chOff x="298450" y="41763950"/>
          <a:chExt cx="6619318" cy="8039100"/>
        </a:xfrm>
      </xdr:grpSpPr>
      <xdr:pic>
        <xdr:nvPicPr>
          <xdr:cNvPr id="35" name="Picture 34"/>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2471142" y="48282018"/>
            <a:ext cx="2149042" cy="1521032"/>
          </a:xfrm>
          <a:prstGeom prst="rect">
            <a:avLst/>
          </a:prstGeom>
          <a:ln>
            <a:solidFill>
              <a:schemeClr val="tx1"/>
            </a:solidFill>
          </a:ln>
        </xdr:spPr>
      </xdr:pic>
      <xdr:pic>
        <xdr:nvPicPr>
          <xdr:cNvPr id="36" name="Picture 35"/>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298450" y="41763950"/>
            <a:ext cx="1543294" cy="2052000"/>
          </a:xfrm>
          <a:prstGeom prst="rect">
            <a:avLst/>
          </a:prstGeom>
          <a:ln>
            <a:solidFill>
              <a:schemeClr val="tx1"/>
            </a:solidFill>
          </a:ln>
        </xdr:spPr>
      </xdr:pic>
      <xdr:pic>
        <xdr:nvPicPr>
          <xdr:cNvPr id="37" name="Picture 3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1990458" y="41763950"/>
            <a:ext cx="1543294" cy="2052000"/>
          </a:xfrm>
          <a:prstGeom prst="rect">
            <a:avLst/>
          </a:prstGeom>
          <a:ln>
            <a:solidFill>
              <a:schemeClr val="tx1"/>
            </a:solidFill>
          </a:ln>
        </xdr:spPr>
      </xdr:pic>
      <xdr:pic>
        <xdr:nvPicPr>
          <xdr:cNvPr id="38" name="Picture 37"/>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3682466" y="46126262"/>
            <a:ext cx="1543294" cy="2052000"/>
          </a:xfrm>
          <a:prstGeom prst="rect">
            <a:avLst/>
          </a:prstGeom>
          <a:ln>
            <a:solidFill>
              <a:schemeClr val="tx1"/>
            </a:solidFill>
          </a:ln>
        </xdr:spPr>
      </xdr:pic>
      <xdr:pic>
        <xdr:nvPicPr>
          <xdr:cNvPr id="39" name="Picture 38"/>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3682466" y="41763950"/>
            <a:ext cx="1543294" cy="2052000"/>
          </a:xfrm>
          <a:prstGeom prst="rect">
            <a:avLst/>
          </a:prstGeom>
          <a:ln>
            <a:solidFill>
              <a:schemeClr val="tx1"/>
            </a:solidFill>
          </a:ln>
        </xdr:spPr>
      </xdr:pic>
      <xdr:pic>
        <xdr:nvPicPr>
          <xdr:cNvPr id="48" name="Picture 47"/>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5374474" y="41765705"/>
            <a:ext cx="1543294" cy="2052000"/>
          </a:xfrm>
          <a:prstGeom prst="rect">
            <a:avLst/>
          </a:prstGeom>
          <a:ln>
            <a:solidFill>
              <a:schemeClr val="tx1"/>
            </a:solidFill>
          </a:ln>
        </xdr:spPr>
      </xdr:pic>
      <xdr:pic>
        <xdr:nvPicPr>
          <xdr:cNvPr id="49" name="Picture 48"/>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5374474" y="46126262"/>
            <a:ext cx="1536863" cy="2052000"/>
          </a:xfrm>
          <a:prstGeom prst="rect">
            <a:avLst/>
          </a:prstGeom>
          <a:ln>
            <a:solidFill>
              <a:schemeClr val="tx1"/>
            </a:solidFill>
          </a:ln>
        </xdr:spPr>
      </xdr:pic>
      <xdr:pic>
        <xdr:nvPicPr>
          <xdr:cNvPr id="52" name="Picture 51"/>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298450" y="43945106"/>
            <a:ext cx="1543294" cy="2052000"/>
          </a:xfrm>
          <a:prstGeom prst="rect">
            <a:avLst/>
          </a:prstGeom>
          <a:ln>
            <a:solidFill>
              <a:schemeClr val="tx1"/>
            </a:solidFill>
          </a:ln>
        </xdr:spPr>
      </xdr:pic>
      <xdr:pic>
        <xdr:nvPicPr>
          <xdr:cNvPr id="53" name="Picture 52"/>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1990458" y="43945106"/>
            <a:ext cx="1543294" cy="2052000"/>
          </a:xfrm>
          <a:prstGeom prst="rect">
            <a:avLst/>
          </a:prstGeom>
          <a:ln>
            <a:solidFill>
              <a:schemeClr val="tx1"/>
            </a:solidFill>
          </a:ln>
        </xdr:spPr>
      </xdr:pic>
      <xdr:pic>
        <xdr:nvPicPr>
          <xdr:cNvPr id="54" name="Picture 53"/>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3682466" y="43945106"/>
            <a:ext cx="1543294" cy="2052000"/>
          </a:xfrm>
          <a:prstGeom prst="rect">
            <a:avLst/>
          </a:prstGeom>
          <a:ln>
            <a:solidFill>
              <a:schemeClr val="tx1"/>
            </a:solidFill>
          </a:ln>
        </xdr:spPr>
      </xdr:pic>
      <xdr:pic>
        <xdr:nvPicPr>
          <xdr:cNvPr id="59" name="Picture 58"/>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5374474" y="43945106"/>
            <a:ext cx="1543294" cy="2052000"/>
          </a:xfrm>
          <a:prstGeom prst="rect">
            <a:avLst/>
          </a:prstGeom>
          <a:ln>
            <a:solidFill>
              <a:schemeClr val="tx1"/>
            </a:solidFill>
          </a:ln>
        </xdr:spPr>
      </xdr:pic>
      <xdr:pic>
        <xdr:nvPicPr>
          <xdr:cNvPr id="60" name="Picture 59"/>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298450" y="46126262"/>
            <a:ext cx="1543294" cy="2052000"/>
          </a:xfrm>
          <a:prstGeom prst="rect">
            <a:avLst/>
          </a:prstGeom>
          <a:ln>
            <a:solidFill>
              <a:schemeClr val="tx1"/>
            </a:solidFill>
          </a:ln>
        </xdr:spPr>
      </xdr:pic>
      <xdr:pic>
        <xdr:nvPicPr>
          <xdr:cNvPr id="61" name="Picture 60"/>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1990458" y="46126262"/>
            <a:ext cx="1543294" cy="2052000"/>
          </a:xfrm>
          <a:prstGeom prst="rect">
            <a:avLst/>
          </a:prstGeom>
          <a:ln>
            <a:solidFill>
              <a:schemeClr val="tx1"/>
            </a:solidFill>
          </a:ln>
        </xdr:spPr>
      </xdr:pic>
      <xdr:sp macro="" textlink="">
        <xdr:nvSpPr>
          <xdr:cNvPr id="62" name="Rectangle 61"/>
          <xdr:cNvSpPr/>
        </xdr:nvSpPr>
        <xdr:spPr>
          <a:xfrm>
            <a:off x="476250" y="43421300"/>
            <a:ext cx="1162050" cy="2794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0" cap="none" spc="0">
                <a:ln w="0"/>
                <a:solidFill>
                  <a:srgbClr val="FFFF00"/>
                </a:solidFill>
                <a:effectLst>
                  <a:outerShdw blurRad="38100" dist="19050" dir="2700000" algn="tl" rotWithShape="0">
                    <a:schemeClr val="dk1">
                      <a:alpha val="40000"/>
                    </a:schemeClr>
                  </a:outerShdw>
                </a:effectLst>
              </a:rPr>
              <a:t>Bldg No.7 Part I</a:t>
            </a:r>
          </a:p>
        </xdr:txBody>
      </xdr:sp>
      <xdr:sp macro="" textlink="">
        <xdr:nvSpPr>
          <xdr:cNvPr id="63" name="Rectangle 62"/>
          <xdr:cNvSpPr/>
        </xdr:nvSpPr>
        <xdr:spPr>
          <a:xfrm>
            <a:off x="2244458" y="43129200"/>
            <a:ext cx="1162050" cy="2794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0" cap="none" spc="0">
                <a:ln w="0"/>
                <a:solidFill>
                  <a:srgbClr val="FFFF00"/>
                </a:solidFill>
                <a:effectLst>
                  <a:outerShdw blurRad="38100" dist="19050" dir="2700000" algn="tl" rotWithShape="0">
                    <a:schemeClr val="dk1">
                      <a:alpha val="40000"/>
                    </a:schemeClr>
                  </a:outerShdw>
                </a:effectLst>
              </a:rPr>
              <a:t>Bldg No.7 Part I</a:t>
            </a:r>
          </a:p>
        </xdr:txBody>
      </xdr:sp>
      <xdr:sp macro="" textlink="">
        <xdr:nvSpPr>
          <xdr:cNvPr id="64" name="Rectangle 63"/>
          <xdr:cNvSpPr/>
        </xdr:nvSpPr>
        <xdr:spPr>
          <a:xfrm>
            <a:off x="3790416" y="43084750"/>
            <a:ext cx="1270534" cy="2794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0" cap="none" spc="0">
                <a:ln w="0"/>
                <a:solidFill>
                  <a:srgbClr val="FFFF00"/>
                </a:solidFill>
                <a:effectLst>
                  <a:outerShdw blurRad="38100" dist="19050" dir="2700000" algn="tl" rotWithShape="0">
                    <a:schemeClr val="dk1">
                      <a:alpha val="40000"/>
                    </a:schemeClr>
                  </a:outerShdw>
                </a:effectLst>
              </a:rPr>
              <a:t>Bldg No.7 Part II</a:t>
            </a:r>
          </a:p>
        </xdr:txBody>
      </xdr:sp>
      <xdr:sp macro="" textlink="">
        <xdr:nvSpPr>
          <xdr:cNvPr id="65" name="Rectangle 64"/>
          <xdr:cNvSpPr/>
        </xdr:nvSpPr>
        <xdr:spPr>
          <a:xfrm>
            <a:off x="5457024" y="43473855"/>
            <a:ext cx="1270534" cy="2794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0" cap="none" spc="0">
                <a:ln w="0"/>
                <a:solidFill>
                  <a:srgbClr val="FFFF00"/>
                </a:solidFill>
                <a:effectLst>
                  <a:outerShdw blurRad="38100" dist="19050" dir="2700000" algn="tl" rotWithShape="0">
                    <a:schemeClr val="dk1">
                      <a:alpha val="40000"/>
                    </a:schemeClr>
                  </a:outerShdw>
                </a:effectLst>
              </a:rPr>
              <a:t>Bldg No.7 Part II</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12</xdr:row>
      <xdr:rowOff>0</xdr:rowOff>
    </xdr:from>
    <xdr:to>
      <xdr:col>6</xdr:col>
      <xdr:colOff>354145</xdr:colOff>
      <xdr:row>30</xdr:row>
      <xdr:rowOff>171000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81025" y="2286000"/>
          <a:ext cx="6754945" cy="3600000"/>
        </a:xfrm>
        <a:prstGeom prst="rect">
          <a:avLst/>
        </a:prstGeom>
        <a:ln>
          <a:solidFill>
            <a:schemeClr val="tx1"/>
          </a:solidFill>
        </a:ln>
      </xdr:spPr>
    </xdr:pic>
    <xdr:clientData/>
  </xdr:twoCellAnchor>
  <xdr:twoCellAnchor editAs="oneCell">
    <xdr:from>
      <xdr:col>1</xdr:col>
      <xdr:colOff>5080</xdr:colOff>
      <xdr:row>32</xdr:row>
      <xdr:rowOff>0</xdr:rowOff>
    </xdr:from>
    <xdr:to>
      <xdr:col>6</xdr:col>
      <xdr:colOff>359225</xdr:colOff>
      <xdr:row>50</xdr:row>
      <xdr:rowOff>171000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86105" y="6096000"/>
          <a:ext cx="6754945" cy="3600000"/>
        </a:xfrm>
        <a:prstGeom prst="rect">
          <a:avLst/>
        </a:prstGeom>
        <a:ln>
          <a:solidFill>
            <a:schemeClr val="tx1"/>
          </a:solidFill>
        </a:ln>
      </xdr:spPr>
    </xdr:pic>
    <xdr:clientData/>
  </xdr:twoCellAnchor>
  <xdr:twoCellAnchor editAs="oneCell">
    <xdr:from>
      <xdr:col>6</xdr:col>
      <xdr:colOff>543225</xdr:colOff>
      <xdr:row>12</xdr:row>
      <xdr:rowOff>0</xdr:rowOff>
    </xdr:from>
    <xdr:to>
      <xdr:col>16</xdr:col>
      <xdr:colOff>144895</xdr:colOff>
      <xdr:row>30</xdr:row>
      <xdr:rowOff>171000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7525050" y="2286000"/>
          <a:ext cx="6754945" cy="3600000"/>
        </a:xfrm>
        <a:prstGeom prst="rect">
          <a:avLst/>
        </a:prstGeom>
        <a:ln>
          <a:solidFill>
            <a:schemeClr val="tx1"/>
          </a:solidFill>
        </a:ln>
      </xdr:spPr>
    </xdr:pic>
    <xdr:clientData/>
  </xdr:twoCellAnchor>
  <xdr:twoCellAnchor editAs="oneCell">
    <xdr:from>
      <xdr:col>6</xdr:col>
      <xdr:colOff>543224</xdr:colOff>
      <xdr:row>32</xdr:row>
      <xdr:rowOff>0</xdr:rowOff>
    </xdr:from>
    <xdr:to>
      <xdr:col>16</xdr:col>
      <xdr:colOff>144894</xdr:colOff>
      <xdr:row>50</xdr:row>
      <xdr:rowOff>171000</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7525049" y="6096000"/>
          <a:ext cx="6754945" cy="3600000"/>
        </a:xfrm>
        <a:prstGeom prst="rect">
          <a:avLst/>
        </a:prstGeom>
        <a:ln>
          <a:solidFill>
            <a:schemeClr val="tx1"/>
          </a:solidFill>
        </a:ln>
      </xdr:spPr>
    </xdr:pic>
    <xdr:clientData/>
  </xdr:twoCellAnchor>
  <xdr:twoCellAnchor editAs="oneCell">
    <xdr:from>
      <xdr:col>16</xdr:col>
      <xdr:colOff>333975</xdr:colOff>
      <xdr:row>12</xdr:row>
      <xdr:rowOff>0</xdr:rowOff>
    </xdr:from>
    <xdr:to>
      <xdr:col>28</xdr:col>
      <xdr:colOff>116620</xdr:colOff>
      <xdr:row>30</xdr:row>
      <xdr:rowOff>171000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5"/>
        <a:stretch>
          <a:fillRect/>
        </a:stretch>
      </xdr:blipFill>
      <xdr:spPr>
        <a:xfrm>
          <a:off x="14469075" y="2286000"/>
          <a:ext cx="6754945" cy="3600000"/>
        </a:xfrm>
        <a:prstGeom prst="rect">
          <a:avLst/>
        </a:prstGeom>
        <a:ln>
          <a:solidFill>
            <a:schemeClr val="tx1"/>
          </a:solidFill>
        </a:ln>
      </xdr:spPr>
    </xdr:pic>
    <xdr:clientData/>
  </xdr:twoCellAnchor>
  <xdr:twoCellAnchor editAs="oneCell">
    <xdr:from>
      <xdr:col>16</xdr:col>
      <xdr:colOff>303493</xdr:colOff>
      <xdr:row>31</xdr:row>
      <xdr:rowOff>148226</xdr:rowOff>
    </xdr:from>
    <xdr:to>
      <xdr:col>28</xdr:col>
      <xdr:colOff>86138</xdr:colOff>
      <xdr:row>50</xdr:row>
      <xdr:rowOff>128726</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6"/>
        <a:stretch>
          <a:fillRect/>
        </a:stretch>
      </xdr:blipFill>
      <xdr:spPr>
        <a:xfrm>
          <a:off x="14438593" y="6053726"/>
          <a:ext cx="6754945" cy="3600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6</xdr:col>
      <xdr:colOff>205837</xdr:colOff>
      <xdr:row>21</xdr:row>
      <xdr:rowOff>125280</xdr:rowOff>
    </xdr:to>
    <xdr:pic>
      <xdr:nvPicPr>
        <xdr:cNvPr id="2" name="Picture 1">
          <a:extLst>
            <a:ext uri="{FF2B5EF4-FFF2-40B4-BE49-F238E27FC236}">
              <a16:creationId xmlns:a16="http://schemas.microsoft.com/office/drawing/2014/main" id="{B8E3E55E-6876-4EBA-B734-CEFACDCFE5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5480" y="365760"/>
          <a:ext cx="2034637" cy="360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0</xdr:colOff>
      <xdr:row>12</xdr:row>
      <xdr:rowOff>0</xdr:rowOff>
    </xdr:from>
    <xdr:to>
      <xdr:col>11</xdr:col>
      <xdr:colOff>398550</xdr:colOff>
      <xdr:row>21</xdr:row>
      <xdr:rowOff>64500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57850" y="2286000"/>
          <a:ext cx="1617750" cy="2160000"/>
        </a:xfrm>
        <a:prstGeom prst="rect">
          <a:avLst/>
        </a:prstGeom>
        <a:ln>
          <a:solidFill>
            <a:schemeClr val="tx1"/>
          </a:solidFill>
        </a:ln>
      </xdr:spPr>
    </xdr:pic>
    <xdr:clientData/>
  </xdr:twoCellAnchor>
  <xdr:twoCellAnchor editAs="oneCell">
    <xdr:from>
      <xdr:col>11</xdr:col>
      <xdr:colOff>524716</xdr:colOff>
      <xdr:row>12</xdr:row>
      <xdr:rowOff>21042</xdr:rowOff>
    </xdr:from>
    <xdr:to>
      <xdr:col>14</xdr:col>
      <xdr:colOff>313666</xdr:colOff>
      <xdr:row>21</xdr:row>
      <xdr:rowOff>85542</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01766" y="2307042"/>
          <a:ext cx="1617750" cy="216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Di5krNPbavMiPD678"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4"/>
  <sheetViews>
    <sheetView tabSelected="1" view="pageBreakPreview" zoomScaleNormal="100" zoomScaleSheetLayoutView="100" zoomScalePageLayoutView="85" workbookViewId="0">
      <selection activeCell="F9" sqref="F9:J9"/>
    </sheetView>
  </sheetViews>
  <sheetFormatPr defaultRowHeight="14" x14ac:dyDescent="0.3"/>
  <cols>
    <col min="1" max="1" width="9" style="44" customWidth="1"/>
    <col min="2" max="2" width="9.453125" style="44" customWidth="1"/>
    <col min="3" max="3" width="14.453125" style="44" customWidth="1"/>
    <col min="4" max="4" width="7.26953125" style="44" customWidth="1"/>
    <col min="5" max="5" width="5.54296875" style="44" customWidth="1"/>
    <col min="6" max="6" width="9" style="44" customWidth="1"/>
    <col min="7" max="8" width="9.81640625" style="44" customWidth="1"/>
    <col min="9" max="9" width="11.1796875" style="44" customWidth="1"/>
    <col min="10" max="10" width="18.54296875" style="44" customWidth="1"/>
    <col min="11" max="253" width="9.1796875" style="44"/>
    <col min="254" max="254" width="8.7265625" style="44" customWidth="1"/>
    <col min="255" max="255" width="9.81640625" style="44" customWidth="1"/>
    <col min="256" max="256" width="14.453125" style="44" customWidth="1"/>
    <col min="257" max="257" width="7.26953125" style="44" customWidth="1"/>
    <col min="258" max="258" width="5.54296875" style="44" customWidth="1"/>
    <col min="259" max="259" width="9" style="44" customWidth="1"/>
    <col min="260" max="261" width="9.81640625" style="44" customWidth="1"/>
    <col min="262" max="262" width="11.1796875" style="44" customWidth="1"/>
    <col min="263" max="263" width="2.81640625" style="44" customWidth="1"/>
    <col min="264" max="264" width="3.54296875" style="44" customWidth="1"/>
    <col min="265" max="509" width="9.1796875" style="44"/>
    <col min="510" max="510" width="8.7265625" style="44" customWidth="1"/>
    <col min="511" max="511" width="9.81640625" style="44" customWidth="1"/>
    <col min="512" max="512" width="14.453125" style="44" customWidth="1"/>
    <col min="513" max="513" width="7.26953125" style="44" customWidth="1"/>
    <col min="514" max="514" width="5.54296875" style="44" customWidth="1"/>
    <col min="515" max="515" width="9" style="44" customWidth="1"/>
    <col min="516" max="517" width="9.81640625" style="44" customWidth="1"/>
    <col min="518" max="518" width="11.1796875" style="44" customWidth="1"/>
    <col min="519" max="519" width="2.81640625" style="44" customWidth="1"/>
    <col min="520" max="520" width="3.54296875" style="44" customWidth="1"/>
    <col min="521" max="765" width="9.1796875" style="44"/>
    <col min="766" max="766" width="8.7265625" style="44" customWidth="1"/>
    <col min="767" max="767" width="9.81640625" style="44" customWidth="1"/>
    <col min="768" max="768" width="14.453125" style="44" customWidth="1"/>
    <col min="769" max="769" width="7.26953125" style="44" customWidth="1"/>
    <col min="770" max="770" width="5.54296875" style="44" customWidth="1"/>
    <col min="771" max="771" width="9" style="44" customWidth="1"/>
    <col min="772" max="773" width="9.81640625" style="44" customWidth="1"/>
    <col min="774" max="774" width="11.1796875" style="44" customWidth="1"/>
    <col min="775" max="775" width="2.81640625" style="44" customWidth="1"/>
    <col min="776" max="776" width="3.54296875" style="44" customWidth="1"/>
    <col min="777" max="1021" width="9.1796875" style="44"/>
    <col min="1022" max="1022" width="8.7265625" style="44" customWidth="1"/>
    <col min="1023" max="1023" width="9.81640625" style="44" customWidth="1"/>
    <col min="1024" max="1024" width="14.453125" style="44" customWidth="1"/>
    <col min="1025" max="1025" width="7.26953125" style="44" customWidth="1"/>
    <col min="1026" max="1026" width="5.54296875" style="44" customWidth="1"/>
    <col min="1027" max="1027" width="9" style="44" customWidth="1"/>
    <col min="1028" max="1029" width="9.81640625" style="44" customWidth="1"/>
    <col min="1030" max="1030" width="11.1796875" style="44" customWidth="1"/>
    <col min="1031" max="1031" width="2.81640625" style="44" customWidth="1"/>
    <col min="1032" max="1032" width="3.54296875" style="44" customWidth="1"/>
    <col min="1033" max="1277" width="9.1796875" style="44"/>
    <col min="1278" max="1278" width="8.7265625" style="44" customWidth="1"/>
    <col min="1279" max="1279" width="9.81640625" style="44" customWidth="1"/>
    <col min="1280" max="1280" width="14.453125" style="44" customWidth="1"/>
    <col min="1281" max="1281" width="7.26953125" style="44" customWidth="1"/>
    <col min="1282" max="1282" width="5.54296875" style="44" customWidth="1"/>
    <col min="1283" max="1283" width="9" style="44" customWidth="1"/>
    <col min="1284" max="1285" width="9.81640625" style="44" customWidth="1"/>
    <col min="1286" max="1286" width="11.1796875" style="44" customWidth="1"/>
    <col min="1287" max="1287" width="2.81640625" style="44" customWidth="1"/>
    <col min="1288" max="1288" width="3.54296875" style="44" customWidth="1"/>
    <col min="1289" max="1533" width="9.1796875" style="44"/>
    <col min="1534" max="1534" width="8.7265625" style="44" customWidth="1"/>
    <col min="1535" max="1535" width="9.81640625" style="44" customWidth="1"/>
    <col min="1536" max="1536" width="14.453125" style="44" customWidth="1"/>
    <col min="1537" max="1537" width="7.26953125" style="44" customWidth="1"/>
    <col min="1538" max="1538" width="5.54296875" style="44" customWidth="1"/>
    <col min="1539" max="1539" width="9" style="44" customWidth="1"/>
    <col min="1540" max="1541" width="9.81640625" style="44" customWidth="1"/>
    <col min="1542" max="1542" width="11.1796875" style="44" customWidth="1"/>
    <col min="1543" max="1543" width="2.81640625" style="44" customWidth="1"/>
    <col min="1544" max="1544" width="3.54296875" style="44" customWidth="1"/>
    <col min="1545" max="1789" width="9.1796875" style="44"/>
    <col min="1790" max="1790" width="8.7265625" style="44" customWidth="1"/>
    <col min="1791" max="1791" width="9.81640625" style="44" customWidth="1"/>
    <col min="1792" max="1792" width="14.453125" style="44" customWidth="1"/>
    <col min="1793" max="1793" width="7.26953125" style="44" customWidth="1"/>
    <col min="1794" max="1794" width="5.54296875" style="44" customWidth="1"/>
    <col min="1795" max="1795" width="9" style="44" customWidth="1"/>
    <col min="1796" max="1797" width="9.81640625" style="44" customWidth="1"/>
    <col min="1798" max="1798" width="11.1796875" style="44" customWidth="1"/>
    <col min="1799" max="1799" width="2.81640625" style="44" customWidth="1"/>
    <col min="1800" max="1800" width="3.54296875" style="44" customWidth="1"/>
    <col min="1801" max="2045" width="9.1796875" style="44"/>
    <col min="2046" max="2046" width="8.7265625" style="44" customWidth="1"/>
    <col min="2047" max="2047" width="9.81640625" style="44" customWidth="1"/>
    <col min="2048" max="2048" width="14.453125" style="44" customWidth="1"/>
    <col min="2049" max="2049" width="7.26953125" style="44" customWidth="1"/>
    <col min="2050" max="2050" width="5.54296875" style="44" customWidth="1"/>
    <col min="2051" max="2051" width="9" style="44" customWidth="1"/>
    <col min="2052" max="2053" width="9.81640625" style="44" customWidth="1"/>
    <col min="2054" max="2054" width="11.1796875" style="44" customWidth="1"/>
    <col min="2055" max="2055" width="2.81640625" style="44" customWidth="1"/>
    <col min="2056" max="2056" width="3.54296875" style="44" customWidth="1"/>
    <col min="2057" max="2301" width="9.1796875" style="44"/>
    <col min="2302" max="2302" width="8.7265625" style="44" customWidth="1"/>
    <col min="2303" max="2303" width="9.81640625" style="44" customWidth="1"/>
    <col min="2304" max="2304" width="14.453125" style="44" customWidth="1"/>
    <col min="2305" max="2305" width="7.26953125" style="44" customWidth="1"/>
    <col min="2306" max="2306" width="5.54296875" style="44" customWidth="1"/>
    <col min="2307" max="2307" width="9" style="44" customWidth="1"/>
    <col min="2308" max="2309" width="9.81640625" style="44" customWidth="1"/>
    <col min="2310" max="2310" width="11.1796875" style="44" customWidth="1"/>
    <col min="2311" max="2311" width="2.81640625" style="44" customWidth="1"/>
    <col min="2312" max="2312" width="3.54296875" style="44" customWidth="1"/>
    <col min="2313" max="2557" width="9.1796875" style="44"/>
    <col min="2558" max="2558" width="8.7265625" style="44" customWidth="1"/>
    <col min="2559" max="2559" width="9.81640625" style="44" customWidth="1"/>
    <col min="2560" max="2560" width="14.453125" style="44" customWidth="1"/>
    <col min="2561" max="2561" width="7.26953125" style="44" customWidth="1"/>
    <col min="2562" max="2562" width="5.54296875" style="44" customWidth="1"/>
    <col min="2563" max="2563" width="9" style="44" customWidth="1"/>
    <col min="2564" max="2565" width="9.81640625" style="44" customWidth="1"/>
    <col min="2566" max="2566" width="11.1796875" style="44" customWidth="1"/>
    <col min="2567" max="2567" width="2.81640625" style="44" customWidth="1"/>
    <col min="2568" max="2568" width="3.54296875" style="44" customWidth="1"/>
    <col min="2569" max="2813" width="9.1796875" style="44"/>
    <col min="2814" max="2814" width="8.7265625" style="44" customWidth="1"/>
    <col min="2815" max="2815" width="9.81640625" style="44" customWidth="1"/>
    <col min="2816" max="2816" width="14.453125" style="44" customWidth="1"/>
    <col min="2817" max="2817" width="7.26953125" style="44" customWidth="1"/>
    <col min="2818" max="2818" width="5.54296875" style="44" customWidth="1"/>
    <col min="2819" max="2819" width="9" style="44" customWidth="1"/>
    <col min="2820" max="2821" width="9.81640625" style="44" customWidth="1"/>
    <col min="2822" max="2822" width="11.1796875" style="44" customWidth="1"/>
    <col min="2823" max="2823" width="2.81640625" style="44" customWidth="1"/>
    <col min="2824" max="2824" width="3.54296875" style="44" customWidth="1"/>
    <col min="2825" max="3069" width="9.1796875" style="44"/>
    <col min="3070" max="3070" width="8.7265625" style="44" customWidth="1"/>
    <col min="3071" max="3071" width="9.81640625" style="44" customWidth="1"/>
    <col min="3072" max="3072" width="14.453125" style="44" customWidth="1"/>
    <col min="3073" max="3073" width="7.26953125" style="44" customWidth="1"/>
    <col min="3074" max="3074" width="5.54296875" style="44" customWidth="1"/>
    <col min="3075" max="3075" width="9" style="44" customWidth="1"/>
    <col min="3076" max="3077" width="9.81640625" style="44" customWidth="1"/>
    <col min="3078" max="3078" width="11.1796875" style="44" customWidth="1"/>
    <col min="3079" max="3079" width="2.81640625" style="44" customWidth="1"/>
    <col min="3080" max="3080" width="3.54296875" style="44" customWidth="1"/>
    <col min="3081" max="3325" width="9.1796875" style="44"/>
    <col min="3326" max="3326" width="8.7265625" style="44" customWidth="1"/>
    <col min="3327" max="3327" width="9.81640625" style="44" customWidth="1"/>
    <col min="3328" max="3328" width="14.453125" style="44" customWidth="1"/>
    <col min="3329" max="3329" width="7.26953125" style="44" customWidth="1"/>
    <col min="3330" max="3330" width="5.54296875" style="44" customWidth="1"/>
    <col min="3331" max="3331" width="9" style="44" customWidth="1"/>
    <col min="3332" max="3333" width="9.81640625" style="44" customWidth="1"/>
    <col min="3334" max="3334" width="11.1796875" style="44" customWidth="1"/>
    <col min="3335" max="3335" width="2.81640625" style="44" customWidth="1"/>
    <col min="3336" max="3336" width="3.54296875" style="44" customWidth="1"/>
    <col min="3337" max="3581" width="9.1796875" style="44"/>
    <col min="3582" max="3582" width="8.7265625" style="44" customWidth="1"/>
    <col min="3583" max="3583" width="9.81640625" style="44" customWidth="1"/>
    <col min="3584" max="3584" width="14.453125" style="44" customWidth="1"/>
    <col min="3585" max="3585" width="7.26953125" style="44" customWidth="1"/>
    <col min="3586" max="3586" width="5.54296875" style="44" customWidth="1"/>
    <col min="3587" max="3587" width="9" style="44" customWidth="1"/>
    <col min="3588" max="3589" width="9.81640625" style="44" customWidth="1"/>
    <col min="3590" max="3590" width="11.1796875" style="44" customWidth="1"/>
    <col min="3591" max="3591" width="2.81640625" style="44" customWidth="1"/>
    <col min="3592" max="3592" width="3.54296875" style="44" customWidth="1"/>
    <col min="3593" max="3837" width="9.1796875" style="44"/>
    <col min="3838" max="3838" width="8.7265625" style="44" customWidth="1"/>
    <col min="3839" max="3839" width="9.81640625" style="44" customWidth="1"/>
    <col min="3840" max="3840" width="14.453125" style="44" customWidth="1"/>
    <col min="3841" max="3841" width="7.26953125" style="44" customWidth="1"/>
    <col min="3842" max="3842" width="5.54296875" style="44" customWidth="1"/>
    <col min="3843" max="3843" width="9" style="44" customWidth="1"/>
    <col min="3844" max="3845" width="9.81640625" style="44" customWidth="1"/>
    <col min="3846" max="3846" width="11.1796875" style="44" customWidth="1"/>
    <col min="3847" max="3847" width="2.81640625" style="44" customWidth="1"/>
    <col min="3848" max="3848" width="3.54296875" style="44" customWidth="1"/>
    <col min="3849" max="4093" width="9.1796875" style="44"/>
    <col min="4094" max="4094" width="8.7265625" style="44" customWidth="1"/>
    <col min="4095" max="4095" width="9.81640625" style="44" customWidth="1"/>
    <col min="4096" max="4096" width="14.453125" style="44" customWidth="1"/>
    <col min="4097" max="4097" width="7.26953125" style="44" customWidth="1"/>
    <col min="4098" max="4098" width="5.54296875" style="44" customWidth="1"/>
    <col min="4099" max="4099" width="9" style="44" customWidth="1"/>
    <col min="4100" max="4101" width="9.81640625" style="44" customWidth="1"/>
    <col min="4102" max="4102" width="11.1796875" style="44" customWidth="1"/>
    <col min="4103" max="4103" width="2.81640625" style="44" customWidth="1"/>
    <col min="4104" max="4104" width="3.54296875" style="44" customWidth="1"/>
    <col min="4105" max="4349" width="9.1796875" style="44"/>
    <col min="4350" max="4350" width="8.7265625" style="44" customWidth="1"/>
    <col min="4351" max="4351" width="9.81640625" style="44" customWidth="1"/>
    <col min="4352" max="4352" width="14.453125" style="44" customWidth="1"/>
    <col min="4353" max="4353" width="7.26953125" style="44" customWidth="1"/>
    <col min="4354" max="4354" width="5.54296875" style="44" customWidth="1"/>
    <col min="4355" max="4355" width="9" style="44" customWidth="1"/>
    <col min="4356" max="4357" width="9.81640625" style="44" customWidth="1"/>
    <col min="4358" max="4358" width="11.1796875" style="44" customWidth="1"/>
    <col min="4359" max="4359" width="2.81640625" style="44" customWidth="1"/>
    <col min="4360" max="4360" width="3.54296875" style="44" customWidth="1"/>
    <col min="4361" max="4605" width="9.1796875" style="44"/>
    <col min="4606" max="4606" width="8.7265625" style="44" customWidth="1"/>
    <col min="4607" max="4607" width="9.81640625" style="44" customWidth="1"/>
    <col min="4608" max="4608" width="14.453125" style="44" customWidth="1"/>
    <col min="4609" max="4609" width="7.26953125" style="44" customWidth="1"/>
    <col min="4610" max="4610" width="5.54296875" style="44" customWidth="1"/>
    <col min="4611" max="4611" width="9" style="44" customWidth="1"/>
    <col min="4612" max="4613" width="9.81640625" style="44" customWidth="1"/>
    <col min="4614" max="4614" width="11.1796875" style="44" customWidth="1"/>
    <col min="4615" max="4615" width="2.81640625" style="44" customWidth="1"/>
    <col min="4616" max="4616" width="3.54296875" style="44" customWidth="1"/>
    <col min="4617" max="4861" width="9.1796875" style="44"/>
    <col min="4862" max="4862" width="8.7265625" style="44" customWidth="1"/>
    <col min="4863" max="4863" width="9.81640625" style="44" customWidth="1"/>
    <col min="4864" max="4864" width="14.453125" style="44" customWidth="1"/>
    <col min="4865" max="4865" width="7.26953125" style="44" customWidth="1"/>
    <col min="4866" max="4866" width="5.54296875" style="44" customWidth="1"/>
    <col min="4867" max="4867" width="9" style="44" customWidth="1"/>
    <col min="4868" max="4869" width="9.81640625" style="44" customWidth="1"/>
    <col min="4870" max="4870" width="11.1796875" style="44" customWidth="1"/>
    <col min="4871" max="4871" width="2.81640625" style="44" customWidth="1"/>
    <col min="4872" max="4872" width="3.54296875" style="44" customWidth="1"/>
    <col min="4873" max="5117" width="9.1796875" style="44"/>
    <col min="5118" max="5118" width="8.7265625" style="44" customWidth="1"/>
    <col min="5119" max="5119" width="9.81640625" style="44" customWidth="1"/>
    <col min="5120" max="5120" width="14.453125" style="44" customWidth="1"/>
    <col min="5121" max="5121" width="7.26953125" style="44" customWidth="1"/>
    <col min="5122" max="5122" width="5.54296875" style="44" customWidth="1"/>
    <col min="5123" max="5123" width="9" style="44" customWidth="1"/>
    <col min="5124" max="5125" width="9.81640625" style="44" customWidth="1"/>
    <col min="5126" max="5126" width="11.1796875" style="44" customWidth="1"/>
    <col min="5127" max="5127" width="2.81640625" style="44" customWidth="1"/>
    <col min="5128" max="5128" width="3.54296875" style="44" customWidth="1"/>
    <col min="5129" max="5373" width="9.1796875" style="44"/>
    <col min="5374" max="5374" width="8.7265625" style="44" customWidth="1"/>
    <col min="5375" max="5375" width="9.81640625" style="44" customWidth="1"/>
    <col min="5376" max="5376" width="14.453125" style="44" customWidth="1"/>
    <col min="5377" max="5377" width="7.26953125" style="44" customWidth="1"/>
    <col min="5378" max="5378" width="5.54296875" style="44" customWidth="1"/>
    <col min="5379" max="5379" width="9" style="44" customWidth="1"/>
    <col min="5380" max="5381" width="9.81640625" style="44" customWidth="1"/>
    <col min="5382" max="5382" width="11.1796875" style="44" customWidth="1"/>
    <col min="5383" max="5383" width="2.81640625" style="44" customWidth="1"/>
    <col min="5384" max="5384" width="3.54296875" style="44" customWidth="1"/>
    <col min="5385" max="5629" width="9.1796875" style="44"/>
    <col min="5630" max="5630" width="8.7265625" style="44" customWidth="1"/>
    <col min="5631" max="5631" width="9.81640625" style="44" customWidth="1"/>
    <col min="5632" max="5632" width="14.453125" style="44" customWidth="1"/>
    <col min="5633" max="5633" width="7.26953125" style="44" customWidth="1"/>
    <col min="5634" max="5634" width="5.54296875" style="44" customWidth="1"/>
    <col min="5635" max="5635" width="9" style="44" customWidth="1"/>
    <col min="5636" max="5637" width="9.81640625" style="44" customWidth="1"/>
    <col min="5638" max="5638" width="11.1796875" style="44" customWidth="1"/>
    <col min="5639" max="5639" width="2.81640625" style="44" customWidth="1"/>
    <col min="5640" max="5640" width="3.54296875" style="44" customWidth="1"/>
    <col min="5641" max="5885" width="9.1796875" style="44"/>
    <col min="5886" max="5886" width="8.7265625" style="44" customWidth="1"/>
    <col min="5887" max="5887" width="9.81640625" style="44" customWidth="1"/>
    <col min="5888" max="5888" width="14.453125" style="44" customWidth="1"/>
    <col min="5889" max="5889" width="7.26953125" style="44" customWidth="1"/>
    <col min="5890" max="5890" width="5.54296875" style="44" customWidth="1"/>
    <col min="5891" max="5891" width="9" style="44" customWidth="1"/>
    <col min="5892" max="5893" width="9.81640625" style="44" customWidth="1"/>
    <col min="5894" max="5894" width="11.1796875" style="44" customWidth="1"/>
    <col min="5895" max="5895" width="2.81640625" style="44" customWidth="1"/>
    <col min="5896" max="5896" width="3.54296875" style="44" customWidth="1"/>
    <col min="5897" max="6141" width="9.1796875" style="44"/>
    <col min="6142" max="6142" width="8.7265625" style="44" customWidth="1"/>
    <col min="6143" max="6143" width="9.81640625" style="44" customWidth="1"/>
    <col min="6144" max="6144" width="14.453125" style="44" customWidth="1"/>
    <col min="6145" max="6145" width="7.26953125" style="44" customWidth="1"/>
    <col min="6146" max="6146" width="5.54296875" style="44" customWidth="1"/>
    <col min="6147" max="6147" width="9" style="44" customWidth="1"/>
    <col min="6148" max="6149" width="9.81640625" style="44" customWidth="1"/>
    <col min="6150" max="6150" width="11.1796875" style="44" customWidth="1"/>
    <col min="6151" max="6151" width="2.81640625" style="44" customWidth="1"/>
    <col min="6152" max="6152" width="3.54296875" style="44" customWidth="1"/>
    <col min="6153" max="6397" width="9.1796875" style="44"/>
    <col min="6398" max="6398" width="8.7265625" style="44" customWidth="1"/>
    <col min="6399" max="6399" width="9.81640625" style="44" customWidth="1"/>
    <col min="6400" max="6400" width="14.453125" style="44" customWidth="1"/>
    <col min="6401" max="6401" width="7.26953125" style="44" customWidth="1"/>
    <col min="6402" max="6402" width="5.54296875" style="44" customWidth="1"/>
    <col min="6403" max="6403" width="9" style="44" customWidth="1"/>
    <col min="6404" max="6405" width="9.81640625" style="44" customWidth="1"/>
    <col min="6406" max="6406" width="11.1796875" style="44" customWidth="1"/>
    <col min="6407" max="6407" width="2.81640625" style="44" customWidth="1"/>
    <col min="6408" max="6408" width="3.54296875" style="44" customWidth="1"/>
    <col min="6409" max="6653" width="9.1796875" style="44"/>
    <col min="6654" max="6654" width="8.7265625" style="44" customWidth="1"/>
    <col min="6655" max="6655" width="9.81640625" style="44" customWidth="1"/>
    <col min="6656" max="6656" width="14.453125" style="44" customWidth="1"/>
    <col min="6657" max="6657" width="7.26953125" style="44" customWidth="1"/>
    <col min="6658" max="6658" width="5.54296875" style="44" customWidth="1"/>
    <col min="6659" max="6659" width="9" style="44" customWidth="1"/>
    <col min="6660" max="6661" width="9.81640625" style="44" customWidth="1"/>
    <col min="6662" max="6662" width="11.1796875" style="44" customWidth="1"/>
    <col min="6663" max="6663" width="2.81640625" style="44" customWidth="1"/>
    <col min="6664" max="6664" width="3.54296875" style="44" customWidth="1"/>
    <col min="6665" max="6909" width="9.1796875" style="44"/>
    <col min="6910" max="6910" width="8.7265625" style="44" customWidth="1"/>
    <col min="6911" max="6911" width="9.81640625" style="44" customWidth="1"/>
    <col min="6912" max="6912" width="14.453125" style="44" customWidth="1"/>
    <col min="6913" max="6913" width="7.26953125" style="44" customWidth="1"/>
    <col min="6914" max="6914" width="5.54296875" style="44" customWidth="1"/>
    <col min="6915" max="6915" width="9" style="44" customWidth="1"/>
    <col min="6916" max="6917" width="9.81640625" style="44" customWidth="1"/>
    <col min="6918" max="6918" width="11.1796875" style="44" customWidth="1"/>
    <col min="6919" max="6919" width="2.81640625" style="44" customWidth="1"/>
    <col min="6920" max="6920" width="3.54296875" style="44" customWidth="1"/>
    <col min="6921" max="7165" width="9.1796875" style="44"/>
    <col min="7166" max="7166" width="8.7265625" style="44" customWidth="1"/>
    <col min="7167" max="7167" width="9.81640625" style="44" customWidth="1"/>
    <col min="7168" max="7168" width="14.453125" style="44" customWidth="1"/>
    <col min="7169" max="7169" width="7.26953125" style="44" customWidth="1"/>
    <col min="7170" max="7170" width="5.54296875" style="44" customWidth="1"/>
    <col min="7171" max="7171" width="9" style="44" customWidth="1"/>
    <col min="7172" max="7173" width="9.81640625" style="44" customWidth="1"/>
    <col min="7174" max="7174" width="11.1796875" style="44" customWidth="1"/>
    <col min="7175" max="7175" width="2.81640625" style="44" customWidth="1"/>
    <col min="7176" max="7176" width="3.54296875" style="44" customWidth="1"/>
    <col min="7177" max="7421" width="9.1796875" style="44"/>
    <col min="7422" max="7422" width="8.7265625" style="44" customWidth="1"/>
    <col min="7423" max="7423" width="9.81640625" style="44" customWidth="1"/>
    <col min="7424" max="7424" width="14.453125" style="44" customWidth="1"/>
    <col min="7425" max="7425" width="7.26953125" style="44" customWidth="1"/>
    <col min="7426" max="7426" width="5.54296875" style="44" customWidth="1"/>
    <col min="7427" max="7427" width="9" style="44" customWidth="1"/>
    <col min="7428" max="7429" width="9.81640625" style="44" customWidth="1"/>
    <col min="7430" max="7430" width="11.1796875" style="44" customWidth="1"/>
    <col min="7431" max="7431" width="2.81640625" style="44" customWidth="1"/>
    <col min="7432" max="7432" width="3.54296875" style="44" customWidth="1"/>
    <col min="7433" max="7677" width="9.1796875" style="44"/>
    <col min="7678" max="7678" width="8.7265625" style="44" customWidth="1"/>
    <col min="7679" max="7679" width="9.81640625" style="44" customWidth="1"/>
    <col min="7680" max="7680" width="14.453125" style="44" customWidth="1"/>
    <col min="7681" max="7681" width="7.26953125" style="44" customWidth="1"/>
    <col min="7682" max="7682" width="5.54296875" style="44" customWidth="1"/>
    <col min="7683" max="7683" width="9" style="44" customWidth="1"/>
    <col min="7684" max="7685" width="9.81640625" style="44" customWidth="1"/>
    <col min="7686" max="7686" width="11.1796875" style="44" customWidth="1"/>
    <col min="7687" max="7687" width="2.81640625" style="44" customWidth="1"/>
    <col min="7688" max="7688" width="3.54296875" style="44" customWidth="1"/>
    <col min="7689" max="7933" width="9.1796875" style="44"/>
    <col min="7934" max="7934" width="8.7265625" style="44" customWidth="1"/>
    <col min="7935" max="7935" width="9.81640625" style="44" customWidth="1"/>
    <col min="7936" max="7936" width="14.453125" style="44" customWidth="1"/>
    <col min="7937" max="7937" width="7.26953125" style="44" customWidth="1"/>
    <col min="7938" max="7938" width="5.54296875" style="44" customWidth="1"/>
    <col min="7939" max="7939" width="9" style="44" customWidth="1"/>
    <col min="7940" max="7941" width="9.81640625" style="44" customWidth="1"/>
    <col min="7942" max="7942" width="11.1796875" style="44" customWidth="1"/>
    <col min="7943" max="7943" width="2.81640625" style="44" customWidth="1"/>
    <col min="7944" max="7944" width="3.54296875" style="44" customWidth="1"/>
    <col min="7945" max="8189" width="9.1796875" style="44"/>
    <col min="8190" max="8190" width="8.7265625" style="44" customWidth="1"/>
    <col min="8191" max="8191" width="9.81640625" style="44" customWidth="1"/>
    <col min="8192" max="8192" width="14.453125" style="44" customWidth="1"/>
    <col min="8193" max="8193" width="7.26953125" style="44" customWidth="1"/>
    <col min="8194" max="8194" width="5.54296875" style="44" customWidth="1"/>
    <col min="8195" max="8195" width="9" style="44" customWidth="1"/>
    <col min="8196" max="8197" width="9.81640625" style="44" customWidth="1"/>
    <col min="8198" max="8198" width="11.1796875" style="44" customWidth="1"/>
    <col min="8199" max="8199" width="2.81640625" style="44" customWidth="1"/>
    <col min="8200" max="8200" width="3.54296875" style="44" customWidth="1"/>
    <col min="8201" max="8445" width="9.1796875" style="44"/>
    <col min="8446" max="8446" width="8.7265625" style="44" customWidth="1"/>
    <col min="8447" max="8447" width="9.81640625" style="44" customWidth="1"/>
    <col min="8448" max="8448" width="14.453125" style="44" customWidth="1"/>
    <col min="8449" max="8449" width="7.26953125" style="44" customWidth="1"/>
    <col min="8450" max="8450" width="5.54296875" style="44" customWidth="1"/>
    <col min="8451" max="8451" width="9" style="44" customWidth="1"/>
    <col min="8452" max="8453" width="9.81640625" style="44" customWidth="1"/>
    <col min="8454" max="8454" width="11.1796875" style="44" customWidth="1"/>
    <col min="8455" max="8455" width="2.81640625" style="44" customWidth="1"/>
    <col min="8456" max="8456" width="3.54296875" style="44" customWidth="1"/>
    <col min="8457" max="8701" width="9.1796875" style="44"/>
    <col min="8702" max="8702" width="8.7265625" style="44" customWidth="1"/>
    <col min="8703" max="8703" width="9.81640625" style="44" customWidth="1"/>
    <col min="8704" max="8704" width="14.453125" style="44" customWidth="1"/>
    <col min="8705" max="8705" width="7.26953125" style="44" customWidth="1"/>
    <col min="8706" max="8706" width="5.54296875" style="44" customWidth="1"/>
    <col min="8707" max="8707" width="9" style="44" customWidth="1"/>
    <col min="8708" max="8709" width="9.81640625" style="44" customWidth="1"/>
    <col min="8710" max="8710" width="11.1796875" style="44" customWidth="1"/>
    <col min="8711" max="8711" width="2.81640625" style="44" customWidth="1"/>
    <col min="8712" max="8712" width="3.54296875" style="44" customWidth="1"/>
    <col min="8713" max="8957" width="9.1796875" style="44"/>
    <col min="8958" max="8958" width="8.7265625" style="44" customWidth="1"/>
    <col min="8959" max="8959" width="9.81640625" style="44" customWidth="1"/>
    <col min="8960" max="8960" width="14.453125" style="44" customWidth="1"/>
    <col min="8961" max="8961" width="7.26953125" style="44" customWidth="1"/>
    <col min="8962" max="8962" width="5.54296875" style="44" customWidth="1"/>
    <col min="8963" max="8963" width="9" style="44" customWidth="1"/>
    <col min="8964" max="8965" width="9.81640625" style="44" customWidth="1"/>
    <col min="8966" max="8966" width="11.1796875" style="44" customWidth="1"/>
    <col min="8967" max="8967" width="2.81640625" style="44" customWidth="1"/>
    <col min="8968" max="8968" width="3.54296875" style="44" customWidth="1"/>
    <col min="8969" max="9213" width="9.1796875" style="44"/>
    <col min="9214" max="9214" width="8.7265625" style="44" customWidth="1"/>
    <col min="9215" max="9215" width="9.81640625" style="44" customWidth="1"/>
    <col min="9216" max="9216" width="14.453125" style="44" customWidth="1"/>
    <col min="9217" max="9217" width="7.26953125" style="44" customWidth="1"/>
    <col min="9218" max="9218" width="5.54296875" style="44" customWidth="1"/>
    <col min="9219" max="9219" width="9" style="44" customWidth="1"/>
    <col min="9220" max="9221" width="9.81640625" style="44" customWidth="1"/>
    <col min="9222" max="9222" width="11.1796875" style="44" customWidth="1"/>
    <col min="9223" max="9223" width="2.81640625" style="44" customWidth="1"/>
    <col min="9224" max="9224" width="3.54296875" style="44" customWidth="1"/>
    <col min="9225" max="9469" width="9.1796875" style="44"/>
    <col min="9470" max="9470" width="8.7265625" style="44" customWidth="1"/>
    <col min="9471" max="9471" width="9.81640625" style="44" customWidth="1"/>
    <col min="9472" max="9472" width="14.453125" style="44" customWidth="1"/>
    <col min="9473" max="9473" width="7.26953125" style="44" customWidth="1"/>
    <col min="9474" max="9474" width="5.54296875" style="44" customWidth="1"/>
    <col min="9475" max="9475" width="9" style="44" customWidth="1"/>
    <col min="9476" max="9477" width="9.81640625" style="44" customWidth="1"/>
    <col min="9478" max="9478" width="11.1796875" style="44" customWidth="1"/>
    <col min="9479" max="9479" width="2.81640625" style="44" customWidth="1"/>
    <col min="9480" max="9480" width="3.54296875" style="44" customWidth="1"/>
    <col min="9481" max="9725" width="9.1796875" style="44"/>
    <col min="9726" max="9726" width="8.7265625" style="44" customWidth="1"/>
    <col min="9727" max="9727" width="9.81640625" style="44" customWidth="1"/>
    <col min="9728" max="9728" width="14.453125" style="44" customWidth="1"/>
    <col min="9729" max="9729" width="7.26953125" style="44" customWidth="1"/>
    <col min="9730" max="9730" width="5.54296875" style="44" customWidth="1"/>
    <col min="9731" max="9731" width="9" style="44" customWidth="1"/>
    <col min="9732" max="9733" width="9.81640625" style="44" customWidth="1"/>
    <col min="9734" max="9734" width="11.1796875" style="44" customWidth="1"/>
    <col min="9735" max="9735" width="2.81640625" style="44" customWidth="1"/>
    <col min="9736" max="9736" width="3.54296875" style="44" customWidth="1"/>
    <col min="9737" max="9981" width="9.1796875" style="44"/>
    <col min="9982" max="9982" width="8.7265625" style="44" customWidth="1"/>
    <col min="9983" max="9983" width="9.81640625" style="44" customWidth="1"/>
    <col min="9984" max="9984" width="14.453125" style="44" customWidth="1"/>
    <col min="9985" max="9985" width="7.26953125" style="44" customWidth="1"/>
    <col min="9986" max="9986" width="5.54296875" style="44" customWidth="1"/>
    <col min="9987" max="9987" width="9" style="44" customWidth="1"/>
    <col min="9988" max="9989" width="9.81640625" style="44" customWidth="1"/>
    <col min="9990" max="9990" width="11.1796875" style="44" customWidth="1"/>
    <col min="9991" max="9991" width="2.81640625" style="44" customWidth="1"/>
    <col min="9992" max="9992" width="3.54296875" style="44" customWidth="1"/>
    <col min="9993" max="10237" width="9.1796875" style="44"/>
    <col min="10238" max="10238" width="8.7265625" style="44" customWidth="1"/>
    <col min="10239" max="10239" width="9.81640625" style="44" customWidth="1"/>
    <col min="10240" max="10240" width="14.453125" style="44" customWidth="1"/>
    <col min="10241" max="10241" width="7.26953125" style="44" customWidth="1"/>
    <col min="10242" max="10242" width="5.54296875" style="44" customWidth="1"/>
    <col min="10243" max="10243" width="9" style="44" customWidth="1"/>
    <col min="10244" max="10245" width="9.81640625" style="44" customWidth="1"/>
    <col min="10246" max="10246" width="11.1796875" style="44" customWidth="1"/>
    <col min="10247" max="10247" width="2.81640625" style="44" customWidth="1"/>
    <col min="10248" max="10248" width="3.54296875" style="44" customWidth="1"/>
    <col min="10249" max="10493" width="9.1796875" style="44"/>
    <col min="10494" max="10494" width="8.7265625" style="44" customWidth="1"/>
    <col min="10495" max="10495" width="9.81640625" style="44" customWidth="1"/>
    <col min="10496" max="10496" width="14.453125" style="44" customWidth="1"/>
    <col min="10497" max="10497" width="7.26953125" style="44" customWidth="1"/>
    <col min="10498" max="10498" width="5.54296875" style="44" customWidth="1"/>
    <col min="10499" max="10499" width="9" style="44" customWidth="1"/>
    <col min="10500" max="10501" width="9.81640625" style="44" customWidth="1"/>
    <col min="10502" max="10502" width="11.1796875" style="44" customWidth="1"/>
    <col min="10503" max="10503" width="2.81640625" style="44" customWidth="1"/>
    <col min="10504" max="10504" width="3.54296875" style="44" customWidth="1"/>
    <col min="10505" max="10749" width="9.1796875" style="44"/>
    <col min="10750" max="10750" width="8.7265625" style="44" customWidth="1"/>
    <col min="10751" max="10751" width="9.81640625" style="44" customWidth="1"/>
    <col min="10752" max="10752" width="14.453125" style="44" customWidth="1"/>
    <col min="10753" max="10753" width="7.26953125" style="44" customWidth="1"/>
    <col min="10754" max="10754" width="5.54296875" style="44" customWidth="1"/>
    <col min="10755" max="10755" width="9" style="44" customWidth="1"/>
    <col min="10756" max="10757" width="9.81640625" style="44" customWidth="1"/>
    <col min="10758" max="10758" width="11.1796875" style="44" customWidth="1"/>
    <col min="10759" max="10759" width="2.81640625" style="44" customWidth="1"/>
    <col min="10760" max="10760" width="3.54296875" style="44" customWidth="1"/>
    <col min="10761" max="11005" width="9.1796875" style="44"/>
    <col min="11006" max="11006" width="8.7265625" style="44" customWidth="1"/>
    <col min="11007" max="11007" width="9.81640625" style="44" customWidth="1"/>
    <col min="11008" max="11008" width="14.453125" style="44" customWidth="1"/>
    <col min="11009" max="11009" width="7.26953125" style="44" customWidth="1"/>
    <col min="11010" max="11010" width="5.54296875" style="44" customWidth="1"/>
    <col min="11011" max="11011" width="9" style="44" customWidth="1"/>
    <col min="11012" max="11013" width="9.81640625" style="44" customWidth="1"/>
    <col min="11014" max="11014" width="11.1796875" style="44" customWidth="1"/>
    <col min="11015" max="11015" width="2.81640625" style="44" customWidth="1"/>
    <col min="11016" max="11016" width="3.54296875" style="44" customWidth="1"/>
    <col min="11017" max="11261" width="9.1796875" style="44"/>
    <col min="11262" max="11262" width="8.7265625" style="44" customWidth="1"/>
    <col min="11263" max="11263" width="9.81640625" style="44" customWidth="1"/>
    <col min="11264" max="11264" width="14.453125" style="44" customWidth="1"/>
    <col min="11265" max="11265" width="7.26953125" style="44" customWidth="1"/>
    <col min="11266" max="11266" width="5.54296875" style="44" customWidth="1"/>
    <col min="11267" max="11267" width="9" style="44" customWidth="1"/>
    <col min="11268" max="11269" width="9.81640625" style="44" customWidth="1"/>
    <col min="11270" max="11270" width="11.1796875" style="44" customWidth="1"/>
    <col min="11271" max="11271" width="2.81640625" style="44" customWidth="1"/>
    <col min="11272" max="11272" width="3.54296875" style="44" customWidth="1"/>
    <col min="11273" max="11517" width="9.1796875" style="44"/>
    <col min="11518" max="11518" width="8.7265625" style="44" customWidth="1"/>
    <col min="11519" max="11519" width="9.81640625" style="44" customWidth="1"/>
    <col min="11520" max="11520" width="14.453125" style="44" customWidth="1"/>
    <col min="11521" max="11521" width="7.26953125" style="44" customWidth="1"/>
    <col min="11522" max="11522" width="5.54296875" style="44" customWidth="1"/>
    <col min="11523" max="11523" width="9" style="44" customWidth="1"/>
    <col min="11524" max="11525" width="9.81640625" style="44" customWidth="1"/>
    <col min="11526" max="11526" width="11.1796875" style="44" customWidth="1"/>
    <col min="11527" max="11527" width="2.81640625" style="44" customWidth="1"/>
    <col min="11528" max="11528" width="3.54296875" style="44" customWidth="1"/>
    <col min="11529" max="11773" width="9.1796875" style="44"/>
    <col min="11774" max="11774" width="8.7265625" style="44" customWidth="1"/>
    <col min="11775" max="11775" width="9.81640625" style="44" customWidth="1"/>
    <col min="11776" max="11776" width="14.453125" style="44" customWidth="1"/>
    <col min="11777" max="11777" width="7.26953125" style="44" customWidth="1"/>
    <col min="11778" max="11778" width="5.54296875" style="44" customWidth="1"/>
    <col min="11779" max="11779" width="9" style="44" customWidth="1"/>
    <col min="11780" max="11781" width="9.81640625" style="44" customWidth="1"/>
    <col min="11782" max="11782" width="11.1796875" style="44" customWidth="1"/>
    <col min="11783" max="11783" width="2.81640625" style="44" customWidth="1"/>
    <col min="11784" max="11784" width="3.54296875" style="44" customWidth="1"/>
    <col min="11785" max="12029" width="9.1796875" style="44"/>
    <col min="12030" max="12030" width="8.7265625" style="44" customWidth="1"/>
    <col min="12031" max="12031" width="9.81640625" style="44" customWidth="1"/>
    <col min="12032" max="12032" width="14.453125" style="44" customWidth="1"/>
    <col min="12033" max="12033" width="7.26953125" style="44" customWidth="1"/>
    <col min="12034" max="12034" width="5.54296875" style="44" customWidth="1"/>
    <col min="12035" max="12035" width="9" style="44" customWidth="1"/>
    <col min="12036" max="12037" width="9.81640625" style="44" customWidth="1"/>
    <col min="12038" max="12038" width="11.1796875" style="44" customWidth="1"/>
    <col min="12039" max="12039" width="2.81640625" style="44" customWidth="1"/>
    <col min="12040" max="12040" width="3.54296875" style="44" customWidth="1"/>
    <col min="12041" max="12285" width="9.1796875" style="44"/>
    <col min="12286" max="12286" width="8.7265625" style="44" customWidth="1"/>
    <col min="12287" max="12287" width="9.81640625" style="44" customWidth="1"/>
    <col min="12288" max="12288" width="14.453125" style="44" customWidth="1"/>
    <col min="12289" max="12289" width="7.26953125" style="44" customWidth="1"/>
    <col min="12290" max="12290" width="5.54296875" style="44" customWidth="1"/>
    <col min="12291" max="12291" width="9" style="44" customWidth="1"/>
    <col min="12292" max="12293" width="9.81640625" style="44" customWidth="1"/>
    <col min="12294" max="12294" width="11.1796875" style="44" customWidth="1"/>
    <col min="12295" max="12295" width="2.81640625" style="44" customWidth="1"/>
    <col min="12296" max="12296" width="3.54296875" style="44" customWidth="1"/>
    <col min="12297" max="12541" width="9.1796875" style="44"/>
    <col min="12542" max="12542" width="8.7265625" style="44" customWidth="1"/>
    <col min="12543" max="12543" width="9.81640625" style="44" customWidth="1"/>
    <col min="12544" max="12544" width="14.453125" style="44" customWidth="1"/>
    <col min="12545" max="12545" width="7.26953125" style="44" customWidth="1"/>
    <col min="12546" max="12546" width="5.54296875" style="44" customWidth="1"/>
    <col min="12547" max="12547" width="9" style="44" customWidth="1"/>
    <col min="12548" max="12549" width="9.81640625" style="44" customWidth="1"/>
    <col min="12550" max="12550" width="11.1796875" style="44" customWidth="1"/>
    <col min="12551" max="12551" width="2.81640625" style="44" customWidth="1"/>
    <col min="12552" max="12552" width="3.54296875" style="44" customWidth="1"/>
    <col min="12553" max="12797" width="9.1796875" style="44"/>
    <col min="12798" max="12798" width="8.7265625" style="44" customWidth="1"/>
    <col min="12799" max="12799" width="9.81640625" style="44" customWidth="1"/>
    <col min="12800" max="12800" width="14.453125" style="44" customWidth="1"/>
    <col min="12801" max="12801" width="7.26953125" style="44" customWidth="1"/>
    <col min="12802" max="12802" width="5.54296875" style="44" customWidth="1"/>
    <col min="12803" max="12803" width="9" style="44" customWidth="1"/>
    <col min="12804" max="12805" width="9.81640625" style="44" customWidth="1"/>
    <col min="12806" max="12806" width="11.1796875" style="44" customWidth="1"/>
    <col min="12807" max="12807" width="2.81640625" style="44" customWidth="1"/>
    <col min="12808" max="12808" width="3.54296875" style="44" customWidth="1"/>
    <col min="12809" max="13053" width="9.1796875" style="44"/>
    <col min="13054" max="13054" width="8.7265625" style="44" customWidth="1"/>
    <col min="13055" max="13055" width="9.81640625" style="44" customWidth="1"/>
    <col min="13056" max="13056" width="14.453125" style="44" customWidth="1"/>
    <col min="13057" max="13057" width="7.26953125" style="44" customWidth="1"/>
    <col min="13058" max="13058" width="5.54296875" style="44" customWidth="1"/>
    <col min="13059" max="13059" width="9" style="44" customWidth="1"/>
    <col min="13060" max="13061" width="9.81640625" style="44" customWidth="1"/>
    <col min="13062" max="13062" width="11.1796875" style="44" customWidth="1"/>
    <col min="13063" max="13063" width="2.81640625" style="44" customWidth="1"/>
    <col min="13064" max="13064" width="3.54296875" style="44" customWidth="1"/>
    <col min="13065" max="13309" width="9.1796875" style="44"/>
    <col min="13310" max="13310" width="8.7265625" style="44" customWidth="1"/>
    <col min="13311" max="13311" width="9.81640625" style="44" customWidth="1"/>
    <col min="13312" max="13312" width="14.453125" style="44" customWidth="1"/>
    <col min="13313" max="13313" width="7.26953125" style="44" customWidth="1"/>
    <col min="13314" max="13314" width="5.54296875" style="44" customWidth="1"/>
    <col min="13315" max="13315" width="9" style="44" customWidth="1"/>
    <col min="13316" max="13317" width="9.81640625" style="44" customWidth="1"/>
    <col min="13318" max="13318" width="11.1796875" style="44" customWidth="1"/>
    <col min="13319" max="13319" width="2.81640625" style="44" customWidth="1"/>
    <col min="13320" max="13320" width="3.54296875" style="44" customWidth="1"/>
    <col min="13321" max="13565" width="9.1796875" style="44"/>
    <col min="13566" max="13566" width="8.7265625" style="44" customWidth="1"/>
    <col min="13567" max="13567" width="9.81640625" style="44" customWidth="1"/>
    <col min="13568" max="13568" width="14.453125" style="44" customWidth="1"/>
    <col min="13569" max="13569" width="7.26953125" style="44" customWidth="1"/>
    <col min="13570" max="13570" width="5.54296875" style="44" customWidth="1"/>
    <col min="13571" max="13571" width="9" style="44" customWidth="1"/>
    <col min="13572" max="13573" width="9.81640625" style="44" customWidth="1"/>
    <col min="13574" max="13574" width="11.1796875" style="44" customWidth="1"/>
    <col min="13575" max="13575" width="2.81640625" style="44" customWidth="1"/>
    <col min="13576" max="13576" width="3.54296875" style="44" customWidth="1"/>
    <col min="13577" max="13821" width="9.1796875" style="44"/>
    <col min="13822" max="13822" width="8.7265625" style="44" customWidth="1"/>
    <col min="13823" max="13823" width="9.81640625" style="44" customWidth="1"/>
    <col min="13824" max="13824" width="14.453125" style="44" customWidth="1"/>
    <col min="13825" max="13825" width="7.26953125" style="44" customWidth="1"/>
    <col min="13826" max="13826" width="5.54296875" style="44" customWidth="1"/>
    <col min="13827" max="13827" width="9" style="44" customWidth="1"/>
    <col min="13828" max="13829" width="9.81640625" style="44" customWidth="1"/>
    <col min="13830" max="13830" width="11.1796875" style="44" customWidth="1"/>
    <col min="13831" max="13831" width="2.81640625" style="44" customWidth="1"/>
    <col min="13832" max="13832" width="3.54296875" style="44" customWidth="1"/>
    <col min="13833" max="14077" width="9.1796875" style="44"/>
    <col min="14078" max="14078" width="8.7265625" style="44" customWidth="1"/>
    <col min="14079" max="14079" width="9.81640625" style="44" customWidth="1"/>
    <col min="14080" max="14080" width="14.453125" style="44" customWidth="1"/>
    <col min="14081" max="14081" width="7.26953125" style="44" customWidth="1"/>
    <col min="14082" max="14082" width="5.54296875" style="44" customWidth="1"/>
    <col min="14083" max="14083" width="9" style="44" customWidth="1"/>
    <col min="14084" max="14085" width="9.81640625" style="44" customWidth="1"/>
    <col min="14086" max="14086" width="11.1796875" style="44" customWidth="1"/>
    <col min="14087" max="14087" width="2.81640625" style="44" customWidth="1"/>
    <col min="14088" max="14088" width="3.54296875" style="44" customWidth="1"/>
    <col min="14089" max="14333" width="9.1796875" style="44"/>
    <col min="14334" max="14334" width="8.7265625" style="44" customWidth="1"/>
    <col min="14335" max="14335" width="9.81640625" style="44" customWidth="1"/>
    <col min="14336" max="14336" width="14.453125" style="44" customWidth="1"/>
    <col min="14337" max="14337" width="7.26953125" style="44" customWidth="1"/>
    <col min="14338" max="14338" width="5.54296875" style="44" customWidth="1"/>
    <col min="14339" max="14339" width="9" style="44" customWidth="1"/>
    <col min="14340" max="14341" width="9.81640625" style="44" customWidth="1"/>
    <col min="14342" max="14342" width="11.1796875" style="44" customWidth="1"/>
    <col min="14343" max="14343" width="2.81640625" style="44" customWidth="1"/>
    <col min="14344" max="14344" width="3.54296875" style="44" customWidth="1"/>
    <col min="14345" max="14589" width="9.1796875" style="44"/>
    <col min="14590" max="14590" width="8.7265625" style="44" customWidth="1"/>
    <col min="14591" max="14591" width="9.81640625" style="44" customWidth="1"/>
    <col min="14592" max="14592" width="14.453125" style="44" customWidth="1"/>
    <col min="14593" max="14593" width="7.26953125" style="44" customWidth="1"/>
    <col min="14594" max="14594" width="5.54296875" style="44" customWidth="1"/>
    <col min="14595" max="14595" width="9" style="44" customWidth="1"/>
    <col min="14596" max="14597" width="9.81640625" style="44" customWidth="1"/>
    <col min="14598" max="14598" width="11.1796875" style="44" customWidth="1"/>
    <col min="14599" max="14599" width="2.81640625" style="44" customWidth="1"/>
    <col min="14600" max="14600" width="3.54296875" style="44" customWidth="1"/>
    <col min="14601" max="14845" width="9.1796875" style="44"/>
    <col min="14846" max="14846" width="8.7265625" style="44" customWidth="1"/>
    <col min="14847" max="14847" width="9.81640625" style="44" customWidth="1"/>
    <col min="14848" max="14848" width="14.453125" style="44" customWidth="1"/>
    <col min="14849" max="14849" width="7.26953125" style="44" customWidth="1"/>
    <col min="14850" max="14850" width="5.54296875" style="44" customWidth="1"/>
    <col min="14851" max="14851" width="9" style="44" customWidth="1"/>
    <col min="14852" max="14853" width="9.81640625" style="44" customWidth="1"/>
    <col min="14854" max="14854" width="11.1796875" style="44" customWidth="1"/>
    <col min="14855" max="14855" width="2.81640625" style="44" customWidth="1"/>
    <col min="14856" max="14856" width="3.54296875" style="44" customWidth="1"/>
    <col min="14857" max="15101" width="9.1796875" style="44"/>
    <col min="15102" max="15102" width="8.7265625" style="44" customWidth="1"/>
    <col min="15103" max="15103" width="9.81640625" style="44" customWidth="1"/>
    <col min="15104" max="15104" width="14.453125" style="44" customWidth="1"/>
    <col min="15105" max="15105" width="7.26953125" style="44" customWidth="1"/>
    <col min="15106" max="15106" width="5.54296875" style="44" customWidth="1"/>
    <col min="15107" max="15107" width="9" style="44" customWidth="1"/>
    <col min="15108" max="15109" width="9.81640625" style="44" customWidth="1"/>
    <col min="15110" max="15110" width="11.1796875" style="44" customWidth="1"/>
    <col min="15111" max="15111" width="2.81640625" style="44" customWidth="1"/>
    <col min="15112" max="15112" width="3.54296875" style="44" customWidth="1"/>
    <col min="15113" max="15357" width="9.1796875" style="44"/>
    <col min="15358" max="15358" width="8.7265625" style="44" customWidth="1"/>
    <col min="15359" max="15359" width="9.81640625" style="44" customWidth="1"/>
    <col min="15360" max="15360" width="14.453125" style="44" customWidth="1"/>
    <col min="15361" max="15361" width="7.26953125" style="44" customWidth="1"/>
    <col min="15362" max="15362" width="5.54296875" style="44" customWidth="1"/>
    <col min="15363" max="15363" width="9" style="44" customWidth="1"/>
    <col min="15364" max="15365" width="9.81640625" style="44" customWidth="1"/>
    <col min="15366" max="15366" width="11.1796875" style="44" customWidth="1"/>
    <col min="15367" max="15367" width="2.81640625" style="44" customWidth="1"/>
    <col min="15368" max="15368" width="3.54296875" style="44" customWidth="1"/>
    <col min="15369" max="15613" width="9.1796875" style="44"/>
    <col min="15614" max="15614" width="8.7265625" style="44" customWidth="1"/>
    <col min="15615" max="15615" width="9.81640625" style="44" customWidth="1"/>
    <col min="15616" max="15616" width="14.453125" style="44" customWidth="1"/>
    <col min="15617" max="15617" width="7.26953125" style="44" customWidth="1"/>
    <col min="15618" max="15618" width="5.54296875" style="44" customWidth="1"/>
    <col min="15619" max="15619" width="9" style="44" customWidth="1"/>
    <col min="15620" max="15621" width="9.81640625" style="44" customWidth="1"/>
    <col min="15622" max="15622" width="11.1796875" style="44" customWidth="1"/>
    <col min="15623" max="15623" width="2.81640625" style="44" customWidth="1"/>
    <col min="15624" max="15624" width="3.54296875" style="44" customWidth="1"/>
    <col min="15625" max="15869" width="9.1796875" style="44"/>
    <col min="15870" max="15870" width="8.7265625" style="44" customWidth="1"/>
    <col min="15871" max="15871" width="9.81640625" style="44" customWidth="1"/>
    <col min="15872" max="15872" width="14.453125" style="44" customWidth="1"/>
    <col min="15873" max="15873" width="7.26953125" style="44" customWidth="1"/>
    <col min="15874" max="15874" width="5.54296875" style="44" customWidth="1"/>
    <col min="15875" max="15875" width="9" style="44" customWidth="1"/>
    <col min="15876" max="15877" width="9.81640625" style="44" customWidth="1"/>
    <col min="15878" max="15878" width="11.1796875" style="44" customWidth="1"/>
    <col min="15879" max="15879" width="2.81640625" style="44" customWidth="1"/>
    <col min="15880" max="15880" width="3.54296875" style="44" customWidth="1"/>
    <col min="15881" max="16125" width="9.1796875" style="44"/>
    <col min="16126" max="16126" width="8.7265625" style="44" customWidth="1"/>
    <col min="16127" max="16127" width="9.81640625" style="44" customWidth="1"/>
    <col min="16128" max="16128" width="14.453125" style="44" customWidth="1"/>
    <col min="16129" max="16129" width="7.26953125" style="44" customWidth="1"/>
    <col min="16130" max="16130" width="5.54296875" style="44" customWidth="1"/>
    <col min="16131" max="16131" width="9" style="44" customWidth="1"/>
    <col min="16132" max="16133" width="9.81640625" style="44" customWidth="1"/>
    <col min="16134" max="16134" width="11.1796875" style="44" customWidth="1"/>
    <col min="16135" max="16135" width="2.81640625" style="44" customWidth="1"/>
    <col min="16136" max="16136" width="3.54296875" style="44" customWidth="1"/>
    <col min="16137" max="16384" width="9.1796875" style="44"/>
  </cols>
  <sheetData>
    <row r="1" spans="1:10" ht="43.9" customHeight="1" x14ac:dyDescent="0.3">
      <c r="A1" s="141" t="s">
        <v>258</v>
      </c>
      <c r="B1" s="142"/>
      <c r="C1" s="142"/>
      <c r="D1" s="142"/>
      <c r="E1" s="142"/>
      <c r="F1" s="142"/>
      <c r="G1" s="142"/>
      <c r="H1" s="142"/>
      <c r="I1" s="142"/>
      <c r="J1" s="143"/>
    </row>
    <row r="2" spans="1:10" x14ac:dyDescent="0.3">
      <c r="A2" s="144" t="s">
        <v>0</v>
      </c>
      <c r="B2" s="145"/>
      <c r="C2" s="145"/>
      <c r="D2" s="145"/>
      <c r="E2" s="145"/>
      <c r="F2" s="145"/>
      <c r="G2" s="145"/>
      <c r="H2" s="145"/>
      <c r="I2" s="145"/>
      <c r="J2" s="146"/>
    </row>
    <row r="3" spans="1:10" x14ac:dyDescent="0.3">
      <c r="A3" s="112" t="s">
        <v>1</v>
      </c>
      <c r="B3" s="113"/>
      <c r="C3" s="113"/>
      <c r="D3" s="113"/>
      <c r="E3" s="114"/>
      <c r="F3" s="147" t="str">
        <f ca="1">TEXT(TODAY(),"DD/MM/YYYY")</f>
        <v>05/09/2025</v>
      </c>
      <c r="G3" s="148"/>
      <c r="H3" s="148"/>
      <c r="I3" s="148"/>
      <c r="J3" s="149"/>
    </row>
    <row r="4" spans="1:10" ht="15" customHeight="1" x14ac:dyDescent="0.3">
      <c r="A4" s="112" t="s">
        <v>2</v>
      </c>
      <c r="B4" s="113"/>
      <c r="C4" s="113"/>
      <c r="D4" s="113"/>
      <c r="E4" s="114"/>
      <c r="F4" s="128" t="s">
        <v>125</v>
      </c>
      <c r="G4" s="129"/>
      <c r="H4" s="129"/>
      <c r="I4" s="129"/>
      <c r="J4" s="38"/>
    </row>
    <row r="5" spans="1:10" x14ac:dyDescent="0.3">
      <c r="A5" s="112" t="s">
        <v>3</v>
      </c>
      <c r="B5" s="113"/>
      <c r="C5" s="113"/>
      <c r="D5" s="113"/>
      <c r="E5" s="114"/>
      <c r="F5" s="136">
        <v>45905</v>
      </c>
      <c r="G5" s="137"/>
      <c r="H5" s="137"/>
      <c r="I5" s="137"/>
      <c r="J5" s="138"/>
    </row>
    <row r="6" spans="1:10" ht="16.5" customHeight="1" x14ac:dyDescent="0.3">
      <c r="A6" s="112" t="s">
        <v>4</v>
      </c>
      <c r="B6" s="113"/>
      <c r="C6" s="113"/>
      <c r="D6" s="113"/>
      <c r="E6" s="114"/>
      <c r="F6" s="118" t="s">
        <v>131</v>
      </c>
      <c r="G6" s="120"/>
      <c r="H6" s="120"/>
      <c r="I6" s="120"/>
      <c r="J6" s="121"/>
    </row>
    <row r="7" spans="1:10" ht="15" customHeight="1" x14ac:dyDescent="0.3">
      <c r="A7" s="112" t="s">
        <v>5</v>
      </c>
      <c r="B7" s="113"/>
      <c r="C7" s="113"/>
      <c r="D7" s="113"/>
      <c r="E7" s="114"/>
      <c r="F7" s="118" t="str">
        <f>F6</f>
        <v>M/s.Dipti Home Makers Pvt. Ltd.</v>
      </c>
      <c r="G7" s="120"/>
      <c r="H7" s="120"/>
      <c r="I7" s="120"/>
      <c r="J7" s="121"/>
    </row>
    <row r="8" spans="1:10" x14ac:dyDescent="0.3">
      <c r="A8" s="112" t="s">
        <v>6</v>
      </c>
      <c r="B8" s="113"/>
      <c r="C8" s="113"/>
      <c r="D8" s="113"/>
      <c r="E8" s="114"/>
      <c r="F8" s="150" t="s">
        <v>132</v>
      </c>
      <c r="G8" s="108"/>
      <c r="H8" s="108"/>
      <c r="I8" s="108"/>
      <c r="J8" s="109"/>
    </row>
    <row r="9" spans="1:10" x14ac:dyDescent="0.3">
      <c r="A9" s="112" t="s">
        <v>134</v>
      </c>
      <c r="B9" s="113"/>
      <c r="C9" s="113"/>
      <c r="D9" s="113"/>
      <c r="E9" s="114"/>
      <c r="F9" s="112" t="s">
        <v>160</v>
      </c>
      <c r="G9" s="113"/>
      <c r="H9" s="113"/>
      <c r="I9" s="113"/>
      <c r="J9" s="114"/>
    </row>
    <row r="10" spans="1:10" x14ac:dyDescent="0.3">
      <c r="A10" s="112" t="s">
        <v>7</v>
      </c>
      <c r="B10" s="113"/>
      <c r="C10" s="113"/>
      <c r="D10" s="113"/>
      <c r="E10" s="114"/>
      <c r="F10" s="112" t="s">
        <v>133</v>
      </c>
      <c r="G10" s="113"/>
      <c r="H10" s="113"/>
      <c r="I10" s="113"/>
      <c r="J10" s="114"/>
    </row>
    <row r="11" spans="1:10" ht="99.5" customHeight="1" x14ac:dyDescent="0.3">
      <c r="A11" s="112" t="s">
        <v>8</v>
      </c>
      <c r="B11" s="113"/>
      <c r="C11" s="113"/>
      <c r="D11" s="113"/>
      <c r="E11" s="114"/>
      <c r="F11" s="115" t="s">
        <v>252</v>
      </c>
      <c r="G11" s="134"/>
      <c r="H11" s="134"/>
      <c r="I11" s="134"/>
      <c r="J11" s="135"/>
    </row>
    <row r="12" spans="1:10" x14ac:dyDescent="0.3">
      <c r="A12" s="112" t="s">
        <v>9</v>
      </c>
      <c r="B12" s="113"/>
      <c r="C12" s="113"/>
      <c r="D12" s="113"/>
      <c r="E12" s="114"/>
      <c r="F12" s="115" t="s">
        <v>130</v>
      </c>
      <c r="G12" s="116"/>
      <c r="H12" s="116"/>
      <c r="I12" s="116"/>
      <c r="J12" s="117"/>
    </row>
    <row r="13" spans="1:10" ht="44" customHeight="1" x14ac:dyDescent="0.3">
      <c r="A13" s="112" t="s">
        <v>161</v>
      </c>
      <c r="B13" s="113"/>
      <c r="C13" s="113"/>
      <c r="D13" s="113"/>
      <c r="E13" s="114"/>
      <c r="F13" s="118" t="s">
        <v>199</v>
      </c>
      <c r="G13" s="113"/>
      <c r="H13" s="113"/>
      <c r="I13" s="113"/>
      <c r="J13" s="114"/>
    </row>
    <row r="14" spans="1:10" ht="30.75" customHeight="1" x14ac:dyDescent="0.3">
      <c r="A14" s="119" t="s">
        <v>10</v>
      </c>
      <c r="B14" s="119"/>
      <c r="C14" s="118" t="str">
        <f>CONCATENATE((IF(OR(F8="",F8="NA"),"",F8)),", ",(IF(OR(A15="",A15="NA"),"",A15)),".",(IF(OR(C15="",C15="NA"),"",C15)),", ",(IF(OR(B16="",B16="NA"),"",B16)),", ",(IF(OR(I15="",I15="NA"),"",I15)),", ",(IF(OR(B17="",B17="NA"),"",B17)),", ",(IF(OR(G16="",G16="NA"),"",G16)),".")</f>
        <v>Dipti Sky City, Sr.No.54/3/, 54/3/D,  Plot A2 &amp; Sr.No.57/1(pt), Pale Village Road, Pale, Ambernath, Thane .</v>
      </c>
      <c r="D14" s="120"/>
      <c r="E14" s="120"/>
      <c r="F14" s="120"/>
      <c r="G14" s="120"/>
      <c r="H14" s="120"/>
      <c r="I14" s="120"/>
      <c r="J14" s="121"/>
    </row>
    <row r="15" spans="1:10" x14ac:dyDescent="0.3">
      <c r="A15" s="118" t="s">
        <v>127</v>
      </c>
      <c r="B15" s="121"/>
      <c r="C15" s="118" t="s">
        <v>200</v>
      </c>
      <c r="D15" s="120"/>
      <c r="E15" s="120"/>
      <c r="F15" s="120"/>
      <c r="G15" s="121"/>
      <c r="H15" s="1" t="s">
        <v>11</v>
      </c>
      <c r="I15" s="139" t="s">
        <v>138</v>
      </c>
      <c r="J15" s="140"/>
    </row>
    <row r="16" spans="1:10" x14ac:dyDescent="0.3">
      <c r="A16" s="39" t="s">
        <v>12</v>
      </c>
      <c r="B16" s="112" t="s">
        <v>201</v>
      </c>
      <c r="C16" s="113"/>
      <c r="D16" s="113"/>
      <c r="E16" s="114"/>
      <c r="F16" s="2" t="s">
        <v>13</v>
      </c>
      <c r="G16" s="112" t="s">
        <v>136</v>
      </c>
      <c r="H16" s="113"/>
      <c r="I16" s="113"/>
      <c r="J16" s="114"/>
    </row>
    <row r="17" spans="1:10" x14ac:dyDescent="0.3">
      <c r="A17" s="39" t="s">
        <v>14</v>
      </c>
      <c r="B17" s="112" t="s">
        <v>135</v>
      </c>
      <c r="C17" s="113"/>
      <c r="D17" s="113"/>
      <c r="E17" s="114"/>
      <c r="F17" s="2" t="s">
        <v>15</v>
      </c>
      <c r="G17" s="112">
        <v>421005</v>
      </c>
      <c r="H17" s="113"/>
      <c r="I17" s="113"/>
      <c r="J17" s="114"/>
    </row>
    <row r="18" spans="1:10" ht="32.25" customHeight="1" x14ac:dyDescent="0.3">
      <c r="A18" s="133" t="s">
        <v>16</v>
      </c>
      <c r="B18" s="133"/>
      <c r="C18" s="133" t="s">
        <v>137</v>
      </c>
      <c r="D18" s="133"/>
      <c r="E18" s="133"/>
      <c r="F18" s="119" t="s">
        <v>17</v>
      </c>
      <c r="G18" s="119"/>
      <c r="H18" s="116" t="s">
        <v>139</v>
      </c>
      <c r="I18" s="116"/>
      <c r="J18" s="117"/>
    </row>
    <row r="19" spans="1:10" ht="15" customHeight="1" x14ac:dyDescent="0.3">
      <c r="A19" s="122" t="s">
        <v>18</v>
      </c>
      <c r="B19" s="123"/>
      <c r="C19" s="123"/>
      <c r="D19" s="123"/>
      <c r="E19" s="124"/>
      <c r="F19" s="151" t="s">
        <v>19</v>
      </c>
      <c r="G19" s="152"/>
      <c r="H19" s="152"/>
      <c r="I19" s="152"/>
      <c r="J19" s="153"/>
    </row>
    <row r="20" spans="1:10" x14ac:dyDescent="0.3">
      <c r="A20" s="125"/>
      <c r="B20" s="126"/>
      <c r="C20" s="126"/>
      <c r="D20" s="126"/>
      <c r="E20" s="127"/>
      <c r="F20" s="154"/>
      <c r="G20" s="155"/>
      <c r="H20" s="155"/>
      <c r="I20" s="155"/>
      <c r="J20" s="156"/>
    </row>
    <row r="21" spans="1:10" ht="15" customHeight="1" x14ac:dyDescent="0.3">
      <c r="A21" s="122" t="s">
        <v>20</v>
      </c>
      <c r="B21" s="123"/>
      <c r="C21" s="123"/>
      <c r="D21" s="123"/>
      <c r="E21" s="124"/>
      <c r="F21" s="122" t="s">
        <v>21</v>
      </c>
      <c r="G21" s="123"/>
      <c r="H21" s="123"/>
      <c r="I21" s="123"/>
      <c r="J21" s="124"/>
    </row>
    <row r="22" spans="1:10" x14ac:dyDescent="0.3">
      <c r="A22" s="125"/>
      <c r="B22" s="126"/>
      <c r="C22" s="126"/>
      <c r="D22" s="126"/>
      <c r="E22" s="127"/>
      <c r="F22" s="125"/>
      <c r="G22" s="126"/>
      <c r="H22" s="126"/>
      <c r="I22" s="126"/>
      <c r="J22" s="127"/>
    </row>
    <row r="23" spans="1:10" ht="15" customHeight="1" x14ac:dyDescent="0.3">
      <c r="A23" s="112" t="s">
        <v>22</v>
      </c>
      <c r="B23" s="113"/>
      <c r="C23" s="113"/>
      <c r="D23" s="113"/>
      <c r="E23" s="114"/>
      <c r="F23" s="128" t="s">
        <v>23</v>
      </c>
      <c r="G23" s="129"/>
      <c r="H23" s="129"/>
      <c r="I23" s="129"/>
      <c r="J23" s="3"/>
    </row>
    <row r="24" spans="1:10" x14ac:dyDescent="0.3">
      <c r="A24" s="112" t="s">
        <v>24</v>
      </c>
      <c r="B24" s="113"/>
      <c r="C24" s="113"/>
      <c r="D24" s="113"/>
      <c r="E24" s="114"/>
      <c r="F24" s="130" t="s">
        <v>25</v>
      </c>
      <c r="G24" s="131"/>
      <c r="H24" s="131"/>
      <c r="I24" s="131"/>
      <c r="J24" s="132"/>
    </row>
    <row r="25" spans="1:10" ht="15" customHeight="1" x14ac:dyDescent="0.3">
      <c r="A25" s="112" t="s">
        <v>26</v>
      </c>
      <c r="B25" s="113"/>
      <c r="C25" s="113"/>
      <c r="D25" s="113"/>
      <c r="E25" s="114"/>
      <c r="F25" s="128" t="s">
        <v>27</v>
      </c>
      <c r="G25" s="129"/>
      <c r="H25" s="129"/>
      <c r="I25" s="129"/>
      <c r="J25" s="3"/>
    </row>
    <row r="26" spans="1:10" x14ac:dyDescent="0.3">
      <c r="A26" s="112" t="s">
        <v>28</v>
      </c>
      <c r="B26" s="113"/>
      <c r="C26" s="113"/>
      <c r="D26" s="113"/>
      <c r="E26" s="114"/>
      <c r="F26" s="130" t="s">
        <v>29</v>
      </c>
      <c r="G26" s="131"/>
      <c r="H26" s="131"/>
      <c r="I26" s="131"/>
      <c r="J26" s="132"/>
    </row>
    <row r="27" spans="1:10" x14ac:dyDescent="0.3">
      <c r="A27" s="157" t="s">
        <v>30</v>
      </c>
      <c r="B27" s="158"/>
      <c r="C27" s="157" t="s">
        <v>31</v>
      </c>
      <c r="D27" s="158"/>
      <c r="E27" s="157" t="s">
        <v>32</v>
      </c>
      <c r="F27" s="158"/>
      <c r="G27" s="157" t="s">
        <v>33</v>
      </c>
      <c r="H27" s="158"/>
      <c r="I27" s="157" t="s">
        <v>34</v>
      </c>
      <c r="J27" s="158"/>
    </row>
    <row r="28" spans="1:10" x14ac:dyDescent="0.3">
      <c r="A28" s="159" t="s">
        <v>35</v>
      </c>
      <c r="B28" s="160"/>
      <c r="C28" s="159" t="s">
        <v>36</v>
      </c>
      <c r="D28" s="160"/>
      <c r="E28" s="159" t="s">
        <v>36</v>
      </c>
      <c r="F28" s="160"/>
      <c r="G28" s="159" t="s">
        <v>36</v>
      </c>
      <c r="H28" s="160"/>
      <c r="I28" s="159" t="s">
        <v>36</v>
      </c>
      <c r="J28" s="160"/>
    </row>
    <row r="29" spans="1:10" x14ac:dyDescent="0.3">
      <c r="A29" s="159" t="s">
        <v>37</v>
      </c>
      <c r="B29" s="160"/>
      <c r="C29" s="159" t="s">
        <v>126</v>
      </c>
      <c r="D29" s="160"/>
      <c r="E29" s="159" t="s">
        <v>126</v>
      </c>
      <c r="F29" s="160"/>
      <c r="G29" s="159" t="s">
        <v>126</v>
      </c>
      <c r="H29" s="160"/>
      <c r="I29" s="159" t="s">
        <v>12</v>
      </c>
      <c r="J29" s="160"/>
    </row>
    <row r="30" spans="1:10" x14ac:dyDescent="0.3">
      <c r="A30" s="112" t="s">
        <v>38</v>
      </c>
      <c r="B30" s="113"/>
      <c r="C30" s="113"/>
      <c r="D30" s="113"/>
      <c r="E30" s="113"/>
      <c r="F30" s="113"/>
      <c r="G30" s="113"/>
      <c r="H30" s="113"/>
      <c r="I30" s="113"/>
      <c r="J30" s="114"/>
    </row>
    <row r="31" spans="1:10" x14ac:dyDescent="0.3">
      <c r="A31" s="112" t="s">
        <v>39</v>
      </c>
      <c r="B31" s="113"/>
      <c r="C31" s="113"/>
      <c r="D31" s="113"/>
      <c r="E31" s="113"/>
      <c r="F31" s="113"/>
      <c r="G31" s="113"/>
      <c r="H31" s="113"/>
      <c r="I31" s="113"/>
      <c r="J31" s="114"/>
    </row>
    <row r="32" spans="1:10" x14ac:dyDescent="0.3">
      <c r="A32" s="112" t="s">
        <v>40</v>
      </c>
      <c r="B32" s="114"/>
      <c r="C32" s="159" t="s">
        <v>41</v>
      </c>
      <c r="D32" s="160"/>
      <c r="E32" s="159">
        <v>19.1902255</v>
      </c>
      <c r="F32" s="160"/>
      <c r="G32" s="159" t="s">
        <v>42</v>
      </c>
      <c r="H32" s="160"/>
      <c r="I32" s="159">
        <v>73.1706693</v>
      </c>
      <c r="J32" s="160"/>
    </row>
    <row r="33" spans="1:10" ht="14.5" x14ac:dyDescent="0.3">
      <c r="A33" s="112" t="s">
        <v>202</v>
      </c>
      <c r="B33" s="114"/>
      <c r="C33" s="163" t="s">
        <v>203</v>
      </c>
      <c r="D33" s="113"/>
      <c r="E33" s="113"/>
      <c r="F33" s="113"/>
      <c r="G33" s="113"/>
      <c r="H33" s="113"/>
      <c r="I33" s="113"/>
      <c r="J33" s="114"/>
    </row>
    <row r="34" spans="1:10" x14ac:dyDescent="0.3">
      <c r="A34" s="161" t="s">
        <v>43</v>
      </c>
      <c r="B34" s="161"/>
      <c r="C34" s="161"/>
      <c r="D34" s="161"/>
      <c r="E34" s="161"/>
      <c r="F34" s="161"/>
      <c r="G34" s="161"/>
      <c r="H34" s="161"/>
      <c r="I34" s="161"/>
      <c r="J34" s="161"/>
    </row>
    <row r="35" spans="1:10" ht="15" customHeight="1" x14ac:dyDescent="0.3">
      <c r="A35" s="119" t="s">
        <v>44</v>
      </c>
      <c r="B35" s="119"/>
      <c r="C35" s="119"/>
      <c r="D35" s="119"/>
      <c r="E35" s="119"/>
      <c r="F35" s="162" t="s">
        <v>45</v>
      </c>
      <c r="G35" s="162"/>
      <c r="H35" s="162"/>
      <c r="I35" s="162"/>
      <c r="J35" s="1"/>
    </row>
    <row r="36" spans="1:10" ht="15" customHeight="1" x14ac:dyDescent="0.3">
      <c r="A36" s="119" t="s">
        <v>46</v>
      </c>
      <c r="B36" s="119"/>
      <c r="C36" s="119"/>
      <c r="D36" s="119"/>
      <c r="E36" s="119"/>
      <c r="F36" s="119" t="s">
        <v>47</v>
      </c>
      <c r="G36" s="119"/>
      <c r="H36" s="119"/>
      <c r="I36" s="119"/>
      <c r="J36" s="119"/>
    </row>
    <row r="37" spans="1:10" x14ac:dyDescent="0.3">
      <c r="A37" s="161" t="s">
        <v>48</v>
      </c>
      <c r="B37" s="161"/>
      <c r="C37" s="161"/>
      <c r="D37" s="161"/>
      <c r="E37" s="161"/>
      <c r="F37" s="161"/>
      <c r="G37" s="161"/>
      <c r="H37" s="161"/>
      <c r="I37" s="161"/>
      <c r="J37" s="161"/>
    </row>
    <row r="38" spans="1:10" x14ac:dyDescent="0.3">
      <c r="A38" s="133" t="s">
        <v>49</v>
      </c>
      <c r="B38" s="133"/>
      <c r="C38" s="133"/>
      <c r="D38" s="133"/>
      <c r="E38" s="133"/>
      <c r="F38" s="167">
        <v>14535.91</v>
      </c>
      <c r="G38" s="167"/>
      <c r="H38" s="167"/>
      <c r="I38" s="167"/>
      <c r="J38" s="167"/>
    </row>
    <row r="39" spans="1:10" x14ac:dyDescent="0.3">
      <c r="A39" s="133" t="s">
        <v>50</v>
      </c>
      <c r="B39" s="133"/>
      <c r="C39" s="133"/>
      <c r="D39" s="133"/>
      <c r="E39" s="133"/>
      <c r="F39" s="164">
        <v>1.1000000000000001</v>
      </c>
      <c r="G39" s="164"/>
      <c r="H39" s="164"/>
      <c r="I39" s="164"/>
      <c r="J39" s="164"/>
    </row>
    <row r="40" spans="1:10" x14ac:dyDescent="0.3">
      <c r="A40" s="133" t="s">
        <v>51</v>
      </c>
      <c r="B40" s="133"/>
      <c r="C40" s="133"/>
      <c r="D40" s="133"/>
      <c r="E40" s="133"/>
      <c r="F40" s="164">
        <f>F42/F38-F39</f>
        <v>0.14445941120989314</v>
      </c>
      <c r="G40" s="164"/>
      <c r="H40" s="164"/>
      <c r="I40" s="164"/>
      <c r="J40" s="164"/>
    </row>
    <row r="41" spans="1:10" x14ac:dyDescent="0.3">
      <c r="A41" s="133" t="s">
        <v>52</v>
      </c>
      <c r="B41" s="133"/>
      <c r="C41" s="133"/>
      <c r="D41" s="133"/>
      <c r="E41" s="133"/>
      <c r="F41" s="164">
        <f>F39+F40</f>
        <v>1.2444594112098932</v>
      </c>
      <c r="G41" s="164"/>
      <c r="H41" s="164"/>
      <c r="I41" s="164"/>
      <c r="J41" s="164"/>
    </row>
    <row r="42" spans="1:10" x14ac:dyDescent="0.3">
      <c r="A42" s="133" t="s">
        <v>53</v>
      </c>
      <c r="B42" s="133"/>
      <c r="C42" s="133"/>
      <c r="D42" s="133"/>
      <c r="E42" s="133"/>
      <c r="F42" s="165">
        <v>18089.349999999999</v>
      </c>
      <c r="G42" s="165"/>
      <c r="H42" s="165"/>
      <c r="I42" s="165"/>
      <c r="J42" s="165"/>
    </row>
    <row r="43" spans="1:10" x14ac:dyDescent="0.3">
      <c r="A43" s="133" t="s">
        <v>54</v>
      </c>
      <c r="B43" s="133"/>
      <c r="C43" s="133"/>
      <c r="D43" s="133"/>
      <c r="E43" s="133"/>
      <c r="F43" s="166" t="s">
        <v>251</v>
      </c>
      <c r="G43" s="166"/>
      <c r="H43" s="166"/>
      <c r="I43" s="166"/>
      <c r="J43" s="166"/>
    </row>
    <row r="44" spans="1:10" x14ac:dyDescent="0.3">
      <c r="A44" s="161" t="s">
        <v>55</v>
      </c>
      <c r="B44" s="161"/>
      <c r="C44" s="161"/>
      <c r="D44" s="161"/>
      <c r="E44" s="161"/>
      <c r="F44" s="161"/>
      <c r="G44" s="161"/>
      <c r="H44" s="161"/>
      <c r="I44" s="161"/>
      <c r="J44" s="161"/>
    </row>
    <row r="45" spans="1:10" ht="33.75" customHeight="1" x14ac:dyDescent="0.3">
      <c r="A45" s="119" t="s">
        <v>166</v>
      </c>
      <c r="B45" s="119"/>
      <c r="C45" s="119" t="s">
        <v>162</v>
      </c>
      <c r="D45" s="119"/>
      <c r="E45" s="119"/>
      <c r="F45" s="119"/>
      <c r="G45" s="86" t="s">
        <v>56</v>
      </c>
      <c r="H45" s="119" t="s">
        <v>163</v>
      </c>
      <c r="I45" s="119"/>
      <c r="J45" s="119"/>
    </row>
    <row r="46" spans="1:10" ht="33.75" customHeight="1" x14ac:dyDescent="0.3">
      <c r="A46" s="118" t="s">
        <v>167</v>
      </c>
      <c r="B46" s="121"/>
      <c r="C46" s="118" t="s">
        <v>140</v>
      </c>
      <c r="D46" s="120"/>
      <c r="E46" s="120"/>
      <c r="F46" s="121"/>
      <c r="G46" s="40" t="s">
        <v>56</v>
      </c>
      <c r="H46" s="118" t="s">
        <v>141</v>
      </c>
      <c r="I46" s="120"/>
      <c r="J46" s="121"/>
    </row>
    <row r="47" spans="1:10" ht="46.5" customHeight="1" x14ac:dyDescent="0.3">
      <c r="A47" s="118" t="s">
        <v>165</v>
      </c>
      <c r="B47" s="114"/>
      <c r="C47" s="118" t="s">
        <v>255</v>
      </c>
      <c r="D47" s="120"/>
      <c r="E47" s="120"/>
      <c r="F47" s="121"/>
      <c r="G47" s="40" t="s">
        <v>56</v>
      </c>
      <c r="H47" s="118" t="str">
        <f>H45</f>
        <v>22/11/2013.</v>
      </c>
      <c r="I47" s="120"/>
      <c r="J47" s="121"/>
    </row>
    <row r="48" spans="1:10" ht="47.25" customHeight="1" x14ac:dyDescent="0.3">
      <c r="A48" s="118" t="s">
        <v>168</v>
      </c>
      <c r="B48" s="114"/>
      <c r="C48" s="118" t="str">
        <f>C46</f>
        <v>AMC/TPD/BP/17-18/1435/8806/90</v>
      </c>
      <c r="D48" s="120"/>
      <c r="E48" s="120"/>
      <c r="F48" s="121"/>
      <c r="G48" s="40" t="s">
        <v>56</v>
      </c>
      <c r="H48" s="118" t="str">
        <f>H46</f>
        <v>25/01/2018.</v>
      </c>
      <c r="I48" s="120"/>
      <c r="J48" s="121"/>
    </row>
    <row r="49" spans="1:13" ht="60.75" customHeight="1" x14ac:dyDescent="0.3">
      <c r="A49" s="118" t="s">
        <v>169</v>
      </c>
      <c r="B49" s="121"/>
      <c r="C49" s="118" t="s">
        <v>164</v>
      </c>
      <c r="D49" s="113"/>
      <c r="E49" s="113"/>
      <c r="F49" s="114"/>
      <c r="G49" s="2" t="s">
        <v>56</v>
      </c>
      <c r="H49" s="112" t="s">
        <v>163</v>
      </c>
      <c r="I49" s="113"/>
      <c r="J49" s="114"/>
      <c r="M49" s="44">
        <f>470*1.2</f>
        <v>564</v>
      </c>
    </row>
    <row r="50" spans="1:13" ht="59.5" customHeight="1" x14ac:dyDescent="0.3">
      <c r="A50" s="118" t="s">
        <v>170</v>
      </c>
      <c r="B50" s="121"/>
      <c r="C50" s="118" t="s">
        <v>142</v>
      </c>
      <c r="D50" s="113"/>
      <c r="E50" s="113"/>
      <c r="F50" s="114"/>
      <c r="G50" s="2" t="s">
        <v>56</v>
      </c>
      <c r="H50" s="112" t="str">
        <f>H48</f>
        <v>25/01/2018.</v>
      </c>
      <c r="I50" s="113"/>
      <c r="J50" s="114"/>
    </row>
    <row r="51" spans="1:13" ht="33.75" customHeight="1" x14ac:dyDescent="0.3">
      <c r="A51" s="118" t="s">
        <v>226</v>
      </c>
      <c r="B51" s="121"/>
      <c r="C51" s="118" t="s">
        <v>227</v>
      </c>
      <c r="D51" s="120"/>
      <c r="E51" s="120"/>
      <c r="F51" s="121"/>
      <c r="G51" s="57" t="s">
        <v>56</v>
      </c>
      <c r="H51" s="198">
        <v>44832</v>
      </c>
      <c r="I51" s="120"/>
      <c r="J51" s="121"/>
    </row>
    <row r="52" spans="1:13" ht="30" customHeight="1" x14ac:dyDescent="0.3">
      <c r="A52" s="118" t="s">
        <v>228</v>
      </c>
      <c r="B52" s="114"/>
      <c r="C52" s="118" t="str">
        <f>C51</f>
        <v>ANP/NRV/BP/2022-23/839/9363/55</v>
      </c>
      <c r="D52" s="120"/>
      <c r="E52" s="120"/>
      <c r="F52" s="121"/>
      <c r="G52" s="57" t="s">
        <v>56</v>
      </c>
      <c r="H52" s="198">
        <f>H51</f>
        <v>44832</v>
      </c>
      <c r="I52" s="120"/>
      <c r="J52" s="121"/>
    </row>
    <row r="53" spans="1:13" ht="64.5" customHeight="1" x14ac:dyDescent="0.3">
      <c r="A53" s="118" t="s">
        <v>224</v>
      </c>
      <c r="B53" s="121"/>
      <c r="C53" s="118" t="s">
        <v>229</v>
      </c>
      <c r="D53" s="113"/>
      <c r="E53" s="113"/>
      <c r="F53" s="114"/>
      <c r="G53" s="2" t="s">
        <v>56</v>
      </c>
      <c r="H53" s="147">
        <f>H52</f>
        <v>44832</v>
      </c>
      <c r="I53" s="113"/>
      <c r="J53" s="114"/>
    </row>
    <row r="54" spans="1:13" s="56" customFormat="1" ht="44.25" customHeight="1" x14ac:dyDescent="0.3">
      <c r="A54" s="106" t="s">
        <v>57</v>
      </c>
      <c r="B54" s="107"/>
      <c r="C54" s="106" t="s">
        <v>259</v>
      </c>
      <c r="D54" s="108"/>
      <c r="E54" s="108"/>
      <c r="F54" s="109" t="s">
        <v>58</v>
      </c>
      <c r="G54" s="83" t="s">
        <v>56</v>
      </c>
      <c r="H54" s="110">
        <v>42832</v>
      </c>
      <c r="I54" s="111" t="s">
        <v>36</v>
      </c>
      <c r="J54" s="107"/>
    </row>
    <row r="55" spans="1:13" s="56" customFormat="1" ht="44.25" customHeight="1" x14ac:dyDescent="0.3">
      <c r="A55" s="106"/>
      <c r="B55" s="107"/>
      <c r="C55" s="106" t="s">
        <v>260</v>
      </c>
      <c r="D55" s="108"/>
      <c r="E55" s="108"/>
      <c r="F55" s="109"/>
      <c r="G55" s="83" t="s">
        <v>56</v>
      </c>
      <c r="H55" s="110">
        <v>44733</v>
      </c>
      <c r="I55" s="111"/>
      <c r="J55" s="107"/>
    </row>
    <row r="56" spans="1:13" x14ac:dyDescent="0.3">
      <c r="A56" s="133" t="s">
        <v>59</v>
      </c>
      <c r="B56" s="133"/>
      <c r="C56" s="133"/>
      <c r="D56" s="170" t="str">
        <f>H50</f>
        <v>25/01/2018.</v>
      </c>
      <c r="E56" s="170"/>
      <c r="F56" s="112" t="s">
        <v>60</v>
      </c>
      <c r="G56" s="171"/>
      <c r="H56" s="147" t="s">
        <v>249</v>
      </c>
      <c r="I56" s="113"/>
      <c r="J56" s="114"/>
    </row>
    <row r="57" spans="1:13" x14ac:dyDescent="0.3">
      <c r="A57" s="172" t="s">
        <v>61</v>
      </c>
      <c r="B57" s="173"/>
      <c r="C57" s="173"/>
      <c r="D57" s="173"/>
      <c r="E57" s="173"/>
      <c r="F57" s="173"/>
      <c r="G57" s="173"/>
      <c r="H57" s="173"/>
      <c r="I57" s="173"/>
      <c r="J57" s="174"/>
    </row>
    <row r="58" spans="1:13" ht="15" customHeight="1" x14ac:dyDescent="0.3">
      <c r="A58" s="112" t="s">
        <v>62</v>
      </c>
      <c r="B58" s="113"/>
      <c r="C58" s="114"/>
      <c r="D58" s="175">
        <v>4187.6400000000003</v>
      </c>
      <c r="E58" s="160"/>
      <c r="F58" s="176" t="s">
        <v>63</v>
      </c>
      <c r="G58" s="177"/>
      <c r="H58" s="115" t="s">
        <v>257</v>
      </c>
      <c r="I58" s="116"/>
      <c r="J58" s="117"/>
    </row>
    <row r="59" spans="1:13" ht="31.5" customHeight="1" x14ac:dyDescent="0.3">
      <c r="A59" s="168" t="s">
        <v>64</v>
      </c>
      <c r="B59" s="134"/>
      <c r="C59" s="115" t="s">
        <v>225</v>
      </c>
      <c r="D59" s="116"/>
      <c r="E59" s="116"/>
      <c r="F59" s="116"/>
      <c r="G59" s="116"/>
      <c r="H59" s="116"/>
      <c r="I59" s="116"/>
      <c r="J59" s="117"/>
    </row>
    <row r="60" spans="1:13" x14ac:dyDescent="0.3">
      <c r="A60" s="133" t="s">
        <v>65</v>
      </c>
      <c r="B60" s="133"/>
      <c r="C60" s="133"/>
      <c r="D60" s="169" t="s">
        <v>248</v>
      </c>
      <c r="E60" s="169"/>
      <c r="F60" s="169"/>
      <c r="G60" s="169"/>
      <c r="H60" s="169"/>
      <c r="I60" s="169"/>
      <c r="J60" s="169"/>
    </row>
    <row r="61" spans="1:13" ht="14.5" thickBot="1" x14ac:dyDescent="0.35">
      <c r="A61" s="133" t="s">
        <v>172</v>
      </c>
      <c r="B61" s="133"/>
      <c r="C61" s="133"/>
      <c r="D61" s="133"/>
      <c r="E61" s="133"/>
      <c r="F61" s="133"/>
      <c r="G61" s="133"/>
      <c r="H61" s="133"/>
      <c r="I61" s="133"/>
      <c r="J61" s="133"/>
    </row>
    <row r="62" spans="1:13" ht="15" customHeight="1" x14ac:dyDescent="0.3">
      <c r="A62" s="101" t="s">
        <v>173</v>
      </c>
      <c r="B62" s="101"/>
      <c r="C62" s="101"/>
      <c r="D62" s="101"/>
      <c r="E62" s="101"/>
      <c r="F62" s="101"/>
      <c r="G62" s="101"/>
      <c r="H62" s="101"/>
      <c r="I62" s="101"/>
      <c r="J62" s="101"/>
      <c r="K62" s="41" t="str">
        <f>(IF(F64&gt;99%,"All work completed. Please provide OC.",IF(F64&gt;89.8%,"Plinth, RCC, Brick, Plaster, Flooring, Painting work Completed. Finishing work is in process.",IF(F64&lt;94%,(IF(C64=0,"Work not yet Started.",IF(D64=25%,"Piling work in process",IF(D64=50%,"Excavation work in process",IF(D64=100%,"Excavation work Completed. ","0")))&amp;(IF(C65=0%,"",IF(C65=L66,"Footing work is process",IF(C65=L67,"Footing work Completed",IF(C65=L68,"1st Basement Completed",IF(C65=L69,"1st &amp; 2nd Basement Completed",IF(C65=#REF!,"1st to 3rd Basement Completed",IF(C65=#REF!,"1st to 4th Basement Completed",IF(C65=#REF!,"Plinth work is process",IF(C65=#REF!,"Plinth work completed","0")))))))))))&amp;(IF(C66=(#REF!+#REF!+#REF!),", RCC Slab",IF(C66&gt;0,", RCC upto "&amp;C66&amp;" Slab",""))&amp;(IF(C67=#REF!,", Brickwork",IF(C67&gt;0,", Brickwork upto "&amp;C67&amp;" Floor",""))&amp;(IF(C68=#REF!,", Internal Plaster",IF(C68&gt;0,", Internal Plaster upto "&amp;C68&amp;" Floor",""))&amp;(IF(C69=#REF!,", External Plaster",IF(C69&gt;0,", External Plaster upto "&amp;C69&amp;" Floor",""))&amp;(IF(#REF!=#REF!,", Flooring",IF(#REF!&gt;0,", Flooring upto "&amp;#REF!&amp;" Floor",""))&amp;(IF(#REF!=#REF!,", Painting",IF(#REF!&gt;0,", Painting upto "&amp;#REF!&amp;" Floor",""))&amp;(IF(#REF!&gt;0,", Finishing upto "&amp;#REF!&amp;" Floor","")&amp;(IF(C66&gt;0.5," Completed",""))))))))))))))</f>
        <v>All work completed. Please provide OC.</v>
      </c>
      <c r="L62" s="45"/>
    </row>
    <row r="63" spans="1:13" ht="15" customHeight="1" x14ac:dyDescent="0.3">
      <c r="A63" s="102" t="s">
        <v>187</v>
      </c>
      <c r="B63" s="102"/>
      <c r="C63" s="102" t="s">
        <v>188</v>
      </c>
      <c r="D63" s="102"/>
      <c r="E63" s="102"/>
      <c r="F63" s="102" t="s">
        <v>176</v>
      </c>
      <c r="G63" s="102"/>
      <c r="H63" s="102" t="s">
        <v>177</v>
      </c>
      <c r="I63" s="102"/>
      <c r="J63" s="102"/>
      <c r="K63" s="43" t="s">
        <v>178</v>
      </c>
      <c r="L63" s="46" t="e">
        <f>#REF!*25%</f>
        <v>#REF!</v>
      </c>
    </row>
    <row r="64" spans="1:13" ht="43.5" customHeight="1" x14ac:dyDescent="0.3">
      <c r="A64" s="103" t="s">
        <v>193</v>
      </c>
      <c r="B64" s="103"/>
      <c r="C64" s="104" t="s">
        <v>189</v>
      </c>
      <c r="D64" s="104"/>
      <c r="E64" s="104"/>
      <c r="F64" s="105">
        <v>1</v>
      </c>
      <c r="G64" s="105"/>
      <c r="H64" s="105">
        <v>1</v>
      </c>
      <c r="I64" s="105"/>
      <c r="J64" s="105"/>
      <c r="K64" s="43" t="s">
        <v>179</v>
      </c>
      <c r="L64" s="47" t="e">
        <f>#REF!*50%</f>
        <v>#REF!</v>
      </c>
    </row>
    <row r="65" spans="1:12" ht="15" hidden="1" customHeight="1" x14ac:dyDescent="0.3">
      <c r="A65" s="103" t="s">
        <v>191</v>
      </c>
      <c r="B65" s="103"/>
      <c r="C65" s="104"/>
      <c r="D65" s="104"/>
      <c r="E65" s="104"/>
      <c r="F65" s="105"/>
      <c r="G65" s="105"/>
      <c r="H65" s="105"/>
      <c r="I65" s="105"/>
      <c r="J65" s="105"/>
      <c r="K65" s="43" t="s">
        <v>180</v>
      </c>
      <c r="L65" s="47" t="e">
        <f>#REF!</f>
        <v>#REF!</v>
      </c>
    </row>
    <row r="66" spans="1:12" ht="42" customHeight="1" x14ac:dyDescent="0.35">
      <c r="A66" s="103" t="s">
        <v>194</v>
      </c>
      <c r="B66" s="103"/>
      <c r="C66" s="104"/>
      <c r="D66" s="104"/>
      <c r="E66" s="104"/>
      <c r="F66" s="105"/>
      <c r="G66" s="105"/>
      <c r="H66" s="105"/>
      <c r="I66" s="105"/>
      <c r="J66" s="105"/>
      <c r="K66" s="43" t="s">
        <v>181</v>
      </c>
      <c r="L66" s="48" t="e">
        <f>(IF(#REF!&gt;1,(#REF!/(#REF!+2)),#REF!/4))</f>
        <v>#REF!</v>
      </c>
    </row>
    <row r="67" spans="1:12" ht="15" hidden="1" customHeight="1" x14ac:dyDescent="0.35">
      <c r="A67" s="103" t="s">
        <v>192</v>
      </c>
      <c r="B67" s="103" t="s">
        <v>182</v>
      </c>
      <c r="C67" s="104"/>
      <c r="D67" s="104"/>
      <c r="E67" s="104"/>
      <c r="F67" s="105"/>
      <c r="G67" s="105"/>
      <c r="H67" s="105"/>
      <c r="I67" s="105"/>
      <c r="J67" s="105"/>
      <c r="K67" s="43" t="s">
        <v>183</v>
      </c>
      <c r="L67" s="48" t="e">
        <f>(IF(#REF!&gt;1,(#REF!/(#REF!+2)+L66),#REF!/4+L66))</f>
        <v>#REF!</v>
      </c>
    </row>
    <row r="68" spans="1:12" ht="45" hidden="1" customHeight="1" x14ac:dyDescent="0.35">
      <c r="A68" s="103" t="s">
        <v>195</v>
      </c>
      <c r="B68" s="103" t="s">
        <v>182</v>
      </c>
      <c r="C68" s="104"/>
      <c r="D68" s="104"/>
      <c r="E68" s="104"/>
      <c r="F68" s="105"/>
      <c r="G68" s="105"/>
      <c r="H68" s="105"/>
      <c r="I68" s="105"/>
      <c r="J68" s="105"/>
      <c r="K68" s="43" t="s">
        <v>184</v>
      </c>
      <c r="L68" s="48" t="e">
        <f>(IF(#REF!&gt;1,(#REF!/(#REF!+2)+L67),0))</f>
        <v>#REF!</v>
      </c>
    </row>
    <row r="69" spans="1:12" ht="15" hidden="1" customHeight="1" x14ac:dyDescent="0.35">
      <c r="A69" s="103" t="s">
        <v>190</v>
      </c>
      <c r="B69" s="103" t="s">
        <v>185</v>
      </c>
      <c r="C69" s="104"/>
      <c r="D69" s="104"/>
      <c r="E69" s="104"/>
      <c r="F69" s="105"/>
      <c r="G69" s="105"/>
      <c r="H69" s="105"/>
      <c r="I69" s="105"/>
      <c r="J69" s="105"/>
      <c r="K69" s="43" t="s">
        <v>186</v>
      </c>
      <c r="L69" s="48" t="e">
        <f>(IF(#REF!&gt;2,(#REF!/(#REF!+2)+L68),0))</f>
        <v>#REF!</v>
      </c>
    </row>
    <row r="70" spans="1:12" ht="33.75" customHeight="1" thickBot="1" x14ac:dyDescent="0.35">
      <c r="A70" s="190" t="s">
        <v>174</v>
      </c>
      <c r="B70" s="191"/>
      <c r="C70" s="192" t="str">
        <f>K62</f>
        <v>All work completed. Please provide OC.</v>
      </c>
      <c r="D70" s="192"/>
      <c r="E70" s="192"/>
      <c r="F70" s="192"/>
      <c r="G70" s="192"/>
      <c r="H70" s="192"/>
      <c r="I70" s="192"/>
      <c r="J70" s="192"/>
      <c r="K70" s="42" t="s">
        <v>175</v>
      </c>
      <c r="L70" s="49"/>
    </row>
    <row r="71" spans="1:12" ht="15" customHeight="1" x14ac:dyDescent="0.3">
      <c r="A71" s="101" t="s">
        <v>173</v>
      </c>
      <c r="B71" s="101"/>
      <c r="C71" s="101"/>
      <c r="D71" s="101"/>
      <c r="E71" s="101"/>
      <c r="F71" s="101"/>
      <c r="G71" s="101"/>
      <c r="H71" s="101"/>
      <c r="I71" s="101"/>
      <c r="J71" s="101"/>
      <c r="K71" s="41" t="str">
        <f>(IF(F73&gt;99%,"All work completed. Please provide OC.",IF(F73&gt;89.8%,"Plinth, RCC, Brick, Plaster, Flooring, Painting work Completed. Finishing work is in process.",IF(F73&lt;94%,(IF(C73=0,"Work not yet Started.",IF(D73=25%,"Piling work in process",IF(D73=50%,"Excavation work in process",IF(D73=100%,"Excavation work Completed. ","0")))&amp;(IF(C74=0%,"",IF(C74=L75,"Footing work is process",IF(C74=L76,"Footing work Completed",IF(C74=L77,"1st Basement Completed",IF(C74=L78,"1st &amp; 2nd Basement Completed",IF(C74=#REF!,"1st to 3rd Basement Completed",IF(C74=#REF!,"1st to 4th Basement Completed",IF(C74=#REF!,"Plinth work is process",IF(C74=#REF!,"Plinth work completed","0")))))))))))&amp;(IF(C75=(#REF!+#REF!+#REF!),", RCC Slab",IF(C75&gt;0,", RCC upto "&amp;C75&amp;" Slab",""))&amp;(IF(C76=#REF!,", Brickwork",IF(C76&gt;0,", Brickwork upto "&amp;C76&amp;" Floor",""))&amp;(IF(C77=#REF!,", Internal Plaster",IF(C77&gt;0,", Internal Plaster upto "&amp;C77&amp;" Floor",""))&amp;(IF(C78=#REF!,", External Plaster",IF(C78&gt;0,", External Plaster upto "&amp;C78&amp;" Floor",""))&amp;(IF(#REF!=#REF!,", Flooring",IF(#REF!&gt;0,", Flooring upto "&amp;#REF!&amp;" Floor",""))&amp;(IF(#REF!=#REF!,", Painting",IF(#REF!&gt;0,", Painting upto "&amp;#REF!&amp;" Floor",""))&amp;(IF(#REF!&gt;0,", Finishing upto "&amp;#REF!&amp;" Floor","")&amp;(IF(C75&gt;0.5," Completed",""))))))))))))))</f>
        <v>All work completed. Please provide OC.</v>
      </c>
      <c r="L71" s="45"/>
    </row>
    <row r="72" spans="1:12" ht="15" customHeight="1" x14ac:dyDescent="0.3">
      <c r="A72" s="102" t="s">
        <v>187</v>
      </c>
      <c r="B72" s="102"/>
      <c r="C72" s="102" t="s">
        <v>188</v>
      </c>
      <c r="D72" s="102"/>
      <c r="E72" s="102"/>
      <c r="F72" s="102" t="s">
        <v>176</v>
      </c>
      <c r="G72" s="102"/>
      <c r="H72" s="102" t="s">
        <v>177</v>
      </c>
      <c r="I72" s="102"/>
      <c r="J72" s="102"/>
      <c r="K72" s="43" t="s">
        <v>178</v>
      </c>
      <c r="L72" s="46" t="e">
        <f>#REF!*25%</f>
        <v>#REF!</v>
      </c>
    </row>
    <row r="73" spans="1:12" ht="32.25" hidden="1" customHeight="1" x14ac:dyDescent="0.3">
      <c r="A73" s="103" t="s">
        <v>193</v>
      </c>
      <c r="B73" s="103"/>
      <c r="C73" s="104" t="s">
        <v>189</v>
      </c>
      <c r="D73" s="104"/>
      <c r="E73" s="104"/>
      <c r="F73" s="105">
        <v>1</v>
      </c>
      <c r="G73" s="105"/>
      <c r="H73" s="105">
        <v>1</v>
      </c>
      <c r="I73" s="105"/>
      <c r="J73" s="105"/>
      <c r="K73" s="43" t="s">
        <v>179</v>
      </c>
      <c r="L73" s="47" t="e">
        <f>#REF!*50%</f>
        <v>#REF!</v>
      </c>
    </row>
    <row r="74" spans="1:12" ht="15" customHeight="1" x14ac:dyDescent="0.3">
      <c r="A74" s="103" t="s">
        <v>191</v>
      </c>
      <c r="B74" s="103"/>
      <c r="C74" s="104"/>
      <c r="D74" s="104"/>
      <c r="E74" s="104"/>
      <c r="F74" s="105"/>
      <c r="G74" s="105"/>
      <c r="H74" s="105"/>
      <c r="I74" s="105"/>
      <c r="J74" s="105"/>
      <c r="K74" s="43" t="s">
        <v>180</v>
      </c>
      <c r="L74" s="47" t="e">
        <f>#REF!</f>
        <v>#REF!</v>
      </c>
    </row>
    <row r="75" spans="1:12" ht="29.25" hidden="1" customHeight="1" x14ac:dyDescent="0.35">
      <c r="A75" s="103" t="s">
        <v>194</v>
      </c>
      <c r="B75" s="103"/>
      <c r="C75" s="104"/>
      <c r="D75" s="104"/>
      <c r="E75" s="104"/>
      <c r="F75" s="105"/>
      <c r="G75" s="105"/>
      <c r="H75" s="105"/>
      <c r="I75" s="105"/>
      <c r="J75" s="105"/>
      <c r="K75" s="43" t="s">
        <v>181</v>
      </c>
      <c r="L75" s="48" t="e">
        <f>(IF(#REF!&gt;1,(#REF!/(#REF!+2)),#REF!/4))</f>
        <v>#REF!</v>
      </c>
    </row>
    <row r="76" spans="1:12" ht="15" customHeight="1" x14ac:dyDescent="0.35">
      <c r="A76" s="103" t="s">
        <v>192</v>
      </c>
      <c r="B76" s="103" t="s">
        <v>182</v>
      </c>
      <c r="C76" s="104"/>
      <c r="D76" s="104"/>
      <c r="E76" s="104"/>
      <c r="F76" s="105"/>
      <c r="G76" s="105"/>
      <c r="H76" s="105"/>
      <c r="I76" s="105"/>
      <c r="J76" s="105"/>
      <c r="K76" s="43" t="s">
        <v>183</v>
      </c>
      <c r="L76" s="48" t="e">
        <f>(IF(#REF!&gt;1,(#REF!/(#REF!+2)+L75),#REF!/4+L75))</f>
        <v>#REF!</v>
      </c>
    </row>
    <row r="77" spans="1:12" ht="45" customHeight="1" x14ac:dyDescent="0.35">
      <c r="A77" s="103" t="s">
        <v>195</v>
      </c>
      <c r="B77" s="103" t="s">
        <v>182</v>
      </c>
      <c r="C77" s="104"/>
      <c r="D77" s="104"/>
      <c r="E77" s="104"/>
      <c r="F77" s="105"/>
      <c r="G77" s="105"/>
      <c r="H77" s="105"/>
      <c r="I77" s="105"/>
      <c r="J77" s="105"/>
      <c r="K77" s="43" t="s">
        <v>184</v>
      </c>
      <c r="L77" s="48" t="e">
        <f>(IF(#REF!&gt;1,(#REF!/(#REF!+2)+L76),0))</f>
        <v>#REF!</v>
      </c>
    </row>
    <row r="78" spans="1:12" ht="15" customHeight="1" x14ac:dyDescent="0.35">
      <c r="A78" s="103" t="s">
        <v>190</v>
      </c>
      <c r="B78" s="103" t="s">
        <v>185</v>
      </c>
      <c r="C78" s="104"/>
      <c r="D78" s="104"/>
      <c r="E78" s="104"/>
      <c r="F78" s="105"/>
      <c r="G78" s="105"/>
      <c r="H78" s="105"/>
      <c r="I78" s="105"/>
      <c r="J78" s="105"/>
      <c r="K78" s="43" t="s">
        <v>186</v>
      </c>
      <c r="L78" s="48" t="e">
        <f>(IF(#REF!&gt;2,(#REF!/(#REF!+2)+L77),0))</f>
        <v>#REF!</v>
      </c>
    </row>
    <row r="79" spans="1:12" ht="33.75" customHeight="1" thickBot="1" x14ac:dyDescent="0.35">
      <c r="A79" s="93" t="s">
        <v>174</v>
      </c>
      <c r="B79" s="94"/>
      <c r="C79" s="95" t="str">
        <f>K70</f>
        <v>All work Completed. OC Received.</v>
      </c>
      <c r="D79" s="96"/>
      <c r="E79" s="96"/>
      <c r="F79" s="96"/>
      <c r="G79" s="96"/>
      <c r="H79" s="96"/>
      <c r="I79" s="96"/>
      <c r="J79" s="97"/>
      <c r="K79" s="42" t="s">
        <v>175</v>
      </c>
      <c r="L79" s="49"/>
    </row>
    <row r="80" spans="1:12" customFormat="1" ht="15" x14ac:dyDescent="0.35">
      <c r="A80" s="199" t="s">
        <v>173</v>
      </c>
      <c r="B80" s="200"/>
      <c r="C80" s="201" t="s">
        <v>262</v>
      </c>
      <c r="D80" s="202"/>
      <c r="E80" s="202"/>
      <c r="F80" s="202"/>
      <c r="G80" s="202"/>
      <c r="H80" s="202"/>
      <c r="I80" s="202"/>
      <c r="J80" s="203"/>
      <c r="K80" s="58" t="str">
        <f>IF(D93=100%,"All work Completed. Possession granted to the Building.",IF(D92=100%,"All work Completed, Waiting for OC",K81&amp;""&amp;K82&amp;""&amp;L81&amp;""&amp;L80&amp;" "&amp;L82))</f>
        <v>Excavation, Plinth Completed, RCC upto 12 Slab, Brickwork upto 10 Floor Completed</v>
      </c>
      <c r="L80" s="59" t="str">
        <f>(IF(C86=(D81+G81+I81),"",IF(C86&gt;0,", RCC upto "&amp;C86&amp;" Slab","")))&amp;(IF(C87=I81,"",IF(C87&gt;0,", Brickwork upto "&amp;C87&amp;" Floor","")))&amp;(IF(C88=I81,"",IF(C88&gt;0,", Internal Plaster upto "&amp;C88&amp;" Floor","")))&amp;(IF(C89=I81,"",IF(C89&gt;0,", External Plaster upto "&amp;C89&amp;" Floor","")))&amp;(IF(C90=I81,"",IF(C90&gt;0,", Flooring upto "&amp;C90&amp;" Floor","")))&amp;(IF(C91=I81,"",IF(C91&gt;0,", Painting upto "&amp;C91&amp;" Floor","")))&amp;(IF(C92=I81,"",IF(C92&gt;0,", Finishing upto "&amp;C92&amp;" Floor","")))&amp;(IF(C93=I81,"",IF(C93&gt;0,", Possession upto "&amp;C93&amp;" Floor","")))</f>
        <v>, RCC upto 12 Slab, Brickwork upto 10 Floor</v>
      </c>
    </row>
    <row r="81" spans="1:12" customFormat="1" ht="15.5" x14ac:dyDescent="0.35">
      <c r="A81" s="60" t="s">
        <v>204</v>
      </c>
      <c r="B81" s="61">
        <v>0</v>
      </c>
      <c r="C81" s="61" t="s">
        <v>205</v>
      </c>
      <c r="D81" s="61">
        <v>1</v>
      </c>
      <c r="E81" s="61"/>
      <c r="F81" s="61" t="s">
        <v>206</v>
      </c>
      <c r="G81" s="61">
        <v>0</v>
      </c>
      <c r="H81" s="61" t="s">
        <v>207</v>
      </c>
      <c r="I81" s="204">
        <v>16</v>
      </c>
      <c r="J81" s="205"/>
      <c r="K81" s="62" t="str">
        <f>IF(D84=100%,"Excavation","")&amp;IF(D85=100%,", Plinth","")&amp;IF(D86=100%,", RCC Slab","")&amp;IF(D87=100%,", Brickwork","")&amp;IF(D88=100%,", Internal Plaster","")&amp;IF(D89=100%,", External Plaster","")&amp;IF(D90=100%,", Flooring","")&amp;IF(D91=100%,", Painting","")&amp;IF(D92=100%,", Building common Amenities","")</f>
        <v>Excavation, Plinth</v>
      </c>
      <c r="L81" s="63" t="str">
        <f>(IF(C84=0,"Work not yet Started.",IF(D84=25%,"Piling work in process",IF(D84=50%,"Excavation work in process",IF(D84=100%,"","0")))))&amp;(IF(C85=0%,"",IF(C85=L86,", Footing work is process",IF(C85=L87,", Footing work Completed",IF(C85=L88,", 1st Basement Completed",IF(C85=L89,", 1st &amp; 2nd Basement Completed",IF(C85=L90,", 1st to 3rd Basement Completed",IF(C85=L91,", 1st to 4th Basement Completed",IF(C85=L92,", Plinth work is process",IF(C85=L93,"","0"))))))))))</f>
        <v/>
      </c>
    </row>
    <row r="82" spans="1:12" customFormat="1" ht="15" x14ac:dyDescent="0.35">
      <c r="A82" s="206" t="s">
        <v>174</v>
      </c>
      <c r="B82" s="100"/>
      <c r="C82" s="207" t="str">
        <f>K80</f>
        <v>Excavation, Plinth Completed, RCC upto 12 Slab, Brickwork upto 10 Floor Completed</v>
      </c>
      <c r="D82" s="208"/>
      <c r="E82" s="208"/>
      <c r="F82" s="208"/>
      <c r="G82" s="208"/>
      <c r="H82" s="208"/>
      <c r="I82" s="208"/>
      <c r="J82" s="209"/>
      <c r="K82" s="62" t="str">
        <f>IF(K81&lt;&gt;""," Completed","")</f>
        <v xml:space="preserve"> Completed</v>
      </c>
      <c r="L82" s="63" t="str">
        <f>IF(L80&lt;&gt;"","Completed","")</f>
        <v>Completed</v>
      </c>
    </row>
    <row r="83" spans="1:12" customFormat="1" ht="15.5" x14ac:dyDescent="0.35">
      <c r="A83" s="193" t="s">
        <v>208</v>
      </c>
      <c r="B83" s="91"/>
      <c r="C83" s="64" t="s">
        <v>209</v>
      </c>
      <c r="D83" s="194" t="s">
        <v>210</v>
      </c>
      <c r="E83" s="195"/>
      <c r="F83" s="194" t="s">
        <v>176</v>
      </c>
      <c r="G83" s="195"/>
      <c r="H83" s="194" t="s">
        <v>177</v>
      </c>
      <c r="I83" s="196"/>
      <c r="J83" s="197"/>
      <c r="K83" s="65" t="s">
        <v>178</v>
      </c>
      <c r="L83" s="66">
        <f>I81*25%</f>
        <v>4</v>
      </c>
    </row>
    <row r="84" spans="1:12" customFormat="1" ht="15.5" x14ac:dyDescent="0.35">
      <c r="A84" s="91" t="s">
        <v>211</v>
      </c>
      <c r="B84" s="91"/>
      <c r="C84" s="67">
        <f>L85</f>
        <v>16</v>
      </c>
      <c r="D84" s="92">
        <f>((100/I81)*C84)/100</f>
        <v>1</v>
      </c>
      <c r="E84" s="92"/>
      <c r="F84" s="92">
        <f>(((C85/I81*10)+(40/(D81+G81+I81)*C86)+(7.5/(I81)*C87)+(7.5/(I81)*C88)+(10/I81*C89)+(10/I81*C90)+(5/I81*C91)+(5/I81*C92)+(5/I81*C93))/100)</f>
        <v>0.42922794117647056</v>
      </c>
      <c r="G84" s="92"/>
      <c r="H84" s="92">
        <f>((((C84/I81)*20)+((C85/I81)*25)+(30/(I81+G81+D81)*C86)+(5/I81*C87)+(5/I81*C88)+(5/I81*C89)+(5/I81*C90)+(0/I81*C91)+(0/I81*C92)+(5/I81*C93))/100)</f>
        <v>0.69301470588235292</v>
      </c>
      <c r="I84" s="92"/>
      <c r="J84" s="92"/>
      <c r="K84" s="65" t="s">
        <v>179</v>
      </c>
      <c r="L84" s="68">
        <f>I81*50%</f>
        <v>8</v>
      </c>
    </row>
    <row r="85" spans="1:12" customFormat="1" ht="15.5" x14ac:dyDescent="0.35">
      <c r="A85" s="91" t="s">
        <v>66</v>
      </c>
      <c r="B85" s="91"/>
      <c r="C85" s="69">
        <f>L93</f>
        <v>16</v>
      </c>
      <c r="D85" s="92">
        <f>((100/I81)*C85)/100</f>
        <v>1</v>
      </c>
      <c r="E85" s="92"/>
      <c r="F85" s="92"/>
      <c r="G85" s="92"/>
      <c r="H85" s="92"/>
      <c r="I85" s="92"/>
      <c r="J85" s="92"/>
      <c r="K85" s="65" t="s">
        <v>180</v>
      </c>
      <c r="L85" s="68">
        <f>I81</f>
        <v>16</v>
      </c>
    </row>
    <row r="86" spans="1:12" customFormat="1" ht="15.5" x14ac:dyDescent="0.35">
      <c r="A86" s="91" t="s">
        <v>212</v>
      </c>
      <c r="B86" s="91"/>
      <c r="C86" s="69">
        <v>12</v>
      </c>
      <c r="D86" s="92">
        <f>((100/(D81+G81+I81))*C86)/100</f>
        <v>0.70588235294117652</v>
      </c>
      <c r="E86" s="92"/>
      <c r="F86" s="92"/>
      <c r="G86" s="92"/>
      <c r="H86" s="92"/>
      <c r="I86" s="92"/>
      <c r="J86" s="92"/>
      <c r="K86" s="65" t="s">
        <v>181</v>
      </c>
      <c r="L86" s="70">
        <f>(IF(B81&gt;1,(I81/(B81+2)),I81/4))</f>
        <v>4</v>
      </c>
    </row>
    <row r="87" spans="1:12" customFormat="1" ht="15.5" x14ac:dyDescent="0.35">
      <c r="A87" s="91" t="s">
        <v>213</v>
      </c>
      <c r="B87" s="91" t="s">
        <v>182</v>
      </c>
      <c r="C87" s="67">
        <v>10</v>
      </c>
      <c r="D87" s="92">
        <f>((100/I81)*C87)/100</f>
        <v>0.625</v>
      </c>
      <c r="E87" s="92"/>
      <c r="F87" s="92"/>
      <c r="G87" s="92"/>
      <c r="H87" s="92"/>
      <c r="I87" s="92"/>
      <c r="J87" s="92"/>
      <c r="K87" s="65" t="s">
        <v>183</v>
      </c>
      <c r="L87" s="70">
        <f>(IF(B81&gt;1,(I81/(B81+2)+L86),I81/4+L86))</f>
        <v>8</v>
      </c>
    </row>
    <row r="88" spans="1:12" customFormat="1" ht="15.5" x14ac:dyDescent="0.35">
      <c r="A88" s="91" t="s">
        <v>214</v>
      </c>
      <c r="B88" s="91" t="s">
        <v>182</v>
      </c>
      <c r="C88" s="67">
        <v>0</v>
      </c>
      <c r="D88" s="92">
        <f>((100/I81)*C88)/100</f>
        <v>0</v>
      </c>
      <c r="E88" s="92"/>
      <c r="F88" s="92"/>
      <c r="G88" s="92"/>
      <c r="H88" s="92"/>
      <c r="I88" s="92"/>
      <c r="J88" s="92"/>
      <c r="K88" s="65" t="s">
        <v>184</v>
      </c>
      <c r="L88" s="70">
        <f>(IF(B81&gt;1,(I81/(B81+2)+L87),0))</f>
        <v>0</v>
      </c>
    </row>
    <row r="89" spans="1:12" customFormat="1" ht="15.5" x14ac:dyDescent="0.35">
      <c r="A89" s="91" t="s">
        <v>215</v>
      </c>
      <c r="B89" s="91" t="s">
        <v>185</v>
      </c>
      <c r="C89" s="67">
        <v>0</v>
      </c>
      <c r="D89" s="92">
        <f>((100/(I81))*C89)/100</f>
        <v>0</v>
      </c>
      <c r="E89" s="92"/>
      <c r="F89" s="92"/>
      <c r="G89" s="92"/>
      <c r="H89" s="92"/>
      <c r="I89" s="92"/>
      <c r="J89" s="92"/>
      <c r="K89" s="65" t="s">
        <v>186</v>
      </c>
      <c r="L89" s="70">
        <f>(IF(B81&gt;2,(I81/(B81+2)+L88),0))</f>
        <v>0</v>
      </c>
    </row>
    <row r="90" spans="1:12" customFormat="1" ht="15.5" x14ac:dyDescent="0.35">
      <c r="A90" s="91" t="s">
        <v>216</v>
      </c>
      <c r="B90" s="91" t="s">
        <v>216</v>
      </c>
      <c r="C90" s="67">
        <v>0</v>
      </c>
      <c r="D90" s="92">
        <f>((100/I81)*C90)/100</f>
        <v>0</v>
      </c>
      <c r="E90" s="92"/>
      <c r="F90" s="92"/>
      <c r="G90" s="92"/>
      <c r="H90" s="92"/>
      <c r="I90" s="92"/>
      <c r="J90" s="92"/>
      <c r="K90" s="65" t="s">
        <v>217</v>
      </c>
      <c r="L90" s="71">
        <f>(IF(B81&gt;3,(I81/(B81+2)+L89),0))</f>
        <v>0</v>
      </c>
    </row>
    <row r="91" spans="1:12" customFormat="1" ht="15.5" x14ac:dyDescent="0.35">
      <c r="A91" s="91" t="s">
        <v>218</v>
      </c>
      <c r="B91" s="91"/>
      <c r="C91" s="67">
        <v>0</v>
      </c>
      <c r="D91" s="92">
        <f>((100/I81)*C91)/100</f>
        <v>0</v>
      </c>
      <c r="E91" s="92"/>
      <c r="F91" s="92"/>
      <c r="G91" s="92"/>
      <c r="H91" s="92"/>
      <c r="I91" s="92"/>
      <c r="J91" s="92"/>
      <c r="K91" s="65" t="s">
        <v>219</v>
      </c>
      <c r="L91" s="70">
        <f>(IF(B81&gt;4,(I81/(B81+2)+L90),0))</f>
        <v>0</v>
      </c>
    </row>
    <row r="92" spans="1:12" customFormat="1" ht="15.5" x14ac:dyDescent="0.35">
      <c r="A92" s="91" t="s">
        <v>220</v>
      </c>
      <c r="B92" s="91" t="s">
        <v>220</v>
      </c>
      <c r="C92" s="67">
        <v>0</v>
      </c>
      <c r="D92" s="92">
        <f>((100/(I81))*C92)/100</f>
        <v>0</v>
      </c>
      <c r="E92" s="92"/>
      <c r="F92" s="92"/>
      <c r="G92" s="92"/>
      <c r="H92" s="92"/>
      <c r="I92" s="92"/>
      <c r="J92" s="92"/>
      <c r="K92" s="65" t="s">
        <v>221</v>
      </c>
      <c r="L92" s="70">
        <f>(IF(B81=1,(I81/(B81+3)+L87),IF(B81=0,(I81/4+L87),IF(B81&gt;1,0))))</f>
        <v>12</v>
      </c>
    </row>
    <row r="93" spans="1:12" customFormat="1" ht="16" thickBot="1" x14ac:dyDescent="0.4">
      <c r="A93" s="91" t="s">
        <v>222</v>
      </c>
      <c r="B93" s="91"/>
      <c r="C93" s="67">
        <v>0</v>
      </c>
      <c r="D93" s="92">
        <f>((100/(I81))*C93)/100</f>
        <v>0</v>
      </c>
      <c r="E93" s="92"/>
      <c r="F93" s="92"/>
      <c r="G93" s="92"/>
      <c r="H93" s="92"/>
      <c r="I93" s="92"/>
      <c r="J93" s="92"/>
      <c r="K93" s="72" t="s">
        <v>223</v>
      </c>
      <c r="L93" s="73">
        <f>(IF(B81&gt;1.5,(I81/(B81+2)+L87+MAX(0,L88-L87)+MAX(0,L89-L88)+MAX(0,L90-L89)+MAX(0,L91-L90)+MAX(0,L92-L91)),IF(B81=1,(I81/(B81+3)+L92),IF(B81=0,I81/4+L92))))</f>
        <v>16</v>
      </c>
    </row>
    <row r="94" spans="1:12" customFormat="1" ht="15" x14ac:dyDescent="0.35">
      <c r="A94" s="98" t="s">
        <v>173</v>
      </c>
      <c r="B94" s="98"/>
      <c r="C94" s="98" t="s">
        <v>263</v>
      </c>
      <c r="D94" s="98"/>
      <c r="E94" s="98"/>
      <c r="F94" s="98"/>
      <c r="G94" s="98"/>
      <c r="H94" s="98"/>
      <c r="I94" s="98"/>
      <c r="J94" s="98"/>
      <c r="K94" s="58" t="str">
        <f>IF(D107=100%,"All work Completed. Possession granted to the Building.",IF(D106=100%,"All work Completed, Waiting for OC",K95&amp;""&amp;K96&amp;""&amp;L95&amp;""&amp;L94&amp;" "&amp;L96))</f>
        <v>Excavation, Plinth Completed, RCC upto 12 Slab, Brickwork upto 2 Floor Completed</v>
      </c>
      <c r="L94" s="59" t="str">
        <f>(IF(C100=(D95+G95+I95),"",IF(C100&gt;0,", RCC upto "&amp;C100&amp;" Slab","")))&amp;(IF(C101=I95,"",IF(C101&gt;0,", Brickwork upto "&amp;C101&amp;" Floor","")))&amp;(IF(C102=I95,"",IF(C102&gt;0,", Internal Plaster upto "&amp;C102&amp;" Floor","")))&amp;(IF(C103=I95,"",IF(C103&gt;0,", External Plaster upto "&amp;C103&amp;" Floor","")))&amp;(IF(C104=I95,"",IF(C104&gt;0,", Flooring upto "&amp;C104&amp;" Floor","")))&amp;(IF(C105=I95,"",IF(C105&gt;0,", Painting upto "&amp;C105&amp;" Floor","")))&amp;(IF(C106=I95,"",IF(C106&gt;0,", Finishing upto "&amp;C106&amp;" Floor","")))&amp;(IF(C107=I95,"",IF(C107&gt;0,", Possession upto "&amp;C107&amp;" Floor","")))</f>
        <v>, RCC upto 12 Slab, Brickwork upto 2 Floor</v>
      </c>
    </row>
    <row r="95" spans="1:12" customFormat="1" ht="15.5" x14ac:dyDescent="0.35">
      <c r="A95" s="61" t="s">
        <v>204</v>
      </c>
      <c r="B95" s="61">
        <v>0</v>
      </c>
      <c r="C95" s="61" t="s">
        <v>205</v>
      </c>
      <c r="D95" s="61">
        <v>1</v>
      </c>
      <c r="E95" s="61"/>
      <c r="F95" s="61" t="s">
        <v>206</v>
      </c>
      <c r="G95" s="61">
        <v>0</v>
      </c>
      <c r="H95" s="61" t="s">
        <v>207</v>
      </c>
      <c r="I95" s="99">
        <v>16</v>
      </c>
      <c r="J95" s="99"/>
      <c r="K95" s="62" t="str">
        <f>IF(D98=100%,"Excavation","")&amp;IF(D99=100%,", Plinth","")&amp;IF(D100=100%,", RCC Slab","")&amp;IF(D101=100%,", Brickwork","")&amp;IF(D102=100%,", Internal Plaster","")&amp;IF(D103=100%,", External Plaster","")&amp;IF(D104=100%,", Flooring","")&amp;IF(D105=100%,", Painting","")&amp;IF(D106=100%,", Building common Amenities","")</f>
        <v>Excavation, Plinth</v>
      </c>
      <c r="L95" s="63" t="str">
        <f>(IF(C98=0,"Work not yet Started.",IF(D98=25%,"Piling work in process",IF(D98=50%,"Excavation work in process",IF(D98=100%,"","0")))))&amp;(IF(C99=0%,"",IF(C99=L100,", Footing work is process",IF(C99=L101,", Footing work Completed",IF(C99=L102,", 1st Basement Completed",IF(C99=L103,", 1st &amp; 2nd Basement Completed",IF(C99=L104,", 1st to 3rd Basement Completed",IF(C99=L105,", 1st to 4th Basement Completed",IF(C99=L106,", Plinth work is process",IF(C99=L107,"","0"))))))))))</f>
        <v/>
      </c>
    </row>
    <row r="96" spans="1:12" customFormat="1" ht="18.75" customHeight="1" x14ac:dyDescent="0.35">
      <c r="A96" s="100" t="s">
        <v>174</v>
      </c>
      <c r="B96" s="100"/>
      <c r="C96" s="98" t="str">
        <f>K94</f>
        <v>Excavation, Plinth Completed, RCC upto 12 Slab, Brickwork upto 2 Floor Completed</v>
      </c>
      <c r="D96" s="98"/>
      <c r="E96" s="98"/>
      <c r="F96" s="98"/>
      <c r="G96" s="98"/>
      <c r="H96" s="98"/>
      <c r="I96" s="98"/>
      <c r="J96" s="98"/>
      <c r="K96" s="62" t="str">
        <f>IF(K95&lt;&gt;""," Completed","")</f>
        <v xml:space="preserve"> Completed</v>
      </c>
      <c r="L96" s="63" t="str">
        <f>IF(L94&lt;&gt;"","Completed","")</f>
        <v>Completed</v>
      </c>
    </row>
    <row r="97" spans="1:12" customFormat="1" ht="15.5" x14ac:dyDescent="0.35">
      <c r="A97" s="91" t="s">
        <v>208</v>
      </c>
      <c r="B97" s="91"/>
      <c r="C97" s="85" t="s">
        <v>209</v>
      </c>
      <c r="D97" s="91" t="s">
        <v>210</v>
      </c>
      <c r="E97" s="91"/>
      <c r="F97" s="91" t="s">
        <v>176</v>
      </c>
      <c r="G97" s="91"/>
      <c r="H97" s="91" t="s">
        <v>177</v>
      </c>
      <c r="I97" s="91"/>
      <c r="J97" s="91"/>
      <c r="K97" s="65" t="s">
        <v>178</v>
      </c>
      <c r="L97" s="66">
        <f>I95*25%</f>
        <v>4</v>
      </c>
    </row>
    <row r="98" spans="1:12" customFormat="1" ht="15.5" x14ac:dyDescent="0.35">
      <c r="A98" s="91" t="s">
        <v>211</v>
      </c>
      <c r="B98" s="91"/>
      <c r="C98" s="67">
        <f>L99</f>
        <v>16</v>
      </c>
      <c r="D98" s="92">
        <f>((100/I95)*C98)/100</f>
        <v>1</v>
      </c>
      <c r="E98" s="92"/>
      <c r="F98" s="92">
        <f>(((C99/I95*10)+(40/(D95+G95+I95)*C100)+(7.5/(I95)*C101)+(7.5/(I95)*C102)+(10/I95*C103)+(10/I95*C104)+(5/I95*C105)+(5/I95*C106)+(5/I95*C107))/100)</f>
        <v>0.39172794117647058</v>
      </c>
      <c r="G98" s="92"/>
      <c r="H98" s="92">
        <f>((((C98/I95)*20)+((C99/I95)*25)+(30/(I95+G95+D95)*C100)+(5/I95*C101)+(5/I95*C102)+(5/I95*C103)+(5/I95*C104)+(0/I95*C105)+(0/I95*C106)+(5/I95*C107))/100)</f>
        <v>0.6680147058823529</v>
      </c>
      <c r="I98" s="92"/>
      <c r="J98" s="92"/>
      <c r="K98" s="65" t="s">
        <v>179</v>
      </c>
      <c r="L98" s="68">
        <f>I95*50%</f>
        <v>8</v>
      </c>
    </row>
    <row r="99" spans="1:12" customFormat="1" ht="15.5" x14ac:dyDescent="0.35">
      <c r="A99" s="91" t="s">
        <v>66</v>
      </c>
      <c r="B99" s="91"/>
      <c r="C99" s="69">
        <f>L107</f>
        <v>16</v>
      </c>
      <c r="D99" s="92">
        <f>((100/I95)*C99)/100</f>
        <v>1</v>
      </c>
      <c r="E99" s="92"/>
      <c r="F99" s="92"/>
      <c r="G99" s="92"/>
      <c r="H99" s="92"/>
      <c r="I99" s="92"/>
      <c r="J99" s="92"/>
      <c r="K99" s="65" t="s">
        <v>180</v>
      </c>
      <c r="L99" s="68">
        <f>I95</f>
        <v>16</v>
      </c>
    </row>
    <row r="100" spans="1:12" customFormat="1" ht="15.5" x14ac:dyDescent="0.35">
      <c r="A100" s="91" t="s">
        <v>212</v>
      </c>
      <c r="B100" s="91"/>
      <c r="C100" s="69">
        <v>12</v>
      </c>
      <c r="D100" s="92">
        <f>((100/(D95+G95+I95))*C100)/100</f>
        <v>0.70588235294117652</v>
      </c>
      <c r="E100" s="92"/>
      <c r="F100" s="92"/>
      <c r="G100" s="92"/>
      <c r="H100" s="92"/>
      <c r="I100" s="92"/>
      <c r="J100" s="92"/>
      <c r="K100" s="65" t="s">
        <v>181</v>
      </c>
      <c r="L100" s="70">
        <f>(IF(B95&gt;1,(I95/(B95+2)),I95/4))</f>
        <v>4</v>
      </c>
    </row>
    <row r="101" spans="1:12" customFormat="1" ht="15.5" x14ac:dyDescent="0.35">
      <c r="A101" s="91" t="s">
        <v>213</v>
      </c>
      <c r="B101" s="91" t="s">
        <v>182</v>
      </c>
      <c r="C101" s="67">
        <v>2</v>
      </c>
      <c r="D101" s="92">
        <f>((100/I95)*C101)/100</f>
        <v>0.125</v>
      </c>
      <c r="E101" s="92"/>
      <c r="F101" s="92"/>
      <c r="G101" s="92"/>
      <c r="H101" s="92"/>
      <c r="I101" s="92"/>
      <c r="J101" s="92"/>
      <c r="K101" s="65" t="s">
        <v>183</v>
      </c>
      <c r="L101" s="70">
        <f>(IF(B95&gt;1,(I95/(B95+2)+L100),I95/4+L100))</f>
        <v>8</v>
      </c>
    </row>
    <row r="102" spans="1:12" customFormat="1" ht="15.5" x14ac:dyDescent="0.35">
      <c r="A102" s="91" t="s">
        <v>214</v>
      </c>
      <c r="B102" s="91" t="s">
        <v>182</v>
      </c>
      <c r="C102" s="67">
        <v>0</v>
      </c>
      <c r="D102" s="92">
        <f>((100/I95)*C102)/100</f>
        <v>0</v>
      </c>
      <c r="E102" s="92"/>
      <c r="F102" s="92"/>
      <c r="G102" s="92"/>
      <c r="H102" s="92"/>
      <c r="I102" s="92"/>
      <c r="J102" s="92"/>
      <c r="K102" s="65" t="s">
        <v>184</v>
      </c>
      <c r="L102" s="70">
        <f>(IF(B95&gt;1,(I95/(B95+2)+L101),0))</f>
        <v>0</v>
      </c>
    </row>
    <row r="103" spans="1:12" customFormat="1" ht="15.5" x14ac:dyDescent="0.35">
      <c r="A103" s="91" t="s">
        <v>215</v>
      </c>
      <c r="B103" s="91" t="s">
        <v>185</v>
      </c>
      <c r="C103" s="67">
        <v>0</v>
      </c>
      <c r="D103" s="92">
        <f>((100/(I95))*C103)/100</f>
        <v>0</v>
      </c>
      <c r="E103" s="92"/>
      <c r="F103" s="92"/>
      <c r="G103" s="92"/>
      <c r="H103" s="92"/>
      <c r="I103" s="92"/>
      <c r="J103" s="92"/>
      <c r="K103" s="65" t="s">
        <v>186</v>
      </c>
      <c r="L103" s="70">
        <f>(IF(B95&gt;2,(I95/(B95+2)+L102),0))</f>
        <v>0</v>
      </c>
    </row>
    <row r="104" spans="1:12" customFormat="1" ht="15.5" x14ac:dyDescent="0.35">
      <c r="A104" s="91" t="s">
        <v>216</v>
      </c>
      <c r="B104" s="91" t="s">
        <v>216</v>
      </c>
      <c r="C104" s="67">
        <v>0</v>
      </c>
      <c r="D104" s="92">
        <f>((100/I95)*C104)/100</f>
        <v>0</v>
      </c>
      <c r="E104" s="92"/>
      <c r="F104" s="92"/>
      <c r="G104" s="92"/>
      <c r="H104" s="92"/>
      <c r="I104" s="92"/>
      <c r="J104" s="92"/>
      <c r="K104" s="65" t="s">
        <v>217</v>
      </c>
      <c r="L104" s="71">
        <f>(IF(B95&gt;3,(I95/(B95+2)+L103),0))</f>
        <v>0</v>
      </c>
    </row>
    <row r="105" spans="1:12" customFormat="1" ht="15.5" x14ac:dyDescent="0.35">
      <c r="A105" s="91" t="s">
        <v>218</v>
      </c>
      <c r="B105" s="91"/>
      <c r="C105" s="67">
        <v>0</v>
      </c>
      <c r="D105" s="92">
        <f>((100/I95)*C105)/100</f>
        <v>0</v>
      </c>
      <c r="E105" s="92"/>
      <c r="F105" s="92"/>
      <c r="G105" s="92"/>
      <c r="H105" s="92"/>
      <c r="I105" s="92"/>
      <c r="J105" s="92"/>
      <c r="K105" s="65" t="s">
        <v>219</v>
      </c>
      <c r="L105" s="70">
        <f>(IF(B95&gt;4,(I95/(B95+2)+L104),0))</f>
        <v>0</v>
      </c>
    </row>
    <row r="106" spans="1:12" customFormat="1" ht="15.5" x14ac:dyDescent="0.35">
      <c r="A106" s="91" t="s">
        <v>220</v>
      </c>
      <c r="B106" s="91" t="s">
        <v>220</v>
      </c>
      <c r="C106" s="67">
        <v>0</v>
      </c>
      <c r="D106" s="92">
        <f>((100/(I95))*C106)/100</f>
        <v>0</v>
      </c>
      <c r="E106" s="92"/>
      <c r="F106" s="92"/>
      <c r="G106" s="92"/>
      <c r="H106" s="92"/>
      <c r="I106" s="92"/>
      <c r="J106" s="92"/>
      <c r="K106" s="65" t="s">
        <v>221</v>
      </c>
      <c r="L106" s="70">
        <f>(IF(B95=1,(I95/(B95+3)+L101),IF(B95=0,(I95/4+L101),IF(B95&gt;1,0))))</f>
        <v>12</v>
      </c>
    </row>
    <row r="107" spans="1:12" customFormat="1" ht="16" thickBot="1" x14ac:dyDescent="0.4">
      <c r="A107" s="91" t="s">
        <v>222</v>
      </c>
      <c r="B107" s="91"/>
      <c r="C107" s="67">
        <v>0</v>
      </c>
      <c r="D107" s="92">
        <f>((100/(I95))*C107)/100</f>
        <v>0</v>
      </c>
      <c r="E107" s="92"/>
      <c r="F107" s="92"/>
      <c r="G107" s="92"/>
      <c r="H107" s="92"/>
      <c r="I107" s="92"/>
      <c r="J107" s="92"/>
      <c r="K107" s="72" t="s">
        <v>223</v>
      </c>
      <c r="L107" s="73">
        <f>(IF(B95&gt;1.5,(I95/(B95+2)+L101+MAX(0,L102-L101)+MAX(0,L103-L102)+MAX(0,L104-L103)+MAX(0,L105-L104)+MAX(0,L106-L105)),IF(B95=1,(I95/(B95+3)+L106),IF(B95=0,I95/4+L106))))</f>
        <v>16</v>
      </c>
    </row>
    <row r="108" spans="1:12" customFormat="1" ht="30.5" customHeight="1" thickBot="1" x14ac:dyDescent="0.4">
      <c r="A108" s="89" t="s">
        <v>265</v>
      </c>
      <c r="B108" s="89"/>
      <c r="C108" s="89"/>
      <c r="D108" s="90">
        <f>AVERAGE(F84,F98)</f>
        <v>0.41047794117647057</v>
      </c>
      <c r="E108" s="90"/>
      <c r="F108" s="90"/>
      <c r="G108" s="90" t="s">
        <v>264</v>
      </c>
      <c r="H108" s="90"/>
      <c r="I108" s="90"/>
      <c r="J108" s="87">
        <f>AVERAGE(H84,H98)</f>
        <v>0.68051470588235285</v>
      </c>
      <c r="K108" s="72"/>
      <c r="L108" s="73"/>
    </row>
    <row r="109" spans="1:12" x14ac:dyDescent="0.3">
      <c r="A109" s="133" t="s">
        <v>171</v>
      </c>
      <c r="B109" s="133"/>
      <c r="C109" s="133"/>
      <c r="D109" s="133"/>
      <c r="E109" s="133"/>
      <c r="F109" s="133"/>
      <c r="G109" s="133"/>
      <c r="H109" s="133"/>
      <c r="I109" s="133"/>
      <c r="J109" s="133"/>
    </row>
    <row r="110" spans="1:12" x14ac:dyDescent="0.3">
      <c r="A110" s="133" t="s">
        <v>71</v>
      </c>
      <c r="B110" s="133"/>
      <c r="C110" s="133"/>
      <c r="D110" s="133"/>
      <c r="E110" s="133"/>
      <c r="F110" s="133"/>
      <c r="G110" s="133"/>
      <c r="H110" s="133"/>
      <c r="I110" s="133"/>
      <c r="J110" s="133"/>
    </row>
    <row r="111" spans="1:12" ht="15" customHeight="1" x14ac:dyDescent="0.3">
      <c r="A111" s="188" t="s">
        <v>72</v>
      </c>
      <c r="B111" s="188"/>
      <c r="C111" s="189" t="s">
        <v>73</v>
      </c>
      <c r="D111" s="189"/>
      <c r="E111" s="189"/>
      <c r="F111" s="189"/>
      <c r="G111" s="189"/>
      <c r="H111" s="189"/>
      <c r="I111" s="189"/>
      <c r="J111" s="189"/>
    </row>
    <row r="112" spans="1:12" x14ac:dyDescent="0.3">
      <c r="A112" s="161" t="s">
        <v>74</v>
      </c>
      <c r="B112" s="161"/>
      <c r="C112" s="161"/>
      <c r="D112" s="161"/>
      <c r="E112" s="161"/>
      <c r="F112" s="161"/>
      <c r="G112" s="161"/>
      <c r="H112" s="161"/>
      <c r="I112" s="161"/>
      <c r="J112" s="161"/>
    </row>
    <row r="113" spans="1:10" x14ac:dyDescent="0.3">
      <c r="A113" s="133" t="s">
        <v>75</v>
      </c>
      <c r="B113" s="133"/>
      <c r="C113" s="133"/>
      <c r="D113" s="133"/>
      <c r="E113" s="133"/>
      <c r="F113" s="133"/>
      <c r="G113" s="133">
        <v>4000</v>
      </c>
      <c r="H113" s="133"/>
      <c r="I113" s="133"/>
      <c r="J113" s="133"/>
    </row>
    <row r="114" spans="1:10" x14ac:dyDescent="0.3">
      <c r="A114" s="133" t="s">
        <v>143</v>
      </c>
      <c r="B114" s="133"/>
      <c r="C114" s="133"/>
      <c r="D114" s="133"/>
      <c r="E114" s="133"/>
      <c r="F114" s="133"/>
      <c r="G114" s="119" t="s">
        <v>196</v>
      </c>
      <c r="H114" s="119"/>
      <c r="I114" s="119"/>
      <c r="J114" s="119"/>
    </row>
    <row r="115" spans="1:10" x14ac:dyDescent="0.3">
      <c r="A115" s="133" t="s">
        <v>144</v>
      </c>
      <c r="B115" s="133"/>
      <c r="C115" s="133"/>
      <c r="D115" s="133"/>
      <c r="E115" s="133"/>
      <c r="F115" s="133"/>
      <c r="G115" s="119" t="s">
        <v>250</v>
      </c>
      <c r="H115" s="119"/>
      <c r="I115" s="119"/>
      <c r="J115" s="119"/>
    </row>
    <row r="116" spans="1:10" x14ac:dyDescent="0.3">
      <c r="A116" s="133" t="s">
        <v>145</v>
      </c>
      <c r="B116" s="133"/>
      <c r="C116" s="133"/>
      <c r="D116" s="133"/>
      <c r="E116" s="133"/>
      <c r="F116" s="133"/>
      <c r="G116" s="119" t="s">
        <v>197</v>
      </c>
      <c r="H116" s="119"/>
      <c r="I116" s="119"/>
      <c r="J116" s="119"/>
    </row>
    <row r="117" spans="1:10" x14ac:dyDescent="0.3">
      <c r="A117" s="133" t="s">
        <v>198</v>
      </c>
      <c r="B117" s="133"/>
      <c r="C117" s="133"/>
      <c r="D117" s="133"/>
      <c r="E117" s="133"/>
      <c r="F117" s="133"/>
      <c r="G117" s="119" t="s">
        <v>196</v>
      </c>
      <c r="H117" s="119"/>
      <c r="I117" s="119"/>
      <c r="J117" s="119"/>
    </row>
    <row r="118" spans="1:10" s="50" customFormat="1" ht="15" customHeight="1" x14ac:dyDescent="0.3">
      <c r="A118" s="161" t="s">
        <v>76</v>
      </c>
      <c r="B118" s="161"/>
      <c r="C118" s="161"/>
      <c r="D118" s="161"/>
      <c r="E118" s="161"/>
      <c r="F118" s="161"/>
      <c r="G118" s="133">
        <f>G113*0.8</f>
        <v>3200</v>
      </c>
      <c r="H118" s="133"/>
      <c r="I118" s="133"/>
      <c r="J118" s="133"/>
    </row>
    <row r="119" spans="1:10" s="74" customFormat="1" ht="15.5" x14ac:dyDescent="0.35">
      <c r="A119" s="220" t="s">
        <v>234</v>
      </c>
      <c r="B119" s="220"/>
      <c r="C119" s="220"/>
      <c r="D119" s="220"/>
      <c r="E119" s="220"/>
      <c r="F119" s="220"/>
      <c r="G119" s="220"/>
      <c r="H119" s="220"/>
      <c r="I119" s="220"/>
      <c r="J119" s="220"/>
    </row>
    <row r="120" spans="1:10" s="74" customFormat="1" ht="15.5" x14ac:dyDescent="0.35">
      <c r="A120" s="221" t="s">
        <v>230</v>
      </c>
      <c r="B120" s="222"/>
      <c r="C120" s="75" t="s">
        <v>231</v>
      </c>
      <c r="D120" s="223" t="s">
        <v>232</v>
      </c>
      <c r="E120" s="224"/>
      <c r="F120" s="225"/>
      <c r="G120" s="221" t="s">
        <v>233</v>
      </c>
      <c r="H120" s="226"/>
      <c r="I120" s="226"/>
      <c r="J120" s="222"/>
    </row>
    <row r="121" spans="1:10" s="74" customFormat="1" ht="15.5" x14ac:dyDescent="0.35">
      <c r="A121" s="212" t="s">
        <v>256</v>
      </c>
      <c r="B121" s="213"/>
      <c r="C121" s="76">
        <f>COUNT(D130:E133)*7</f>
        <v>28</v>
      </c>
      <c r="D121" s="214">
        <f>SUM(D130:E133)*7</f>
        <v>21037.756849200003</v>
      </c>
      <c r="E121" s="215"/>
      <c r="F121" s="216"/>
      <c r="G121" s="217">
        <f>SUM(G130:G133)*7</f>
        <v>31977.390410784003</v>
      </c>
      <c r="H121" s="218"/>
      <c r="I121" s="218"/>
      <c r="J121" s="219"/>
    </row>
    <row r="122" spans="1:10" s="74" customFormat="1" ht="15.5" x14ac:dyDescent="0.35">
      <c r="A122" s="212" t="s">
        <v>247</v>
      </c>
      <c r="B122" s="213"/>
      <c r="C122" s="76">
        <f>COUNT(D137:E147)*11+COUNT(D149:E159)</f>
        <v>132</v>
      </c>
      <c r="D122" s="214">
        <f>SUM(D137:E147)*11+SUM(D149:E159)</f>
        <v>98524.56041999998</v>
      </c>
      <c r="E122" s="215"/>
      <c r="F122" s="216"/>
      <c r="G122" s="217">
        <f>SUM(G137:G147)*11+SUM(G149:G159)</f>
        <v>152703.14578020002</v>
      </c>
      <c r="H122" s="218"/>
      <c r="I122" s="218"/>
      <c r="J122" s="219"/>
    </row>
    <row r="123" spans="1:10" s="84" customFormat="1" ht="15" x14ac:dyDescent="0.35">
      <c r="A123" s="230" t="s">
        <v>78</v>
      </c>
      <c r="B123" s="231"/>
      <c r="C123" s="75">
        <f>SUM(C121:C122)</f>
        <v>160</v>
      </c>
      <c r="D123" s="232">
        <f>SUM(D121:F122)</f>
        <v>119562.31726919998</v>
      </c>
      <c r="E123" s="233"/>
      <c r="F123" s="234"/>
      <c r="G123" s="221">
        <f>SUM(G121:J122)</f>
        <v>184680.53619098401</v>
      </c>
      <c r="H123" s="226"/>
      <c r="I123" s="226"/>
      <c r="J123" s="222"/>
    </row>
    <row r="124" spans="1:10" s="77" customFormat="1" ht="15.5" x14ac:dyDescent="0.35">
      <c r="A124" s="238" t="s">
        <v>235</v>
      </c>
      <c r="B124" s="239"/>
      <c r="C124" s="239"/>
      <c r="D124" s="239"/>
      <c r="E124" s="239"/>
      <c r="F124" s="239"/>
      <c r="G124" s="239"/>
      <c r="H124" s="239"/>
      <c r="I124" s="239"/>
      <c r="J124" s="240"/>
    </row>
    <row r="125" spans="1:10" s="78" customFormat="1" ht="15.5" x14ac:dyDescent="0.35">
      <c r="A125" s="238" t="s">
        <v>236</v>
      </c>
      <c r="B125" s="239"/>
      <c r="C125" s="239"/>
      <c r="D125" s="239"/>
      <c r="E125" s="239"/>
      <c r="F125" s="239"/>
      <c r="G125" s="239"/>
      <c r="H125" s="239"/>
      <c r="I125" s="239"/>
      <c r="J125" s="240"/>
    </row>
    <row r="126" spans="1:10" s="78" customFormat="1" ht="51.75" customHeight="1" x14ac:dyDescent="0.35">
      <c r="A126" s="235" t="s">
        <v>237</v>
      </c>
      <c r="B126" s="237"/>
      <c r="C126" s="79" t="s">
        <v>238</v>
      </c>
      <c r="D126" s="235" t="s">
        <v>239</v>
      </c>
      <c r="E126" s="237"/>
      <c r="F126" s="80" t="s">
        <v>240</v>
      </c>
      <c r="G126" s="79" t="s">
        <v>241</v>
      </c>
      <c r="H126" s="235" t="s">
        <v>188</v>
      </c>
      <c r="I126" s="236"/>
      <c r="J126" s="237"/>
    </row>
    <row r="127" spans="1:10" s="81" customFormat="1" ht="15.5" x14ac:dyDescent="0.35">
      <c r="A127" s="227" t="s">
        <v>253</v>
      </c>
      <c r="B127" s="228"/>
      <c r="C127" s="228"/>
      <c r="D127" s="228"/>
      <c r="E127" s="228"/>
      <c r="F127" s="228"/>
      <c r="G127" s="228"/>
      <c r="H127" s="228"/>
      <c r="I127" s="228"/>
      <c r="J127" s="229"/>
    </row>
    <row r="128" spans="1:10" s="81" customFormat="1" ht="15.5" x14ac:dyDescent="0.35">
      <c r="A128" s="227" t="s">
        <v>244</v>
      </c>
      <c r="B128" s="228"/>
      <c r="C128" s="228"/>
      <c r="D128" s="228"/>
      <c r="E128" s="228"/>
      <c r="F128" s="228"/>
      <c r="G128" s="228"/>
      <c r="H128" s="228"/>
      <c r="I128" s="228"/>
      <c r="J128" s="229"/>
    </row>
    <row r="129" spans="1:14" s="81" customFormat="1" ht="15.5" x14ac:dyDescent="0.35">
      <c r="A129" s="227" t="s">
        <v>254</v>
      </c>
      <c r="B129" s="228"/>
      <c r="C129" s="228"/>
      <c r="D129" s="228"/>
      <c r="E129" s="228"/>
      <c r="F129" s="228"/>
      <c r="G129" s="228"/>
      <c r="H129" s="228"/>
      <c r="I129" s="228"/>
      <c r="J129" s="229"/>
    </row>
    <row r="130" spans="1:14" s="81" customFormat="1" ht="15.75" customHeight="1" x14ac:dyDescent="0.35">
      <c r="A130" s="210">
        <v>1</v>
      </c>
      <c r="B130" s="211"/>
      <c r="C130" s="82" t="s">
        <v>158</v>
      </c>
      <c r="D130" s="210">
        <f>(2.75*4+1.315*3.115+2.515*2.2+2.75*2.2+2.75*2.78+2.1*1.2+1.2*2+1*2.75+1.2*1+(0.25*(1.13+2.2))+(0.9*2.75+0.9*2.75)+(0.75*(2.75+2.865)+(1.2*(2.75+2.515+2.75+2.75+3.08))))*10.764</f>
        <v>751.34845890000008</v>
      </c>
      <c r="E130" s="211"/>
      <c r="F130" s="82">
        <v>0</v>
      </c>
      <c r="G130" s="82">
        <f>D130*1.52</f>
        <v>1142.0496575280001</v>
      </c>
      <c r="H130" s="243" t="str">
        <f>A129</f>
        <v xml:space="preserve">1st to 7th Floor </v>
      </c>
      <c r="I130" s="244"/>
      <c r="J130" s="245"/>
      <c r="L130" s="81">
        <f>4000*G130</f>
        <v>4568198.6301120007</v>
      </c>
      <c r="M130" s="81">
        <f>1.05*4.15+2.75*6.5+2.5*2.2+2.75*3.35+3*3.15+1.95*1.2+1.2*2.1+1.2*1+1.2*1</f>
        <v>53.655000000000008</v>
      </c>
      <c r="N130" s="81">
        <f>G130/D130</f>
        <v>1.52</v>
      </c>
    </row>
    <row r="131" spans="1:14" s="81" customFormat="1" ht="15.5" x14ac:dyDescent="0.35">
      <c r="A131" s="210">
        <v>2</v>
      </c>
      <c r="B131" s="211"/>
      <c r="C131" s="82" t="s">
        <v>158</v>
      </c>
      <c r="D131" s="210">
        <f t="shared" ref="D131:D133" si="0">(2.75*4+1.315*3.115+2.515*2.2+2.75*2.2+2.75*2.78+2.1*1.2+1.2*2+1*2.75+1.2*1+(0.25*(1.13+2.2))+(0.9*2.75+0.9*2.75)+(0.75*(2.75+2.865)+(1.2*(2.75+2.515+2.75+2.75+3.08))))*10.764</f>
        <v>751.34845890000008</v>
      </c>
      <c r="E131" s="211"/>
      <c r="F131" s="82">
        <v>0</v>
      </c>
      <c r="G131" s="82">
        <f t="shared" ref="G131:G133" si="1">D131*1.52</f>
        <v>1142.0496575280001</v>
      </c>
      <c r="H131" s="246"/>
      <c r="I131" s="247"/>
      <c r="J131" s="248"/>
      <c r="L131" s="81">
        <f t="shared" ref="L131:L133" si="2">4000*G131</f>
        <v>4568198.6301120007</v>
      </c>
      <c r="N131" s="81">
        <f t="shared" ref="N131:N133" si="3">G131/D131</f>
        <v>1.52</v>
      </c>
    </row>
    <row r="132" spans="1:14" s="81" customFormat="1" ht="15.5" x14ac:dyDescent="0.35">
      <c r="A132" s="210">
        <v>3</v>
      </c>
      <c r="B132" s="211"/>
      <c r="C132" s="82" t="s">
        <v>158</v>
      </c>
      <c r="D132" s="210">
        <f t="shared" si="0"/>
        <v>751.34845890000008</v>
      </c>
      <c r="E132" s="211"/>
      <c r="F132" s="82">
        <v>0</v>
      </c>
      <c r="G132" s="82">
        <f t="shared" si="1"/>
        <v>1142.0496575280001</v>
      </c>
      <c r="H132" s="246"/>
      <c r="I132" s="247"/>
      <c r="J132" s="248"/>
      <c r="L132" s="81">
        <f t="shared" si="2"/>
        <v>4568198.6301120007</v>
      </c>
      <c r="N132" s="81">
        <f t="shared" si="3"/>
        <v>1.52</v>
      </c>
    </row>
    <row r="133" spans="1:14" s="81" customFormat="1" ht="15.5" x14ac:dyDescent="0.35">
      <c r="A133" s="210">
        <v>4</v>
      </c>
      <c r="B133" s="211"/>
      <c r="C133" s="82" t="s">
        <v>158</v>
      </c>
      <c r="D133" s="210">
        <f t="shared" si="0"/>
        <v>751.34845890000008</v>
      </c>
      <c r="E133" s="211"/>
      <c r="F133" s="82">
        <v>0</v>
      </c>
      <c r="G133" s="82">
        <f t="shared" si="1"/>
        <v>1142.0496575280001</v>
      </c>
      <c r="H133" s="246"/>
      <c r="I133" s="247"/>
      <c r="J133" s="248"/>
      <c r="L133" s="81">
        <f t="shared" si="2"/>
        <v>4568198.6301120007</v>
      </c>
      <c r="N133" s="81">
        <f t="shared" si="3"/>
        <v>1.52</v>
      </c>
    </row>
    <row r="134" spans="1:14" s="81" customFormat="1" ht="15.5" x14ac:dyDescent="0.35">
      <c r="A134" s="242" t="s">
        <v>243</v>
      </c>
      <c r="B134" s="242"/>
      <c r="C134" s="242"/>
      <c r="D134" s="242"/>
      <c r="E134" s="242"/>
      <c r="F134" s="242"/>
      <c r="G134" s="242"/>
      <c r="H134" s="242"/>
      <c r="I134" s="242"/>
      <c r="J134" s="242"/>
    </row>
    <row r="135" spans="1:14" s="81" customFormat="1" ht="15.5" x14ac:dyDescent="0.35">
      <c r="A135" s="242" t="s">
        <v>244</v>
      </c>
      <c r="B135" s="242"/>
      <c r="C135" s="242"/>
      <c r="D135" s="242"/>
      <c r="E135" s="242"/>
      <c r="F135" s="242"/>
      <c r="G135" s="242"/>
      <c r="H135" s="242"/>
      <c r="I135" s="242"/>
      <c r="J135" s="242"/>
    </row>
    <row r="136" spans="1:14" s="81" customFormat="1" ht="15.5" x14ac:dyDescent="0.35">
      <c r="A136" s="242" t="s">
        <v>245</v>
      </c>
      <c r="B136" s="242"/>
      <c r="C136" s="242"/>
      <c r="D136" s="242"/>
      <c r="E136" s="242"/>
      <c r="F136" s="242"/>
      <c r="G136" s="242"/>
      <c r="H136" s="242"/>
      <c r="I136" s="242"/>
      <c r="J136" s="242"/>
    </row>
    <row r="137" spans="1:14" s="81" customFormat="1" ht="15.75" customHeight="1" x14ac:dyDescent="0.35">
      <c r="A137" s="241">
        <v>1</v>
      </c>
      <c r="B137" s="241"/>
      <c r="C137" s="88" t="s">
        <v>158</v>
      </c>
      <c r="D137" s="241">
        <f>(53.96+(1.15*(2.75+2.5+2.75)))*10.764</f>
        <v>679.85423999999989</v>
      </c>
      <c r="E137" s="241"/>
      <c r="F137" s="88">
        <v>0</v>
      </c>
      <c r="G137" s="88">
        <v>1044</v>
      </c>
      <c r="H137" s="242" t="str">
        <f>A136</f>
        <v xml:space="preserve">1st to 7th &amp; 9th to 12th Floor </v>
      </c>
      <c r="I137" s="242"/>
      <c r="J137" s="242"/>
      <c r="L137" s="81">
        <f>4000*G137</f>
        <v>4176000</v>
      </c>
      <c r="M137" s="81">
        <f>1.05*4.15+2.75*6.5+2.5*2.2+2.75*3.35+3*3.15+1.95*1.2+1.2*2.1+1.2*1+1.2*1</f>
        <v>53.655000000000008</v>
      </c>
      <c r="N137" s="81">
        <f>G137/D137</f>
        <v>1.5356232830143122</v>
      </c>
    </row>
    <row r="138" spans="1:14" s="81" customFormat="1" ht="15.5" x14ac:dyDescent="0.35">
      <c r="A138" s="241">
        <v>2</v>
      </c>
      <c r="B138" s="241"/>
      <c r="C138" s="88" t="s">
        <v>158</v>
      </c>
      <c r="D138" s="241">
        <f>(54.75+(1.15*(2.75+2.5+2.75)))*10.764</f>
        <v>688.3578</v>
      </c>
      <c r="E138" s="241"/>
      <c r="F138" s="88">
        <v>0</v>
      </c>
      <c r="G138" s="88">
        <v>1049</v>
      </c>
      <c r="H138" s="242"/>
      <c r="I138" s="242"/>
      <c r="J138" s="242"/>
      <c r="L138" s="81">
        <f t="shared" ref="L138:L147" si="4">4000*G138</f>
        <v>4196000</v>
      </c>
      <c r="N138" s="81">
        <f t="shared" ref="N138:N147" si="5">G138/D138</f>
        <v>1.5239167770017279</v>
      </c>
    </row>
    <row r="139" spans="1:14" s="81" customFormat="1" ht="15.5" x14ac:dyDescent="0.35">
      <c r="A139" s="241">
        <v>3</v>
      </c>
      <c r="B139" s="241"/>
      <c r="C139" s="88" t="s">
        <v>242</v>
      </c>
      <c r="D139" s="241">
        <f>(68.64+3+(1.15*(2.75+2.2+3.4+2.75)))*10.764</f>
        <v>908.53541999999993</v>
      </c>
      <c r="E139" s="241"/>
      <c r="F139" s="88">
        <v>0</v>
      </c>
      <c r="G139" s="88">
        <v>1385</v>
      </c>
      <c r="H139" s="242"/>
      <c r="I139" s="242"/>
      <c r="J139" s="242"/>
      <c r="L139" s="81">
        <f t="shared" si="4"/>
        <v>5540000</v>
      </c>
      <c r="N139" s="81">
        <f t="shared" si="5"/>
        <v>1.5244314855660774</v>
      </c>
    </row>
    <row r="140" spans="1:14" s="81" customFormat="1" ht="15.5" x14ac:dyDescent="0.35">
      <c r="A140" s="241">
        <v>4</v>
      </c>
      <c r="B140" s="241"/>
      <c r="C140" s="88" t="s">
        <v>242</v>
      </c>
      <c r="D140" s="241">
        <f>(68.64+3+(1.15*(2.75+2.2+3.4+2.75)))*10.764</f>
        <v>908.53541999999993</v>
      </c>
      <c r="E140" s="241"/>
      <c r="F140" s="88">
        <v>0</v>
      </c>
      <c r="G140" s="88">
        <v>1385</v>
      </c>
      <c r="H140" s="242"/>
      <c r="I140" s="242"/>
      <c r="J140" s="242"/>
      <c r="L140" s="81">
        <f t="shared" si="4"/>
        <v>5540000</v>
      </c>
      <c r="N140" s="81">
        <f t="shared" si="5"/>
        <v>1.5244314855660774</v>
      </c>
    </row>
    <row r="141" spans="1:14" s="81" customFormat="1" ht="15.5" x14ac:dyDescent="0.35">
      <c r="A141" s="241">
        <v>5</v>
      </c>
      <c r="B141" s="241"/>
      <c r="C141" s="88" t="s">
        <v>158</v>
      </c>
      <c r="D141" s="241">
        <f>(54.22+(1.15*(2.75+2.15+2.75+2.75)))*10.764</f>
        <v>712.36151999999993</v>
      </c>
      <c r="E141" s="241"/>
      <c r="F141" s="88">
        <v>0</v>
      </c>
      <c r="G141" s="88">
        <v>1134</v>
      </c>
      <c r="H141" s="242"/>
      <c r="I141" s="242"/>
      <c r="J141" s="242"/>
      <c r="L141" s="81">
        <f t="shared" si="4"/>
        <v>4536000</v>
      </c>
      <c r="N141" s="81">
        <f t="shared" si="5"/>
        <v>1.5918883434355076</v>
      </c>
    </row>
    <row r="142" spans="1:14" s="81" customFormat="1" ht="15.5" x14ac:dyDescent="0.35">
      <c r="A142" s="241">
        <v>6</v>
      </c>
      <c r="B142" s="241"/>
      <c r="C142" s="88" t="s">
        <v>158</v>
      </c>
      <c r="D142" s="241">
        <f t="shared" ref="D142:D143" si="6">(54.22+(1.15*(2.75+2.15+2.75+2.75)))*10.764</f>
        <v>712.36151999999993</v>
      </c>
      <c r="E142" s="241"/>
      <c r="F142" s="88">
        <v>0</v>
      </c>
      <c r="G142" s="88">
        <v>1134</v>
      </c>
      <c r="H142" s="242"/>
      <c r="I142" s="242"/>
      <c r="J142" s="242"/>
      <c r="L142" s="81">
        <f t="shared" si="4"/>
        <v>4536000</v>
      </c>
      <c r="N142" s="81">
        <f t="shared" si="5"/>
        <v>1.5918883434355076</v>
      </c>
    </row>
    <row r="143" spans="1:14" s="81" customFormat="1" ht="15.5" x14ac:dyDescent="0.35">
      <c r="A143" s="241">
        <v>7</v>
      </c>
      <c r="B143" s="241"/>
      <c r="C143" s="88" t="s">
        <v>158</v>
      </c>
      <c r="D143" s="241">
        <f t="shared" si="6"/>
        <v>712.36151999999993</v>
      </c>
      <c r="E143" s="241"/>
      <c r="F143" s="88">
        <v>0</v>
      </c>
      <c r="G143" s="88">
        <v>1134</v>
      </c>
      <c r="H143" s="242"/>
      <c r="I143" s="242"/>
      <c r="J143" s="242"/>
      <c r="L143" s="81">
        <f t="shared" si="4"/>
        <v>4536000</v>
      </c>
      <c r="N143" s="81">
        <f t="shared" si="5"/>
        <v>1.5918883434355076</v>
      </c>
    </row>
    <row r="144" spans="1:14" s="81" customFormat="1" ht="15.5" x14ac:dyDescent="0.35">
      <c r="A144" s="241">
        <v>8</v>
      </c>
      <c r="B144" s="241"/>
      <c r="C144" s="88" t="s">
        <v>158</v>
      </c>
      <c r="D144" s="241">
        <f>(53.44+(1.15*(2.75+2.15+2.75+2.75)))*10.764</f>
        <v>703.96559999999988</v>
      </c>
      <c r="E144" s="241"/>
      <c r="F144" s="88">
        <v>0</v>
      </c>
      <c r="G144" s="88">
        <v>1062</v>
      </c>
      <c r="H144" s="242"/>
      <c r="I144" s="242"/>
      <c r="J144" s="242"/>
      <c r="L144" s="81">
        <f t="shared" si="4"/>
        <v>4248000</v>
      </c>
      <c r="N144" s="81">
        <f t="shared" si="5"/>
        <v>1.508596442780727</v>
      </c>
    </row>
    <row r="145" spans="1:14" s="81" customFormat="1" ht="15.5" x14ac:dyDescent="0.35">
      <c r="A145" s="241">
        <v>9</v>
      </c>
      <c r="B145" s="241"/>
      <c r="C145" s="88" t="s">
        <v>158</v>
      </c>
      <c r="D145" s="241">
        <f>(55.88+(1.15*(2.75+2.2+3.4+2.75)))*10.764</f>
        <v>738.89477999999997</v>
      </c>
      <c r="E145" s="241"/>
      <c r="F145" s="88">
        <v>0</v>
      </c>
      <c r="G145" s="88">
        <f>D145*1.55</f>
        <v>1145.2869089999999</v>
      </c>
      <c r="H145" s="242"/>
      <c r="I145" s="242"/>
      <c r="J145" s="242"/>
      <c r="L145" s="81">
        <f t="shared" si="4"/>
        <v>4581147.6359999999</v>
      </c>
      <c r="N145" s="81">
        <f t="shared" si="5"/>
        <v>1.55</v>
      </c>
    </row>
    <row r="146" spans="1:14" s="81" customFormat="1" ht="15.5" x14ac:dyDescent="0.35">
      <c r="A146" s="241">
        <v>10</v>
      </c>
      <c r="B146" s="241"/>
      <c r="C146" s="88" t="s">
        <v>158</v>
      </c>
      <c r="D146" s="241">
        <f>(57.83+(1.15*(2.75+2.5+3.4+2.75)))*10.764</f>
        <v>763.59815999999989</v>
      </c>
      <c r="E146" s="241"/>
      <c r="F146" s="88">
        <v>0</v>
      </c>
      <c r="G146" s="88">
        <v>1170</v>
      </c>
      <c r="H146" s="242"/>
      <c r="I146" s="242"/>
      <c r="J146" s="242"/>
      <c r="L146" s="81">
        <f t="shared" si="4"/>
        <v>4680000</v>
      </c>
      <c r="N146" s="81">
        <f t="shared" si="5"/>
        <v>1.5322195118961526</v>
      </c>
    </row>
    <row r="147" spans="1:14" s="81" customFormat="1" ht="15.5" x14ac:dyDescent="0.35">
      <c r="A147" s="241">
        <v>11</v>
      </c>
      <c r="B147" s="241"/>
      <c r="C147" s="88" t="s">
        <v>158</v>
      </c>
      <c r="D147" s="241">
        <f>(53.77+3+(1.15*(2.75+2.5+2.75)))*10.764</f>
        <v>710.10107999999991</v>
      </c>
      <c r="E147" s="241"/>
      <c r="F147" s="88">
        <v>0</v>
      </c>
      <c r="G147" s="88">
        <v>1134</v>
      </c>
      <c r="H147" s="242"/>
      <c r="I147" s="242"/>
      <c r="J147" s="242"/>
      <c r="L147" s="81">
        <f t="shared" si="4"/>
        <v>4536000</v>
      </c>
      <c r="N147" s="81">
        <f t="shared" si="5"/>
        <v>1.5969557460749111</v>
      </c>
    </row>
    <row r="148" spans="1:14" s="81" customFormat="1" ht="15.5" x14ac:dyDescent="0.35">
      <c r="A148" s="242" t="s">
        <v>246</v>
      </c>
      <c r="B148" s="242"/>
      <c r="C148" s="242"/>
      <c r="D148" s="242"/>
      <c r="E148" s="242"/>
      <c r="F148" s="242"/>
      <c r="G148" s="242"/>
      <c r="H148" s="242"/>
      <c r="I148" s="242"/>
      <c r="J148" s="242"/>
    </row>
    <row r="149" spans="1:14" s="81" customFormat="1" ht="15.75" customHeight="1" x14ac:dyDescent="0.35">
      <c r="A149" s="241">
        <v>1</v>
      </c>
      <c r="B149" s="241"/>
      <c r="C149" s="82" t="s">
        <v>158</v>
      </c>
      <c r="D149" s="241">
        <f>(53.96+(1.15*(2.75+2.5+2.75)))*10.764</f>
        <v>679.85423999999989</v>
      </c>
      <c r="E149" s="241"/>
      <c r="F149" s="82">
        <v>0</v>
      </c>
      <c r="G149" s="82">
        <v>1044</v>
      </c>
      <c r="H149" s="242" t="str">
        <f>A148</f>
        <v>8th Floor (Part Refuge Area)</v>
      </c>
      <c r="I149" s="242"/>
      <c r="J149" s="242"/>
      <c r="L149" s="81">
        <f>6264000/G149</f>
        <v>6000</v>
      </c>
      <c r="M149" s="81">
        <f>1.05*4.15+2.75*6.5+2.5*2.2+2.75*3.35+3*3.15+1.95*1.2+1.2*2.1+1.2*1+1.2*1</f>
        <v>53.655000000000008</v>
      </c>
    </row>
    <row r="150" spans="1:14" s="81" customFormat="1" ht="15.5" x14ac:dyDescent="0.35">
      <c r="A150" s="241">
        <v>2</v>
      </c>
      <c r="B150" s="241"/>
      <c r="C150" s="82" t="s">
        <v>158</v>
      </c>
      <c r="D150" s="241">
        <f>(54.75+(1.15*(2.75+2.5+2.75)))*10.764</f>
        <v>688.3578</v>
      </c>
      <c r="E150" s="241"/>
      <c r="F150" s="82">
        <v>0</v>
      </c>
      <c r="G150" s="82">
        <v>1049</v>
      </c>
      <c r="H150" s="242"/>
      <c r="I150" s="242"/>
      <c r="J150" s="242"/>
    </row>
    <row r="151" spans="1:14" s="81" customFormat="1" ht="15.5" x14ac:dyDescent="0.35">
      <c r="A151" s="241">
        <v>3</v>
      </c>
      <c r="B151" s="241"/>
      <c r="C151" s="82" t="s">
        <v>242</v>
      </c>
      <c r="D151" s="241">
        <f>(68.64+3+(1.15*(2.75+2.2+3.4+2.75)))*10.764</f>
        <v>908.53541999999993</v>
      </c>
      <c r="E151" s="241"/>
      <c r="F151" s="82">
        <v>0</v>
      </c>
      <c r="G151" s="82">
        <v>1385</v>
      </c>
      <c r="H151" s="242"/>
      <c r="I151" s="242"/>
      <c r="J151" s="242"/>
    </row>
    <row r="152" spans="1:14" s="81" customFormat="1" ht="15.5" x14ac:dyDescent="0.35">
      <c r="A152" s="241">
        <v>4</v>
      </c>
      <c r="B152" s="241"/>
      <c r="C152" s="82" t="s">
        <v>242</v>
      </c>
      <c r="D152" s="241">
        <f>(68.64+3+(1.15*(2.75+2.2+3.4+2.75)))*10.764</f>
        <v>908.53541999999993</v>
      </c>
      <c r="E152" s="241"/>
      <c r="F152" s="82">
        <v>0</v>
      </c>
      <c r="G152" s="82">
        <v>1385</v>
      </c>
      <c r="H152" s="242"/>
      <c r="I152" s="242"/>
      <c r="J152" s="242"/>
    </row>
    <row r="153" spans="1:14" s="81" customFormat="1" ht="15.5" x14ac:dyDescent="0.35">
      <c r="A153" s="241">
        <v>5</v>
      </c>
      <c r="B153" s="241"/>
      <c r="C153" s="82" t="s">
        <v>158</v>
      </c>
      <c r="D153" s="241">
        <f>(54.22+(1.15*(2.75+2.15+2.75+2.75)))*10.764</f>
        <v>712.36151999999993</v>
      </c>
      <c r="E153" s="241"/>
      <c r="F153" s="82">
        <v>0</v>
      </c>
      <c r="G153" s="82">
        <v>1134</v>
      </c>
      <c r="H153" s="242"/>
      <c r="I153" s="242"/>
      <c r="J153" s="242"/>
    </row>
    <row r="154" spans="1:14" s="81" customFormat="1" ht="15.5" x14ac:dyDescent="0.35">
      <c r="A154" s="241">
        <v>6</v>
      </c>
      <c r="B154" s="241"/>
      <c r="C154" s="82" t="s">
        <v>157</v>
      </c>
      <c r="D154" s="241">
        <f>(41.47+(1.15*(2.75+2.15+2.75)))*10.764</f>
        <v>541.07936999999993</v>
      </c>
      <c r="E154" s="241"/>
      <c r="F154" s="82">
        <v>0</v>
      </c>
      <c r="G154" s="82">
        <f>D154*1.53</f>
        <v>827.85143609999989</v>
      </c>
      <c r="H154" s="242"/>
      <c r="I154" s="242"/>
      <c r="J154" s="242"/>
    </row>
    <row r="155" spans="1:14" s="81" customFormat="1" ht="15.5" x14ac:dyDescent="0.35">
      <c r="A155" s="241">
        <v>7</v>
      </c>
      <c r="B155" s="241"/>
      <c r="C155" s="82" t="s">
        <v>157</v>
      </c>
      <c r="D155" s="241">
        <f>(41.47+(1.15*(2.75+2.15+2.75)))*10.764</f>
        <v>541.07936999999993</v>
      </c>
      <c r="E155" s="241"/>
      <c r="F155" s="82">
        <v>0</v>
      </c>
      <c r="G155" s="82">
        <f>D155*1.53</f>
        <v>827.85143609999989</v>
      </c>
      <c r="H155" s="242"/>
      <c r="I155" s="242"/>
      <c r="J155" s="242"/>
    </row>
    <row r="156" spans="1:14" s="81" customFormat="1" ht="15.5" x14ac:dyDescent="0.35">
      <c r="A156" s="241">
        <v>8</v>
      </c>
      <c r="B156" s="241"/>
      <c r="C156" s="82" t="s">
        <v>158</v>
      </c>
      <c r="D156" s="241">
        <f>(53.44+(1.15*(2.75+2.15+2.75+2.75)))*10.764</f>
        <v>703.96559999999988</v>
      </c>
      <c r="E156" s="241"/>
      <c r="F156" s="82">
        <v>0</v>
      </c>
      <c r="G156" s="82">
        <v>1062</v>
      </c>
      <c r="H156" s="242"/>
      <c r="I156" s="242"/>
      <c r="J156" s="242"/>
    </row>
    <row r="157" spans="1:14" s="81" customFormat="1" ht="15.5" x14ac:dyDescent="0.35">
      <c r="A157" s="241">
        <v>9</v>
      </c>
      <c r="B157" s="241"/>
      <c r="C157" s="82" t="s">
        <v>158</v>
      </c>
      <c r="D157" s="241">
        <f>(55.88+(1.15*(2.75+2.2+3.4+2.75)))*10.764</f>
        <v>738.89477999999997</v>
      </c>
      <c r="E157" s="241"/>
      <c r="F157" s="82">
        <v>0</v>
      </c>
      <c r="G157" s="82">
        <f>D157*1.55</f>
        <v>1145.2869089999999</v>
      </c>
      <c r="H157" s="242"/>
      <c r="I157" s="242"/>
      <c r="J157" s="242"/>
    </row>
    <row r="158" spans="1:14" s="81" customFormat="1" ht="15.5" x14ac:dyDescent="0.35">
      <c r="A158" s="241">
        <v>10</v>
      </c>
      <c r="B158" s="241"/>
      <c r="C158" s="82" t="s">
        <v>158</v>
      </c>
      <c r="D158" s="241">
        <f>(57.83+(1.15*(2.75+2.5+3.4+2.75)))*10.764</f>
        <v>763.59815999999989</v>
      </c>
      <c r="E158" s="241"/>
      <c r="F158" s="82">
        <v>0</v>
      </c>
      <c r="G158" s="82">
        <v>1170</v>
      </c>
      <c r="H158" s="242"/>
      <c r="I158" s="242"/>
      <c r="J158" s="242"/>
    </row>
    <row r="159" spans="1:14" s="81" customFormat="1" ht="15.5" x14ac:dyDescent="0.35">
      <c r="A159" s="241">
        <v>11</v>
      </c>
      <c r="B159" s="241"/>
      <c r="C159" s="82" t="s">
        <v>158</v>
      </c>
      <c r="D159" s="241">
        <f>(53.77+3+(1.15*(2.75+2.5+2.75)))*10.764</f>
        <v>710.10107999999991</v>
      </c>
      <c r="E159" s="241"/>
      <c r="F159" s="82">
        <v>0</v>
      </c>
      <c r="G159" s="82">
        <v>1134</v>
      </c>
      <c r="H159" s="242"/>
      <c r="I159" s="242"/>
      <c r="J159" s="242"/>
    </row>
    <row r="160" spans="1:14" s="51" customFormat="1" ht="214" customHeight="1" x14ac:dyDescent="0.3">
      <c r="A160" s="187" t="s">
        <v>261</v>
      </c>
      <c r="B160" s="187"/>
      <c r="C160" s="187"/>
      <c r="D160" s="187"/>
      <c r="E160" s="187"/>
      <c r="F160" s="187"/>
      <c r="G160" s="187"/>
      <c r="H160" s="187"/>
      <c r="I160" s="187"/>
      <c r="J160" s="187"/>
    </row>
    <row r="161" spans="1:10" ht="15" customHeight="1" x14ac:dyDescent="0.3">
      <c r="A161" s="178" t="s">
        <v>79</v>
      </c>
      <c r="B161" s="179"/>
      <c r="C161" s="179"/>
      <c r="D161" s="179"/>
      <c r="E161" s="179"/>
      <c r="F161" s="179"/>
      <c r="G161" s="179"/>
      <c r="H161" s="179"/>
      <c r="I161" s="179"/>
      <c r="J161" s="180"/>
    </row>
    <row r="162" spans="1:10" x14ac:dyDescent="0.3">
      <c r="A162" s="181"/>
      <c r="B162" s="182"/>
      <c r="C162" s="182"/>
      <c r="D162" s="182"/>
      <c r="E162" s="182"/>
      <c r="F162" s="182"/>
      <c r="G162" s="182"/>
      <c r="H162" s="182"/>
      <c r="I162" s="182"/>
      <c r="J162" s="183"/>
    </row>
    <row r="163" spans="1:10" x14ac:dyDescent="0.3">
      <c r="A163" s="181"/>
      <c r="B163" s="182"/>
      <c r="C163" s="182"/>
      <c r="D163" s="182"/>
      <c r="E163" s="182"/>
      <c r="F163" s="182"/>
      <c r="G163" s="182"/>
      <c r="H163" s="182"/>
      <c r="I163" s="182"/>
      <c r="J163" s="183"/>
    </row>
    <row r="164" spans="1:10" x14ac:dyDescent="0.3">
      <c r="A164" s="184"/>
      <c r="B164" s="185"/>
      <c r="C164" s="185"/>
      <c r="D164" s="185"/>
      <c r="E164" s="185"/>
      <c r="F164" s="185"/>
      <c r="G164" s="185"/>
      <c r="H164" s="185"/>
      <c r="I164" s="185"/>
      <c r="J164" s="186"/>
    </row>
    <row r="165" spans="1:10" x14ac:dyDescent="0.3">
      <c r="A165" s="52" t="s">
        <v>80</v>
      </c>
      <c r="B165" s="53"/>
      <c r="C165" s="53"/>
      <c r="D165" s="54" t="str">
        <f>F8</f>
        <v>Dipti Sky City</v>
      </c>
      <c r="F165" s="55"/>
      <c r="G165" s="55"/>
      <c r="H165" s="55"/>
      <c r="I165" s="55"/>
      <c r="J165" s="55"/>
    </row>
    <row r="168" spans="1:10" x14ac:dyDescent="0.3">
      <c r="G168" s="53"/>
      <c r="H168" s="53"/>
      <c r="I168" s="53"/>
      <c r="J168" s="53"/>
    </row>
    <row r="169" spans="1:10" x14ac:dyDescent="0.3">
      <c r="A169" s="53"/>
      <c r="B169" s="53"/>
      <c r="C169" s="53"/>
      <c r="D169" s="53"/>
      <c r="E169" s="53"/>
      <c r="F169" s="53"/>
      <c r="G169" s="53"/>
      <c r="H169" s="53"/>
      <c r="I169" s="53"/>
      <c r="J169" s="53"/>
    </row>
    <row r="170" spans="1:10" x14ac:dyDescent="0.3">
      <c r="A170" s="53"/>
      <c r="B170" s="53"/>
      <c r="C170" s="53"/>
      <c r="D170" s="53"/>
      <c r="E170" s="53"/>
      <c r="F170" s="53"/>
      <c r="G170" s="53"/>
      <c r="H170" s="53"/>
      <c r="I170" s="53"/>
      <c r="J170" s="53"/>
    </row>
    <row r="213" spans="1:1" x14ac:dyDescent="0.3">
      <c r="A213" s="44" t="s">
        <v>132</v>
      </c>
    </row>
    <row r="214" spans="1:1" x14ac:dyDescent="0.3">
      <c r="A214" s="56" t="s">
        <v>81</v>
      </c>
    </row>
  </sheetData>
  <mergeCells count="335">
    <mergeCell ref="A130:B130"/>
    <mergeCell ref="D130:E130"/>
    <mergeCell ref="H130:J133"/>
    <mergeCell ref="A131:B131"/>
    <mergeCell ref="D131:E131"/>
    <mergeCell ref="A132:B132"/>
    <mergeCell ref="A145:B145"/>
    <mergeCell ref="D145:E145"/>
    <mergeCell ref="A146:B146"/>
    <mergeCell ref="D146:E146"/>
    <mergeCell ref="A147:B147"/>
    <mergeCell ref="D147:E147"/>
    <mergeCell ref="H137:J147"/>
    <mergeCell ref="A142:B142"/>
    <mergeCell ref="D142:E142"/>
    <mergeCell ref="A144:B144"/>
    <mergeCell ref="D144:E144"/>
    <mergeCell ref="A140:B140"/>
    <mergeCell ref="D140:E140"/>
    <mergeCell ref="A137:B137"/>
    <mergeCell ref="D137:E137"/>
    <mergeCell ref="A138:B138"/>
    <mergeCell ref="D138:E138"/>
    <mergeCell ref="A143:B143"/>
    <mergeCell ref="D143:E143"/>
    <mergeCell ref="A139:B139"/>
    <mergeCell ref="D139:E139"/>
    <mergeCell ref="A149:B149"/>
    <mergeCell ref="D149:E149"/>
    <mergeCell ref="A150:B150"/>
    <mergeCell ref="D150:E150"/>
    <mergeCell ref="A151:B151"/>
    <mergeCell ref="D151:E151"/>
    <mergeCell ref="A152:B152"/>
    <mergeCell ref="D152:E152"/>
    <mergeCell ref="A148:J148"/>
    <mergeCell ref="H149:J159"/>
    <mergeCell ref="A153:B153"/>
    <mergeCell ref="D153:E153"/>
    <mergeCell ref="A159:B159"/>
    <mergeCell ref="D159:E159"/>
    <mergeCell ref="A154:B154"/>
    <mergeCell ref="D154:E154"/>
    <mergeCell ref="A155:B155"/>
    <mergeCell ref="D155:E155"/>
    <mergeCell ref="A156:B156"/>
    <mergeCell ref="D156:E156"/>
    <mergeCell ref="A157:B157"/>
    <mergeCell ref="D157:E157"/>
    <mergeCell ref="A158:B158"/>
    <mergeCell ref="D158:E158"/>
    <mergeCell ref="A122:B122"/>
    <mergeCell ref="D122:F122"/>
    <mergeCell ref="G122:J122"/>
    <mergeCell ref="A119:J119"/>
    <mergeCell ref="A120:B120"/>
    <mergeCell ref="D120:F120"/>
    <mergeCell ref="G120:J120"/>
    <mergeCell ref="A136:J136"/>
    <mergeCell ref="A121:B121"/>
    <mergeCell ref="D121:F121"/>
    <mergeCell ref="G121:J121"/>
    <mergeCell ref="A123:B123"/>
    <mergeCell ref="D123:F123"/>
    <mergeCell ref="G123:J123"/>
    <mergeCell ref="H126:J126"/>
    <mergeCell ref="A124:J124"/>
    <mergeCell ref="A125:J125"/>
    <mergeCell ref="A126:B126"/>
    <mergeCell ref="D126:E126"/>
    <mergeCell ref="A134:J134"/>
    <mergeCell ref="A135:J135"/>
    <mergeCell ref="A127:J127"/>
    <mergeCell ref="A128:J128"/>
    <mergeCell ref="A129:J129"/>
    <mergeCell ref="H53:J53"/>
    <mergeCell ref="A51:B51"/>
    <mergeCell ref="C51:F51"/>
    <mergeCell ref="H51:J51"/>
    <mergeCell ref="A52:B52"/>
    <mergeCell ref="C52:F52"/>
    <mergeCell ref="H52:J52"/>
    <mergeCell ref="A84:B84"/>
    <mergeCell ref="D84:E84"/>
    <mergeCell ref="F84:G93"/>
    <mergeCell ref="H84:J93"/>
    <mergeCell ref="A85:B85"/>
    <mergeCell ref="D85:E85"/>
    <mergeCell ref="A86:B86"/>
    <mergeCell ref="D86:E86"/>
    <mergeCell ref="A87:B87"/>
    <mergeCell ref="D87:E87"/>
    <mergeCell ref="A93:B93"/>
    <mergeCell ref="D93:E93"/>
    <mergeCell ref="A80:B80"/>
    <mergeCell ref="C80:J80"/>
    <mergeCell ref="I81:J81"/>
    <mergeCell ref="A82:B82"/>
    <mergeCell ref="C82:J82"/>
    <mergeCell ref="A62:J62"/>
    <mergeCell ref="C64:E69"/>
    <mergeCell ref="A91:B91"/>
    <mergeCell ref="D91:E91"/>
    <mergeCell ref="A92:B92"/>
    <mergeCell ref="D92:E92"/>
    <mergeCell ref="A63:B63"/>
    <mergeCell ref="H63:J63"/>
    <mergeCell ref="A64:B64"/>
    <mergeCell ref="F64:G69"/>
    <mergeCell ref="H64:J69"/>
    <mergeCell ref="A65:B65"/>
    <mergeCell ref="A66:B66"/>
    <mergeCell ref="A67:B67"/>
    <mergeCell ref="A68:B68"/>
    <mergeCell ref="A69:B69"/>
    <mergeCell ref="C63:E63"/>
    <mergeCell ref="F63:G63"/>
    <mergeCell ref="A70:B70"/>
    <mergeCell ref="C70:J70"/>
    <mergeCell ref="A83:B83"/>
    <mergeCell ref="D83:E83"/>
    <mergeCell ref="F83:G83"/>
    <mergeCell ref="H83:J83"/>
    <mergeCell ref="A161:J164"/>
    <mergeCell ref="A160:J160"/>
    <mergeCell ref="A113:F113"/>
    <mergeCell ref="G113:J113"/>
    <mergeCell ref="A109:J109"/>
    <mergeCell ref="A110:J110"/>
    <mergeCell ref="A111:B111"/>
    <mergeCell ref="C111:J111"/>
    <mergeCell ref="A112:J112"/>
    <mergeCell ref="A118:F118"/>
    <mergeCell ref="G118:J118"/>
    <mergeCell ref="A116:F116"/>
    <mergeCell ref="G116:J116"/>
    <mergeCell ref="A114:F114"/>
    <mergeCell ref="G114:J114"/>
    <mergeCell ref="A115:F115"/>
    <mergeCell ref="G115:J115"/>
    <mergeCell ref="A117:F117"/>
    <mergeCell ref="G117:J117"/>
    <mergeCell ref="D132:E132"/>
    <mergeCell ref="A133:B133"/>
    <mergeCell ref="D133:E133"/>
    <mergeCell ref="A141:B141"/>
    <mergeCell ref="D141:E141"/>
    <mergeCell ref="A59:B59"/>
    <mergeCell ref="A60:C60"/>
    <mergeCell ref="D60:J60"/>
    <mergeCell ref="A61:J61"/>
    <mergeCell ref="A56:C56"/>
    <mergeCell ref="D56:E56"/>
    <mergeCell ref="F56:G56"/>
    <mergeCell ref="H56:J56"/>
    <mergeCell ref="A57:J57"/>
    <mergeCell ref="A58:C58"/>
    <mergeCell ref="D58:E58"/>
    <mergeCell ref="F58:G58"/>
    <mergeCell ref="H58:J58"/>
    <mergeCell ref="C59:J59"/>
    <mergeCell ref="A50:B50"/>
    <mergeCell ref="C50:F50"/>
    <mergeCell ref="A54:B54"/>
    <mergeCell ref="C54:F54"/>
    <mergeCell ref="H54:J54"/>
    <mergeCell ref="A44:J44"/>
    <mergeCell ref="A46:B46"/>
    <mergeCell ref="C46:F46"/>
    <mergeCell ref="H46:J46"/>
    <mergeCell ref="A48:B48"/>
    <mergeCell ref="C48:F48"/>
    <mergeCell ref="H48:J48"/>
    <mergeCell ref="A45:B45"/>
    <mergeCell ref="C45:F45"/>
    <mergeCell ref="H45:J45"/>
    <mergeCell ref="A47:B47"/>
    <mergeCell ref="C47:F47"/>
    <mergeCell ref="H47:J47"/>
    <mergeCell ref="A49:B49"/>
    <mergeCell ref="C49:F49"/>
    <mergeCell ref="H50:J50"/>
    <mergeCell ref="H49:J49"/>
    <mergeCell ref="A53:B53"/>
    <mergeCell ref="C53:F53"/>
    <mergeCell ref="A41:E41"/>
    <mergeCell ref="F41:J41"/>
    <mergeCell ref="A42:E42"/>
    <mergeCell ref="F42:J42"/>
    <mergeCell ref="A43:E43"/>
    <mergeCell ref="F43:J43"/>
    <mergeCell ref="A38:E38"/>
    <mergeCell ref="F38:J38"/>
    <mergeCell ref="A39:E39"/>
    <mergeCell ref="F39:J39"/>
    <mergeCell ref="A40:E40"/>
    <mergeCell ref="F40:J40"/>
    <mergeCell ref="A34:J34"/>
    <mergeCell ref="A35:E35"/>
    <mergeCell ref="F35:I35"/>
    <mergeCell ref="A36:E36"/>
    <mergeCell ref="F36:J36"/>
    <mergeCell ref="A37:J37"/>
    <mergeCell ref="A30:J30"/>
    <mergeCell ref="A31:J31"/>
    <mergeCell ref="A32:B32"/>
    <mergeCell ref="C32:D32"/>
    <mergeCell ref="E32:F32"/>
    <mergeCell ref="G32:H32"/>
    <mergeCell ref="I32:J32"/>
    <mergeCell ref="A33:B33"/>
    <mergeCell ref="C33:J33"/>
    <mergeCell ref="A28:B28"/>
    <mergeCell ref="C28:D28"/>
    <mergeCell ref="E28:F28"/>
    <mergeCell ref="G28:H28"/>
    <mergeCell ref="I28:J28"/>
    <mergeCell ref="A29:B29"/>
    <mergeCell ref="C29:D29"/>
    <mergeCell ref="E29:F29"/>
    <mergeCell ref="G29:H29"/>
    <mergeCell ref="I29:J29"/>
    <mergeCell ref="A19:E20"/>
    <mergeCell ref="F19:J20"/>
    <mergeCell ref="A25:E25"/>
    <mergeCell ref="F25:I25"/>
    <mergeCell ref="A26:E26"/>
    <mergeCell ref="F26:J26"/>
    <mergeCell ref="A27:B27"/>
    <mergeCell ref="C27:D27"/>
    <mergeCell ref="E27:F27"/>
    <mergeCell ref="G27:H27"/>
    <mergeCell ref="I27:J27"/>
    <mergeCell ref="A1:J1"/>
    <mergeCell ref="A2:J2"/>
    <mergeCell ref="A3:E3"/>
    <mergeCell ref="F3:J3"/>
    <mergeCell ref="A4:E4"/>
    <mergeCell ref="F4:I4"/>
    <mergeCell ref="A8:E8"/>
    <mergeCell ref="F8:J8"/>
    <mergeCell ref="A10:E10"/>
    <mergeCell ref="F10:J10"/>
    <mergeCell ref="A9:E9"/>
    <mergeCell ref="F9:J9"/>
    <mergeCell ref="A11:E11"/>
    <mergeCell ref="F11:J11"/>
    <mergeCell ref="A5:E5"/>
    <mergeCell ref="F5:J5"/>
    <mergeCell ref="A6:E6"/>
    <mergeCell ref="F6:J6"/>
    <mergeCell ref="A7:E7"/>
    <mergeCell ref="F7:J7"/>
    <mergeCell ref="A15:B15"/>
    <mergeCell ref="I15:J15"/>
    <mergeCell ref="A55:B55"/>
    <mergeCell ref="C55:F55"/>
    <mergeCell ref="H55:J55"/>
    <mergeCell ref="B17:E17"/>
    <mergeCell ref="G17:J17"/>
    <mergeCell ref="A12:E12"/>
    <mergeCell ref="F12:J12"/>
    <mergeCell ref="A13:E13"/>
    <mergeCell ref="F13:J13"/>
    <mergeCell ref="A14:B14"/>
    <mergeCell ref="C14:J14"/>
    <mergeCell ref="A21:E22"/>
    <mergeCell ref="F21:J22"/>
    <mergeCell ref="B16:E16"/>
    <mergeCell ref="G16:J16"/>
    <mergeCell ref="C15:G15"/>
    <mergeCell ref="A23:E23"/>
    <mergeCell ref="F23:I23"/>
    <mergeCell ref="A24:E24"/>
    <mergeCell ref="F24:J24"/>
    <mergeCell ref="A18:B18"/>
    <mergeCell ref="C18:E18"/>
    <mergeCell ref="F18:G18"/>
    <mergeCell ref="H18:J18"/>
    <mergeCell ref="A71:J71"/>
    <mergeCell ref="A72:B72"/>
    <mergeCell ref="C72:E72"/>
    <mergeCell ref="F72:G72"/>
    <mergeCell ref="H72:J72"/>
    <mergeCell ref="A73:B73"/>
    <mergeCell ref="C73:E78"/>
    <mergeCell ref="F73:G78"/>
    <mergeCell ref="H73:J78"/>
    <mergeCell ref="A74:B74"/>
    <mergeCell ref="A75:B75"/>
    <mergeCell ref="A76:B76"/>
    <mergeCell ref="A77:B77"/>
    <mergeCell ref="A78:B78"/>
    <mergeCell ref="D107:E107"/>
    <mergeCell ref="A79:B79"/>
    <mergeCell ref="C79:J79"/>
    <mergeCell ref="A94:B94"/>
    <mergeCell ref="C94:J94"/>
    <mergeCell ref="I95:J95"/>
    <mergeCell ref="A96:B96"/>
    <mergeCell ref="C96:J96"/>
    <mergeCell ref="A97:B97"/>
    <mergeCell ref="D97:E97"/>
    <mergeCell ref="F97:G97"/>
    <mergeCell ref="H97:J97"/>
    <mergeCell ref="A88:B88"/>
    <mergeCell ref="D88:E88"/>
    <mergeCell ref="A89:B89"/>
    <mergeCell ref="D89:E89"/>
    <mergeCell ref="A90:B90"/>
    <mergeCell ref="D90:E90"/>
    <mergeCell ref="A108:C108"/>
    <mergeCell ref="G108:I108"/>
    <mergeCell ref="D108:F108"/>
    <mergeCell ref="A98:B98"/>
    <mergeCell ref="D98:E98"/>
    <mergeCell ref="F98:G107"/>
    <mergeCell ref="H98:J107"/>
    <mergeCell ref="A99:B99"/>
    <mergeCell ref="D99:E99"/>
    <mergeCell ref="A100:B100"/>
    <mergeCell ref="D100:E100"/>
    <mergeCell ref="A101:B101"/>
    <mergeCell ref="D101:E101"/>
    <mergeCell ref="A102:B102"/>
    <mergeCell ref="D102:E102"/>
    <mergeCell ref="A103:B103"/>
    <mergeCell ref="D103:E103"/>
    <mergeCell ref="A104:B104"/>
    <mergeCell ref="D104:E104"/>
    <mergeCell ref="A105:B105"/>
    <mergeCell ref="D105:E105"/>
    <mergeCell ref="A106:B106"/>
    <mergeCell ref="D106:E106"/>
    <mergeCell ref="A107:B107"/>
  </mergeCells>
  <hyperlinks>
    <hyperlink ref="C33" r:id="rId1"/>
  </hyperlinks>
  <printOptions horizontalCentered="1"/>
  <pageMargins left="0.43307086614173229" right="0.43307086614173229" top="0.86614173228346458" bottom="1.1811023622047245" header="0.19685039370078741" footer="0.19685039370078741"/>
  <pageSetup paperSize="9" scale="90" fitToHeight="0" orientation="portrait" r:id="rId2"/>
  <headerFooter>
    <oddHeader>&amp;C&amp;G</oddHeader>
    <oddFooter>&amp;L&amp;"Times New Roman,Bold"Ref No: &amp;F&amp;C&amp;G&amp;R&amp;P</oddFooter>
  </headerFooter>
  <rowBreaks count="3" manualBreakCount="3">
    <brk id="93" max="16383" man="1"/>
    <brk id="164" max="16383" man="1"/>
    <brk id="212"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topLeftCell="A16" workbookViewId="0">
      <selection activeCell="A29" sqref="A29"/>
    </sheetView>
  </sheetViews>
  <sheetFormatPr defaultColWidth="8.7265625" defaultRowHeight="14.5" x14ac:dyDescent="0.35"/>
  <cols>
    <col min="1" max="1" width="8.7265625" style="21"/>
    <col min="2" max="2" width="22.1796875" style="21" customWidth="1"/>
    <col min="3" max="3" width="37" style="21" customWidth="1"/>
    <col min="4" max="5" width="11.453125" style="21" customWidth="1"/>
    <col min="6" max="6" width="14" style="21" customWidth="1"/>
    <col min="7" max="7" width="20" style="21" customWidth="1"/>
    <col min="8" max="8" width="16.453125" style="21" customWidth="1"/>
    <col min="9" max="9" width="8.7265625" style="21"/>
    <col min="10" max="10" width="9.81640625" style="21" bestFit="1" customWidth="1"/>
    <col min="11" max="16384" width="8.7265625" style="21"/>
  </cols>
  <sheetData>
    <row r="1" spans="1:10" ht="15" customHeight="1" x14ac:dyDescent="0.35">
      <c r="A1" s="20"/>
      <c r="B1" s="20"/>
      <c r="C1" s="20"/>
      <c r="D1" s="20"/>
      <c r="E1" s="20"/>
      <c r="F1" s="20"/>
      <c r="G1" s="20"/>
      <c r="H1" s="20"/>
    </row>
    <row r="2" spans="1:10" ht="15" customHeight="1" x14ac:dyDescent="0.35">
      <c r="A2" s="22"/>
      <c r="B2" s="22"/>
      <c r="C2" s="22"/>
      <c r="D2" s="22"/>
      <c r="E2" s="22"/>
      <c r="F2" s="22"/>
      <c r="G2" s="22"/>
      <c r="H2" s="22"/>
    </row>
    <row r="3" spans="1:10" x14ac:dyDescent="0.35">
      <c r="A3" s="22"/>
      <c r="B3" s="249" t="s">
        <v>146</v>
      </c>
      <c r="C3" s="249"/>
      <c r="D3" s="249"/>
      <c r="E3" s="249"/>
      <c r="F3" s="249"/>
      <c r="G3" s="249"/>
      <c r="H3" s="249"/>
    </row>
    <row r="4" spans="1:10" x14ac:dyDescent="0.35">
      <c r="A4" s="22"/>
      <c r="B4" s="23" t="s">
        <v>147</v>
      </c>
      <c r="C4" s="23" t="s">
        <v>148</v>
      </c>
      <c r="D4" s="23" t="s">
        <v>104</v>
      </c>
      <c r="E4" s="23" t="s">
        <v>149</v>
      </c>
      <c r="F4" s="23" t="s">
        <v>150</v>
      </c>
      <c r="G4" s="23" t="s">
        <v>151</v>
      </c>
      <c r="H4" s="23" t="s">
        <v>152</v>
      </c>
    </row>
    <row r="5" spans="1:10" x14ac:dyDescent="0.35">
      <c r="A5" s="22"/>
      <c r="B5" s="24" t="s">
        <v>156</v>
      </c>
      <c r="C5" s="25" t="s">
        <v>132</v>
      </c>
      <c r="D5" s="26" t="s">
        <v>157</v>
      </c>
      <c r="E5" s="26">
        <v>700</v>
      </c>
      <c r="F5" s="27">
        <f>E5*1.45</f>
        <v>1015</v>
      </c>
      <c r="G5" s="28">
        <f>H5/F5</f>
        <v>2463.0541871921182</v>
      </c>
      <c r="H5" s="29">
        <v>2500000</v>
      </c>
      <c r="J5" s="30"/>
    </row>
    <row r="6" spans="1:10" x14ac:dyDescent="0.35">
      <c r="A6" s="22"/>
      <c r="B6" s="24" t="s">
        <v>156</v>
      </c>
      <c r="C6" s="25" t="s">
        <v>132</v>
      </c>
      <c r="D6" s="26" t="s">
        <v>158</v>
      </c>
      <c r="E6" s="26">
        <v>969</v>
      </c>
      <c r="F6" s="27">
        <f t="shared" ref="F6:F9" si="0">E6*1.45</f>
        <v>1405.05</v>
      </c>
      <c r="G6" s="28">
        <f t="shared" ref="G6:G9" si="1">H6/F6</f>
        <v>2491.0145546421836</v>
      </c>
      <c r="H6" s="29">
        <v>3500000</v>
      </c>
      <c r="J6" s="30"/>
    </row>
    <row r="7" spans="1:10" x14ac:dyDescent="0.35">
      <c r="A7" s="22"/>
      <c r="B7" s="24" t="s">
        <v>153</v>
      </c>
      <c r="C7" s="25" t="s">
        <v>132</v>
      </c>
      <c r="D7" s="26" t="s">
        <v>157</v>
      </c>
      <c r="E7" s="26">
        <v>530</v>
      </c>
      <c r="F7" s="27">
        <v>795</v>
      </c>
      <c r="G7" s="28">
        <f t="shared" si="1"/>
        <v>3773.5849056603774</v>
      </c>
      <c r="H7" s="29">
        <v>3000000</v>
      </c>
      <c r="J7" s="30"/>
    </row>
    <row r="8" spans="1:10" ht="15" customHeight="1" x14ac:dyDescent="0.35">
      <c r="A8" s="22"/>
      <c r="B8" s="24" t="s">
        <v>153</v>
      </c>
      <c r="C8" s="25" t="s">
        <v>132</v>
      </c>
      <c r="D8" s="26" t="s">
        <v>157</v>
      </c>
      <c r="E8" s="26">
        <v>0</v>
      </c>
      <c r="F8" s="27">
        <v>675</v>
      </c>
      <c r="G8" s="28">
        <f t="shared" si="1"/>
        <v>4592.5925925925922</v>
      </c>
      <c r="H8" s="29">
        <v>3100000</v>
      </c>
      <c r="J8" s="30"/>
    </row>
    <row r="9" spans="1:10" x14ac:dyDescent="0.35">
      <c r="A9" s="22"/>
      <c r="B9" s="24" t="s">
        <v>153</v>
      </c>
      <c r="C9" s="25" t="s">
        <v>132</v>
      </c>
      <c r="D9" s="26" t="s">
        <v>157</v>
      </c>
      <c r="E9" s="26">
        <v>500</v>
      </c>
      <c r="F9" s="27">
        <f t="shared" si="0"/>
        <v>725</v>
      </c>
      <c r="G9" s="28">
        <f t="shared" si="1"/>
        <v>4413.7931034482763</v>
      </c>
      <c r="H9" s="29">
        <v>3200000</v>
      </c>
      <c r="J9" s="30"/>
    </row>
    <row r="10" spans="1:10" ht="15" customHeight="1" x14ac:dyDescent="0.35">
      <c r="A10" s="22"/>
      <c r="B10" s="31" t="s">
        <v>154</v>
      </c>
      <c r="C10" s="32"/>
      <c r="D10" s="32"/>
      <c r="E10" s="26">
        <v>0</v>
      </c>
      <c r="F10" s="28">
        <f>E10*1.5</f>
        <v>0</v>
      </c>
      <c r="G10" s="33">
        <f>AVERAGE(G5:G9)</f>
        <v>3546.8078687071093</v>
      </c>
      <c r="H10" s="32"/>
      <c r="J10" s="30"/>
    </row>
    <row r="11" spans="1:10" ht="15" customHeight="1" x14ac:dyDescent="0.35">
      <c r="A11" s="20"/>
      <c r="B11" s="31" t="s">
        <v>155</v>
      </c>
      <c r="C11" s="26"/>
      <c r="D11" s="26"/>
      <c r="E11" s="26"/>
      <c r="F11" s="34"/>
      <c r="G11" s="31">
        <v>3600</v>
      </c>
      <c r="H11" s="31"/>
      <c r="I11" s="35"/>
      <c r="J11" s="30"/>
    </row>
    <row r="12" spans="1:10" ht="15" customHeight="1" x14ac:dyDescent="0.35">
      <c r="B12" s="20"/>
      <c r="C12" s="20"/>
      <c r="D12" s="20"/>
      <c r="E12" s="20"/>
      <c r="G12" s="36"/>
    </row>
    <row r="13" spans="1:10" x14ac:dyDescent="0.35">
      <c r="E13" s="36"/>
      <c r="G13" s="36"/>
    </row>
    <row r="14" spans="1:10" x14ac:dyDescent="0.35">
      <c r="E14" s="36"/>
      <c r="G14" s="36"/>
    </row>
    <row r="15" spans="1:10" x14ac:dyDescent="0.35">
      <c r="E15" s="36"/>
      <c r="G15" s="36"/>
    </row>
    <row r="16" spans="1:10" x14ac:dyDescent="0.35">
      <c r="E16" s="36"/>
      <c r="G16" s="36"/>
    </row>
    <row r="17" spans="2:7" x14ac:dyDescent="0.35">
      <c r="E17" s="36"/>
      <c r="G17" s="36"/>
    </row>
    <row r="18" spans="2:7" x14ac:dyDescent="0.35">
      <c r="E18" s="36"/>
      <c r="G18" s="36"/>
    </row>
    <row r="19" spans="2:7" x14ac:dyDescent="0.35">
      <c r="G19" s="36"/>
    </row>
    <row r="20" spans="2:7" x14ac:dyDescent="0.35">
      <c r="G20" s="36"/>
    </row>
    <row r="21" spans="2:7" x14ac:dyDescent="0.35">
      <c r="B21" s="37"/>
      <c r="G21" s="36"/>
    </row>
  </sheetData>
  <mergeCells count="1">
    <mergeCell ref="B3:H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election activeCell="D3" sqref="D3"/>
    </sheetView>
  </sheetViews>
  <sheetFormatPr defaultRowHeight="14.5" x14ac:dyDescent="0.35"/>
  <cols>
    <col min="1" max="1" width="10.453125" bestFit="1" customWidth="1"/>
  </cols>
  <sheetData>
    <row r="1" spans="1:3" x14ac:dyDescent="0.35">
      <c r="A1" s="18">
        <v>43901</v>
      </c>
      <c r="B1" t="s">
        <v>128</v>
      </c>
      <c r="C1" t="s">
        <v>129</v>
      </c>
    </row>
    <row r="3" spans="1:3" x14ac:dyDescent="0.35">
      <c r="A3" s="18">
        <v>44261</v>
      </c>
      <c r="B3" t="s">
        <v>159</v>
      </c>
      <c r="C3" t="s">
        <v>129</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topLeftCell="A4" workbookViewId="0">
      <selection activeCell="G21" sqref="G21"/>
    </sheetView>
  </sheetViews>
  <sheetFormatPr defaultRowHeight="14.5" x14ac:dyDescent="0.35"/>
  <cols>
    <col min="1" max="1" width="9.1796875" style="4"/>
    <col min="2" max="2" width="11.7265625" style="4" customWidth="1"/>
    <col min="3" max="257" width="9.1796875" style="4"/>
    <col min="258" max="258" width="11.7265625" style="4" customWidth="1"/>
    <col min="259" max="513" width="9.1796875" style="4"/>
    <col min="514" max="514" width="11.7265625" style="4" customWidth="1"/>
    <col min="515" max="769" width="9.1796875" style="4"/>
    <col min="770" max="770" width="11.7265625" style="4" customWidth="1"/>
    <col min="771" max="1025" width="9.1796875" style="4"/>
    <col min="1026" max="1026" width="11.7265625" style="4" customWidth="1"/>
    <col min="1027" max="1281" width="9.1796875" style="4"/>
    <col min="1282" max="1282" width="11.7265625" style="4" customWidth="1"/>
    <col min="1283" max="1537" width="9.1796875" style="4"/>
    <col min="1538" max="1538" width="11.7265625" style="4" customWidth="1"/>
    <col min="1539" max="1793" width="9.1796875" style="4"/>
    <col min="1794" max="1794" width="11.7265625" style="4" customWidth="1"/>
    <col min="1795" max="2049" width="9.1796875" style="4"/>
    <col min="2050" max="2050" width="11.7265625" style="4" customWidth="1"/>
    <col min="2051" max="2305" width="9.1796875" style="4"/>
    <col min="2306" max="2306" width="11.7265625" style="4" customWidth="1"/>
    <col min="2307" max="2561" width="9.1796875" style="4"/>
    <col min="2562" max="2562" width="11.7265625" style="4" customWidth="1"/>
    <col min="2563" max="2817" width="9.1796875" style="4"/>
    <col min="2818" max="2818" width="11.7265625" style="4" customWidth="1"/>
    <col min="2819" max="3073" width="9.1796875" style="4"/>
    <col min="3074" max="3074" width="11.7265625" style="4" customWidth="1"/>
    <col min="3075" max="3329" width="9.1796875" style="4"/>
    <col min="3330" max="3330" width="11.7265625" style="4" customWidth="1"/>
    <col min="3331" max="3585" width="9.1796875" style="4"/>
    <col min="3586" max="3586" width="11.7265625" style="4" customWidth="1"/>
    <col min="3587" max="3841" width="9.1796875" style="4"/>
    <col min="3842" max="3842" width="11.7265625" style="4" customWidth="1"/>
    <col min="3843" max="4097" width="9.1796875" style="4"/>
    <col min="4098" max="4098" width="11.7265625" style="4" customWidth="1"/>
    <col min="4099" max="4353" width="9.1796875" style="4"/>
    <col min="4354" max="4354" width="11.7265625" style="4" customWidth="1"/>
    <col min="4355" max="4609" width="9.1796875" style="4"/>
    <col min="4610" max="4610" width="11.7265625" style="4" customWidth="1"/>
    <col min="4611" max="4865" width="9.1796875" style="4"/>
    <col min="4866" max="4866" width="11.7265625" style="4" customWidth="1"/>
    <col min="4867" max="5121" width="9.1796875" style="4"/>
    <col min="5122" max="5122" width="11.7265625" style="4" customWidth="1"/>
    <col min="5123" max="5377" width="9.1796875" style="4"/>
    <col min="5378" max="5378" width="11.7265625" style="4" customWidth="1"/>
    <col min="5379" max="5633" width="9.1796875" style="4"/>
    <col min="5634" max="5634" width="11.7265625" style="4" customWidth="1"/>
    <col min="5635" max="5889" width="9.1796875" style="4"/>
    <col min="5890" max="5890" width="11.7265625" style="4" customWidth="1"/>
    <col min="5891" max="6145" width="9.1796875" style="4"/>
    <col min="6146" max="6146" width="11.7265625" style="4" customWidth="1"/>
    <col min="6147" max="6401" width="9.1796875" style="4"/>
    <col min="6402" max="6402" width="11.7265625" style="4" customWidth="1"/>
    <col min="6403" max="6657" width="9.1796875" style="4"/>
    <col min="6658" max="6658" width="11.7265625" style="4" customWidth="1"/>
    <col min="6659" max="6913" width="9.1796875" style="4"/>
    <col min="6914" max="6914" width="11.7265625" style="4" customWidth="1"/>
    <col min="6915" max="7169" width="9.1796875" style="4"/>
    <col min="7170" max="7170" width="11.7265625" style="4" customWidth="1"/>
    <col min="7171" max="7425" width="9.1796875" style="4"/>
    <col min="7426" max="7426" width="11.7265625" style="4" customWidth="1"/>
    <col min="7427" max="7681" width="9.1796875" style="4"/>
    <col min="7682" max="7682" width="11.7265625" style="4" customWidth="1"/>
    <col min="7683" max="7937" width="9.1796875" style="4"/>
    <col min="7938" max="7938" width="11.7265625" style="4" customWidth="1"/>
    <col min="7939" max="8193" width="9.1796875" style="4"/>
    <col min="8194" max="8194" width="11.7265625" style="4" customWidth="1"/>
    <col min="8195" max="8449" width="9.1796875" style="4"/>
    <col min="8450" max="8450" width="11.7265625" style="4" customWidth="1"/>
    <col min="8451" max="8705" width="9.1796875" style="4"/>
    <col min="8706" max="8706" width="11.7265625" style="4" customWidth="1"/>
    <col min="8707" max="8961" width="9.1796875" style="4"/>
    <col min="8962" max="8962" width="11.7265625" style="4" customWidth="1"/>
    <col min="8963" max="9217" width="9.1796875" style="4"/>
    <col min="9218" max="9218" width="11.7265625" style="4" customWidth="1"/>
    <col min="9219" max="9473" width="9.1796875" style="4"/>
    <col min="9474" max="9474" width="11.7265625" style="4" customWidth="1"/>
    <col min="9475" max="9729" width="9.1796875" style="4"/>
    <col min="9730" max="9730" width="11.7265625" style="4" customWidth="1"/>
    <col min="9731" max="9985" width="9.1796875" style="4"/>
    <col min="9986" max="9986" width="11.7265625" style="4" customWidth="1"/>
    <col min="9987" max="10241" width="9.1796875" style="4"/>
    <col min="10242" max="10242" width="11.7265625" style="4" customWidth="1"/>
    <col min="10243" max="10497" width="9.1796875" style="4"/>
    <col min="10498" max="10498" width="11.7265625" style="4" customWidth="1"/>
    <col min="10499" max="10753" width="9.1796875" style="4"/>
    <col min="10754" max="10754" width="11.7265625" style="4" customWidth="1"/>
    <col min="10755" max="11009" width="9.1796875" style="4"/>
    <col min="11010" max="11010" width="11.7265625" style="4" customWidth="1"/>
    <col min="11011" max="11265" width="9.1796875" style="4"/>
    <col min="11266" max="11266" width="11.7265625" style="4" customWidth="1"/>
    <col min="11267" max="11521" width="9.1796875" style="4"/>
    <col min="11522" max="11522" width="11.7265625" style="4" customWidth="1"/>
    <col min="11523" max="11777" width="9.1796875" style="4"/>
    <col min="11778" max="11778" width="11.7265625" style="4" customWidth="1"/>
    <col min="11779" max="12033" width="9.1796875" style="4"/>
    <col min="12034" max="12034" width="11.7265625" style="4" customWidth="1"/>
    <col min="12035" max="12289" width="9.1796875" style="4"/>
    <col min="12290" max="12290" width="11.7265625" style="4" customWidth="1"/>
    <col min="12291" max="12545" width="9.1796875" style="4"/>
    <col min="12546" max="12546" width="11.7265625" style="4" customWidth="1"/>
    <col min="12547" max="12801" width="9.1796875" style="4"/>
    <col min="12802" max="12802" width="11.7265625" style="4" customWidth="1"/>
    <col min="12803" max="13057" width="9.1796875" style="4"/>
    <col min="13058" max="13058" width="11.7265625" style="4" customWidth="1"/>
    <col min="13059" max="13313" width="9.1796875" style="4"/>
    <col min="13314" max="13314" width="11.7265625" style="4" customWidth="1"/>
    <col min="13315" max="13569" width="9.1796875" style="4"/>
    <col min="13570" max="13570" width="11.7265625" style="4" customWidth="1"/>
    <col min="13571" max="13825" width="9.1796875" style="4"/>
    <col min="13826" max="13826" width="11.7265625" style="4" customWidth="1"/>
    <col min="13827" max="14081" width="9.1796875" style="4"/>
    <col min="14082" max="14082" width="11.7265625" style="4" customWidth="1"/>
    <col min="14083" max="14337" width="9.1796875" style="4"/>
    <col min="14338" max="14338" width="11.7265625" style="4" customWidth="1"/>
    <col min="14339" max="14593" width="9.1796875" style="4"/>
    <col min="14594" max="14594" width="11.7265625" style="4" customWidth="1"/>
    <col min="14595" max="14849" width="9.1796875" style="4"/>
    <col min="14850" max="14850" width="11.7265625" style="4" customWidth="1"/>
    <col min="14851" max="15105" width="9.1796875" style="4"/>
    <col min="15106" max="15106" width="11.7265625" style="4" customWidth="1"/>
    <col min="15107" max="15361" width="9.1796875" style="4"/>
    <col min="15362" max="15362" width="11.7265625" style="4" customWidth="1"/>
    <col min="15363" max="15617" width="9.1796875" style="4"/>
    <col min="15618" max="15618" width="11.7265625" style="4" customWidth="1"/>
    <col min="15619" max="15873" width="9.1796875" style="4"/>
    <col min="15874" max="15874" width="11.7265625" style="4" customWidth="1"/>
    <col min="15875" max="16129" width="9.1796875" style="4"/>
    <col min="16130" max="16130" width="11.7265625" style="4" customWidth="1"/>
    <col min="16131" max="16384" width="9.1796875" style="4"/>
  </cols>
  <sheetData>
    <row r="2" spans="1:15" x14ac:dyDescent="0.35">
      <c r="A2" s="4" t="s">
        <v>82</v>
      </c>
      <c r="B2" s="5" t="s">
        <v>83</v>
      </c>
      <c r="C2" s="5">
        <v>7</v>
      </c>
    </row>
    <row r="3" spans="1:15" x14ac:dyDescent="0.35">
      <c r="B3" s="4" t="s">
        <v>84</v>
      </c>
      <c r="C3" s="4" t="s">
        <v>85</v>
      </c>
    </row>
    <row r="4" spans="1:15" x14ac:dyDescent="0.35">
      <c r="A4" s="4" t="s">
        <v>86</v>
      </c>
      <c r="B4" s="6">
        <v>10</v>
      </c>
      <c r="C4" s="6">
        <v>10</v>
      </c>
      <c r="D4" s="7"/>
      <c r="E4" s="7">
        <f>(100/B4)*C4</f>
        <v>100</v>
      </c>
    </row>
    <row r="5" spans="1:15" x14ac:dyDescent="0.35">
      <c r="A5" s="4" t="s">
        <v>87</v>
      </c>
      <c r="B5" s="4" t="s">
        <v>88</v>
      </c>
      <c r="C5" s="4" t="s">
        <v>89</v>
      </c>
      <c r="E5" s="7">
        <f>(100/B6)*C6</f>
        <v>100</v>
      </c>
      <c r="I5" s="6" t="s">
        <v>90</v>
      </c>
      <c r="J5" s="6" t="s">
        <v>91</v>
      </c>
      <c r="K5" s="6" t="s">
        <v>92</v>
      </c>
      <c r="L5" s="6" t="s">
        <v>68</v>
      </c>
      <c r="M5" s="6" t="s">
        <v>69</v>
      </c>
      <c r="N5" s="6" t="s">
        <v>93</v>
      </c>
      <c r="O5" s="6" t="s">
        <v>70</v>
      </c>
    </row>
    <row r="6" spans="1:15" x14ac:dyDescent="0.35">
      <c r="B6" s="6">
        <f>C2+1</f>
        <v>8</v>
      </c>
      <c r="C6" s="6">
        <v>8</v>
      </c>
      <c r="E6" s="7">
        <f>(100/B8)*C8</f>
        <v>100</v>
      </c>
      <c r="F6" s="8" t="s">
        <v>94</v>
      </c>
      <c r="I6" s="8">
        <f>C4</f>
        <v>10</v>
      </c>
      <c r="J6" s="8">
        <f>40/B6*C6</f>
        <v>40</v>
      </c>
      <c r="K6" s="8">
        <f>15/B8*C8</f>
        <v>15</v>
      </c>
      <c r="L6" s="8">
        <f>10/B10*C10</f>
        <v>10</v>
      </c>
      <c r="M6" s="8">
        <f>10/B12*C12</f>
        <v>10</v>
      </c>
      <c r="N6" s="8">
        <f>5/B14*C14</f>
        <v>5</v>
      </c>
      <c r="O6" s="8">
        <f>5/B16*C16</f>
        <v>5</v>
      </c>
    </row>
    <row r="7" spans="1:15" x14ac:dyDescent="0.35">
      <c r="A7" s="4" t="s">
        <v>95</v>
      </c>
      <c r="B7" s="4" t="s">
        <v>96</v>
      </c>
      <c r="C7" s="4" t="s">
        <v>97</v>
      </c>
      <c r="E7" s="7">
        <f>(100/B10)*C10</f>
        <v>100</v>
      </c>
      <c r="F7" s="6" t="s">
        <v>98</v>
      </c>
      <c r="G7" s="6"/>
      <c r="H7" s="6"/>
      <c r="I7" s="6">
        <f>I6+20</f>
        <v>30</v>
      </c>
      <c r="J7" s="6">
        <f>30/B6*C6</f>
        <v>30</v>
      </c>
      <c r="K7" s="6">
        <f>15/B8*C8</f>
        <v>15</v>
      </c>
      <c r="L7" s="6">
        <f>10/B10*C10</f>
        <v>10</v>
      </c>
      <c r="M7" s="6">
        <f>5/B12*C12</f>
        <v>5</v>
      </c>
      <c r="N7" s="6">
        <f>5/B14*C14</f>
        <v>5</v>
      </c>
      <c r="O7" s="6">
        <f>5/B16*C16</f>
        <v>5</v>
      </c>
    </row>
    <row r="8" spans="1:15" x14ac:dyDescent="0.35">
      <c r="B8" s="6">
        <f>C2</f>
        <v>7</v>
      </c>
      <c r="C8" s="6">
        <v>7</v>
      </c>
      <c r="D8" s="7"/>
      <c r="E8" s="7">
        <f>(100/B12)*C12</f>
        <v>100</v>
      </c>
    </row>
    <row r="9" spans="1:15" x14ac:dyDescent="0.35">
      <c r="A9" s="4" t="s">
        <v>99</v>
      </c>
      <c r="B9" s="4" t="s">
        <v>96</v>
      </c>
      <c r="C9" s="4" t="s">
        <v>97</v>
      </c>
      <c r="E9" s="7">
        <f>(100/B14)*C14</f>
        <v>100</v>
      </c>
    </row>
    <row r="10" spans="1:15" x14ac:dyDescent="0.35">
      <c r="B10" s="6">
        <f>C2</f>
        <v>7</v>
      </c>
      <c r="C10" s="6">
        <v>7</v>
      </c>
      <c r="D10" s="7"/>
      <c r="E10" s="7">
        <f>(100/B16)*C16</f>
        <v>100</v>
      </c>
    </row>
    <row r="11" spans="1:15" x14ac:dyDescent="0.35">
      <c r="A11" s="4" t="s">
        <v>69</v>
      </c>
      <c r="B11" s="4" t="s">
        <v>96</v>
      </c>
      <c r="C11" s="4" t="s">
        <v>97</v>
      </c>
    </row>
    <row r="12" spans="1:15" x14ac:dyDescent="0.35">
      <c r="B12" s="6">
        <f>C2</f>
        <v>7</v>
      </c>
      <c r="C12" s="6">
        <v>7</v>
      </c>
      <c r="D12" s="7"/>
      <c r="F12" s="6"/>
      <c r="G12" s="6" t="s">
        <v>94</v>
      </c>
      <c r="H12" s="6" t="s">
        <v>100</v>
      </c>
      <c r="L12" s="7" t="s">
        <v>101</v>
      </c>
    </row>
    <row r="13" spans="1:15" ht="29" x14ac:dyDescent="0.35">
      <c r="A13" s="9" t="s">
        <v>93</v>
      </c>
      <c r="B13" s="4" t="s">
        <v>96</v>
      </c>
      <c r="C13" s="4" t="s">
        <v>97</v>
      </c>
      <c r="F13" s="6" t="s">
        <v>66</v>
      </c>
      <c r="G13" s="6">
        <f>I6</f>
        <v>10</v>
      </c>
      <c r="H13" s="6">
        <f>I7</f>
        <v>30</v>
      </c>
      <c r="L13" s="7" t="s">
        <v>101</v>
      </c>
    </row>
    <row r="14" spans="1:15" x14ac:dyDescent="0.35">
      <c r="B14" s="6">
        <f>C2</f>
        <v>7</v>
      </c>
      <c r="C14" s="6">
        <v>7</v>
      </c>
      <c r="D14" s="7"/>
      <c r="F14" s="6" t="s">
        <v>67</v>
      </c>
      <c r="G14" s="6">
        <f>J6</f>
        <v>40</v>
      </c>
      <c r="H14" s="6">
        <f>J7</f>
        <v>30</v>
      </c>
      <c r="L14" s="7"/>
    </row>
    <row r="15" spans="1:15" x14ac:dyDescent="0.35">
      <c r="A15" s="4" t="s">
        <v>70</v>
      </c>
      <c r="B15" s="4" t="s">
        <v>96</v>
      </c>
      <c r="C15" s="4" t="s">
        <v>97</v>
      </c>
      <c r="F15" s="6" t="s">
        <v>92</v>
      </c>
      <c r="G15" s="6">
        <f>K6</f>
        <v>15</v>
      </c>
      <c r="H15" s="6">
        <f>K7</f>
        <v>15</v>
      </c>
      <c r="L15" s="7"/>
    </row>
    <row r="16" spans="1:15" x14ac:dyDescent="0.35">
      <c r="B16" s="6">
        <f>C2</f>
        <v>7</v>
      </c>
      <c r="C16" s="6">
        <v>7</v>
      </c>
      <c r="D16" s="7"/>
      <c r="F16" s="6" t="s">
        <v>68</v>
      </c>
      <c r="G16" s="6">
        <f>L6</f>
        <v>10</v>
      </c>
      <c r="H16" s="6">
        <f>L7</f>
        <v>10</v>
      </c>
      <c r="L16" s="7"/>
    </row>
    <row r="17" spans="5:12" x14ac:dyDescent="0.35">
      <c r="F17" s="6" t="s">
        <v>69</v>
      </c>
      <c r="G17" s="6">
        <f>M6</f>
        <v>10</v>
      </c>
      <c r="H17" s="6">
        <f>M7</f>
        <v>5</v>
      </c>
      <c r="L17" s="7"/>
    </row>
    <row r="18" spans="5:12" ht="29" x14ac:dyDescent="0.35">
      <c r="F18" s="10" t="s">
        <v>93</v>
      </c>
      <c r="G18" s="6">
        <f>N6</f>
        <v>5</v>
      </c>
      <c r="H18" s="6">
        <f>N7</f>
        <v>5</v>
      </c>
      <c r="L18" s="7"/>
    </row>
    <row r="19" spans="5:12" x14ac:dyDescent="0.35">
      <c r="F19" s="6" t="s">
        <v>70</v>
      </c>
      <c r="G19" s="6">
        <f>O6</f>
        <v>5</v>
      </c>
      <c r="H19" s="6">
        <f>O7</f>
        <v>5</v>
      </c>
      <c r="L19" s="7"/>
    </row>
    <row r="20" spans="5:12" x14ac:dyDescent="0.35">
      <c r="F20" s="6" t="s">
        <v>102</v>
      </c>
      <c r="G20" s="6">
        <v>100</v>
      </c>
      <c r="H20" s="6">
        <f>H13+H14+H15+H16+H17+H18+H19</f>
        <v>100</v>
      </c>
      <c r="L20" s="7"/>
    </row>
    <row r="21" spans="5:12" x14ac:dyDescent="0.35">
      <c r="E21" s="11"/>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topLeftCell="A10" workbookViewId="0">
      <selection activeCell="C16" sqref="C16"/>
    </sheetView>
  </sheetViews>
  <sheetFormatPr defaultRowHeight="14.5" x14ac:dyDescent="0.35"/>
  <cols>
    <col min="1" max="1" width="9.1796875" style="4"/>
    <col min="2" max="2" width="11.7265625" style="4" customWidth="1"/>
    <col min="3" max="257" width="9.1796875" style="4"/>
    <col min="258" max="258" width="11.7265625" style="4" customWidth="1"/>
    <col min="259" max="513" width="9.1796875" style="4"/>
    <col min="514" max="514" width="11.7265625" style="4" customWidth="1"/>
    <col min="515" max="769" width="9.1796875" style="4"/>
    <col min="770" max="770" width="11.7265625" style="4" customWidth="1"/>
    <col min="771" max="1025" width="9.1796875" style="4"/>
    <col min="1026" max="1026" width="11.7265625" style="4" customWidth="1"/>
    <col min="1027" max="1281" width="9.1796875" style="4"/>
    <col min="1282" max="1282" width="11.7265625" style="4" customWidth="1"/>
    <col min="1283" max="1537" width="9.1796875" style="4"/>
    <col min="1538" max="1538" width="11.7265625" style="4" customWidth="1"/>
    <col min="1539" max="1793" width="9.1796875" style="4"/>
    <col min="1794" max="1794" width="11.7265625" style="4" customWidth="1"/>
    <col min="1795" max="2049" width="9.1796875" style="4"/>
    <col min="2050" max="2050" width="11.7265625" style="4" customWidth="1"/>
    <col min="2051" max="2305" width="9.1796875" style="4"/>
    <col min="2306" max="2306" width="11.7265625" style="4" customWidth="1"/>
    <col min="2307" max="2561" width="9.1796875" style="4"/>
    <col min="2562" max="2562" width="11.7265625" style="4" customWidth="1"/>
    <col min="2563" max="2817" width="9.1796875" style="4"/>
    <col min="2818" max="2818" width="11.7265625" style="4" customWidth="1"/>
    <col min="2819" max="3073" width="9.1796875" style="4"/>
    <col min="3074" max="3074" width="11.7265625" style="4" customWidth="1"/>
    <col min="3075" max="3329" width="9.1796875" style="4"/>
    <col min="3330" max="3330" width="11.7265625" style="4" customWidth="1"/>
    <col min="3331" max="3585" width="9.1796875" style="4"/>
    <col min="3586" max="3586" width="11.7265625" style="4" customWidth="1"/>
    <col min="3587" max="3841" width="9.1796875" style="4"/>
    <col min="3842" max="3842" width="11.7265625" style="4" customWidth="1"/>
    <col min="3843" max="4097" width="9.1796875" style="4"/>
    <col min="4098" max="4098" width="11.7265625" style="4" customWidth="1"/>
    <col min="4099" max="4353" width="9.1796875" style="4"/>
    <col min="4354" max="4354" width="11.7265625" style="4" customWidth="1"/>
    <col min="4355" max="4609" width="9.1796875" style="4"/>
    <col min="4610" max="4610" width="11.7265625" style="4" customWidth="1"/>
    <col min="4611" max="4865" width="9.1796875" style="4"/>
    <col min="4866" max="4866" width="11.7265625" style="4" customWidth="1"/>
    <col min="4867" max="5121" width="9.1796875" style="4"/>
    <col min="5122" max="5122" width="11.7265625" style="4" customWidth="1"/>
    <col min="5123" max="5377" width="9.1796875" style="4"/>
    <col min="5378" max="5378" width="11.7265625" style="4" customWidth="1"/>
    <col min="5379" max="5633" width="9.1796875" style="4"/>
    <col min="5634" max="5634" width="11.7265625" style="4" customWidth="1"/>
    <col min="5635" max="5889" width="9.1796875" style="4"/>
    <col min="5890" max="5890" width="11.7265625" style="4" customWidth="1"/>
    <col min="5891" max="6145" width="9.1796875" style="4"/>
    <col min="6146" max="6146" width="11.7265625" style="4" customWidth="1"/>
    <col min="6147" max="6401" width="9.1796875" style="4"/>
    <col min="6402" max="6402" width="11.7265625" style="4" customWidth="1"/>
    <col min="6403" max="6657" width="9.1796875" style="4"/>
    <col min="6658" max="6658" width="11.7265625" style="4" customWidth="1"/>
    <col min="6659" max="6913" width="9.1796875" style="4"/>
    <col min="6914" max="6914" width="11.7265625" style="4" customWidth="1"/>
    <col min="6915" max="7169" width="9.1796875" style="4"/>
    <col min="7170" max="7170" width="11.7265625" style="4" customWidth="1"/>
    <col min="7171" max="7425" width="9.1796875" style="4"/>
    <col min="7426" max="7426" width="11.7265625" style="4" customWidth="1"/>
    <col min="7427" max="7681" width="9.1796875" style="4"/>
    <col min="7682" max="7682" width="11.7265625" style="4" customWidth="1"/>
    <col min="7683" max="7937" width="9.1796875" style="4"/>
    <col min="7938" max="7938" width="11.7265625" style="4" customWidth="1"/>
    <col min="7939" max="8193" width="9.1796875" style="4"/>
    <col min="8194" max="8194" width="11.7265625" style="4" customWidth="1"/>
    <col min="8195" max="8449" width="9.1796875" style="4"/>
    <col min="8450" max="8450" width="11.7265625" style="4" customWidth="1"/>
    <col min="8451" max="8705" width="9.1796875" style="4"/>
    <col min="8706" max="8706" width="11.7265625" style="4" customWidth="1"/>
    <col min="8707" max="8961" width="9.1796875" style="4"/>
    <col min="8962" max="8962" width="11.7265625" style="4" customWidth="1"/>
    <col min="8963" max="9217" width="9.1796875" style="4"/>
    <col min="9218" max="9218" width="11.7265625" style="4" customWidth="1"/>
    <col min="9219" max="9473" width="9.1796875" style="4"/>
    <col min="9474" max="9474" width="11.7265625" style="4" customWidth="1"/>
    <col min="9475" max="9729" width="9.1796875" style="4"/>
    <col min="9730" max="9730" width="11.7265625" style="4" customWidth="1"/>
    <col min="9731" max="9985" width="9.1796875" style="4"/>
    <col min="9986" max="9986" width="11.7265625" style="4" customWidth="1"/>
    <col min="9987" max="10241" width="9.1796875" style="4"/>
    <col min="10242" max="10242" width="11.7265625" style="4" customWidth="1"/>
    <col min="10243" max="10497" width="9.1796875" style="4"/>
    <col min="10498" max="10498" width="11.7265625" style="4" customWidth="1"/>
    <col min="10499" max="10753" width="9.1796875" style="4"/>
    <col min="10754" max="10754" width="11.7265625" style="4" customWidth="1"/>
    <col min="10755" max="11009" width="9.1796875" style="4"/>
    <col min="11010" max="11010" width="11.7265625" style="4" customWidth="1"/>
    <col min="11011" max="11265" width="9.1796875" style="4"/>
    <col min="11266" max="11266" width="11.7265625" style="4" customWidth="1"/>
    <col min="11267" max="11521" width="9.1796875" style="4"/>
    <col min="11522" max="11522" width="11.7265625" style="4" customWidth="1"/>
    <col min="11523" max="11777" width="9.1796875" style="4"/>
    <col min="11778" max="11778" width="11.7265625" style="4" customWidth="1"/>
    <col min="11779" max="12033" width="9.1796875" style="4"/>
    <col min="12034" max="12034" width="11.7265625" style="4" customWidth="1"/>
    <col min="12035" max="12289" width="9.1796875" style="4"/>
    <col min="12290" max="12290" width="11.7265625" style="4" customWidth="1"/>
    <col min="12291" max="12545" width="9.1796875" style="4"/>
    <col min="12546" max="12546" width="11.7265625" style="4" customWidth="1"/>
    <col min="12547" max="12801" width="9.1796875" style="4"/>
    <col min="12802" max="12802" width="11.7265625" style="4" customWidth="1"/>
    <col min="12803" max="13057" width="9.1796875" style="4"/>
    <col min="13058" max="13058" width="11.7265625" style="4" customWidth="1"/>
    <col min="13059" max="13313" width="9.1796875" style="4"/>
    <col min="13314" max="13314" width="11.7265625" style="4" customWidth="1"/>
    <col min="13315" max="13569" width="9.1796875" style="4"/>
    <col min="13570" max="13570" width="11.7265625" style="4" customWidth="1"/>
    <col min="13571" max="13825" width="9.1796875" style="4"/>
    <col min="13826" max="13826" width="11.7265625" style="4" customWidth="1"/>
    <col min="13827" max="14081" width="9.1796875" style="4"/>
    <col min="14082" max="14082" width="11.7265625" style="4" customWidth="1"/>
    <col min="14083" max="14337" width="9.1796875" style="4"/>
    <col min="14338" max="14338" width="11.7265625" style="4" customWidth="1"/>
    <col min="14339" max="14593" width="9.1796875" style="4"/>
    <col min="14594" max="14594" width="11.7265625" style="4" customWidth="1"/>
    <col min="14595" max="14849" width="9.1796875" style="4"/>
    <col min="14850" max="14850" width="11.7265625" style="4" customWidth="1"/>
    <col min="14851" max="15105" width="9.1796875" style="4"/>
    <col min="15106" max="15106" width="11.7265625" style="4" customWidth="1"/>
    <col min="15107" max="15361" width="9.1796875" style="4"/>
    <col min="15362" max="15362" width="11.7265625" style="4" customWidth="1"/>
    <col min="15363" max="15617" width="9.1796875" style="4"/>
    <col min="15618" max="15618" width="11.7265625" style="4" customWidth="1"/>
    <col min="15619" max="15873" width="9.1796875" style="4"/>
    <col min="15874" max="15874" width="11.7265625" style="4" customWidth="1"/>
    <col min="15875" max="16129" width="9.1796875" style="4"/>
    <col min="16130" max="16130" width="11.7265625" style="4" customWidth="1"/>
    <col min="16131" max="16384" width="9.1796875" style="4"/>
  </cols>
  <sheetData>
    <row r="2" spans="1:15" x14ac:dyDescent="0.35">
      <c r="A2" s="4" t="s">
        <v>82</v>
      </c>
      <c r="B2" s="5" t="s">
        <v>83</v>
      </c>
      <c r="C2" s="5">
        <v>7</v>
      </c>
    </row>
    <row r="3" spans="1:15" x14ac:dyDescent="0.35">
      <c r="B3" s="4" t="s">
        <v>84</v>
      </c>
      <c r="C3" s="4" t="s">
        <v>85</v>
      </c>
    </row>
    <row r="4" spans="1:15" x14ac:dyDescent="0.35">
      <c r="A4" s="4" t="s">
        <v>86</v>
      </c>
      <c r="B4" s="6">
        <v>10</v>
      </c>
      <c r="C4" s="6">
        <v>10</v>
      </c>
      <c r="D4" s="7"/>
      <c r="E4" s="7">
        <f>(100/B4)*C4</f>
        <v>100</v>
      </c>
    </row>
    <row r="5" spans="1:15" x14ac:dyDescent="0.35">
      <c r="A5" s="4" t="s">
        <v>87</v>
      </c>
      <c r="B5" s="4" t="s">
        <v>88</v>
      </c>
      <c r="C5" s="4" t="s">
        <v>89</v>
      </c>
      <c r="E5" s="7">
        <f>(100/B6)*C6</f>
        <v>100</v>
      </c>
      <c r="I5" s="6" t="s">
        <v>90</v>
      </c>
      <c r="J5" s="6" t="s">
        <v>91</v>
      </c>
      <c r="K5" s="6" t="s">
        <v>92</v>
      </c>
      <c r="L5" s="6" t="s">
        <v>68</v>
      </c>
      <c r="M5" s="6" t="s">
        <v>69</v>
      </c>
      <c r="N5" s="6" t="s">
        <v>93</v>
      </c>
      <c r="O5" s="6" t="s">
        <v>70</v>
      </c>
    </row>
    <row r="6" spans="1:15" x14ac:dyDescent="0.35">
      <c r="B6" s="6">
        <f>C2+1</f>
        <v>8</v>
      </c>
      <c r="C6" s="6">
        <v>8</v>
      </c>
      <c r="E6" s="7">
        <f>(100/B8)*C8</f>
        <v>100</v>
      </c>
      <c r="F6" s="8" t="s">
        <v>94</v>
      </c>
      <c r="I6" s="8">
        <f>C4</f>
        <v>10</v>
      </c>
      <c r="J6" s="8">
        <f>40/B6*C6</f>
        <v>40</v>
      </c>
      <c r="K6" s="8">
        <f>15/B8*C8</f>
        <v>15</v>
      </c>
      <c r="L6" s="8">
        <f>10/B10*C10</f>
        <v>10</v>
      </c>
      <c r="M6" s="8">
        <f>10/B12*C12</f>
        <v>10</v>
      </c>
      <c r="N6" s="8">
        <f>5/B14*C14</f>
        <v>2.5</v>
      </c>
      <c r="O6" s="8">
        <f>5/B16*C16</f>
        <v>0</v>
      </c>
    </row>
    <row r="7" spans="1:15" x14ac:dyDescent="0.35">
      <c r="A7" s="4" t="s">
        <v>95</v>
      </c>
      <c r="B7" s="4" t="s">
        <v>96</v>
      </c>
      <c r="C7" s="17" t="s">
        <v>97</v>
      </c>
      <c r="E7" s="7">
        <f>(100/B10)*C10</f>
        <v>100</v>
      </c>
      <c r="F7" s="6" t="s">
        <v>98</v>
      </c>
      <c r="G7" s="6"/>
      <c r="H7" s="6"/>
      <c r="I7" s="6">
        <f>I6+20</f>
        <v>30</v>
      </c>
      <c r="J7" s="6">
        <f>30/B6*C6</f>
        <v>30</v>
      </c>
      <c r="K7" s="6">
        <f>15/B8*C8</f>
        <v>15</v>
      </c>
      <c r="L7" s="6">
        <f>10/B10*C10</f>
        <v>10</v>
      </c>
      <c r="M7" s="6">
        <f>5/B12*C12</f>
        <v>5</v>
      </c>
      <c r="N7" s="6">
        <f>5/B14*C14</f>
        <v>2.5</v>
      </c>
      <c r="O7" s="6">
        <f>5/B16*C16</f>
        <v>0</v>
      </c>
    </row>
    <row r="8" spans="1:15" x14ac:dyDescent="0.35">
      <c r="B8" s="6">
        <f>C2</f>
        <v>7</v>
      </c>
      <c r="C8" s="6">
        <v>7</v>
      </c>
      <c r="D8" s="7"/>
      <c r="E8" s="7">
        <f>(100/B12)*C12</f>
        <v>100</v>
      </c>
    </row>
    <row r="9" spans="1:15" x14ac:dyDescent="0.35">
      <c r="A9" s="4" t="s">
        <v>99</v>
      </c>
      <c r="B9" s="4" t="s">
        <v>96</v>
      </c>
      <c r="C9" s="4" t="s">
        <v>97</v>
      </c>
      <c r="E9" s="7">
        <f>(100/B14)*C14</f>
        <v>50</v>
      </c>
    </row>
    <row r="10" spans="1:15" x14ac:dyDescent="0.35">
      <c r="B10" s="6">
        <f>C2</f>
        <v>7</v>
      </c>
      <c r="C10" s="6">
        <v>7</v>
      </c>
      <c r="D10" s="7"/>
      <c r="E10" s="7">
        <f>(100/B16)*C16</f>
        <v>0</v>
      </c>
    </row>
    <row r="11" spans="1:15" x14ac:dyDescent="0.35">
      <c r="A11" s="4" t="s">
        <v>69</v>
      </c>
      <c r="B11" s="4" t="s">
        <v>96</v>
      </c>
      <c r="C11" s="4" t="s">
        <v>97</v>
      </c>
    </row>
    <row r="12" spans="1:15" x14ac:dyDescent="0.35">
      <c r="B12" s="6">
        <f>C2</f>
        <v>7</v>
      </c>
      <c r="C12" s="6">
        <v>7</v>
      </c>
      <c r="D12" s="7"/>
      <c r="F12" s="6"/>
      <c r="G12" s="6" t="s">
        <v>94</v>
      </c>
      <c r="H12" s="6" t="s">
        <v>100</v>
      </c>
      <c r="L12" s="7" t="s">
        <v>101</v>
      </c>
    </row>
    <row r="13" spans="1:15" ht="29" x14ac:dyDescent="0.35">
      <c r="A13" s="9" t="s">
        <v>93</v>
      </c>
      <c r="B13" s="4" t="s">
        <v>96</v>
      </c>
      <c r="C13" s="4" t="s">
        <v>97</v>
      </c>
      <c r="F13" s="6" t="s">
        <v>66</v>
      </c>
      <c r="G13" s="6">
        <f>I6</f>
        <v>10</v>
      </c>
      <c r="H13" s="6">
        <f>I7</f>
        <v>30</v>
      </c>
      <c r="L13" s="7" t="s">
        <v>101</v>
      </c>
    </row>
    <row r="14" spans="1:15" x14ac:dyDescent="0.35">
      <c r="B14" s="6">
        <f>C2</f>
        <v>7</v>
      </c>
      <c r="C14" s="6">
        <v>3.5</v>
      </c>
      <c r="D14" s="7"/>
      <c r="F14" s="6" t="s">
        <v>67</v>
      </c>
      <c r="G14" s="6">
        <f>J6</f>
        <v>40</v>
      </c>
      <c r="H14" s="6">
        <f>J7</f>
        <v>30</v>
      </c>
      <c r="L14" s="7"/>
    </row>
    <row r="15" spans="1:15" x14ac:dyDescent="0.35">
      <c r="A15" s="4" t="s">
        <v>70</v>
      </c>
      <c r="B15" s="4" t="s">
        <v>96</v>
      </c>
      <c r="C15" s="4" t="s">
        <v>97</v>
      </c>
      <c r="F15" s="6" t="s">
        <v>92</v>
      </c>
      <c r="G15" s="6">
        <f>K6</f>
        <v>15</v>
      </c>
      <c r="H15" s="6">
        <f>K7</f>
        <v>15</v>
      </c>
      <c r="L15" s="7"/>
    </row>
    <row r="16" spans="1:15" x14ac:dyDescent="0.35">
      <c r="B16" s="6">
        <f>C2</f>
        <v>7</v>
      </c>
      <c r="C16" s="6">
        <v>0</v>
      </c>
      <c r="D16" s="7"/>
      <c r="F16" s="6" t="s">
        <v>68</v>
      </c>
      <c r="G16" s="6">
        <f>L6</f>
        <v>10</v>
      </c>
      <c r="H16" s="6">
        <f>L7</f>
        <v>10</v>
      </c>
      <c r="L16" s="7"/>
    </row>
    <row r="17" spans="5:12" x14ac:dyDescent="0.35">
      <c r="F17" s="6" t="s">
        <v>69</v>
      </c>
      <c r="G17" s="6">
        <f>M6</f>
        <v>10</v>
      </c>
      <c r="H17" s="6">
        <f>M7</f>
        <v>5</v>
      </c>
      <c r="L17" s="7"/>
    </row>
    <row r="18" spans="5:12" ht="29" x14ac:dyDescent="0.35">
      <c r="F18" s="10" t="s">
        <v>93</v>
      </c>
      <c r="G18" s="6">
        <f>N6</f>
        <v>2.5</v>
      </c>
      <c r="H18" s="6">
        <f>N7</f>
        <v>2.5</v>
      </c>
      <c r="L18" s="7"/>
    </row>
    <row r="19" spans="5:12" x14ac:dyDescent="0.35">
      <c r="F19" s="6" t="s">
        <v>70</v>
      </c>
      <c r="G19" s="6">
        <f>O6</f>
        <v>0</v>
      </c>
      <c r="H19" s="6">
        <f>O7</f>
        <v>0</v>
      </c>
      <c r="L19" s="7"/>
    </row>
    <row r="20" spans="5:12" x14ac:dyDescent="0.35">
      <c r="F20" s="6" t="s">
        <v>102</v>
      </c>
      <c r="G20" s="6">
        <f>G13+G14+G15+G16+G17+G18+G19</f>
        <v>87.5</v>
      </c>
      <c r="H20" s="6">
        <f>H13+H14+H15+H16+H17+H18+H19</f>
        <v>92.5</v>
      </c>
      <c r="L20" s="7"/>
    </row>
    <row r="21" spans="5:12" x14ac:dyDescent="0.35">
      <c r="E21" s="1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workbookViewId="0">
      <selection activeCell="D14" sqref="D14"/>
    </sheetView>
  </sheetViews>
  <sheetFormatPr defaultRowHeight="14.5" x14ac:dyDescent="0.35"/>
  <cols>
    <col min="1" max="1" width="9.1796875" style="4"/>
    <col min="2" max="2" width="11.7265625" style="4" customWidth="1"/>
    <col min="3" max="257" width="9.1796875" style="4"/>
    <col min="258" max="258" width="11.7265625" style="4" customWidth="1"/>
    <col min="259" max="513" width="9.1796875" style="4"/>
    <col min="514" max="514" width="11.7265625" style="4" customWidth="1"/>
    <col min="515" max="769" width="9.1796875" style="4"/>
    <col min="770" max="770" width="11.7265625" style="4" customWidth="1"/>
    <col min="771" max="1025" width="9.1796875" style="4"/>
    <col min="1026" max="1026" width="11.7265625" style="4" customWidth="1"/>
    <col min="1027" max="1281" width="9.1796875" style="4"/>
    <col min="1282" max="1282" width="11.7265625" style="4" customWidth="1"/>
    <col min="1283" max="1537" width="9.1796875" style="4"/>
    <col min="1538" max="1538" width="11.7265625" style="4" customWidth="1"/>
    <col min="1539" max="1793" width="9.1796875" style="4"/>
    <col min="1794" max="1794" width="11.7265625" style="4" customWidth="1"/>
    <col min="1795" max="2049" width="9.1796875" style="4"/>
    <col min="2050" max="2050" width="11.7265625" style="4" customWidth="1"/>
    <col min="2051" max="2305" width="9.1796875" style="4"/>
    <col min="2306" max="2306" width="11.7265625" style="4" customWidth="1"/>
    <col min="2307" max="2561" width="9.1796875" style="4"/>
    <col min="2562" max="2562" width="11.7265625" style="4" customWidth="1"/>
    <col min="2563" max="2817" width="9.1796875" style="4"/>
    <col min="2818" max="2818" width="11.7265625" style="4" customWidth="1"/>
    <col min="2819" max="3073" width="9.1796875" style="4"/>
    <col min="3074" max="3074" width="11.7265625" style="4" customWidth="1"/>
    <col min="3075" max="3329" width="9.1796875" style="4"/>
    <col min="3330" max="3330" width="11.7265625" style="4" customWidth="1"/>
    <col min="3331" max="3585" width="9.1796875" style="4"/>
    <col min="3586" max="3586" width="11.7265625" style="4" customWidth="1"/>
    <col min="3587" max="3841" width="9.1796875" style="4"/>
    <col min="3842" max="3842" width="11.7265625" style="4" customWidth="1"/>
    <col min="3843" max="4097" width="9.1796875" style="4"/>
    <col min="4098" max="4098" width="11.7265625" style="4" customWidth="1"/>
    <col min="4099" max="4353" width="9.1796875" style="4"/>
    <col min="4354" max="4354" width="11.7265625" style="4" customWidth="1"/>
    <col min="4355" max="4609" width="9.1796875" style="4"/>
    <col min="4610" max="4610" width="11.7265625" style="4" customWidth="1"/>
    <col min="4611" max="4865" width="9.1796875" style="4"/>
    <col min="4866" max="4866" width="11.7265625" style="4" customWidth="1"/>
    <col min="4867" max="5121" width="9.1796875" style="4"/>
    <col min="5122" max="5122" width="11.7265625" style="4" customWidth="1"/>
    <col min="5123" max="5377" width="9.1796875" style="4"/>
    <col min="5378" max="5378" width="11.7265625" style="4" customWidth="1"/>
    <col min="5379" max="5633" width="9.1796875" style="4"/>
    <col min="5634" max="5634" width="11.7265625" style="4" customWidth="1"/>
    <col min="5635" max="5889" width="9.1796875" style="4"/>
    <col min="5890" max="5890" width="11.7265625" style="4" customWidth="1"/>
    <col min="5891" max="6145" width="9.1796875" style="4"/>
    <col min="6146" max="6146" width="11.7265625" style="4" customWidth="1"/>
    <col min="6147" max="6401" width="9.1796875" style="4"/>
    <col min="6402" max="6402" width="11.7265625" style="4" customWidth="1"/>
    <col min="6403" max="6657" width="9.1796875" style="4"/>
    <col min="6658" max="6658" width="11.7265625" style="4" customWidth="1"/>
    <col min="6659" max="6913" width="9.1796875" style="4"/>
    <col min="6914" max="6914" width="11.7265625" style="4" customWidth="1"/>
    <col min="6915" max="7169" width="9.1796875" style="4"/>
    <col min="7170" max="7170" width="11.7265625" style="4" customWidth="1"/>
    <col min="7171" max="7425" width="9.1796875" style="4"/>
    <col min="7426" max="7426" width="11.7265625" style="4" customWidth="1"/>
    <col min="7427" max="7681" width="9.1796875" style="4"/>
    <col min="7682" max="7682" width="11.7265625" style="4" customWidth="1"/>
    <col min="7683" max="7937" width="9.1796875" style="4"/>
    <col min="7938" max="7938" width="11.7265625" style="4" customWidth="1"/>
    <col min="7939" max="8193" width="9.1796875" style="4"/>
    <col min="8194" max="8194" width="11.7265625" style="4" customWidth="1"/>
    <col min="8195" max="8449" width="9.1796875" style="4"/>
    <col min="8450" max="8450" width="11.7265625" style="4" customWidth="1"/>
    <col min="8451" max="8705" width="9.1796875" style="4"/>
    <col min="8706" max="8706" width="11.7265625" style="4" customWidth="1"/>
    <col min="8707" max="8961" width="9.1796875" style="4"/>
    <col min="8962" max="8962" width="11.7265625" style="4" customWidth="1"/>
    <col min="8963" max="9217" width="9.1796875" style="4"/>
    <col min="9218" max="9218" width="11.7265625" style="4" customWidth="1"/>
    <col min="9219" max="9473" width="9.1796875" style="4"/>
    <col min="9474" max="9474" width="11.7265625" style="4" customWidth="1"/>
    <col min="9475" max="9729" width="9.1796875" style="4"/>
    <col min="9730" max="9730" width="11.7265625" style="4" customWidth="1"/>
    <col min="9731" max="9985" width="9.1796875" style="4"/>
    <col min="9986" max="9986" width="11.7265625" style="4" customWidth="1"/>
    <col min="9987" max="10241" width="9.1796875" style="4"/>
    <col min="10242" max="10242" width="11.7265625" style="4" customWidth="1"/>
    <col min="10243" max="10497" width="9.1796875" style="4"/>
    <col min="10498" max="10498" width="11.7265625" style="4" customWidth="1"/>
    <col min="10499" max="10753" width="9.1796875" style="4"/>
    <col min="10754" max="10754" width="11.7265625" style="4" customWidth="1"/>
    <col min="10755" max="11009" width="9.1796875" style="4"/>
    <col min="11010" max="11010" width="11.7265625" style="4" customWidth="1"/>
    <col min="11011" max="11265" width="9.1796875" style="4"/>
    <col min="11266" max="11266" width="11.7265625" style="4" customWidth="1"/>
    <col min="11267" max="11521" width="9.1796875" style="4"/>
    <col min="11522" max="11522" width="11.7265625" style="4" customWidth="1"/>
    <col min="11523" max="11777" width="9.1796875" style="4"/>
    <col min="11778" max="11778" width="11.7265625" style="4" customWidth="1"/>
    <col min="11779" max="12033" width="9.1796875" style="4"/>
    <col min="12034" max="12034" width="11.7265625" style="4" customWidth="1"/>
    <col min="12035" max="12289" width="9.1796875" style="4"/>
    <col min="12290" max="12290" width="11.7265625" style="4" customWidth="1"/>
    <col min="12291" max="12545" width="9.1796875" style="4"/>
    <col min="12546" max="12546" width="11.7265625" style="4" customWidth="1"/>
    <col min="12547" max="12801" width="9.1796875" style="4"/>
    <col min="12802" max="12802" width="11.7265625" style="4" customWidth="1"/>
    <col min="12803" max="13057" width="9.1796875" style="4"/>
    <col min="13058" max="13058" width="11.7265625" style="4" customWidth="1"/>
    <col min="13059" max="13313" width="9.1796875" style="4"/>
    <col min="13314" max="13314" width="11.7265625" style="4" customWidth="1"/>
    <col min="13315" max="13569" width="9.1796875" style="4"/>
    <col min="13570" max="13570" width="11.7265625" style="4" customWidth="1"/>
    <col min="13571" max="13825" width="9.1796875" style="4"/>
    <col min="13826" max="13826" width="11.7265625" style="4" customWidth="1"/>
    <col min="13827" max="14081" width="9.1796875" style="4"/>
    <col min="14082" max="14082" width="11.7265625" style="4" customWidth="1"/>
    <col min="14083" max="14337" width="9.1796875" style="4"/>
    <col min="14338" max="14338" width="11.7265625" style="4" customWidth="1"/>
    <col min="14339" max="14593" width="9.1796875" style="4"/>
    <col min="14594" max="14594" width="11.7265625" style="4" customWidth="1"/>
    <col min="14595" max="14849" width="9.1796875" style="4"/>
    <col min="14850" max="14850" width="11.7265625" style="4" customWidth="1"/>
    <col min="14851" max="15105" width="9.1796875" style="4"/>
    <col min="15106" max="15106" width="11.7265625" style="4" customWidth="1"/>
    <col min="15107" max="15361" width="9.1796875" style="4"/>
    <col min="15362" max="15362" width="11.7265625" style="4" customWidth="1"/>
    <col min="15363" max="15617" width="9.1796875" style="4"/>
    <col min="15618" max="15618" width="11.7265625" style="4" customWidth="1"/>
    <col min="15619" max="15873" width="9.1796875" style="4"/>
    <col min="15874" max="15874" width="11.7265625" style="4" customWidth="1"/>
    <col min="15875" max="16129" width="9.1796875" style="4"/>
    <col min="16130" max="16130" width="11.7265625" style="4" customWidth="1"/>
    <col min="16131" max="16384" width="9.1796875" style="4"/>
  </cols>
  <sheetData>
    <row r="2" spans="1:15" x14ac:dyDescent="0.35">
      <c r="A2" s="4" t="s">
        <v>82</v>
      </c>
      <c r="B2" s="5" t="s">
        <v>83</v>
      </c>
      <c r="C2" s="5">
        <v>7</v>
      </c>
    </row>
    <row r="3" spans="1:15" x14ac:dyDescent="0.35">
      <c r="B3" s="4" t="s">
        <v>84</v>
      </c>
      <c r="C3" s="4" t="s">
        <v>85</v>
      </c>
    </row>
    <row r="4" spans="1:15" x14ac:dyDescent="0.35">
      <c r="A4" s="4" t="s">
        <v>86</v>
      </c>
      <c r="B4" s="6">
        <v>10</v>
      </c>
      <c r="C4" s="6">
        <v>10</v>
      </c>
      <c r="D4" s="7"/>
      <c r="E4" s="7">
        <f>(100/B4)*C4</f>
        <v>100</v>
      </c>
    </row>
    <row r="5" spans="1:15" x14ac:dyDescent="0.35">
      <c r="A5" s="4" t="s">
        <v>87</v>
      </c>
      <c r="B5" s="4" t="s">
        <v>88</v>
      </c>
      <c r="C5" s="4" t="s">
        <v>89</v>
      </c>
      <c r="E5" s="7">
        <f>(100/B6)*C6</f>
        <v>100</v>
      </c>
      <c r="I5" s="6" t="s">
        <v>90</v>
      </c>
      <c r="J5" s="6" t="s">
        <v>91</v>
      </c>
      <c r="K5" s="6" t="s">
        <v>92</v>
      </c>
      <c r="L5" s="6" t="s">
        <v>68</v>
      </c>
      <c r="M5" s="6" t="s">
        <v>69</v>
      </c>
      <c r="N5" s="6" t="s">
        <v>93</v>
      </c>
      <c r="O5" s="6" t="s">
        <v>70</v>
      </c>
    </row>
    <row r="6" spans="1:15" x14ac:dyDescent="0.35">
      <c r="B6" s="6">
        <f>C2+1</f>
        <v>8</v>
      </c>
      <c r="C6" s="6">
        <v>8</v>
      </c>
      <c r="E6" s="7">
        <f>(100/B8)*C8</f>
        <v>100</v>
      </c>
      <c r="F6" s="8" t="s">
        <v>94</v>
      </c>
      <c r="I6" s="8">
        <f>C4</f>
        <v>10</v>
      </c>
      <c r="J6" s="8">
        <f>40/B6*C6</f>
        <v>40</v>
      </c>
      <c r="K6" s="8">
        <f>15/B8*C8</f>
        <v>15</v>
      </c>
      <c r="L6" s="8">
        <f>10/B10*C10</f>
        <v>0</v>
      </c>
      <c r="M6" s="8">
        <f>10/B12*C12</f>
        <v>0</v>
      </c>
      <c r="N6" s="8">
        <f>5/B14*C14</f>
        <v>0</v>
      </c>
      <c r="O6" s="8">
        <f>5/B16*C16</f>
        <v>0</v>
      </c>
    </row>
    <row r="7" spans="1:15" x14ac:dyDescent="0.35">
      <c r="A7" s="4" t="s">
        <v>95</v>
      </c>
      <c r="B7" s="4" t="s">
        <v>96</v>
      </c>
      <c r="C7" s="4" t="s">
        <v>97</v>
      </c>
      <c r="E7" s="7">
        <f>(100/B10)*C10</f>
        <v>0</v>
      </c>
      <c r="F7" s="6" t="s">
        <v>98</v>
      </c>
      <c r="G7" s="6"/>
      <c r="H7" s="6"/>
      <c r="I7" s="6">
        <f>I6+20</f>
        <v>30</v>
      </c>
      <c r="J7" s="6">
        <f>30/B6*C6</f>
        <v>30</v>
      </c>
      <c r="K7" s="6">
        <f>15/B8*C8</f>
        <v>15</v>
      </c>
      <c r="L7" s="6">
        <f>10/B10*C10</f>
        <v>0</v>
      </c>
      <c r="M7" s="6">
        <f>5/B12*C12</f>
        <v>0</v>
      </c>
      <c r="N7" s="6">
        <f>5/B14*C14</f>
        <v>0</v>
      </c>
      <c r="O7" s="6">
        <f>5/B16*C16</f>
        <v>0</v>
      </c>
    </row>
    <row r="8" spans="1:15" x14ac:dyDescent="0.35">
      <c r="B8" s="6">
        <f>C2</f>
        <v>7</v>
      </c>
      <c r="C8" s="6">
        <v>7</v>
      </c>
      <c r="D8" s="7"/>
      <c r="E8" s="7">
        <f>(100/B12)*C12</f>
        <v>0</v>
      </c>
    </row>
    <row r="9" spans="1:15" x14ac:dyDescent="0.35">
      <c r="A9" s="4" t="s">
        <v>99</v>
      </c>
      <c r="B9" s="4" t="s">
        <v>96</v>
      </c>
      <c r="C9" s="4" t="s">
        <v>97</v>
      </c>
      <c r="E9" s="7">
        <f>(100/B14)*C14</f>
        <v>0</v>
      </c>
    </row>
    <row r="10" spans="1:15" x14ac:dyDescent="0.35">
      <c r="B10" s="6">
        <f>C2</f>
        <v>7</v>
      </c>
      <c r="C10" s="6">
        <v>0</v>
      </c>
      <c r="D10" s="7"/>
      <c r="E10" s="7">
        <f>(100/B16)*C16</f>
        <v>0</v>
      </c>
    </row>
    <row r="11" spans="1:15" x14ac:dyDescent="0.35">
      <c r="A11" s="4" t="s">
        <v>69</v>
      </c>
      <c r="B11" s="4" t="s">
        <v>96</v>
      </c>
      <c r="C11" s="4" t="s">
        <v>97</v>
      </c>
    </row>
    <row r="12" spans="1:15" x14ac:dyDescent="0.35">
      <c r="B12" s="6">
        <f>C2</f>
        <v>7</v>
      </c>
      <c r="C12" s="6">
        <v>0</v>
      </c>
      <c r="D12" s="7"/>
      <c r="F12" s="6"/>
      <c r="G12" s="6" t="s">
        <v>94</v>
      </c>
      <c r="H12" s="6" t="s">
        <v>100</v>
      </c>
      <c r="L12" s="7" t="s">
        <v>101</v>
      </c>
    </row>
    <row r="13" spans="1:15" ht="29" x14ac:dyDescent="0.35">
      <c r="A13" s="9" t="s">
        <v>93</v>
      </c>
      <c r="B13" s="4" t="s">
        <v>96</v>
      </c>
      <c r="C13" s="4" t="s">
        <v>97</v>
      </c>
      <c r="F13" s="6" t="s">
        <v>66</v>
      </c>
      <c r="G13" s="6">
        <f>I6</f>
        <v>10</v>
      </c>
      <c r="H13" s="6">
        <f>I7</f>
        <v>30</v>
      </c>
      <c r="L13" s="7" t="s">
        <v>101</v>
      </c>
    </row>
    <row r="14" spans="1:15" x14ac:dyDescent="0.35">
      <c r="B14" s="6">
        <f>C2</f>
        <v>7</v>
      </c>
      <c r="C14" s="6">
        <v>0</v>
      </c>
      <c r="D14" s="7"/>
      <c r="F14" s="6" t="s">
        <v>67</v>
      </c>
      <c r="G14" s="6">
        <f>J6</f>
        <v>40</v>
      </c>
      <c r="H14" s="6">
        <f>J7</f>
        <v>30</v>
      </c>
      <c r="L14" s="7"/>
    </row>
    <row r="15" spans="1:15" x14ac:dyDescent="0.35">
      <c r="A15" s="4" t="s">
        <v>70</v>
      </c>
      <c r="B15" s="4" t="s">
        <v>96</v>
      </c>
      <c r="C15" s="4" t="s">
        <v>97</v>
      </c>
      <c r="F15" s="6" t="s">
        <v>92</v>
      </c>
      <c r="G15" s="6">
        <f>K6</f>
        <v>15</v>
      </c>
      <c r="H15" s="6">
        <f>K7</f>
        <v>15</v>
      </c>
      <c r="L15" s="7"/>
    </row>
    <row r="16" spans="1:15" x14ac:dyDescent="0.35">
      <c r="B16" s="6">
        <f>C2</f>
        <v>7</v>
      </c>
      <c r="C16" s="6">
        <v>0</v>
      </c>
      <c r="D16" s="7"/>
      <c r="F16" s="6" t="s">
        <v>68</v>
      </c>
      <c r="G16" s="6">
        <f>L6</f>
        <v>0</v>
      </c>
      <c r="H16" s="6">
        <f>L7</f>
        <v>0</v>
      </c>
      <c r="L16" s="7"/>
    </row>
    <row r="17" spans="5:12" x14ac:dyDescent="0.35">
      <c r="F17" s="6" t="s">
        <v>69</v>
      </c>
      <c r="G17" s="6">
        <f>M6</f>
        <v>0</v>
      </c>
      <c r="H17" s="6">
        <f>M7</f>
        <v>0</v>
      </c>
      <c r="L17" s="7"/>
    </row>
    <row r="18" spans="5:12" ht="29" x14ac:dyDescent="0.35">
      <c r="F18" s="10" t="s">
        <v>93</v>
      </c>
      <c r="G18" s="6">
        <f>N6</f>
        <v>0</v>
      </c>
      <c r="H18" s="6">
        <f>N7</f>
        <v>0</v>
      </c>
      <c r="L18" s="7"/>
    </row>
    <row r="19" spans="5:12" x14ac:dyDescent="0.35">
      <c r="F19" s="6" t="s">
        <v>70</v>
      </c>
      <c r="G19" s="6">
        <f>O6</f>
        <v>0</v>
      </c>
      <c r="H19" s="6">
        <f>O7</f>
        <v>0</v>
      </c>
      <c r="L19" s="7"/>
    </row>
    <row r="20" spans="5:12" x14ac:dyDescent="0.35">
      <c r="F20" s="6" t="s">
        <v>102</v>
      </c>
      <c r="G20" s="6">
        <f>G13+G14+G15+G16+G17+G18+G19</f>
        <v>65</v>
      </c>
      <c r="H20" s="6">
        <f>H13+H14+H15+H16+H17+H18+H19</f>
        <v>75</v>
      </c>
      <c r="L20" s="7"/>
    </row>
    <row r="21" spans="5:12" x14ac:dyDescent="0.35">
      <c r="E21" s="1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topLeftCell="A7" workbookViewId="0">
      <selection activeCell="E15" sqref="E15"/>
    </sheetView>
  </sheetViews>
  <sheetFormatPr defaultRowHeight="14.5" x14ac:dyDescent="0.35"/>
  <cols>
    <col min="1" max="1" width="9.1796875" style="4"/>
    <col min="2" max="2" width="11.7265625" style="4" customWidth="1"/>
    <col min="3" max="257" width="9.1796875" style="4"/>
    <col min="258" max="258" width="11.7265625" style="4" customWidth="1"/>
    <col min="259" max="513" width="9.1796875" style="4"/>
    <col min="514" max="514" width="11.7265625" style="4" customWidth="1"/>
    <col min="515" max="769" width="9.1796875" style="4"/>
    <col min="770" max="770" width="11.7265625" style="4" customWidth="1"/>
    <col min="771" max="1025" width="9.1796875" style="4"/>
    <col min="1026" max="1026" width="11.7265625" style="4" customWidth="1"/>
    <col min="1027" max="1281" width="9.1796875" style="4"/>
    <col min="1282" max="1282" width="11.7265625" style="4" customWidth="1"/>
    <col min="1283" max="1537" width="9.1796875" style="4"/>
    <col min="1538" max="1538" width="11.7265625" style="4" customWidth="1"/>
    <col min="1539" max="1793" width="9.1796875" style="4"/>
    <col min="1794" max="1794" width="11.7265625" style="4" customWidth="1"/>
    <col min="1795" max="2049" width="9.1796875" style="4"/>
    <col min="2050" max="2050" width="11.7265625" style="4" customWidth="1"/>
    <col min="2051" max="2305" width="9.1796875" style="4"/>
    <col min="2306" max="2306" width="11.7265625" style="4" customWidth="1"/>
    <col min="2307" max="2561" width="9.1796875" style="4"/>
    <col min="2562" max="2562" width="11.7265625" style="4" customWidth="1"/>
    <col min="2563" max="2817" width="9.1796875" style="4"/>
    <col min="2818" max="2818" width="11.7265625" style="4" customWidth="1"/>
    <col min="2819" max="3073" width="9.1796875" style="4"/>
    <col min="3074" max="3074" width="11.7265625" style="4" customWidth="1"/>
    <col min="3075" max="3329" width="9.1796875" style="4"/>
    <col min="3330" max="3330" width="11.7265625" style="4" customWidth="1"/>
    <col min="3331" max="3585" width="9.1796875" style="4"/>
    <col min="3586" max="3586" width="11.7265625" style="4" customWidth="1"/>
    <col min="3587" max="3841" width="9.1796875" style="4"/>
    <col min="3842" max="3842" width="11.7265625" style="4" customWidth="1"/>
    <col min="3843" max="4097" width="9.1796875" style="4"/>
    <col min="4098" max="4098" width="11.7265625" style="4" customWidth="1"/>
    <col min="4099" max="4353" width="9.1796875" style="4"/>
    <col min="4354" max="4354" width="11.7265625" style="4" customWidth="1"/>
    <col min="4355" max="4609" width="9.1796875" style="4"/>
    <col min="4610" max="4610" width="11.7265625" style="4" customWidth="1"/>
    <col min="4611" max="4865" width="9.1796875" style="4"/>
    <col min="4866" max="4866" width="11.7265625" style="4" customWidth="1"/>
    <col min="4867" max="5121" width="9.1796875" style="4"/>
    <col min="5122" max="5122" width="11.7265625" style="4" customWidth="1"/>
    <col min="5123" max="5377" width="9.1796875" style="4"/>
    <col min="5378" max="5378" width="11.7265625" style="4" customWidth="1"/>
    <col min="5379" max="5633" width="9.1796875" style="4"/>
    <col min="5634" max="5634" width="11.7265625" style="4" customWidth="1"/>
    <col min="5635" max="5889" width="9.1796875" style="4"/>
    <col min="5890" max="5890" width="11.7265625" style="4" customWidth="1"/>
    <col min="5891" max="6145" width="9.1796875" style="4"/>
    <col min="6146" max="6146" width="11.7265625" style="4" customWidth="1"/>
    <col min="6147" max="6401" width="9.1796875" style="4"/>
    <col min="6402" max="6402" width="11.7265625" style="4" customWidth="1"/>
    <col min="6403" max="6657" width="9.1796875" style="4"/>
    <col min="6658" max="6658" width="11.7265625" style="4" customWidth="1"/>
    <col min="6659" max="6913" width="9.1796875" style="4"/>
    <col min="6914" max="6914" width="11.7265625" style="4" customWidth="1"/>
    <col min="6915" max="7169" width="9.1796875" style="4"/>
    <col min="7170" max="7170" width="11.7265625" style="4" customWidth="1"/>
    <col min="7171" max="7425" width="9.1796875" style="4"/>
    <col min="7426" max="7426" width="11.7265625" style="4" customWidth="1"/>
    <col min="7427" max="7681" width="9.1796875" style="4"/>
    <col min="7682" max="7682" width="11.7265625" style="4" customWidth="1"/>
    <col min="7683" max="7937" width="9.1796875" style="4"/>
    <col min="7938" max="7938" width="11.7265625" style="4" customWidth="1"/>
    <col min="7939" max="8193" width="9.1796875" style="4"/>
    <col min="8194" max="8194" width="11.7265625" style="4" customWidth="1"/>
    <col min="8195" max="8449" width="9.1796875" style="4"/>
    <col min="8450" max="8450" width="11.7265625" style="4" customWidth="1"/>
    <col min="8451" max="8705" width="9.1796875" style="4"/>
    <col min="8706" max="8706" width="11.7265625" style="4" customWidth="1"/>
    <col min="8707" max="8961" width="9.1796875" style="4"/>
    <col min="8962" max="8962" width="11.7265625" style="4" customWidth="1"/>
    <col min="8963" max="9217" width="9.1796875" style="4"/>
    <col min="9218" max="9218" width="11.7265625" style="4" customWidth="1"/>
    <col min="9219" max="9473" width="9.1796875" style="4"/>
    <col min="9474" max="9474" width="11.7265625" style="4" customWidth="1"/>
    <col min="9475" max="9729" width="9.1796875" style="4"/>
    <col min="9730" max="9730" width="11.7265625" style="4" customWidth="1"/>
    <col min="9731" max="9985" width="9.1796875" style="4"/>
    <col min="9986" max="9986" width="11.7265625" style="4" customWidth="1"/>
    <col min="9987" max="10241" width="9.1796875" style="4"/>
    <col min="10242" max="10242" width="11.7265625" style="4" customWidth="1"/>
    <col min="10243" max="10497" width="9.1796875" style="4"/>
    <col min="10498" max="10498" width="11.7265625" style="4" customWidth="1"/>
    <col min="10499" max="10753" width="9.1796875" style="4"/>
    <col min="10754" max="10754" width="11.7265625" style="4" customWidth="1"/>
    <col min="10755" max="11009" width="9.1796875" style="4"/>
    <col min="11010" max="11010" width="11.7265625" style="4" customWidth="1"/>
    <col min="11011" max="11265" width="9.1796875" style="4"/>
    <col min="11266" max="11266" width="11.7265625" style="4" customWidth="1"/>
    <col min="11267" max="11521" width="9.1796875" style="4"/>
    <col min="11522" max="11522" width="11.7265625" style="4" customWidth="1"/>
    <col min="11523" max="11777" width="9.1796875" style="4"/>
    <col min="11778" max="11778" width="11.7265625" style="4" customWidth="1"/>
    <col min="11779" max="12033" width="9.1796875" style="4"/>
    <col min="12034" max="12034" width="11.7265625" style="4" customWidth="1"/>
    <col min="12035" max="12289" width="9.1796875" style="4"/>
    <col min="12290" max="12290" width="11.7265625" style="4" customWidth="1"/>
    <col min="12291" max="12545" width="9.1796875" style="4"/>
    <col min="12546" max="12546" width="11.7265625" style="4" customWidth="1"/>
    <col min="12547" max="12801" width="9.1796875" style="4"/>
    <col min="12802" max="12802" width="11.7265625" style="4" customWidth="1"/>
    <col min="12803" max="13057" width="9.1796875" style="4"/>
    <col min="13058" max="13058" width="11.7265625" style="4" customWidth="1"/>
    <col min="13059" max="13313" width="9.1796875" style="4"/>
    <col min="13314" max="13314" width="11.7265625" style="4" customWidth="1"/>
    <col min="13315" max="13569" width="9.1796875" style="4"/>
    <col min="13570" max="13570" width="11.7265625" style="4" customWidth="1"/>
    <col min="13571" max="13825" width="9.1796875" style="4"/>
    <col min="13826" max="13826" width="11.7265625" style="4" customWidth="1"/>
    <col min="13827" max="14081" width="9.1796875" style="4"/>
    <col min="14082" max="14082" width="11.7265625" style="4" customWidth="1"/>
    <col min="14083" max="14337" width="9.1796875" style="4"/>
    <col min="14338" max="14338" width="11.7265625" style="4" customWidth="1"/>
    <col min="14339" max="14593" width="9.1796875" style="4"/>
    <col min="14594" max="14594" width="11.7265625" style="4" customWidth="1"/>
    <col min="14595" max="14849" width="9.1796875" style="4"/>
    <col min="14850" max="14850" width="11.7265625" style="4" customWidth="1"/>
    <col min="14851" max="15105" width="9.1796875" style="4"/>
    <col min="15106" max="15106" width="11.7265625" style="4" customWidth="1"/>
    <col min="15107" max="15361" width="9.1796875" style="4"/>
    <col min="15362" max="15362" width="11.7265625" style="4" customWidth="1"/>
    <col min="15363" max="15617" width="9.1796875" style="4"/>
    <col min="15618" max="15618" width="11.7265625" style="4" customWidth="1"/>
    <col min="15619" max="15873" width="9.1796875" style="4"/>
    <col min="15874" max="15874" width="11.7265625" style="4" customWidth="1"/>
    <col min="15875" max="16129" width="9.1796875" style="4"/>
    <col min="16130" max="16130" width="11.7265625" style="4" customWidth="1"/>
    <col min="16131" max="16384" width="9.1796875" style="4"/>
  </cols>
  <sheetData>
    <row r="2" spans="1:15" x14ac:dyDescent="0.35">
      <c r="A2" s="4" t="s">
        <v>82</v>
      </c>
      <c r="B2" s="5" t="s">
        <v>83</v>
      </c>
      <c r="C2" s="5">
        <v>7</v>
      </c>
    </row>
    <row r="3" spans="1:15" x14ac:dyDescent="0.35">
      <c r="B3" s="4" t="s">
        <v>84</v>
      </c>
      <c r="C3" s="4" t="s">
        <v>85</v>
      </c>
    </row>
    <row r="4" spans="1:15" x14ac:dyDescent="0.35">
      <c r="A4" s="4" t="s">
        <v>86</v>
      </c>
      <c r="B4" s="6">
        <v>10</v>
      </c>
      <c r="C4" s="6">
        <v>10</v>
      </c>
      <c r="D4" s="7"/>
      <c r="E4" s="7">
        <f>(100/B4)*C4</f>
        <v>100</v>
      </c>
    </row>
    <row r="5" spans="1:15" x14ac:dyDescent="0.35">
      <c r="A5" s="4" t="s">
        <v>87</v>
      </c>
      <c r="B5" s="4" t="s">
        <v>88</v>
      </c>
      <c r="C5" s="4" t="s">
        <v>89</v>
      </c>
      <c r="E5" s="7">
        <f>(100/B6)*C6</f>
        <v>100</v>
      </c>
      <c r="I5" s="6" t="s">
        <v>90</v>
      </c>
      <c r="J5" s="6" t="s">
        <v>91</v>
      </c>
      <c r="K5" s="6" t="s">
        <v>92</v>
      </c>
      <c r="L5" s="6" t="s">
        <v>68</v>
      </c>
      <c r="M5" s="6" t="s">
        <v>69</v>
      </c>
      <c r="N5" s="6" t="s">
        <v>93</v>
      </c>
      <c r="O5" s="6" t="s">
        <v>70</v>
      </c>
    </row>
    <row r="6" spans="1:15" x14ac:dyDescent="0.35">
      <c r="B6" s="6">
        <f>C2+1</f>
        <v>8</v>
      </c>
      <c r="C6" s="6">
        <v>8</v>
      </c>
      <c r="E6" s="7">
        <f>(100/B8)*C8</f>
        <v>42.857142857142861</v>
      </c>
      <c r="F6" s="8" t="s">
        <v>94</v>
      </c>
      <c r="I6" s="8">
        <f>C4</f>
        <v>10</v>
      </c>
      <c r="J6" s="8">
        <f>40/B6*C6</f>
        <v>40</v>
      </c>
      <c r="K6" s="8">
        <f>15/B8*C8</f>
        <v>6.4285714285714288</v>
      </c>
      <c r="L6" s="8">
        <f>10/B10*C10</f>
        <v>0</v>
      </c>
      <c r="M6" s="8">
        <f>10/B12*C12</f>
        <v>0</v>
      </c>
      <c r="N6" s="8">
        <f>5/B14*C14</f>
        <v>0</v>
      </c>
      <c r="O6" s="8">
        <f>5/B16*C16</f>
        <v>0</v>
      </c>
    </row>
    <row r="7" spans="1:15" x14ac:dyDescent="0.35">
      <c r="A7" s="4" t="s">
        <v>95</v>
      </c>
      <c r="B7" s="4" t="s">
        <v>96</v>
      </c>
      <c r="C7" s="4" t="s">
        <v>97</v>
      </c>
      <c r="E7" s="7">
        <f>(100/B10)*C10</f>
        <v>0</v>
      </c>
      <c r="F7" s="6" t="s">
        <v>98</v>
      </c>
      <c r="G7" s="6"/>
      <c r="H7" s="6"/>
      <c r="I7" s="6">
        <f>I6+20</f>
        <v>30</v>
      </c>
      <c r="J7" s="6">
        <f>30/B6*C6</f>
        <v>30</v>
      </c>
      <c r="K7" s="6">
        <f>15/B8*C8</f>
        <v>6.4285714285714288</v>
      </c>
      <c r="L7" s="6">
        <f>10/B10*C10</f>
        <v>0</v>
      </c>
      <c r="M7" s="6">
        <f>5/B12*C12</f>
        <v>0</v>
      </c>
      <c r="N7" s="6">
        <f>5/B14*C14</f>
        <v>0</v>
      </c>
      <c r="O7" s="6">
        <f>5/B16*C16</f>
        <v>0</v>
      </c>
    </row>
    <row r="8" spans="1:15" x14ac:dyDescent="0.35">
      <c r="B8" s="6">
        <f>C2</f>
        <v>7</v>
      </c>
      <c r="C8" s="6">
        <v>3</v>
      </c>
      <c r="D8" s="7"/>
      <c r="E8" s="7">
        <f>(100/B12)*C12</f>
        <v>0</v>
      </c>
    </row>
    <row r="9" spans="1:15" x14ac:dyDescent="0.35">
      <c r="A9" s="4" t="s">
        <v>99</v>
      </c>
      <c r="B9" s="4" t="s">
        <v>96</v>
      </c>
      <c r="C9" s="4" t="s">
        <v>97</v>
      </c>
      <c r="E9" s="7">
        <f>(100/B14)*C14</f>
        <v>0</v>
      </c>
    </row>
    <row r="10" spans="1:15" x14ac:dyDescent="0.35">
      <c r="B10" s="6">
        <f>C2</f>
        <v>7</v>
      </c>
      <c r="C10" s="6">
        <v>0</v>
      </c>
      <c r="D10" s="7"/>
      <c r="E10" s="7">
        <f>(100/B16)*C16</f>
        <v>0</v>
      </c>
    </row>
    <row r="11" spans="1:15" x14ac:dyDescent="0.35">
      <c r="A11" s="4" t="s">
        <v>69</v>
      </c>
      <c r="B11" s="4" t="s">
        <v>96</v>
      </c>
      <c r="C11" s="4" t="s">
        <v>97</v>
      </c>
    </row>
    <row r="12" spans="1:15" x14ac:dyDescent="0.35">
      <c r="B12" s="6">
        <f>C2</f>
        <v>7</v>
      </c>
      <c r="C12" s="6">
        <v>0</v>
      </c>
      <c r="D12" s="7"/>
      <c r="F12" s="6"/>
      <c r="G12" s="6" t="s">
        <v>94</v>
      </c>
      <c r="H12" s="6" t="s">
        <v>100</v>
      </c>
      <c r="L12" s="7" t="s">
        <v>101</v>
      </c>
    </row>
    <row r="13" spans="1:15" ht="29" x14ac:dyDescent="0.35">
      <c r="A13" s="9" t="s">
        <v>93</v>
      </c>
      <c r="B13" s="4" t="s">
        <v>96</v>
      </c>
      <c r="C13" s="4" t="s">
        <v>97</v>
      </c>
      <c r="F13" s="6" t="s">
        <v>66</v>
      </c>
      <c r="G13" s="6">
        <f>I6</f>
        <v>10</v>
      </c>
      <c r="H13" s="6">
        <f>I7</f>
        <v>30</v>
      </c>
      <c r="L13" s="7" t="s">
        <v>101</v>
      </c>
    </row>
    <row r="14" spans="1:15" x14ac:dyDescent="0.35">
      <c r="B14" s="6">
        <f>C2</f>
        <v>7</v>
      </c>
      <c r="C14" s="6">
        <v>0</v>
      </c>
      <c r="D14" s="7"/>
      <c r="F14" s="6" t="s">
        <v>67</v>
      </c>
      <c r="G14" s="6">
        <f>J6</f>
        <v>40</v>
      </c>
      <c r="H14" s="6">
        <f>J7</f>
        <v>30</v>
      </c>
      <c r="L14" s="7"/>
    </row>
    <row r="15" spans="1:15" x14ac:dyDescent="0.35">
      <c r="A15" s="4" t="s">
        <v>70</v>
      </c>
      <c r="B15" s="4" t="s">
        <v>96</v>
      </c>
      <c r="C15" s="4" t="s">
        <v>97</v>
      </c>
      <c r="F15" s="6" t="s">
        <v>92</v>
      </c>
      <c r="G15" s="6">
        <f>K6</f>
        <v>6.4285714285714288</v>
      </c>
      <c r="H15" s="6">
        <f>K7</f>
        <v>6.4285714285714288</v>
      </c>
      <c r="L15" s="7"/>
    </row>
    <row r="16" spans="1:15" x14ac:dyDescent="0.35">
      <c r="B16" s="6">
        <f>C2</f>
        <v>7</v>
      </c>
      <c r="C16" s="6">
        <v>0</v>
      </c>
      <c r="D16" s="7"/>
      <c r="F16" s="6" t="s">
        <v>68</v>
      </c>
      <c r="G16" s="6">
        <f>L6</f>
        <v>0</v>
      </c>
      <c r="H16" s="6">
        <f>L7</f>
        <v>0</v>
      </c>
      <c r="L16" s="7"/>
    </row>
    <row r="17" spans="5:12" x14ac:dyDescent="0.35">
      <c r="F17" s="6" t="s">
        <v>69</v>
      </c>
      <c r="G17" s="6">
        <f>M6</f>
        <v>0</v>
      </c>
      <c r="H17" s="6">
        <f>M7</f>
        <v>0</v>
      </c>
      <c r="L17" s="7"/>
    </row>
    <row r="18" spans="5:12" ht="29" x14ac:dyDescent="0.35">
      <c r="F18" s="10" t="s">
        <v>93</v>
      </c>
      <c r="G18" s="6">
        <f>N6</f>
        <v>0</v>
      </c>
      <c r="H18" s="6">
        <f>N7</f>
        <v>0</v>
      </c>
      <c r="L18" s="7"/>
    </row>
    <row r="19" spans="5:12" x14ac:dyDescent="0.35">
      <c r="F19" s="6" t="s">
        <v>70</v>
      </c>
      <c r="G19" s="6">
        <f>O6</f>
        <v>0</v>
      </c>
      <c r="H19" s="6">
        <f>O7</f>
        <v>0</v>
      </c>
      <c r="L19" s="7"/>
    </row>
    <row r="20" spans="5:12" x14ac:dyDescent="0.35">
      <c r="F20" s="6" t="s">
        <v>102</v>
      </c>
      <c r="G20" s="6">
        <f>G13+G14+G15+G16+G17+G18+G19</f>
        <v>56.428571428571431</v>
      </c>
      <c r="H20" s="6">
        <f>H13+H14+H15+H16+H17+H18+H19</f>
        <v>66.428571428571431</v>
      </c>
      <c r="L20" s="7"/>
    </row>
    <row r="21" spans="5:12" x14ac:dyDescent="0.35">
      <c r="E21" s="1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workbookViewId="0">
      <selection activeCell="E13" sqref="E13"/>
    </sheetView>
  </sheetViews>
  <sheetFormatPr defaultRowHeight="14.5" x14ac:dyDescent="0.35"/>
  <cols>
    <col min="1" max="1" width="9.1796875" style="4"/>
    <col min="2" max="2" width="11.7265625" style="4" customWidth="1"/>
    <col min="3" max="257" width="9.1796875" style="4"/>
    <col min="258" max="258" width="11.7265625" style="4" customWidth="1"/>
    <col min="259" max="513" width="9.1796875" style="4"/>
    <col min="514" max="514" width="11.7265625" style="4" customWidth="1"/>
    <col min="515" max="769" width="9.1796875" style="4"/>
    <col min="770" max="770" width="11.7265625" style="4" customWidth="1"/>
    <col min="771" max="1025" width="9.1796875" style="4"/>
    <col min="1026" max="1026" width="11.7265625" style="4" customWidth="1"/>
    <col min="1027" max="1281" width="9.1796875" style="4"/>
    <col min="1282" max="1282" width="11.7265625" style="4" customWidth="1"/>
    <col min="1283" max="1537" width="9.1796875" style="4"/>
    <col min="1538" max="1538" width="11.7265625" style="4" customWidth="1"/>
    <col min="1539" max="1793" width="9.1796875" style="4"/>
    <col min="1794" max="1794" width="11.7265625" style="4" customWidth="1"/>
    <col min="1795" max="2049" width="9.1796875" style="4"/>
    <col min="2050" max="2050" width="11.7265625" style="4" customWidth="1"/>
    <col min="2051" max="2305" width="9.1796875" style="4"/>
    <col min="2306" max="2306" width="11.7265625" style="4" customWidth="1"/>
    <col min="2307" max="2561" width="9.1796875" style="4"/>
    <col min="2562" max="2562" width="11.7265625" style="4" customWidth="1"/>
    <col min="2563" max="2817" width="9.1796875" style="4"/>
    <col min="2818" max="2818" width="11.7265625" style="4" customWidth="1"/>
    <col min="2819" max="3073" width="9.1796875" style="4"/>
    <col min="3074" max="3074" width="11.7265625" style="4" customWidth="1"/>
    <col min="3075" max="3329" width="9.1796875" style="4"/>
    <col min="3330" max="3330" width="11.7265625" style="4" customWidth="1"/>
    <col min="3331" max="3585" width="9.1796875" style="4"/>
    <col min="3586" max="3586" width="11.7265625" style="4" customWidth="1"/>
    <col min="3587" max="3841" width="9.1796875" style="4"/>
    <col min="3842" max="3842" width="11.7265625" style="4" customWidth="1"/>
    <col min="3843" max="4097" width="9.1796875" style="4"/>
    <col min="4098" max="4098" width="11.7265625" style="4" customWidth="1"/>
    <col min="4099" max="4353" width="9.1796875" style="4"/>
    <col min="4354" max="4354" width="11.7265625" style="4" customWidth="1"/>
    <col min="4355" max="4609" width="9.1796875" style="4"/>
    <col min="4610" max="4610" width="11.7265625" style="4" customWidth="1"/>
    <col min="4611" max="4865" width="9.1796875" style="4"/>
    <col min="4866" max="4866" width="11.7265625" style="4" customWidth="1"/>
    <col min="4867" max="5121" width="9.1796875" style="4"/>
    <col min="5122" max="5122" width="11.7265625" style="4" customWidth="1"/>
    <col min="5123" max="5377" width="9.1796875" style="4"/>
    <col min="5378" max="5378" width="11.7265625" style="4" customWidth="1"/>
    <col min="5379" max="5633" width="9.1796875" style="4"/>
    <col min="5634" max="5634" width="11.7265625" style="4" customWidth="1"/>
    <col min="5635" max="5889" width="9.1796875" style="4"/>
    <col min="5890" max="5890" width="11.7265625" style="4" customWidth="1"/>
    <col min="5891" max="6145" width="9.1796875" style="4"/>
    <col min="6146" max="6146" width="11.7265625" style="4" customWidth="1"/>
    <col min="6147" max="6401" width="9.1796875" style="4"/>
    <col min="6402" max="6402" width="11.7265625" style="4" customWidth="1"/>
    <col min="6403" max="6657" width="9.1796875" style="4"/>
    <col min="6658" max="6658" width="11.7265625" style="4" customWidth="1"/>
    <col min="6659" max="6913" width="9.1796875" style="4"/>
    <col min="6914" max="6914" width="11.7265625" style="4" customWidth="1"/>
    <col min="6915" max="7169" width="9.1796875" style="4"/>
    <col min="7170" max="7170" width="11.7265625" style="4" customWidth="1"/>
    <col min="7171" max="7425" width="9.1796875" style="4"/>
    <col min="7426" max="7426" width="11.7265625" style="4" customWidth="1"/>
    <col min="7427" max="7681" width="9.1796875" style="4"/>
    <col min="7682" max="7682" width="11.7265625" style="4" customWidth="1"/>
    <col min="7683" max="7937" width="9.1796875" style="4"/>
    <col min="7938" max="7938" width="11.7265625" style="4" customWidth="1"/>
    <col min="7939" max="8193" width="9.1796875" style="4"/>
    <col min="8194" max="8194" width="11.7265625" style="4" customWidth="1"/>
    <col min="8195" max="8449" width="9.1796875" style="4"/>
    <col min="8450" max="8450" width="11.7265625" style="4" customWidth="1"/>
    <col min="8451" max="8705" width="9.1796875" style="4"/>
    <col min="8706" max="8706" width="11.7265625" style="4" customWidth="1"/>
    <col min="8707" max="8961" width="9.1796875" style="4"/>
    <col min="8962" max="8962" width="11.7265625" style="4" customWidth="1"/>
    <col min="8963" max="9217" width="9.1796875" style="4"/>
    <col min="9218" max="9218" width="11.7265625" style="4" customWidth="1"/>
    <col min="9219" max="9473" width="9.1796875" style="4"/>
    <col min="9474" max="9474" width="11.7265625" style="4" customWidth="1"/>
    <col min="9475" max="9729" width="9.1796875" style="4"/>
    <col min="9730" max="9730" width="11.7265625" style="4" customWidth="1"/>
    <col min="9731" max="9985" width="9.1796875" style="4"/>
    <col min="9986" max="9986" width="11.7265625" style="4" customWidth="1"/>
    <col min="9987" max="10241" width="9.1796875" style="4"/>
    <col min="10242" max="10242" width="11.7265625" style="4" customWidth="1"/>
    <col min="10243" max="10497" width="9.1796875" style="4"/>
    <col min="10498" max="10498" width="11.7265625" style="4" customWidth="1"/>
    <col min="10499" max="10753" width="9.1796875" style="4"/>
    <col min="10754" max="10754" width="11.7265625" style="4" customWidth="1"/>
    <col min="10755" max="11009" width="9.1796875" style="4"/>
    <col min="11010" max="11010" width="11.7265625" style="4" customWidth="1"/>
    <col min="11011" max="11265" width="9.1796875" style="4"/>
    <col min="11266" max="11266" width="11.7265625" style="4" customWidth="1"/>
    <col min="11267" max="11521" width="9.1796875" style="4"/>
    <col min="11522" max="11522" width="11.7265625" style="4" customWidth="1"/>
    <col min="11523" max="11777" width="9.1796875" style="4"/>
    <col min="11778" max="11778" width="11.7265625" style="4" customWidth="1"/>
    <col min="11779" max="12033" width="9.1796875" style="4"/>
    <col min="12034" max="12034" width="11.7265625" style="4" customWidth="1"/>
    <col min="12035" max="12289" width="9.1796875" style="4"/>
    <col min="12290" max="12290" width="11.7265625" style="4" customWidth="1"/>
    <col min="12291" max="12545" width="9.1796875" style="4"/>
    <col min="12546" max="12546" width="11.7265625" style="4" customWidth="1"/>
    <col min="12547" max="12801" width="9.1796875" style="4"/>
    <col min="12802" max="12802" width="11.7265625" style="4" customWidth="1"/>
    <col min="12803" max="13057" width="9.1796875" style="4"/>
    <col min="13058" max="13058" width="11.7265625" style="4" customWidth="1"/>
    <col min="13059" max="13313" width="9.1796875" style="4"/>
    <col min="13314" max="13314" width="11.7265625" style="4" customWidth="1"/>
    <col min="13315" max="13569" width="9.1796875" style="4"/>
    <col min="13570" max="13570" width="11.7265625" style="4" customWidth="1"/>
    <col min="13571" max="13825" width="9.1796875" style="4"/>
    <col min="13826" max="13826" width="11.7265625" style="4" customWidth="1"/>
    <col min="13827" max="14081" width="9.1796875" style="4"/>
    <col min="14082" max="14082" width="11.7265625" style="4" customWidth="1"/>
    <col min="14083" max="14337" width="9.1796875" style="4"/>
    <col min="14338" max="14338" width="11.7265625" style="4" customWidth="1"/>
    <col min="14339" max="14593" width="9.1796875" style="4"/>
    <col min="14594" max="14594" width="11.7265625" style="4" customWidth="1"/>
    <col min="14595" max="14849" width="9.1796875" style="4"/>
    <col min="14850" max="14850" width="11.7265625" style="4" customWidth="1"/>
    <col min="14851" max="15105" width="9.1796875" style="4"/>
    <col min="15106" max="15106" width="11.7265625" style="4" customWidth="1"/>
    <col min="15107" max="15361" width="9.1796875" style="4"/>
    <col min="15362" max="15362" width="11.7265625" style="4" customWidth="1"/>
    <col min="15363" max="15617" width="9.1796875" style="4"/>
    <col min="15618" max="15618" width="11.7265625" style="4" customWidth="1"/>
    <col min="15619" max="15873" width="9.1796875" style="4"/>
    <col min="15874" max="15874" width="11.7265625" style="4" customWidth="1"/>
    <col min="15875" max="16129" width="9.1796875" style="4"/>
    <col min="16130" max="16130" width="11.7265625" style="4" customWidth="1"/>
    <col min="16131" max="16384" width="9.1796875" style="4"/>
  </cols>
  <sheetData>
    <row r="2" spans="1:15" x14ac:dyDescent="0.35">
      <c r="A2" s="4" t="s">
        <v>82</v>
      </c>
      <c r="B2" s="5" t="s">
        <v>83</v>
      </c>
      <c r="C2" s="5">
        <v>7</v>
      </c>
    </row>
    <row r="3" spans="1:15" x14ac:dyDescent="0.35">
      <c r="B3" s="4" t="s">
        <v>84</v>
      </c>
      <c r="C3" s="4" t="s">
        <v>85</v>
      </c>
    </row>
    <row r="4" spans="1:15" x14ac:dyDescent="0.35">
      <c r="A4" s="4" t="s">
        <v>86</v>
      </c>
      <c r="B4" s="6">
        <v>10</v>
      </c>
      <c r="C4" s="6">
        <v>0</v>
      </c>
      <c r="D4" s="7"/>
      <c r="E4" s="7">
        <f>(100/B4)*C4</f>
        <v>0</v>
      </c>
    </row>
    <row r="5" spans="1:15" x14ac:dyDescent="0.35">
      <c r="A5" s="4" t="s">
        <v>87</v>
      </c>
      <c r="B5" s="4" t="s">
        <v>88</v>
      </c>
      <c r="C5" s="4" t="s">
        <v>89</v>
      </c>
      <c r="E5" s="7">
        <f>(100/B6)*C6</f>
        <v>0</v>
      </c>
      <c r="I5" s="6" t="s">
        <v>90</v>
      </c>
      <c r="J5" s="6" t="s">
        <v>91</v>
      </c>
      <c r="K5" s="6" t="s">
        <v>92</v>
      </c>
      <c r="L5" s="6" t="s">
        <v>68</v>
      </c>
      <c r="M5" s="6" t="s">
        <v>69</v>
      </c>
      <c r="N5" s="6" t="s">
        <v>93</v>
      </c>
      <c r="O5" s="6" t="s">
        <v>70</v>
      </c>
    </row>
    <row r="6" spans="1:15" x14ac:dyDescent="0.35">
      <c r="B6" s="6">
        <f>C2+1</f>
        <v>8</v>
      </c>
      <c r="C6" s="6">
        <v>0</v>
      </c>
      <c r="E6" s="7">
        <f>(100/B8)*C8</f>
        <v>0</v>
      </c>
      <c r="F6" s="8" t="s">
        <v>94</v>
      </c>
      <c r="I6" s="8">
        <f>C4</f>
        <v>0</v>
      </c>
      <c r="J6" s="8">
        <f>40/B6*C6</f>
        <v>0</v>
      </c>
      <c r="K6" s="8">
        <f>15/B8*C8</f>
        <v>0</v>
      </c>
      <c r="L6" s="8">
        <f>10/B10*C10</f>
        <v>0</v>
      </c>
      <c r="M6" s="8">
        <f>10/B12*C12</f>
        <v>0</v>
      </c>
      <c r="N6" s="8">
        <f>5/B14*C14</f>
        <v>0</v>
      </c>
      <c r="O6" s="8">
        <f>5/B16*C16</f>
        <v>0</v>
      </c>
    </row>
    <row r="7" spans="1:15" x14ac:dyDescent="0.35">
      <c r="A7" s="4" t="s">
        <v>95</v>
      </c>
      <c r="B7" s="4" t="s">
        <v>96</v>
      </c>
      <c r="C7" s="4" t="s">
        <v>97</v>
      </c>
      <c r="E7" s="7">
        <f>(100/B10)*C10</f>
        <v>0</v>
      </c>
      <c r="F7" s="6" t="s">
        <v>98</v>
      </c>
      <c r="G7" s="6"/>
      <c r="H7" s="6"/>
      <c r="I7" s="6">
        <f>I6+20</f>
        <v>20</v>
      </c>
      <c r="J7" s="6">
        <f>30/B6*C6</f>
        <v>0</v>
      </c>
      <c r="K7" s="6">
        <f>15/B8*C8</f>
        <v>0</v>
      </c>
      <c r="L7" s="6">
        <f>10/B10*C10</f>
        <v>0</v>
      </c>
      <c r="M7" s="6">
        <f>5/B12*C12</f>
        <v>0</v>
      </c>
      <c r="N7" s="6">
        <f>5/B14*C14</f>
        <v>0</v>
      </c>
      <c r="O7" s="6">
        <f>5/B16*C16</f>
        <v>0</v>
      </c>
    </row>
    <row r="8" spans="1:15" x14ac:dyDescent="0.35">
      <c r="B8" s="6">
        <f>C2</f>
        <v>7</v>
      </c>
      <c r="C8" s="6">
        <v>0</v>
      </c>
      <c r="D8" s="7"/>
      <c r="E8" s="7">
        <f>(100/B12)*C12</f>
        <v>0</v>
      </c>
    </row>
    <row r="9" spans="1:15" x14ac:dyDescent="0.35">
      <c r="A9" s="4" t="s">
        <v>99</v>
      </c>
      <c r="B9" s="4" t="s">
        <v>96</v>
      </c>
      <c r="C9" s="4" t="s">
        <v>97</v>
      </c>
      <c r="E9" s="7">
        <f>(100/B14)*C14</f>
        <v>0</v>
      </c>
    </row>
    <row r="10" spans="1:15" x14ac:dyDescent="0.35">
      <c r="B10" s="6">
        <f>C2</f>
        <v>7</v>
      </c>
      <c r="C10" s="6">
        <v>0</v>
      </c>
      <c r="D10" s="7"/>
      <c r="E10" s="7">
        <f>(100/B16)*C16</f>
        <v>0</v>
      </c>
    </row>
    <row r="11" spans="1:15" x14ac:dyDescent="0.35">
      <c r="A11" s="4" t="s">
        <v>69</v>
      </c>
      <c r="B11" s="4" t="s">
        <v>96</v>
      </c>
      <c r="C11" s="4" t="s">
        <v>97</v>
      </c>
    </row>
    <row r="12" spans="1:15" x14ac:dyDescent="0.35">
      <c r="B12" s="6">
        <f>C2</f>
        <v>7</v>
      </c>
      <c r="C12" s="6">
        <v>0</v>
      </c>
      <c r="D12" s="7"/>
      <c r="F12" s="6"/>
      <c r="G12" s="6" t="s">
        <v>94</v>
      </c>
      <c r="H12" s="6" t="s">
        <v>100</v>
      </c>
      <c r="L12" s="7" t="s">
        <v>101</v>
      </c>
    </row>
    <row r="13" spans="1:15" ht="29" x14ac:dyDescent="0.35">
      <c r="A13" s="9" t="s">
        <v>93</v>
      </c>
      <c r="B13" s="4" t="s">
        <v>96</v>
      </c>
      <c r="C13" s="4" t="s">
        <v>97</v>
      </c>
      <c r="F13" s="6" t="s">
        <v>66</v>
      </c>
      <c r="G13" s="6">
        <f>I6</f>
        <v>0</v>
      </c>
      <c r="H13" s="6">
        <f>I7</f>
        <v>20</v>
      </c>
      <c r="L13" s="7" t="s">
        <v>101</v>
      </c>
    </row>
    <row r="14" spans="1:15" x14ac:dyDescent="0.35">
      <c r="B14" s="6">
        <f>C2</f>
        <v>7</v>
      </c>
      <c r="C14" s="6">
        <v>0</v>
      </c>
      <c r="D14" s="19"/>
      <c r="F14" s="6" t="s">
        <v>67</v>
      </c>
      <c r="G14" s="6">
        <f>J6</f>
        <v>0</v>
      </c>
      <c r="H14" s="6">
        <f>J7</f>
        <v>0</v>
      </c>
      <c r="L14" s="7"/>
    </row>
    <row r="15" spans="1:15" x14ac:dyDescent="0.35">
      <c r="A15" s="4" t="s">
        <v>70</v>
      </c>
      <c r="B15" s="4" t="s">
        <v>96</v>
      </c>
      <c r="C15" s="4" t="s">
        <v>97</v>
      </c>
      <c r="F15" s="6" t="s">
        <v>92</v>
      </c>
      <c r="G15" s="6">
        <f>K6</f>
        <v>0</v>
      </c>
      <c r="H15" s="6">
        <f>K7</f>
        <v>0</v>
      </c>
      <c r="L15" s="7"/>
    </row>
    <row r="16" spans="1:15" x14ac:dyDescent="0.35">
      <c r="B16" s="6">
        <f>C2</f>
        <v>7</v>
      </c>
      <c r="C16" s="6">
        <v>0</v>
      </c>
      <c r="D16" s="7"/>
      <c r="F16" s="6" t="s">
        <v>68</v>
      </c>
      <c r="G16" s="6">
        <f>L6</f>
        <v>0</v>
      </c>
      <c r="H16" s="6">
        <f>L7</f>
        <v>0</v>
      </c>
      <c r="L16" s="7"/>
    </row>
    <row r="17" spans="5:12" x14ac:dyDescent="0.35">
      <c r="F17" s="6" t="s">
        <v>69</v>
      </c>
      <c r="G17" s="6">
        <f>M6</f>
        <v>0</v>
      </c>
      <c r="H17" s="6">
        <f>M7</f>
        <v>0</v>
      </c>
      <c r="L17" s="7"/>
    </row>
    <row r="18" spans="5:12" ht="29" x14ac:dyDescent="0.35">
      <c r="F18" s="10" t="s">
        <v>93</v>
      </c>
      <c r="G18" s="6">
        <f>N6</f>
        <v>0</v>
      </c>
      <c r="H18" s="6">
        <f>N7</f>
        <v>0</v>
      </c>
      <c r="L18" s="7"/>
    </row>
    <row r="19" spans="5:12" x14ac:dyDescent="0.35">
      <c r="F19" s="6" t="s">
        <v>70</v>
      </c>
      <c r="G19" s="6">
        <f>O6</f>
        <v>0</v>
      </c>
      <c r="H19" s="6">
        <f>O7</f>
        <v>0</v>
      </c>
      <c r="L19" s="7"/>
    </row>
    <row r="20" spans="5:12" x14ac:dyDescent="0.35">
      <c r="F20" s="6" t="s">
        <v>102</v>
      </c>
      <c r="G20" s="6">
        <f>G13+G14+G15+G16+G17+G18+G19</f>
        <v>0</v>
      </c>
      <c r="H20" s="6">
        <f>H13+H14+H15+H16+H17+H18+H19</f>
        <v>20</v>
      </c>
      <c r="L20" s="7"/>
    </row>
    <row r="21" spans="5:12" x14ac:dyDescent="0.35">
      <c r="E21" s="11"/>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workbookViewId="0">
      <selection activeCell="C16" sqref="C16"/>
    </sheetView>
  </sheetViews>
  <sheetFormatPr defaultRowHeight="14.5" x14ac:dyDescent="0.35"/>
  <cols>
    <col min="2" max="2" width="12.26953125" customWidth="1"/>
  </cols>
  <sheetData>
    <row r="2" spans="1:12" x14ac:dyDescent="0.35">
      <c r="B2" s="12" t="s">
        <v>103</v>
      </c>
      <c r="C2" s="250"/>
      <c r="D2" s="250"/>
    </row>
    <row r="3" spans="1:12" x14ac:dyDescent="0.35">
      <c r="D3" s="13"/>
      <c r="E3" s="13"/>
      <c r="F3" s="13"/>
      <c r="G3" s="13"/>
      <c r="H3" s="13"/>
      <c r="I3" s="13"/>
    </row>
    <row r="4" spans="1:12" x14ac:dyDescent="0.35">
      <c r="A4" s="12" t="s">
        <v>104</v>
      </c>
      <c r="B4" s="14" t="s">
        <v>105</v>
      </c>
      <c r="C4" s="251" t="s">
        <v>106</v>
      </c>
      <c r="D4" s="251"/>
      <c r="E4" s="251"/>
      <c r="F4" s="15"/>
      <c r="G4" s="251" t="s">
        <v>107</v>
      </c>
      <c r="H4" s="251"/>
      <c r="I4" s="251"/>
      <c r="J4" s="251" t="s">
        <v>108</v>
      </c>
      <c r="K4" s="251"/>
      <c r="L4" s="251"/>
    </row>
    <row r="5" spans="1:12" x14ac:dyDescent="0.35">
      <c r="A5" s="12">
        <v>1</v>
      </c>
      <c r="B5" s="14"/>
      <c r="C5" s="14" t="s">
        <v>109</v>
      </c>
      <c r="D5" s="14" t="s">
        <v>110</v>
      </c>
      <c r="E5" s="14" t="s">
        <v>77</v>
      </c>
      <c r="F5" s="14"/>
      <c r="G5" s="14" t="s">
        <v>109</v>
      </c>
      <c r="H5" s="14" t="s">
        <v>110</v>
      </c>
      <c r="I5" s="14" t="s">
        <v>77</v>
      </c>
      <c r="J5" s="14" t="s">
        <v>109</v>
      </c>
      <c r="K5" s="14" t="s">
        <v>110</v>
      </c>
      <c r="L5" s="14" t="s">
        <v>77</v>
      </c>
    </row>
    <row r="6" spans="1:12" x14ac:dyDescent="0.35">
      <c r="B6" s="16" t="s">
        <v>111</v>
      </c>
      <c r="C6" s="16"/>
      <c r="D6" s="16"/>
      <c r="E6" s="16">
        <f>C6*D6</f>
        <v>0</v>
      </c>
      <c r="F6" s="16" t="s">
        <v>112</v>
      </c>
      <c r="G6" s="16"/>
      <c r="H6" s="16"/>
      <c r="I6" s="16">
        <f>G6*H6</f>
        <v>0</v>
      </c>
      <c r="J6" s="16"/>
      <c r="K6" s="16"/>
      <c r="L6" s="16">
        <f>J6*K6</f>
        <v>0</v>
      </c>
    </row>
    <row r="7" spans="1:12" x14ac:dyDescent="0.35">
      <c r="B7" s="16"/>
      <c r="C7" s="16"/>
      <c r="D7" s="16"/>
      <c r="E7" s="16">
        <f t="shared" ref="E7:E33" si="0">C7*D7</f>
        <v>0</v>
      </c>
      <c r="F7" s="16" t="s">
        <v>113</v>
      </c>
      <c r="G7" s="16"/>
      <c r="H7" s="16"/>
      <c r="I7" s="16">
        <f t="shared" ref="I7:I29" si="1">G7*H7</f>
        <v>0</v>
      </c>
      <c r="J7" s="16"/>
      <c r="K7" s="16"/>
      <c r="L7" s="16">
        <f t="shared" ref="L7:L29" si="2">J7*K7</f>
        <v>0</v>
      </c>
    </row>
    <row r="8" spans="1:12" x14ac:dyDescent="0.35">
      <c r="B8" s="16"/>
      <c r="C8" s="16"/>
      <c r="D8" s="16"/>
      <c r="E8" s="16">
        <f t="shared" si="0"/>
        <v>0</v>
      </c>
      <c r="F8" s="16"/>
      <c r="G8" s="16"/>
      <c r="H8" s="16"/>
      <c r="I8" s="16">
        <f t="shared" si="1"/>
        <v>0</v>
      </c>
      <c r="J8" s="16"/>
      <c r="K8" s="16"/>
      <c r="L8" s="16">
        <f t="shared" si="2"/>
        <v>0</v>
      </c>
    </row>
    <row r="9" spans="1:12" x14ac:dyDescent="0.35">
      <c r="B9" s="16" t="s">
        <v>114</v>
      </c>
      <c r="C9" s="16"/>
      <c r="D9" s="16"/>
      <c r="E9" s="16">
        <f t="shared" si="0"/>
        <v>0</v>
      </c>
      <c r="F9" s="16" t="s">
        <v>112</v>
      </c>
      <c r="G9" s="16"/>
      <c r="H9" s="16"/>
      <c r="I9" s="16">
        <f t="shared" si="1"/>
        <v>0</v>
      </c>
      <c r="J9" s="16"/>
      <c r="K9" s="16"/>
      <c r="L9" s="16">
        <f t="shared" si="2"/>
        <v>0</v>
      </c>
    </row>
    <row r="10" spans="1:12" x14ac:dyDescent="0.35">
      <c r="B10" s="16"/>
      <c r="C10" s="16"/>
      <c r="D10" s="16"/>
      <c r="E10" s="16">
        <f t="shared" si="0"/>
        <v>0</v>
      </c>
      <c r="F10" s="16" t="s">
        <v>113</v>
      </c>
      <c r="G10" s="16"/>
      <c r="H10" s="16"/>
      <c r="I10" s="16">
        <f t="shared" si="1"/>
        <v>0</v>
      </c>
      <c r="J10" s="16"/>
      <c r="K10" s="16"/>
      <c r="L10" s="16">
        <f t="shared" si="2"/>
        <v>0</v>
      </c>
    </row>
    <row r="11" spans="1:12" x14ac:dyDescent="0.35">
      <c r="B11" s="16"/>
      <c r="C11" s="16"/>
      <c r="D11" s="16"/>
      <c r="E11" s="16">
        <f t="shared" si="0"/>
        <v>0</v>
      </c>
      <c r="F11" s="16"/>
      <c r="G11" s="16"/>
      <c r="H11" s="16"/>
      <c r="I11" s="16">
        <f t="shared" si="1"/>
        <v>0</v>
      </c>
      <c r="J11" s="16"/>
      <c r="K11" s="16"/>
      <c r="L11" s="16">
        <f t="shared" si="2"/>
        <v>0</v>
      </c>
    </row>
    <row r="12" spans="1:12" x14ac:dyDescent="0.35">
      <c r="B12" s="16"/>
      <c r="C12" s="16"/>
      <c r="D12" s="16"/>
      <c r="E12" s="16">
        <f t="shared" si="0"/>
        <v>0</v>
      </c>
      <c r="F12" s="16"/>
      <c r="G12" s="16"/>
      <c r="H12" s="16"/>
      <c r="I12" s="16">
        <f t="shared" si="1"/>
        <v>0</v>
      </c>
      <c r="J12" s="16"/>
      <c r="K12" s="16"/>
      <c r="L12" s="16">
        <f t="shared" si="2"/>
        <v>0</v>
      </c>
    </row>
    <row r="13" spans="1:12" x14ac:dyDescent="0.35">
      <c r="B13" s="16" t="s">
        <v>115</v>
      </c>
      <c r="C13" s="16"/>
      <c r="D13" s="16"/>
      <c r="E13" s="16">
        <f t="shared" si="0"/>
        <v>0</v>
      </c>
      <c r="F13" s="16" t="s">
        <v>112</v>
      </c>
      <c r="G13" s="16"/>
      <c r="H13" s="16"/>
      <c r="I13" s="16">
        <f t="shared" si="1"/>
        <v>0</v>
      </c>
      <c r="J13" s="16"/>
      <c r="K13" s="16"/>
      <c r="L13" s="16">
        <f t="shared" si="2"/>
        <v>0</v>
      </c>
    </row>
    <row r="14" spans="1:12" x14ac:dyDescent="0.35">
      <c r="B14" s="16"/>
      <c r="C14" s="16"/>
      <c r="D14" s="16"/>
      <c r="E14" s="16">
        <f t="shared" si="0"/>
        <v>0</v>
      </c>
      <c r="F14" s="16" t="s">
        <v>113</v>
      </c>
      <c r="G14" s="16"/>
      <c r="H14" s="16"/>
      <c r="I14" s="16">
        <f t="shared" si="1"/>
        <v>0</v>
      </c>
      <c r="J14" s="16"/>
      <c r="K14" s="16"/>
      <c r="L14" s="16">
        <f t="shared" si="2"/>
        <v>0</v>
      </c>
    </row>
    <row r="15" spans="1:12" x14ac:dyDescent="0.35">
      <c r="B15" s="16"/>
      <c r="C15" s="16"/>
      <c r="D15" s="16"/>
      <c r="E15" s="16">
        <f t="shared" si="0"/>
        <v>0</v>
      </c>
      <c r="F15" s="16"/>
      <c r="G15" s="16"/>
      <c r="H15" s="16"/>
      <c r="I15" s="16">
        <f t="shared" si="1"/>
        <v>0</v>
      </c>
      <c r="J15" s="16"/>
      <c r="K15" s="16"/>
      <c r="L15" s="16">
        <f t="shared" si="2"/>
        <v>0</v>
      </c>
    </row>
    <row r="16" spans="1:12" x14ac:dyDescent="0.35">
      <c r="B16" s="16"/>
      <c r="C16" s="16"/>
      <c r="D16" s="16"/>
      <c r="E16" s="16">
        <f t="shared" si="0"/>
        <v>0</v>
      </c>
      <c r="F16" s="16"/>
      <c r="G16" s="16"/>
      <c r="H16" s="16"/>
      <c r="I16" s="16">
        <f t="shared" si="1"/>
        <v>0</v>
      </c>
      <c r="J16" s="16"/>
      <c r="K16" s="16"/>
      <c r="L16" s="16">
        <f t="shared" si="2"/>
        <v>0</v>
      </c>
    </row>
    <row r="17" spans="2:12" x14ac:dyDescent="0.35">
      <c r="B17" s="16" t="s">
        <v>116</v>
      </c>
      <c r="C17" s="16"/>
      <c r="D17" s="16"/>
      <c r="E17" s="16">
        <f t="shared" si="0"/>
        <v>0</v>
      </c>
      <c r="F17" s="16" t="s">
        <v>112</v>
      </c>
      <c r="G17" s="16"/>
      <c r="H17" s="16"/>
      <c r="I17" s="16">
        <f t="shared" si="1"/>
        <v>0</v>
      </c>
      <c r="J17" s="16"/>
      <c r="K17" s="16"/>
      <c r="L17" s="16">
        <f t="shared" si="2"/>
        <v>0</v>
      </c>
    </row>
    <row r="18" spans="2:12" x14ac:dyDescent="0.35">
      <c r="B18" s="16"/>
      <c r="C18" s="16"/>
      <c r="D18" s="16"/>
      <c r="E18" s="16">
        <f t="shared" si="0"/>
        <v>0</v>
      </c>
      <c r="F18" s="16" t="s">
        <v>113</v>
      </c>
      <c r="G18" s="16"/>
      <c r="H18" s="16"/>
      <c r="I18" s="16">
        <f t="shared" si="1"/>
        <v>0</v>
      </c>
      <c r="J18" s="16"/>
      <c r="K18" s="16"/>
      <c r="L18" s="16">
        <f t="shared" si="2"/>
        <v>0</v>
      </c>
    </row>
    <row r="19" spans="2:12" x14ac:dyDescent="0.35">
      <c r="B19" s="16"/>
      <c r="C19" s="16"/>
      <c r="D19" s="16"/>
      <c r="E19" s="16">
        <f t="shared" si="0"/>
        <v>0</v>
      </c>
      <c r="F19" s="16"/>
      <c r="G19" s="16"/>
      <c r="H19" s="16"/>
      <c r="I19" s="16">
        <f t="shared" si="1"/>
        <v>0</v>
      </c>
      <c r="J19" s="16"/>
      <c r="K19" s="16"/>
      <c r="L19" s="16">
        <f t="shared" si="2"/>
        <v>0</v>
      </c>
    </row>
    <row r="20" spans="2:12" x14ac:dyDescent="0.35">
      <c r="B20" s="16" t="s">
        <v>116</v>
      </c>
      <c r="C20" s="16"/>
      <c r="D20" s="16"/>
      <c r="E20" s="16">
        <f t="shared" si="0"/>
        <v>0</v>
      </c>
      <c r="F20" s="16" t="s">
        <v>112</v>
      </c>
      <c r="G20" s="16"/>
      <c r="H20" s="16"/>
      <c r="I20" s="16">
        <f t="shared" si="1"/>
        <v>0</v>
      </c>
      <c r="J20" s="16"/>
      <c r="K20" s="16"/>
      <c r="L20" s="16">
        <f t="shared" si="2"/>
        <v>0</v>
      </c>
    </row>
    <row r="21" spans="2:12" x14ac:dyDescent="0.35">
      <c r="B21" s="16"/>
      <c r="C21" s="16"/>
      <c r="D21" s="16"/>
      <c r="E21" s="16">
        <f t="shared" si="0"/>
        <v>0</v>
      </c>
      <c r="F21" s="16" t="s">
        <v>113</v>
      </c>
      <c r="G21" s="16"/>
      <c r="H21" s="16"/>
      <c r="I21" s="16">
        <f t="shared" si="1"/>
        <v>0</v>
      </c>
      <c r="J21" s="16"/>
      <c r="K21" s="16"/>
      <c r="L21" s="16">
        <f t="shared" si="2"/>
        <v>0</v>
      </c>
    </row>
    <row r="22" spans="2:12" x14ac:dyDescent="0.35">
      <c r="B22" s="16"/>
      <c r="C22" s="16"/>
      <c r="D22" s="16"/>
      <c r="E22" s="16">
        <f t="shared" si="0"/>
        <v>0</v>
      </c>
      <c r="F22" s="16"/>
      <c r="G22" s="16"/>
      <c r="H22" s="16"/>
      <c r="I22" s="16">
        <f t="shared" si="1"/>
        <v>0</v>
      </c>
      <c r="J22" s="16"/>
      <c r="K22" s="16"/>
      <c r="L22" s="16">
        <f t="shared" si="2"/>
        <v>0</v>
      </c>
    </row>
    <row r="23" spans="2:12" x14ac:dyDescent="0.35">
      <c r="B23" s="16" t="s">
        <v>117</v>
      </c>
      <c r="C23" s="16"/>
      <c r="D23" s="16"/>
      <c r="E23" s="16">
        <f t="shared" si="0"/>
        <v>0</v>
      </c>
      <c r="F23" s="16" t="s">
        <v>118</v>
      </c>
      <c r="G23" s="16"/>
      <c r="H23" s="16"/>
      <c r="I23" s="16">
        <f t="shared" si="1"/>
        <v>0</v>
      </c>
      <c r="J23" s="16"/>
      <c r="K23" s="16"/>
      <c r="L23" s="16">
        <f t="shared" si="2"/>
        <v>0</v>
      </c>
    </row>
    <row r="24" spans="2:12" x14ac:dyDescent="0.35">
      <c r="B24" s="16" t="s">
        <v>119</v>
      </c>
      <c r="C24" s="16"/>
      <c r="D24" s="16"/>
      <c r="E24" s="16">
        <f t="shared" si="0"/>
        <v>0</v>
      </c>
      <c r="F24" s="16" t="s">
        <v>118</v>
      </c>
      <c r="G24" s="16"/>
      <c r="H24" s="16"/>
      <c r="I24" s="16">
        <f t="shared" si="1"/>
        <v>0</v>
      </c>
      <c r="J24" s="16"/>
      <c r="K24" s="16"/>
      <c r="L24" s="16">
        <f t="shared" si="2"/>
        <v>0</v>
      </c>
    </row>
    <row r="25" spans="2:12" x14ac:dyDescent="0.35">
      <c r="B25" s="16" t="s">
        <v>120</v>
      </c>
      <c r="C25" s="16"/>
      <c r="D25" s="16"/>
      <c r="E25" s="16">
        <f t="shared" si="0"/>
        <v>0</v>
      </c>
      <c r="F25" s="16" t="s">
        <v>118</v>
      </c>
      <c r="G25" s="16"/>
      <c r="H25" s="16"/>
      <c r="I25" s="16">
        <f t="shared" si="1"/>
        <v>0</v>
      </c>
      <c r="J25" s="16"/>
      <c r="K25" s="16"/>
      <c r="L25" s="16">
        <f t="shared" si="2"/>
        <v>0</v>
      </c>
    </row>
    <row r="26" spans="2:12" x14ac:dyDescent="0.35">
      <c r="B26" s="16"/>
      <c r="C26" s="16"/>
      <c r="D26" s="16"/>
      <c r="E26" s="16">
        <f t="shared" si="0"/>
        <v>0</v>
      </c>
      <c r="F26" s="16"/>
      <c r="G26" s="16"/>
      <c r="H26" s="16"/>
      <c r="I26" s="16">
        <f t="shared" si="1"/>
        <v>0</v>
      </c>
      <c r="J26" s="16"/>
      <c r="K26" s="16"/>
      <c r="L26" s="16">
        <f t="shared" si="2"/>
        <v>0</v>
      </c>
    </row>
    <row r="27" spans="2:12" x14ac:dyDescent="0.35">
      <c r="B27" s="16" t="s">
        <v>121</v>
      </c>
      <c r="C27" s="16"/>
      <c r="D27" s="16"/>
      <c r="E27" s="16">
        <f t="shared" si="0"/>
        <v>0</v>
      </c>
      <c r="F27" s="16"/>
      <c r="G27" s="16"/>
      <c r="H27" s="16"/>
      <c r="I27" s="16">
        <f t="shared" si="1"/>
        <v>0</v>
      </c>
      <c r="J27" s="16"/>
      <c r="K27" s="16"/>
      <c r="L27" s="16">
        <f t="shared" si="2"/>
        <v>0</v>
      </c>
    </row>
    <row r="28" spans="2:12" x14ac:dyDescent="0.35">
      <c r="B28" s="16" t="s">
        <v>122</v>
      </c>
      <c r="C28" s="16"/>
      <c r="D28" s="16"/>
      <c r="E28" s="16">
        <f t="shared" si="0"/>
        <v>0</v>
      </c>
      <c r="F28" s="16"/>
      <c r="G28" s="16"/>
      <c r="H28" s="16"/>
      <c r="I28" s="16">
        <f t="shared" si="1"/>
        <v>0</v>
      </c>
      <c r="J28" s="16"/>
      <c r="K28" s="16"/>
      <c r="L28" s="16">
        <f t="shared" si="2"/>
        <v>0</v>
      </c>
    </row>
    <row r="29" spans="2:12" x14ac:dyDescent="0.35">
      <c r="B29" s="16" t="s">
        <v>123</v>
      </c>
      <c r="C29" s="16"/>
      <c r="D29" s="16"/>
      <c r="E29" s="16">
        <f t="shared" si="0"/>
        <v>0</v>
      </c>
      <c r="F29" s="16"/>
      <c r="G29" s="16"/>
      <c r="H29" s="16"/>
      <c r="I29" s="16">
        <f t="shared" si="1"/>
        <v>0</v>
      </c>
      <c r="J29" s="16"/>
      <c r="K29" s="16"/>
      <c r="L29" s="16">
        <f t="shared" si="2"/>
        <v>0</v>
      </c>
    </row>
    <row r="30" spans="2:12" x14ac:dyDescent="0.35">
      <c r="B30" s="16" t="s">
        <v>124</v>
      </c>
      <c r="C30" s="16"/>
      <c r="D30" s="16"/>
      <c r="E30" s="16">
        <f t="shared" si="0"/>
        <v>0</v>
      </c>
      <c r="F30" s="16"/>
      <c r="G30" s="16"/>
      <c r="H30" s="16"/>
      <c r="I30" s="16">
        <f>G30*H30</f>
        <v>0</v>
      </c>
      <c r="J30" s="16"/>
      <c r="K30" s="16"/>
      <c r="L30" s="16">
        <f>J30*K30</f>
        <v>0</v>
      </c>
    </row>
    <row r="31" spans="2:12" x14ac:dyDescent="0.35">
      <c r="B31" s="16"/>
      <c r="C31" s="16"/>
      <c r="D31" s="16"/>
      <c r="E31" s="16">
        <f t="shared" si="0"/>
        <v>0</v>
      </c>
      <c r="F31" s="16"/>
      <c r="G31" s="16"/>
      <c r="H31" s="16"/>
      <c r="I31" s="16">
        <f>G31*H31</f>
        <v>0</v>
      </c>
      <c r="J31" s="16"/>
      <c r="K31" s="16"/>
      <c r="L31" s="16">
        <f>J31*K31</f>
        <v>0</v>
      </c>
    </row>
    <row r="32" spans="2:12" x14ac:dyDescent="0.35">
      <c r="B32" s="16"/>
      <c r="C32" s="16"/>
      <c r="D32" s="16"/>
      <c r="E32" s="16">
        <f t="shared" si="0"/>
        <v>0</v>
      </c>
      <c r="F32" s="16"/>
      <c r="G32" s="16"/>
      <c r="H32" s="16"/>
      <c r="I32" s="16">
        <f>G32*H32</f>
        <v>0</v>
      </c>
      <c r="J32" s="16"/>
      <c r="K32" s="16"/>
      <c r="L32" s="16">
        <f>J32*K32</f>
        <v>0</v>
      </c>
    </row>
    <row r="33" spans="2:12" x14ac:dyDescent="0.35">
      <c r="B33" s="16"/>
      <c r="C33" s="16"/>
      <c r="D33" s="16"/>
      <c r="E33" s="16">
        <f t="shared" si="0"/>
        <v>0</v>
      </c>
      <c r="F33" s="16"/>
      <c r="G33" s="16"/>
      <c r="H33" s="16"/>
      <c r="I33" s="16">
        <f>G33*H33</f>
        <v>0</v>
      </c>
      <c r="J33" s="16"/>
      <c r="K33" s="16"/>
      <c r="L33" s="16">
        <f>J33*K33</f>
        <v>0</v>
      </c>
    </row>
    <row r="34" spans="2:12" x14ac:dyDescent="0.35">
      <c r="B34" s="16" t="s">
        <v>78</v>
      </c>
      <c r="C34" s="16"/>
      <c r="D34" s="16">
        <f>E34*10.764</f>
        <v>0</v>
      </c>
      <c r="E34" s="16">
        <f>SUM(E6:E33)</f>
        <v>0</v>
      </c>
      <c r="F34" s="16"/>
      <c r="G34" s="16"/>
      <c r="H34" s="16">
        <f>I34*10.764</f>
        <v>0</v>
      </c>
      <c r="I34" s="16">
        <f>SUM(I6:I33)</f>
        <v>0</v>
      </c>
      <c r="J34" s="16"/>
      <c r="K34" s="16">
        <f>L34*10.764</f>
        <v>0</v>
      </c>
      <c r="L34" s="16">
        <f>SUM(L6:L33)</f>
        <v>0</v>
      </c>
    </row>
    <row r="36" spans="2:12" x14ac:dyDescent="0.35">
      <c r="D36">
        <f>D34+H34</f>
        <v>0</v>
      </c>
      <c r="E36">
        <f>E34+I34</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Report (2)</vt:lpstr>
      <vt:lpstr>VALUATION</vt:lpstr>
      <vt:lpstr>Note</vt:lpstr>
      <vt:lpstr>all</vt:lpstr>
      <vt:lpstr>C</vt:lpstr>
      <vt:lpstr>D</vt:lpstr>
      <vt:lpstr>E</vt:lpstr>
      <vt:lpstr>X</vt:lpstr>
      <vt:lpstr>Flat detail</vt:lpstr>
      <vt:lpstr>'Report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2025-04-17T09:16:26Z</cp:lastPrinted>
  <dcterms:created xsi:type="dcterms:W3CDTF">2019-07-16T09:29:46Z</dcterms:created>
  <dcterms:modified xsi:type="dcterms:W3CDTF">2025-09-05T06:22:47Z</dcterms:modified>
</cp:coreProperties>
</file>