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Ellora Emerald\"/>
    </mc:Choice>
  </mc:AlternateContent>
  <xr:revisionPtr revIDLastSave="0" documentId="13_ncr:1_{9EFBFB01-F05F-45D5-8FBB-0F5F6A8E58D2}"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Report!$A$1:$H$271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3" i="3" l="1"/>
  <c r="G89" i="3"/>
  <c r="D153" i="3"/>
  <c r="I123" i="3"/>
  <c r="F136" i="3"/>
  <c r="F140" i="3"/>
  <c r="F139" i="3"/>
  <c r="F138" i="3"/>
  <c r="F137" i="3"/>
  <c r="F134" i="3"/>
  <c r="F133" i="3"/>
  <c r="F131" i="3"/>
  <c r="F130" i="3"/>
  <c r="F129" i="3"/>
  <c r="F128" i="3"/>
  <c r="F127" i="3"/>
  <c r="F126" i="3"/>
  <c r="F125" i="3"/>
  <c r="F124" i="3"/>
  <c r="J124" i="3"/>
  <c r="K124" i="3"/>
  <c r="E120" i="3"/>
  <c r="E119" i="3"/>
  <c r="E118" i="3"/>
  <c r="H118" i="3" s="1"/>
  <c r="E117" i="3"/>
  <c r="H117" i="3" s="1"/>
  <c r="E116" i="3"/>
  <c r="H116" i="3" s="1"/>
  <c r="E115" i="3"/>
  <c r="H115" i="3" s="1"/>
  <c r="G88" i="3" s="1"/>
  <c r="E114" i="3"/>
  <c r="H114" i="3" s="1"/>
  <c r="E113" i="3"/>
  <c r="H113" i="3" s="1"/>
  <c r="E112" i="3"/>
  <c r="E111" i="3"/>
  <c r="E110" i="3"/>
  <c r="H110" i="3" s="1"/>
  <c r="E109" i="3"/>
  <c r="H109" i="3" s="1"/>
  <c r="E108" i="3"/>
  <c r="H108" i="3" s="1"/>
  <c r="E107" i="3"/>
  <c r="H107" i="3" s="1"/>
  <c r="E106" i="3"/>
  <c r="H106" i="3" s="1"/>
  <c r="E105" i="3"/>
  <c r="H105" i="3" s="1"/>
  <c r="E104" i="3"/>
  <c r="E103" i="3"/>
  <c r="E102" i="3"/>
  <c r="E101" i="3"/>
  <c r="H101" i="3" s="1"/>
  <c r="E100" i="3"/>
  <c r="H100" i="3" s="1"/>
  <c r="E99" i="3"/>
  <c r="H99" i="3" s="1"/>
  <c r="E98" i="3"/>
  <c r="H98" i="3" s="1"/>
  <c r="E97" i="3"/>
  <c r="H97" i="3" s="1"/>
  <c r="E140" i="3"/>
  <c r="E139" i="3"/>
  <c r="E138" i="3"/>
  <c r="H138" i="3" s="1"/>
  <c r="E137" i="3"/>
  <c r="H137" i="3" s="1"/>
  <c r="E136" i="3"/>
  <c r="E134" i="3"/>
  <c r="E133" i="3"/>
  <c r="E131" i="3"/>
  <c r="E130" i="3"/>
  <c r="E129" i="3"/>
  <c r="E128" i="3"/>
  <c r="E127" i="3"/>
  <c r="E126" i="3"/>
  <c r="E125" i="3"/>
  <c r="E124" i="3"/>
  <c r="E92" i="3" s="1"/>
  <c r="H140" i="3"/>
  <c r="H139" i="3"/>
  <c r="A137" i="3"/>
  <c r="A138" i="3" s="1"/>
  <c r="A139" i="3" s="1"/>
  <c r="A140" i="3" s="1"/>
  <c r="A134" i="3"/>
  <c r="A125" i="3"/>
  <c r="A126" i="3" s="1"/>
  <c r="A127" i="3" s="1"/>
  <c r="A128" i="3" s="1"/>
  <c r="A129" i="3" s="1"/>
  <c r="A130" i="3" s="1"/>
  <c r="A131" i="3" s="1"/>
  <c r="J110" i="3"/>
  <c r="J100" i="3"/>
  <c r="H112" i="3"/>
  <c r="H119" i="3"/>
  <c r="H111" i="3"/>
  <c r="H120" i="3"/>
  <c r="G83" i="3"/>
  <c r="G82" i="3"/>
  <c r="I21" i="3"/>
  <c r="C19" i="3"/>
  <c r="D154" i="3"/>
  <c r="D152" i="3"/>
  <c r="A61" i="3"/>
  <c r="V133" i="3"/>
  <c r="U133" i="3"/>
  <c r="E87" i="3" l="1"/>
  <c r="E88" i="3"/>
  <c r="H134" i="3"/>
  <c r="H133" i="3"/>
  <c r="H136" i="3"/>
  <c r="V134" i="3"/>
  <c r="V135" i="3" s="1"/>
  <c r="V136" i="3" s="1"/>
  <c r="V137" i="3" s="1"/>
  <c r="V138" i="3" s="1"/>
  <c r="V139" i="3" s="1"/>
  <c r="V140" i="3" s="1"/>
  <c r="U134" i="3"/>
  <c r="T133"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E89" i="3" l="1"/>
  <c r="E93" i="3" s="1"/>
  <c r="U135" i="3"/>
  <c r="T134" i="3"/>
  <c r="I42" i="6"/>
  <c r="H42" i="6" s="1"/>
  <c r="L42" i="6"/>
  <c r="K42" i="6" s="1"/>
  <c r="E44" i="6"/>
  <c r="D42" i="6"/>
  <c r="D44" i="6" s="1"/>
  <c r="U136" i="3" l="1"/>
  <c r="T135" i="3"/>
  <c r="C26" i="3"/>
  <c r="C18" i="3"/>
  <c r="H131" i="3"/>
  <c r="H130" i="3"/>
  <c r="H129" i="3"/>
  <c r="H128" i="3"/>
  <c r="H127" i="3"/>
  <c r="H126" i="3"/>
  <c r="H125" i="3"/>
  <c r="H124" i="3"/>
  <c r="H102" i="3"/>
  <c r="H103" i="3"/>
  <c r="H104" i="3"/>
  <c r="Y128" i="3" l="1"/>
  <c r="P128" i="3"/>
  <c r="S128" i="3"/>
  <c r="Y130" i="3"/>
  <c r="P130" i="3"/>
  <c r="S130" i="3"/>
  <c r="P124" i="3"/>
  <c r="Y124" i="3"/>
  <c r="S124" i="3"/>
  <c r="Y126" i="3"/>
  <c r="P126" i="3"/>
  <c r="S126" i="3"/>
  <c r="G87" i="3"/>
  <c r="G92" i="3"/>
  <c r="U137" i="3"/>
  <c r="T136" i="3"/>
  <c r="D62" i="3"/>
  <c r="U138" i="3" l="1"/>
  <c r="T137"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U139" i="3" l="1"/>
  <c r="T138" i="3"/>
  <c r="F38" i="4"/>
  <c r="G38" i="4"/>
  <c r="E18" i="4"/>
  <c r="E15" i="4"/>
  <c r="E17" i="4"/>
  <c r="E11" i="4"/>
  <c r="K6" i="4"/>
  <c r="E9" i="4"/>
  <c r="K8" i="4"/>
  <c r="C7" i="4" s="1"/>
  <c r="E14" i="4"/>
  <c r="E12" i="4"/>
  <c r="E16" i="4"/>
  <c r="E10" i="4"/>
  <c r="K9" i="4"/>
  <c r="K10" i="4" s="1"/>
  <c r="K11" i="4" s="1"/>
  <c r="E13" i="4"/>
  <c r="K7" i="4"/>
  <c r="T139" i="3" l="1"/>
  <c r="U140" i="3"/>
  <c r="T140" i="3" s="1"/>
  <c r="K12" i="4"/>
  <c r="K16" i="4" s="1"/>
  <c r="C8" i="4" s="1"/>
  <c r="E8" i="4" s="1"/>
  <c r="E7" i="4"/>
  <c r="A98" i="3"/>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F7" i="4" l="1"/>
  <c r="J4" i="4" s="1"/>
  <c r="H7" i="4" s="1"/>
  <c r="G4" i="3" l="1"/>
  <c r="H89" i="3" l="1"/>
  <c r="G84" i="3" l="1"/>
  <c r="J71" i="3"/>
  <c r="J70" i="3"/>
  <c r="H62" i="3"/>
  <c r="J66" i="3" l="1"/>
  <c r="D71" i="3"/>
  <c r="D68" i="3"/>
  <c r="D66" i="3"/>
  <c r="J64" i="3"/>
  <c r="D75" i="3"/>
  <c r="D73" i="3"/>
  <c r="D70" i="3"/>
  <c r="D67" i="3"/>
  <c r="J65" i="3"/>
  <c r="C64" i="3" s="1"/>
  <c r="J63" i="3"/>
  <c r="D74" i="3"/>
  <c r="D72" i="3"/>
  <c r="D69" i="3"/>
  <c r="J67" i="3" l="1"/>
  <c r="J72" i="3" s="1"/>
  <c r="J68" i="3" l="1"/>
  <c r="J69" i="3" l="1"/>
  <c r="J73" i="3" l="1"/>
  <c r="C65" i="3" s="1"/>
  <c r="U124" i="3"/>
  <c r="V124" i="3"/>
  <c r="D64" i="3" l="1"/>
  <c r="E64" i="3"/>
  <c r="G76" i="3" s="1"/>
  <c r="V125" i="3"/>
  <c r="V126" i="3" s="1"/>
  <c r="V127" i="3" s="1"/>
  <c r="V128" i="3" s="1"/>
  <c r="V129" i="3" s="1"/>
  <c r="V130" i="3" s="1"/>
  <c r="V131" i="3" s="1"/>
  <c r="U125" i="3"/>
  <c r="T124" i="3"/>
  <c r="D65" i="3" l="1"/>
  <c r="I61" i="3"/>
  <c r="G64" i="3" s="1"/>
  <c r="U126" i="3"/>
  <c r="T125" i="3"/>
  <c r="U127" i="3" l="1"/>
  <c r="T126" i="3"/>
  <c r="U128" i="3" l="1"/>
  <c r="T127" i="3"/>
  <c r="U129" i="3" l="1"/>
  <c r="T128" i="3"/>
  <c r="U130" i="3" l="1"/>
  <c r="T129" i="3"/>
  <c r="U131" i="3" l="1"/>
  <c r="T130" i="3"/>
  <c r="T13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82"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<sst xmlns="http://schemas.openxmlformats.org/spreadsheetml/2006/main" count="591" uniqueCount="368">
  <si>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</si>
  <si>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</si>
  <si>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</si>
  <si>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</si>
  <si>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</si>
  <si>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</si>
  <si>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</si>
  <si>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</si>
  <si>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</si>
  <si>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</si>
  <si>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</si>
  <si>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</si>
  <si>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</si>
  <si>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</si>
  <si>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</si>
  <si>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</si>
  <si>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</si>
  <si>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</si>
  <si>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</si>
  <si>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</si>
  <si>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</si>
  <si>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</si>
  <si>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</si>
  <si>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</si>
  <si>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</si>
  <si>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</si>
  <si>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</si>
  <si>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</si>
  <si>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</si>
  <si>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</si>
  <si>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</si>
  <si>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</si>
  <si>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</si>
  <si>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</si>
  <si>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</si>
  <si>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</si>
  <si>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</si>
  <si>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</si>
  <si>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</si>
  <si>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</si>
  <si>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</si>
  <si>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</si>
  <si>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</si>
  <si>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</si>
  <si>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</si>
  <si>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</si>
  <si>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</si>
  <si>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</si>
  <si>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</si>
  <si>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</si>
  <si>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</si>
  <si>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</si>
  <si>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</si>
  <si>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</si>
  <si>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</si>
  <si>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</si>
  <si>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</si>
  <si>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</si>
  <si>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</si>
  <si>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</si>
  <si>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</si>
  <si>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</si>
  <si>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</si>
  <si>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</si>
  <si>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</si>
  <si>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</si>
  <si>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</si>
  <si>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</si>
  <si>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</si>
  <si>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</si>
  <si>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</si>
  <si>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</si>
  <si>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</si>
  <si>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</si>
  <si>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</si>
  <si>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</si>
  <si>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</si>
  <si>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</si>
  <si>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</si>
  <si>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</si>
  <si>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</si>
  <si>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</si>
  <si>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</si>
  <si>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</si>
  <si>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</si>
  <si>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</si>
  <si>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</si>
  <si>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</si>
  <si>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</si>
  <si>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</si>
  <si>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</si>
  <si>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</si>
  <si>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</si>
  <si>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</si>
  <si>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</si>
  <si>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</si>
  <si>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</si>
  <si>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</si>
  <si>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</si>
  <si>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</si>
  <si>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</si>
  <si>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</si>
  <si>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</si>
  <si>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</si>
  <si>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</si>
  <si>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</si>
  <si>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</si>
  <si>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</si>
  <si>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</si>
  <si>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</si>
  <si>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</si>
  <si>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</si>
  <si>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</si>
  <si>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</si>
  <si>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</si>
  <si>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</si>
  <si>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</si>
  <si>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</si>
  <si>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</si>
  <si>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</si>
  <si>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</si>
  <si>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</si>
  <si>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</si>
  <si>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</si>
  <si>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</si>
  <si>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</si>
  <si>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</si>
  <si>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</si>
  <si>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</si>
  <si>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</si>
  <si>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</si>
  <si>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</si>
  <si>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</si>
  <si>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</si>
  <si>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</si>
  <si>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</si>
  <si>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</si>
  <si>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</si>
  <si>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</si>
  <si>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</si>
  <si>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</si>
  <si>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</si>
  <si>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</si>
  <si>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</si>
  <si>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</si>
  <si>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</si>
  <si>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</si>
  <si>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</si>
  <si>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</si>
  <si>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</si>
  <si>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</si>
  <si>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</si>
  <si>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</si>
  <si>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</si>
  <si>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</si>
  <si>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</si>
  <si>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</si>
  <si>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</si>
  <si>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</si>
  <si>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</si>
  <si>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</si>
  <si>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</si>
  <si>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</si>
  <si>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</si>
  <si>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</si>
  <si>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</si>
  <si>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</si>
  <si>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</si>
  <si>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</si>
  <si>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</si>
  <si>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</si>
  <si>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</si>
  <si>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</si>
  <si>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</si>
  <si>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</si>
  <si>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</si>
  <si>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</si>
  <si>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</si>
  <si>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</si>
  <si>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</si>
  <si>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</si>
  <si>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</si>
  <si>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</si>
  <si>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</si>
  <si>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</si>
  <si>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</si>
  <si>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</si>
  <si>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</si>
  <si>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</si>
  <si>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</si>
  <si>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</si>
  <si>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</si>
  <si>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</si>
  <si>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</si>
  <si>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</si>
  <si>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</si>
  <si>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</si>
  <si>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</si>
  <si>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</si>
  <si>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</si>
  <si>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</si>
  <si>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</si>
  <si>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</si>
  <si>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</si>
  <si>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</si>
  <si>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</si>
  <si>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</si>
  <si>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</si>
  <si>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</si>
  <si>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</si>
  <si>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</si>
  <si>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</si>
  <si>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</si>
  <si>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</si>
  <si>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</si>
  <si>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</si>
  <si>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</si>
  <si>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</si>
  <si>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</si>
  <si>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</si>
  <si>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</si>
  <si>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</si>
  <si>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</si>
  <si>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</si>
  <si>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</si>
  <si>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</si>
  <si>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</si>
  <si>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</si>
  <si>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</si>
  <si>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</si>
  <si>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</si>
  <si>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</si>
  <si>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</si>
  <si>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</si>
  <si>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</si>
  <si>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</si>
  <si>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</si>
  <si>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</si>
  <si>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</si>
  <si>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</si>
  <si>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</si>
  <si>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</si>
  <si>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</si>
  <si>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</si>
  <si>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</si>
  <si>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</si>
  <si>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</si>
  <si>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</si>
  <si>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</si>
  <si>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</si>
  <si>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</si>
  <si>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</si>
  <si>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</si>
  <si>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</si>
  <si>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</si>
  <si>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</si>
  <si>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</si>
  <si>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</si>
  <si>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</si>
  <si>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</si>
  <si>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</si>
  <si>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</si>
  <si>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</si>
  <si>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</si>
  <si>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</si>
  <si>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</si>
  <si>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</si>
  <si>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</si>
  <si>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</si>
  <si>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</si>
  <si>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</si>
  <si>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</si>
  <si>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</si>
  <si>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</si>
  <si>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</si>
  <si>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</si>
  <si>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</si>
  <si>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</si>
  <si>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</si>
  <si>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</si>
  <si>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</si>
  <si>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</si>
  <si>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</si>
  <si>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</si>
  <si>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</si>
  <si>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</si>
  <si>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</si>
  <si>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</si>
  <si>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</si>
  <si>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</si>
  <si>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</si>
  <si>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</si>
  <si>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</si>
  <si>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</si>
  <si>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</si>
  <si>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</si>
  <si>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</si>
  <si>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</si>
  <si>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</si>
  <si>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</si>
  <si>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</si>
  <si>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</si>
  <si>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</si>
  <si>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</si>
  <si>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</si>
  <si>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Bitumen</t>
  </si>
  <si>
    <t>7 RCC
3Brick 
2 plaster</t>
  </si>
  <si>
    <t>Mr. Suraj Khare</t>
  </si>
  <si>
    <t>Ellora Emerald</t>
  </si>
  <si>
    <t xml:space="preserve">Ellora Asian Infraprojects LLP
</t>
  </si>
  <si>
    <t>Office No -1, Ground Floor, Ellora Fiesta, Plot No -8 , Sector -11, Sanpada, Opp Juinagar Railway Station, Thane, Thane, 400705</t>
  </si>
  <si>
    <t>Ellora Emerald, Survey No.52/5 at Rohinjan, Panvel, Raigarh,410210</t>
  </si>
  <si>
    <t>Ellora Emerald, Proposed building permission on S.No. 52/5, At- Rohinjan, Taluka - Panvel, Dist - Raigad</t>
  </si>
  <si>
    <t>19.083265,73.083112</t>
  </si>
  <si>
    <t>https://maps.app.goo.gl/Hw5naY12BEvkB6oeA</t>
  </si>
  <si>
    <t>Arihant Clan Aalishan</t>
  </si>
  <si>
    <t xml:space="preserve">Ellora Emerald, S.No. 52/5, Near Arihant Clan Aalishan, Mumbra-Panvel Road, Rohinjan, Taloja, Panvel, Raigad 410210 </t>
  </si>
  <si>
    <t>Approved Layout &amp; Floor Plans, CC, RERA certificate</t>
  </si>
  <si>
    <t>Panvel Municipal Corporation</t>
  </si>
  <si>
    <t>P52000051429</t>
  </si>
  <si>
    <t>AXIS BANK
IFSC Code = UTIB0001841</t>
  </si>
  <si>
    <t>As per RERA Site Flats = 137 &amp; Shop = 12</t>
  </si>
  <si>
    <t>Swimming Pool, Walking/Jogging Track, Hi-Tech Gym, Kids Play Area, Kids Pool, Changing Rooms, Multipurpose Lawn, Outdoor Games, Activity Zone,  EV Charging Stations, Senior Citizen’s Sit Out,  Yoga Deck</t>
  </si>
  <si>
    <t>Middle</t>
  </si>
  <si>
    <t>60M</t>
  </si>
  <si>
    <t>1.00KM from Mumbra Highway Bus Stop</t>
  </si>
  <si>
    <t>About 2.50KM from 
Rainbow School International</t>
  </si>
  <si>
    <t>About 1.70KM form Ayesha Hospital</t>
  </si>
  <si>
    <t>1. Approx. 1.80KM from Taloja Local Market.
2. Approx. 2.40KM from Super Market.</t>
  </si>
  <si>
    <t>0.75KM from Taloja Panchnand Railway Station
1.20KM from Taloja Metro Station</t>
  </si>
  <si>
    <t>24.00 M. Wide Road/S.No. 52/4</t>
  </si>
  <si>
    <t>S.No. 52/0</t>
  </si>
  <si>
    <t>S.No. 51/0</t>
  </si>
  <si>
    <t>9.00 M.Wide Road</t>
  </si>
  <si>
    <t>Internal Road</t>
  </si>
  <si>
    <t>Other Plot/Road</t>
  </si>
  <si>
    <t>Gr + 1st to 18th Floor</t>
  </si>
  <si>
    <t>PMP/NRV/16677/J.K 905/2023</t>
  </si>
  <si>
    <t>PMC/TP/Rohinjan/52/5/21-23/16677/905/2023</t>
  </si>
  <si>
    <t>Ground + 18 Upper Floors
Builtup Area = 9396.105 Sqmt
Residential units = 125 Nos &amp; Commercial Units = 24 Nos</t>
  </si>
  <si>
    <t>Building 1</t>
  </si>
  <si>
    <t>Ground Floor For Commercial, Entrance Lobby &amp; Parking</t>
  </si>
  <si>
    <t>Shop</t>
  </si>
  <si>
    <t>Office (Duplex With 1st Floor)</t>
  </si>
  <si>
    <t>1st Floor For Parking &amp; Office (Duplex with Ground Floor)</t>
  </si>
  <si>
    <t>2nd Floor for Swimming Pool, Gym, Society Office, Drivers Room, Deck, Garden &amp; Parking</t>
  </si>
  <si>
    <t>2BHK</t>
  </si>
  <si>
    <t>1BHK</t>
  </si>
  <si>
    <t>3rd to 7th, 9th to 12th, 14th to 17th Floor For Residential</t>
  </si>
  <si>
    <t>Refuge Area</t>
  </si>
  <si>
    <t>8th, 13th &amp; 18th Floor (Part Refuge Area)</t>
  </si>
  <si>
    <t>Balcony Area + Chajja Area</t>
  </si>
  <si>
    <t xml:space="preserve">We considered Gross carpet area = Net carpet + Balcony Area + Chajja Area.
</t>
  </si>
  <si>
    <t>Shops</t>
  </si>
  <si>
    <t>Offices</t>
  </si>
  <si>
    <t>Flats</t>
  </si>
  <si>
    <t>06/09/2025 @12:44PM</t>
  </si>
  <si>
    <t>Mr. Darshan 7045263925</t>
  </si>
  <si>
    <t>Construction work is in process at the time of Visit (labour found).</t>
  </si>
  <si>
    <t>Flats = 125 &amp; 
Shop = 24</t>
  </si>
  <si>
    <t xml:space="preserve">Builder </t>
  </si>
  <si>
    <t>Mr.Sunil Peravi</t>
  </si>
  <si>
    <t>15000 to 16000</t>
  </si>
  <si>
    <t>Housing</t>
  </si>
  <si>
    <t>Builder site</t>
  </si>
  <si>
    <t>Builder</t>
  </si>
  <si>
    <t>Square yard</t>
  </si>
  <si>
    <t xml:space="preserve">Please check for Fire NOC.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</si>
</sst>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7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4" borderId="1" xfId="0" applyFont="1" applyFill="1" applyBorder="1" applyAlignment="1">
      <alignmen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4" fillId="0" borderId="3" xfId="0" applyFont="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1219201</xdr:colOff>
      <xdr:row>42</xdr:row>
      <xdr:rowOff>239485</xdr:rowOff>
    </xdr:from>
    <xdr:to>
      <xdr:col>13</xdr:col>
      <xdr:colOff>268972</xdr:colOff>
      <xdr:row>52</xdr:row>
      <xdr:rowOff>111498</xdr:rowOff>
    </xdr:to>
    <xdr:pic>
      <xdr:nvPicPr>
        <xdr:cNvPr id="2" name="Picture 1">
          <a:extLst>
            <a:ext uri="{FF2B5EF4-FFF2-40B4-BE49-F238E27FC236}">
              <a16:creationId xmlns:a16="http://schemas.microsoft.com/office/drawing/2014/main" id="{DDBD11F4-0B1D-BDA9-91ED-7650190BFDF3}"/>
            </a:ext>
          </a:extLst>
        </xdr:cNvPr>
        <xdr:cNvPicPr>
          <a:picLocks noChangeAspect="1"/>
        </xdr:cNvPicPr>
      </xdr:nvPicPr>
      <xdr:blipFill>
        <a:blip xmlns:r="http://schemas.openxmlformats.org/officeDocument/2006/relationships" r:embed="rId1"/>
        <a:stretch>
          <a:fillRect/>
        </a:stretch>
      </xdr:blipFill>
      <xdr:spPr>
        <a:xfrm>
          <a:off x="10885715" y="19528971"/>
          <a:ext cx="3600000" cy="2375727"/>
        </a:xfrm>
        <a:prstGeom prst="rect">
          <a:avLst/>
        </a:prstGeom>
      </xdr:spPr>
    </xdr:pic>
    <xdr:clientData/>
  </xdr:twoCellAnchor>
  <xdr:twoCellAnchor editAs="oneCell">
    <xdr:from>
      <xdr:col>12</xdr:col>
      <xdr:colOff>283029</xdr:colOff>
      <xdr:row>59</xdr:row>
      <xdr:rowOff>217714</xdr:rowOff>
    </xdr:from>
    <xdr:to>
      <xdr:col>23</xdr:col>
      <xdr:colOff>712456</xdr:colOff>
      <xdr:row>71</xdr:row>
      <xdr:rowOff>164647</xdr:rowOff>
    </xdr:to>
    <xdr:pic>
      <xdr:nvPicPr>
        <xdr:cNvPr id="3" name="Picture 2">
          <a:extLst>
            <a:ext uri="{FF2B5EF4-FFF2-40B4-BE49-F238E27FC236}">
              <a16:creationId xmlns:a16="http://schemas.microsoft.com/office/drawing/2014/main" id="{EB306CDC-E9BC-4816-2C99-AD28470F78BC}"/>
            </a:ext>
          </a:extLst>
        </xdr:cNvPr>
        <xdr:cNvPicPr>
          <a:picLocks noChangeAspect="1"/>
        </xdr:cNvPicPr>
      </xdr:nvPicPr>
      <xdr:blipFill>
        <a:blip xmlns:r="http://schemas.openxmlformats.org/officeDocument/2006/relationships" r:embed="rId2"/>
        <a:stretch>
          <a:fillRect/>
        </a:stretch>
      </xdr:blipFill>
      <xdr:spPr>
        <a:xfrm>
          <a:off x="13879286" y="24253371"/>
          <a:ext cx="6111770" cy="3147333"/>
        </a:xfrm>
        <a:prstGeom prst="rect">
          <a:avLst/>
        </a:prstGeom>
      </xdr:spPr>
    </xdr:pic>
    <xdr:clientData/>
  </xdr:twoCellAnchor>
  <xdr:twoCellAnchor editAs="oneCell">
    <xdr:from>
      <xdr:col>8</xdr:col>
      <xdr:colOff>1349831</xdr:colOff>
      <xdr:row>81</xdr:row>
      <xdr:rowOff>76199</xdr:rowOff>
    </xdr:from>
    <xdr:to>
      <xdr:col>15</xdr:col>
      <xdr:colOff>447002</xdr:colOff>
      <xdr:row>92</xdr:row>
      <xdr:rowOff>241388</xdr:rowOff>
    </xdr:to>
    <xdr:pic>
      <xdr:nvPicPr>
        <xdr:cNvPr id="4" name="Picture 3">
          <a:extLst>
            <a:ext uri="{FF2B5EF4-FFF2-40B4-BE49-F238E27FC236}">
              <a16:creationId xmlns:a16="http://schemas.microsoft.com/office/drawing/2014/main" id="{D81730DB-1E1C-B024-B11E-A9BA498169BD}"/>
            </a:ext>
          </a:extLst>
        </xdr:cNvPr>
        <xdr:cNvPicPr>
          <a:picLocks noChangeAspect="1"/>
        </xdr:cNvPicPr>
      </xdr:nvPicPr>
      <xdr:blipFill>
        <a:blip xmlns:r="http://schemas.openxmlformats.org/officeDocument/2006/relationships" r:embed="rId3"/>
        <a:stretch>
          <a:fillRect/>
        </a:stretch>
      </xdr:blipFill>
      <xdr:spPr>
        <a:xfrm>
          <a:off x="11016345" y="30131656"/>
          <a:ext cx="5400000" cy="3093446"/>
        </a:xfrm>
        <a:prstGeom prst="rect">
          <a:avLst/>
        </a:prstGeom>
      </xdr:spPr>
    </xdr:pic>
    <xdr:clientData/>
  </xdr:twoCellAnchor>
  <xdr:twoCellAnchor editAs="oneCell">
    <xdr:from>
      <xdr:col>8</xdr:col>
      <xdr:colOff>1349828</xdr:colOff>
      <xdr:row>136</xdr:row>
      <xdr:rowOff>195941</xdr:rowOff>
    </xdr:from>
    <xdr:to>
      <xdr:col>13</xdr:col>
      <xdr:colOff>399599</xdr:colOff>
      <xdr:row>149</xdr:row>
      <xdr:rowOff>105880</xdr:rowOff>
    </xdr:to>
    <xdr:pic>
      <xdr:nvPicPr>
        <xdr:cNvPr id="5" name="Picture 4">
          <a:extLst>
            <a:ext uri="{FF2B5EF4-FFF2-40B4-BE49-F238E27FC236}">
              <a16:creationId xmlns:a16="http://schemas.microsoft.com/office/drawing/2014/main" id="{153A34B5-64C3-1268-372D-1CAE6EFBB7B1}"/>
            </a:ext>
          </a:extLst>
        </xdr:cNvPr>
        <xdr:cNvPicPr>
          <a:picLocks noChangeAspect="1"/>
        </xdr:cNvPicPr>
      </xdr:nvPicPr>
      <xdr:blipFill>
        <a:blip xmlns:r="http://schemas.openxmlformats.org/officeDocument/2006/relationships" r:embed="rId4"/>
        <a:stretch>
          <a:fillRect/>
        </a:stretch>
      </xdr:blipFill>
      <xdr:spPr>
        <a:xfrm>
          <a:off x="11016342" y="51826884"/>
          <a:ext cx="3600000" cy="2544282"/>
        </a:xfrm>
        <a:prstGeom prst="rect">
          <a:avLst/>
        </a:prstGeom>
      </xdr:spPr>
    </xdr:pic>
    <xdr:clientData/>
  </xdr:twoCellAnchor>
  <xdr:twoCellAnchor editAs="oneCell">
    <xdr:from>
      <xdr:col>0</xdr:col>
      <xdr:colOff>1055913</xdr:colOff>
      <xdr:row>194</xdr:row>
      <xdr:rowOff>65315</xdr:rowOff>
    </xdr:from>
    <xdr:to>
      <xdr:col>7</xdr:col>
      <xdr:colOff>76198</xdr:colOff>
      <xdr:row>219</xdr:row>
      <xdr:rowOff>37981</xdr:rowOff>
    </xdr:to>
    <xdr:pic>
      <xdr:nvPicPr>
        <xdr:cNvPr id="7" name="Picture 6">
          <a:extLst>
            <a:ext uri="{FF2B5EF4-FFF2-40B4-BE49-F238E27FC236}">
              <a16:creationId xmlns:a16="http://schemas.microsoft.com/office/drawing/2014/main" id="{4A7D7F83-8180-59E8-D45A-6AEB7612B74A}"/>
            </a:ext>
          </a:extLst>
        </xdr:cNvPr>
        <xdr:cNvPicPr>
          <a:picLocks noChangeAspect="1"/>
        </xdr:cNvPicPr>
      </xdr:nvPicPr>
      <xdr:blipFill>
        <a:blip xmlns:r="http://schemas.openxmlformats.org/officeDocument/2006/relationships" r:embed="rId5"/>
        <a:stretch>
          <a:fillRect/>
        </a:stretch>
      </xdr:blipFill>
      <xdr:spPr>
        <a:xfrm>
          <a:off x="1055913" y="68743286"/>
          <a:ext cx="7478485" cy="6776237"/>
        </a:xfrm>
        <a:prstGeom prst="rect">
          <a:avLst/>
        </a:prstGeom>
        <a:ln>
          <a:solidFill>
            <a:schemeClr val="tx1"/>
          </a:solidFill>
        </a:ln>
      </xdr:spPr>
    </xdr:pic>
    <xdr:clientData/>
  </xdr:twoCellAnchor>
  <xdr:twoCellAnchor>
    <xdr:from>
      <xdr:col>1</xdr:col>
      <xdr:colOff>1091836</xdr:colOff>
      <xdr:row>235</xdr:row>
      <xdr:rowOff>188321</xdr:rowOff>
    </xdr:from>
    <xdr:to>
      <xdr:col>5</xdr:col>
      <xdr:colOff>1132114</xdr:colOff>
      <xdr:row>259</xdr:row>
      <xdr:rowOff>54428</xdr:rowOff>
    </xdr:to>
    <xdr:grpSp>
      <xdr:nvGrpSpPr>
        <xdr:cNvPr id="8" name="Group 7">
          <a:extLst>
            <a:ext uri="{FF2B5EF4-FFF2-40B4-BE49-F238E27FC236}">
              <a16:creationId xmlns:a16="http://schemas.microsoft.com/office/drawing/2014/main" id="{A7A82426-12DB-7059-9D7B-E77C4C693229}"/>
            </a:ext>
          </a:extLst>
        </xdr:cNvPr>
        <xdr:cNvGrpSpPr/>
      </xdr:nvGrpSpPr>
      <xdr:grpSpPr>
        <a:xfrm>
          <a:off x="2300150" y="78151807"/>
          <a:ext cx="4873535" cy="6397535"/>
          <a:chOff x="1629000" y="629991"/>
          <a:chExt cx="3600000" cy="5254950"/>
        </a:xfrm>
      </xdr:grpSpPr>
      <xdr:pic>
        <xdr:nvPicPr>
          <xdr:cNvPr id="9" name="Picture 8">
            <a:extLst>
              <a:ext uri="{FF2B5EF4-FFF2-40B4-BE49-F238E27FC236}">
                <a16:creationId xmlns:a16="http://schemas.microsoft.com/office/drawing/2014/main" id="{C5C79E30-0DF2-301E-FAA5-B45CED12CC8F}"/>
              </a:ext>
            </a:extLst>
          </xdr:cNvPr>
          <xdr:cNvPicPr>
            <a:picLocks noChangeAspect="1"/>
          </xdr:cNvPicPr>
        </xdr:nvPicPr>
        <xdr:blipFill>
          <a:blip xmlns:r="http://schemas.openxmlformats.org/officeDocument/2006/relationships" r:embed="rId6"/>
          <a:srcRect l="28889" t="32616" r="35444" b="22346"/>
          <a:stretch/>
        </xdr:blipFill>
        <xdr:spPr>
          <a:xfrm>
            <a:off x="1629000" y="629991"/>
            <a:ext cx="3600000" cy="2557009"/>
          </a:xfrm>
          <a:prstGeom prst="rect">
            <a:avLst/>
          </a:prstGeom>
          <a:ln>
            <a:solidFill>
              <a:schemeClr val="tx1"/>
            </a:solidFill>
          </a:ln>
        </xdr:spPr>
      </xdr:pic>
      <xdr:grpSp>
        <xdr:nvGrpSpPr>
          <xdr:cNvPr id="10" name="Group 9">
            <a:extLst>
              <a:ext uri="{FF2B5EF4-FFF2-40B4-BE49-F238E27FC236}">
                <a16:creationId xmlns:a16="http://schemas.microsoft.com/office/drawing/2014/main" id="{AE5F1666-7DBA-4C23-AA20-58A54EB0CAEE}"/>
              </a:ext>
            </a:extLst>
          </xdr:cNvPr>
          <xdr:cNvGrpSpPr/>
        </xdr:nvGrpSpPr>
        <xdr:grpSpPr>
          <a:xfrm>
            <a:off x="1629000" y="3259059"/>
            <a:ext cx="3600000" cy="2625882"/>
            <a:chOff x="1629000" y="3259059"/>
            <a:chExt cx="3600000" cy="2625882"/>
          </a:xfrm>
        </xdr:grpSpPr>
        <xdr:pic>
          <xdr:nvPicPr>
            <xdr:cNvPr id="11" name="Picture 10">
              <a:extLst>
                <a:ext uri="{FF2B5EF4-FFF2-40B4-BE49-F238E27FC236}">
                  <a16:creationId xmlns:a16="http://schemas.microsoft.com/office/drawing/2014/main" id="{4C40E596-C409-4A9B-58F5-1966BBA6714D}"/>
                </a:ext>
              </a:extLst>
            </xdr:cNvPr>
            <xdr:cNvPicPr>
              <a:picLocks noChangeAspect="1"/>
            </xdr:cNvPicPr>
          </xdr:nvPicPr>
          <xdr:blipFill>
            <a:blip xmlns:r="http://schemas.openxmlformats.org/officeDocument/2006/relationships" r:embed="rId7"/>
            <a:srcRect l="24000" t="27087" r="28778" b="11679"/>
            <a:stretch/>
          </xdr:blipFill>
          <xdr:spPr>
            <a:xfrm>
              <a:off x="1629000" y="3259059"/>
              <a:ext cx="3600000" cy="2625882"/>
            </a:xfrm>
            <a:prstGeom prst="rect">
              <a:avLst/>
            </a:prstGeom>
            <a:ln>
              <a:solidFill>
                <a:schemeClr val="tx1"/>
              </a:solidFill>
            </a:ln>
          </xdr:spPr>
        </xdr:pic>
        <xdr:sp macro="" textlink="">
          <xdr:nvSpPr>
            <xdr:cNvPr id="12" name="Rectangle 11">
              <a:extLst>
                <a:ext uri="{FF2B5EF4-FFF2-40B4-BE49-F238E27FC236}">
                  <a16:creationId xmlns:a16="http://schemas.microsoft.com/office/drawing/2014/main" id="{8CC3B0BF-C105-1369-C833-80365ECF9DE8}"/>
                </a:ext>
              </a:extLst>
            </xdr:cNvPr>
            <xdr:cNvSpPr/>
          </xdr:nvSpPr>
          <xdr:spPr>
            <a:xfrm rot="761619">
              <a:off x="3000947" y="4223232"/>
              <a:ext cx="572569" cy="575513"/>
            </a:xfrm>
            <a:prstGeom prst="rect">
              <a:avLst/>
            </a:prstGeom>
            <a:noFill/>
            <a:ln w="1905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0</xdr:col>
      <xdr:colOff>816428</xdr:colOff>
      <xdr:row>154</xdr:row>
      <xdr:rowOff>272142</xdr:rowOff>
    </xdr:from>
    <xdr:to>
      <xdr:col>7</xdr:col>
      <xdr:colOff>380999</xdr:colOff>
      <xdr:row>189</xdr:row>
      <xdr:rowOff>130629</xdr:rowOff>
    </xdr:to>
    <xdr:grpSp>
      <xdr:nvGrpSpPr>
        <xdr:cNvPr id="6" name="Group 5">
          <a:extLst>
            <a:ext uri="{FF2B5EF4-FFF2-40B4-BE49-F238E27FC236}">
              <a16:creationId xmlns:a16="http://schemas.microsoft.com/office/drawing/2014/main" id="{0438A52C-37DA-74B7-03BD-27841B7146D0}"/>
            </a:ext>
          </a:extLst>
        </xdr:cNvPr>
        <xdr:cNvGrpSpPr/>
      </xdr:nvGrpSpPr>
      <xdr:grpSpPr>
        <a:xfrm>
          <a:off x="816428" y="56184436"/>
          <a:ext cx="8022771" cy="9391107"/>
          <a:chOff x="257573" y="111760"/>
          <a:chExt cx="5941871" cy="7144800"/>
        </a:xfrm>
      </xdr:grpSpPr>
      <xdr:grpSp>
        <xdr:nvGrpSpPr>
          <xdr:cNvPr id="13" name="Group 12">
            <a:extLst>
              <a:ext uri="{FF2B5EF4-FFF2-40B4-BE49-F238E27FC236}">
                <a16:creationId xmlns:a16="http://schemas.microsoft.com/office/drawing/2014/main" id="{6F228A2B-AE6F-8873-37F3-FE2D14B115F5}"/>
              </a:ext>
            </a:extLst>
          </xdr:cNvPr>
          <xdr:cNvGrpSpPr/>
        </xdr:nvGrpSpPr>
        <xdr:grpSpPr>
          <a:xfrm>
            <a:off x="1809283" y="5456560"/>
            <a:ext cx="2838451" cy="1800000"/>
            <a:chOff x="2009774" y="5456560"/>
            <a:chExt cx="2838451" cy="1800000"/>
          </a:xfrm>
        </xdr:grpSpPr>
        <xdr:pic>
          <xdr:nvPicPr>
            <xdr:cNvPr id="21" name="Picture 20">
              <a:extLst>
                <a:ext uri="{FF2B5EF4-FFF2-40B4-BE49-F238E27FC236}">
                  <a16:creationId xmlns:a16="http://schemas.microsoft.com/office/drawing/2014/main" id="{5BAD6136-EDE4-3919-9C68-2D423156B786}"/>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2009774" y="5456560"/>
              <a:ext cx="1348594" cy="1800000"/>
            </a:xfrm>
            <a:prstGeom prst="rect">
              <a:avLst/>
            </a:prstGeom>
            <a:ln>
              <a:solidFill>
                <a:schemeClr val="tx1"/>
              </a:solidFill>
            </a:ln>
          </xdr:spPr>
        </xdr:pic>
        <xdr:pic>
          <xdr:nvPicPr>
            <xdr:cNvPr id="22" name="Picture 21">
              <a:extLst>
                <a:ext uri="{FF2B5EF4-FFF2-40B4-BE49-F238E27FC236}">
                  <a16:creationId xmlns:a16="http://schemas.microsoft.com/office/drawing/2014/main" id="{BA211C7A-8368-7569-DD6B-28342A1AAEF9}"/>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3499631" y="5456560"/>
              <a:ext cx="1348594" cy="180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03388AC0-4832-AE13-0223-6AA32215D334}"/>
              </a:ext>
            </a:extLst>
          </xdr:cNvPr>
          <xdr:cNvGrpSpPr/>
        </xdr:nvGrpSpPr>
        <xdr:grpSpPr>
          <a:xfrm>
            <a:off x="257573" y="111760"/>
            <a:ext cx="5941871" cy="2520000"/>
            <a:chOff x="257573" y="111760"/>
            <a:chExt cx="5941871" cy="2520000"/>
          </a:xfrm>
        </xdr:grpSpPr>
        <xdr:pic>
          <xdr:nvPicPr>
            <xdr:cNvPr id="18" name="Picture 17">
              <a:extLst>
                <a:ext uri="{FF2B5EF4-FFF2-40B4-BE49-F238E27FC236}">
                  <a16:creationId xmlns:a16="http://schemas.microsoft.com/office/drawing/2014/main" id="{31974A0B-E996-2682-70DC-936313992BCE}"/>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284493" y="111760"/>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5D5AC162-2EFA-BAA5-7303-B91377ED0DCF}"/>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257573" y="111760"/>
              <a:ext cx="1888031"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3B2E3ACB-2CEA-C5EA-1423-C90DE91FDFDD}"/>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311413" y="111760"/>
              <a:ext cx="1888031" cy="2520000"/>
            </a:xfrm>
            <a:prstGeom prst="rect">
              <a:avLst/>
            </a:prstGeom>
            <a:ln>
              <a:solidFill>
                <a:schemeClr val="tx1"/>
              </a:solidFill>
            </a:ln>
          </xdr:spPr>
        </xdr:pic>
      </xdr:grpSp>
      <xdr:grpSp>
        <xdr:nvGrpSpPr>
          <xdr:cNvPr id="15" name="Group 14">
            <a:extLst>
              <a:ext uri="{FF2B5EF4-FFF2-40B4-BE49-F238E27FC236}">
                <a16:creationId xmlns:a16="http://schemas.microsoft.com/office/drawing/2014/main" id="{97CFEF97-F309-479F-2679-119AEA2982E5}"/>
              </a:ext>
            </a:extLst>
          </xdr:cNvPr>
          <xdr:cNvGrpSpPr/>
        </xdr:nvGrpSpPr>
        <xdr:grpSpPr>
          <a:xfrm>
            <a:off x="1269846" y="2784160"/>
            <a:ext cx="3917325" cy="2520000"/>
            <a:chOff x="1598692" y="2834960"/>
            <a:chExt cx="3917325" cy="2520000"/>
          </a:xfrm>
        </xdr:grpSpPr>
        <xdr:pic>
          <xdr:nvPicPr>
            <xdr:cNvPr id="16" name="Picture 15">
              <a:extLst>
                <a:ext uri="{FF2B5EF4-FFF2-40B4-BE49-F238E27FC236}">
                  <a16:creationId xmlns:a16="http://schemas.microsoft.com/office/drawing/2014/main" id="{2DF0EBDE-64F0-D49D-014D-BEFE7486CF88}"/>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3627986" y="2834960"/>
              <a:ext cx="1888031"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3B3C562C-4CC6-7A76-C5F9-953ECBE2AEFB}"/>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598692" y="2834960"/>
              <a:ext cx="1888031" cy="2520000"/>
            </a:xfrm>
            <a:prstGeom prst="rect">
              <a:avLst/>
            </a:prstGeom>
            <a:ln>
              <a:solidFill>
                <a:schemeClr val="tx1"/>
              </a:solidFill>
            </a:ln>
          </xdr:spPr>
        </xdr:pic>
      </xdr:grpSp>
    </xdr:grpSp>
    <xdr:clientData/>
  </xdr:twoCellAnchor>
  <xdr:twoCellAnchor editAs="oneCell">
    <xdr:from>
      <xdr:col>14</xdr:col>
      <xdr:colOff>794657</xdr:colOff>
      <xdr:row>132</xdr:row>
      <xdr:rowOff>174172</xdr:rowOff>
    </xdr:from>
    <xdr:to>
      <xdr:col>22</xdr:col>
      <xdr:colOff>573772</xdr:colOff>
      <xdr:row>137</xdr:row>
      <xdr:rowOff>218688</xdr:rowOff>
    </xdr:to>
    <xdr:pic>
      <xdr:nvPicPr>
        <xdr:cNvPr id="23" name="Picture 22">
          <a:extLst>
            <a:ext uri="{FF2B5EF4-FFF2-40B4-BE49-F238E27FC236}">
              <a16:creationId xmlns:a16="http://schemas.microsoft.com/office/drawing/2014/main" id="{47DC15C4-ADAA-040E-76CB-945DAFBCE8DE}"/>
            </a:ext>
          </a:extLst>
        </xdr:cNvPr>
        <xdr:cNvPicPr>
          <a:picLocks noChangeAspect="1"/>
        </xdr:cNvPicPr>
      </xdr:nvPicPr>
      <xdr:blipFill>
        <a:blip xmlns:r="http://schemas.openxmlformats.org/officeDocument/2006/relationships" r:embed="rId15"/>
        <a:stretch>
          <a:fillRect/>
        </a:stretch>
      </xdr:blipFill>
      <xdr:spPr>
        <a:xfrm>
          <a:off x="15631886" y="50803629"/>
          <a:ext cx="3600000" cy="1296373"/>
        </a:xfrm>
        <a:prstGeom prst="rect">
          <a:avLst/>
        </a:prstGeom>
      </xdr:spPr>
    </xdr:pic>
    <xdr:clientData/>
  </xdr:twoCellAnchor>
  <xdr:twoCellAnchor editAs="oneCell">
    <xdr:from>
      <xdr:col>14</xdr:col>
      <xdr:colOff>631372</xdr:colOff>
      <xdr:row>138</xdr:row>
      <xdr:rowOff>21771</xdr:rowOff>
    </xdr:from>
    <xdr:to>
      <xdr:col>22</xdr:col>
      <xdr:colOff>410487</xdr:colOff>
      <xdr:row>144</xdr:row>
      <xdr:rowOff>122253</xdr:rowOff>
    </xdr:to>
    <xdr:pic>
      <xdr:nvPicPr>
        <xdr:cNvPr id="24" name="Picture 23">
          <a:extLst>
            <a:ext uri="{FF2B5EF4-FFF2-40B4-BE49-F238E27FC236}">
              <a16:creationId xmlns:a16="http://schemas.microsoft.com/office/drawing/2014/main" id="{7F3A907E-A814-1187-7949-2C31BE7D7050}"/>
            </a:ext>
          </a:extLst>
        </xdr:cNvPr>
        <xdr:cNvPicPr>
          <a:picLocks noChangeAspect="1"/>
        </xdr:cNvPicPr>
      </xdr:nvPicPr>
      <xdr:blipFill>
        <a:blip xmlns:r="http://schemas.openxmlformats.org/officeDocument/2006/relationships" r:embed="rId16"/>
        <a:stretch>
          <a:fillRect/>
        </a:stretch>
      </xdr:blipFill>
      <xdr:spPr>
        <a:xfrm>
          <a:off x="15468601" y="52153457"/>
          <a:ext cx="3600000" cy="1689796"/>
        </a:xfrm>
        <a:prstGeom prst="rect">
          <a:avLst/>
        </a:prstGeom>
      </xdr:spPr>
    </xdr:pic>
    <xdr:clientData/>
  </xdr:twoCellAnchor>
  <xdr:twoCellAnchor editAs="oneCell">
    <xdr:from>
      <xdr:col>10</xdr:col>
      <xdr:colOff>598715</xdr:colOff>
      <xdr:row>116</xdr:row>
      <xdr:rowOff>555171</xdr:rowOff>
    </xdr:from>
    <xdr:to>
      <xdr:col>23</xdr:col>
      <xdr:colOff>663547</xdr:colOff>
      <xdr:row>119</xdr:row>
      <xdr:rowOff>655555</xdr:rowOff>
    </xdr:to>
    <xdr:pic>
      <xdr:nvPicPr>
        <xdr:cNvPr id="25" name="Picture 24">
          <a:extLst>
            <a:ext uri="{FF2B5EF4-FFF2-40B4-BE49-F238E27FC236}">
              <a16:creationId xmlns:a16="http://schemas.microsoft.com/office/drawing/2014/main" id="{2709C1B3-0304-C02A-6EC4-877AF44FAED2}"/>
            </a:ext>
          </a:extLst>
        </xdr:cNvPr>
        <xdr:cNvPicPr>
          <a:picLocks noChangeAspect="1"/>
        </xdr:cNvPicPr>
      </xdr:nvPicPr>
      <xdr:blipFill>
        <a:blip xmlns:r="http://schemas.openxmlformats.org/officeDocument/2006/relationships" r:embed="rId17"/>
        <a:stretch>
          <a:fillRect/>
        </a:stretch>
      </xdr:blipFill>
      <xdr:spPr>
        <a:xfrm>
          <a:off x="12954001" y="44609657"/>
          <a:ext cx="6988146" cy="27129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w5naY12BEvkB6oe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71"/>
  <sheetViews>
    <sheetView tabSelected="1" view="pageBreakPreview" topLeftCell="A79" zoomScale="70" zoomScaleNormal="85" zoomScaleSheetLayoutView="70" zoomScalePageLayoutView="70" workbookViewId="0">
      <selection activeCell="I92" sqref="I92"/>
    </sheetView>
  </sheetViews>
  <sheetFormatPr defaultColWidth="9.109375" defaultRowHeight="17.100000000000001" customHeight="1" x14ac:dyDescent="0.3"/>
  <cols>
    <col min="1" max="7" width="17.5546875" style="1" customWidth="1"/>
    <col min="8" max="8" width="17.5546875" style="4" customWidth="1"/>
    <col min="9" max="9" width="27.109375" style="1" customWidth="1"/>
    <col min="10" max="10" width="12" style="1" bestFit="1" customWidth="1"/>
    <col min="11" max="14" width="9.109375" style="1"/>
    <col min="15" max="15" width="16.44140625" style="1" customWidth="1"/>
    <col min="16" max="17" width="9.109375" style="1"/>
    <col min="18" max="18" width="12.109375" style="1" bestFit="1" customWidth="1"/>
    <col min="19" max="19" width="9.109375" style="1"/>
    <col min="20" max="22" width="0" style="1" hidden="1" customWidth="1"/>
    <col min="23" max="23" width="9.109375" style="1"/>
    <col min="24" max="24" width="13.77734375" style="1" bestFit="1" customWidth="1"/>
    <col min="25" max="25" width="9.109375" style="1"/>
    <col min="26" max="26" width="7.88671875" style="1" customWidth="1"/>
    <col min="27" max="16384" width="9.109375" style="1"/>
  </cols>
  <sheetData>
    <row r="1" spans="1:11" ht="21" x14ac:dyDescent="0.3">
      <c r="A1" s="119" t="s">
        <v>38</v>
      </c>
      <c r="B1" s="120"/>
      <c r="C1" s="120"/>
      <c r="D1" s="120"/>
      <c r="E1" s="120"/>
      <c r="F1" s="120"/>
      <c r="G1" s="120"/>
      <c r="H1" s="121"/>
    </row>
    <row r="2" spans="1:11" ht="42" customHeight="1" x14ac:dyDescent="0.3">
      <c r="A2" s="87" t="s">
        <v>10</v>
      </c>
      <c r="B2" s="87"/>
      <c r="C2" s="88" t="s">
        <v>87</v>
      </c>
      <c r="D2" s="88"/>
      <c r="E2" s="87" t="s">
        <v>12</v>
      </c>
      <c r="F2" s="87"/>
      <c r="G2" s="146">
        <v>45904</v>
      </c>
      <c r="H2" s="88"/>
      <c r="J2" s="151"/>
      <c r="K2" s="152"/>
    </row>
    <row r="3" spans="1:11" ht="42.75" customHeight="1" x14ac:dyDescent="0.3">
      <c r="A3" s="87" t="s">
        <v>39</v>
      </c>
      <c r="B3" s="87"/>
      <c r="C3" s="153" t="s">
        <v>308</v>
      </c>
      <c r="D3" s="153"/>
      <c r="E3" s="87" t="s">
        <v>157</v>
      </c>
      <c r="F3" s="87"/>
      <c r="G3" s="146" t="s">
        <v>356</v>
      </c>
      <c r="H3" s="88"/>
    </row>
    <row r="4" spans="1:11" ht="43.5" customHeight="1" x14ac:dyDescent="0.3">
      <c r="A4" s="87" t="s">
        <v>36</v>
      </c>
      <c r="B4" s="87"/>
      <c r="C4" s="88" t="s">
        <v>357</v>
      </c>
      <c r="D4" s="88"/>
      <c r="E4" s="87" t="s">
        <v>33</v>
      </c>
      <c r="F4" s="87"/>
      <c r="G4" s="88" t="str">
        <f ca="1">TEXT(TODAY(),"DD/MM/YYYY")</f>
        <v>06/09/2025</v>
      </c>
      <c r="H4" s="88"/>
    </row>
    <row r="5" spans="1:11" ht="21" x14ac:dyDescent="0.3">
      <c r="A5" s="125" t="s">
        <v>40</v>
      </c>
      <c r="B5" s="125"/>
      <c r="C5" s="125"/>
      <c r="D5" s="125"/>
      <c r="E5" s="125"/>
      <c r="F5" s="125"/>
      <c r="G5" s="125"/>
      <c r="H5" s="125"/>
    </row>
    <row r="6" spans="1:11" ht="43.5" customHeight="1" x14ac:dyDescent="0.3">
      <c r="A6" s="87" t="s">
        <v>29</v>
      </c>
      <c r="B6" s="87"/>
      <c r="C6" s="88" t="s">
        <v>93</v>
      </c>
      <c r="D6" s="88"/>
      <c r="E6" s="87" t="s">
        <v>35</v>
      </c>
      <c r="F6" s="87"/>
      <c r="G6" s="88" t="s">
        <v>307</v>
      </c>
      <c r="H6" s="88"/>
    </row>
    <row r="7" spans="1:11" ht="44.4" customHeight="1" x14ac:dyDescent="0.3">
      <c r="A7" s="87" t="s">
        <v>42</v>
      </c>
      <c r="B7" s="87"/>
      <c r="C7" s="126" t="s">
        <v>309</v>
      </c>
      <c r="D7" s="126"/>
      <c r="E7" s="87" t="s">
        <v>43</v>
      </c>
      <c r="F7" s="87"/>
      <c r="G7" s="126" t="s">
        <v>309</v>
      </c>
      <c r="H7" s="126"/>
    </row>
    <row r="8" spans="1:11" ht="48.75" customHeight="1" x14ac:dyDescent="0.3">
      <c r="A8" s="87" t="s">
        <v>44</v>
      </c>
      <c r="B8" s="87"/>
      <c r="C8" s="88" t="s">
        <v>310</v>
      </c>
      <c r="D8" s="88"/>
      <c r="E8" s="88"/>
      <c r="F8" s="88"/>
      <c r="G8" s="88"/>
      <c r="H8" s="88"/>
    </row>
    <row r="9" spans="1:11" ht="24.6" customHeight="1" x14ac:dyDescent="0.3">
      <c r="A9" s="127" t="s">
        <v>148</v>
      </c>
      <c r="B9" s="36" t="s">
        <v>41</v>
      </c>
      <c r="C9" s="88" t="s">
        <v>311</v>
      </c>
      <c r="D9" s="88"/>
      <c r="E9" s="88"/>
      <c r="F9" s="88"/>
      <c r="G9" s="88"/>
      <c r="H9" s="88"/>
    </row>
    <row r="10" spans="1:11" ht="46.2" customHeight="1" x14ac:dyDescent="0.3">
      <c r="A10" s="127"/>
      <c r="B10" s="36" t="s">
        <v>11</v>
      </c>
      <c r="C10" s="88" t="s">
        <v>312</v>
      </c>
      <c r="D10" s="88"/>
      <c r="E10" s="88"/>
      <c r="F10" s="88"/>
      <c r="G10" s="88"/>
      <c r="H10" s="88"/>
    </row>
    <row r="11" spans="1:11" ht="42" customHeight="1" x14ac:dyDescent="0.3">
      <c r="A11" s="127"/>
      <c r="B11" s="36" t="s">
        <v>5</v>
      </c>
      <c r="C11" s="88" t="s">
        <v>316</v>
      </c>
      <c r="D11" s="88"/>
      <c r="E11" s="88"/>
      <c r="F11" s="88"/>
      <c r="G11" s="88"/>
      <c r="H11" s="88"/>
    </row>
    <row r="12" spans="1:11" ht="40.5" customHeight="1" x14ac:dyDescent="0.3">
      <c r="A12" s="87" t="s">
        <v>34</v>
      </c>
      <c r="B12" s="87"/>
      <c r="C12" s="88" t="s">
        <v>317</v>
      </c>
      <c r="D12" s="88"/>
      <c r="E12" s="88"/>
      <c r="F12" s="88"/>
      <c r="G12" s="88"/>
      <c r="H12" s="88"/>
    </row>
    <row r="13" spans="1:11" ht="20.100000000000001" customHeight="1" x14ac:dyDescent="0.3">
      <c r="A13" s="125" t="s">
        <v>45</v>
      </c>
      <c r="B13" s="125"/>
      <c r="C13" s="125"/>
      <c r="D13" s="125"/>
      <c r="E13" s="125"/>
      <c r="F13" s="125"/>
      <c r="G13" s="125"/>
      <c r="H13" s="125"/>
    </row>
    <row r="14" spans="1:11" ht="41.25" customHeight="1" x14ac:dyDescent="0.3">
      <c r="A14" s="87" t="s">
        <v>27</v>
      </c>
      <c r="B14" s="87" t="s">
        <v>4</v>
      </c>
      <c r="C14" s="88" t="s">
        <v>88</v>
      </c>
      <c r="D14" s="88"/>
      <c r="E14" s="87" t="s">
        <v>46</v>
      </c>
      <c r="F14" s="87" t="s">
        <v>4</v>
      </c>
      <c r="G14" s="88" t="s">
        <v>318</v>
      </c>
      <c r="H14" s="88"/>
    </row>
    <row r="15" spans="1:11" ht="41.25" customHeight="1" x14ac:dyDescent="0.3">
      <c r="A15" s="87" t="s">
        <v>47</v>
      </c>
      <c r="B15" s="87" t="s">
        <v>4</v>
      </c>
      <c r="C15" s="88" t="s">
        <v>319</v>
      </c>
      <c r="D15" s="88"/>
      <c r="E15" s="87" t="s">
        <v>48</v>
      </c>
      <c r="F15" s="87" t="s">
        <v>4</v>
      </c>
      <c r="G15" s="146">
        <v>46477</v>
      </c>
      <c r="H15" s="88"/>
    </row>
    <row r="16" spans="1:11" ht="41.25" customHeight="1" x14ac:dyDescent="0.3">
      <c r="A16" s="87" t="s">
        <v>49</v>
      </c>
      <c r="B16" s="87" t="s">
        <v>4</v>
      </c>
      <c r="C16" s="146">
        <v>45091</v>
      </c>
      <c r="D16" s="88"/>
      <c r="E16" s="87" t="s">
        <v>50</v>
      </c>
      <c r="F16" s="87" t="s">
        <v>4</v>
      </c>
      <c r="G16" s="145">
        <v>45078</v>
      </c>
      <c r="H16" s="88"/>
    </row>
    <row r="17" spans="1:9" ht="41.25" customHeight="1" x14ac:dyDescent="0.3">
      <c r="A17" s="87" t="s">
        <v>51</v>
      </c>
      <c r="B17" s="87" t="s">
        <v>4</v>
      </c>
      <c r="C17" s="146">
        <v>46477</v>
      </c>
      <c r="D17" s="88"/>
      <c r="E17" s="87" t="s">
        <v>52</v>
      </c>
      <c r="F17" s="87" t="s">
        <v>4</v>
      </c>
      <c r="G17" s="88" t="s">
        <v>320</v>
      </c>
      <c r="H17" s="88"/>
    </row>
    <row r="18" spans="1:9" ht="41.25" customHeight="1" x14ac:dyDescent="0.3">
      <c r="A18" s="87" t="s">
        <v>53</v>
      </c>
      <c r="B18" s="87" t="s">
        <v>4</v>
      </c>
      <c r="C18" s="8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88"/>
      <c r="E18" s="87" t="s">
        <v>96</v>
      </c>
      <c r="F18" s="87" t="s">
        <v>4</v>
      </c>
      <c r="G18" s="88">
        <v>4000</v>
      </c>
      <c r="H18" s="88"/>
    </row>
    <row r="19" spans="1:9" ht="41.25" customHeight="1" x14ac:dyDescent="0.3">
      <c r="A19" s="87" t="s">
        <v>54</v>
      </c>
      <c r="B19" s="87" t="s">
        <v>4</v>
      </c>
      <c r="C19" s="118">
        <f>G20/G19</f>
        <v>2.374492684036289</v>
      </c>
      <c r="D19" s="118"/>
      <c r="E19" s="87" t="s">
        <v>241</v>
      </c>
      <c r="F19" s="87" t="s">
        <v>4</v>
      </c>
      <c r="G19" s="88">
        <v>3957.1</v>
      </c>
      <c r="H19" s="88"/>
    </row>
    <row r="20" spans="1:9" ht="41.25" customHeight="1" x14ac:dyDescent="0.3">
      <c r="A20" s="87" t="s">
        <v>94</v>
      </c>
      <c r="B20" s="87" t="s">
        <v>4</v>
      </c>
      <c r="C20" s="88">
        <v>9934.25</v>
      </c>
      <c r="D20" s="88"/>
      <c r="E20" s="87" t="s">
        <v>95</v>
      </c>
      <c r="F20" s="87" t="s">
        <v>4</v>
      </c>
      <c r="G20" s="88">
        <v>9396.1049999999996</v>
      </c>
      <c r="H20" s="88"/>
    </row>
    <row r="21" spans="1:9" ht="44.4" customHeight="1" x14ac:dyDescent="0.3">
      <c r="A21" s="87" t="s">
        <v>56</v>
      </c>
      <c r="B21" s="87" t="s">
        <v>4</v>
      </c>
      <c r="C21" s="88" t="s">
        <v>359</v>
      </c>
      <c r="D21" s="88"/>
      <c r="E21" s="87" t="s">
        <v>55</v>
      </c>
      <c r="F21" s="87" t="s">
        <v>4</v>
      </c>
      <c r="G21" s="88" t="s">
        <v>321</v>
      </c>
      <c r="H21" s="88"/>
      <c r="I21" s="1">
        <f>17+16+18+18+1+6+14+14+4+1+15+13</f>
        <v>137</v>
      </c>
    </row>
    <row r="22" spans="1:9" ht="41.25" customHeight="1" x14ac:dyDescent="0.3">
      <c r="A22" s="87" t="s">
        <v>161</v>
      </c>
      <c r="B22" s="87" t="s">
        <v>4</v>
      </c>
      <c r="C22" s="88" t="s">
        <v>313</v>
      </c>
      <c r="D22" s="88"/>
      <c r="E22" s="87" t="s">
        <v>162</v>
      </c>
      <c r="F22" s="87" t="s">
        <v>4</v>
      </c>
      <c r="G22" s="88" t="s">
        <v>315</v>
      </c>
      <c r="H22" s="88"/>
    </row>
    <row r="23" spans="1:9" ht="21" x14ac:dyDescent="0.3">
      <c r="A23" s="87" t="s">
        <v>159</v>
      </c>
      <c r="B23" s="87" t="s">
        <v>4</v>
      </c>
      <c r="C23" s="147" t="s">
        <v>314</v>
      </c>
      <c r="D23" s="88"/>
      <c r="E23" s="88"/>
      <c r="F23" s="88"/>
      <c r="G23" s="88"/>
      <c r="H23" s="88"/>
    </row>
    <row r="24" spans="1:9" ht="67.8" customHeight="1" x14ac:dyDescent="0.3">
      <c r="A24" s="87" t="s">
        <v>25</v>
      </c>
      <c r="B24" s="87" t="s">
        <v>4</v>
      </c>
      <c r="C24" s="88" t="s">
        <v>322</v>
      </c>
      <c r="D24" s="88"/>
      <c r="E24" s="88"/>
      <c r="F24" s="88"/>
      <c r="G24" s="88"/>
      <c r="H24" s="88"/>
    </row>
    <row r="25" spans="1:9" ht="24" customHeight="1" x14ac:dyDescent="0.3">
      <c r="A25" s="125" t="s">
        <v>20</v>
      </c>
      <c r="B25" s="125"/>
      <c r="C25" s="125"/>
      <c r="D25" s="125"/>
      <c r="E25" s="125"/>
      <c r="F25" s="125"/>
      <c r="G25" s="125"/>
      <c r="H25" s="125"/>
    </row>
    <row r="26" spans="1:9" ht="43.5" customHeight="1" x14ac:dyDescent="0.3">
      <c r="A26" s="87" t="s">
        <v>26</v>
      </c>
      <c r="B26" s="87" t="s">
        <v>4</v>
      </c>
      <c r="C26" s="88" t="str">
        <f>IF(AND(G26="Upper"),"Developed","Developing")</f>
        <v>Developing</v>
      </c>
      <c r="D26" s="88"/>
      <c r="E26" s="87" t="s">
        <v>13</v>
      </c>
      <c r="F26" s="87" t="s">
        <v>4</v>
      </c>
      <c r="G26" s="88" t="s">
        <v>323</v>
      </c>
      <c r="H26" s="88"/>
    </row>
    <row r="27" spans="1:9" ht="43.5" customHeight="1" x14ac:dyDescent="0.3">
      <c r="A27" s="87" t="s">
        <v>14</v>
      </c>
      <c r="B27" s="87" t="s">
        <v>4</v>
      </c>
      <c r="C27" s="88" t="s">
        <v>305</v>
      </c>
      <c r="D27" s="88"/>
      <c r="E27" s="87" t="s">
        <v>149</v>
      </c>
      <c r="F27" s="87" t="s">
        <v>4</v>
      </c>
      <c r="G27" s="88" t="s">
        <v>324</v>
      </c>
      <c r="H27" s="88"/>
    </row>
    <row r="28" spans="1:9" ht="43.5" customHeight="1" x14ac:dyDescent="0.3">
      <c r="A28" s="87" t="s">
        <v>23</v>
      </c>
      <c r="B28" s="87" t="s">
        <v>4</v>
      </c>
      <c r="C28" s="88" t="s">
        <v>98</v>
      </c>
      <c r="D28" s="88"/>
      <c r="E28" s="87" t="s">
        <v>16</v>
      </c>
      <c r="F28" s="87" t="s">
        <v>4</v>
      </c>
      <c r="G28" s="88" t="s">
        <v>325</v>
      </c>
      <c r="H28" s="88"/>
    </row>
    <row r="29" spans="1:9" ht="43.5" customHeight="1" x14ac:dyDescent="0.3">
      <c r="A29" s="87" t="s">
        <v>107</v>
      </c>
      <c r="B29" s="87" t="s">
        <v>4</v>
      </c>
      <c r="C29" s="88" t="s">
        <v>326</v>
      </c>
      <c r="D29" s="88"/>
      <c r="E29" s="87" t="s">
        <v>108</v>
      </c>
      <c r="F29" s="87" t="s">
        <v>4</v>
      </c>
      <c r="G29" s="88" t="s">
        <v>327</v>
      </c>
      <c r="H29" s="88"/>
    </row>
    <row r="30" spans="1:9" ht="84" customHeight="1" x14ac:dyDescent="0.3">
      <c r="A30" s="87" t="s">
        <v>17</v>
      </c>
      <c r="B30" s="87" t="s">
        <v>4</v>
      </c>
      <c r="C30" s="88" t="s">
        <v>328</v>
      </c>
      <c r="D30" s="88"/>
      <c r="E30" s="87" t="s">
        <v>15</v>
      </c>
      <c r="F30" s="87" t="s">
        <v>4</v>
      </c>
      <c r="G30" s="88" t="s">
        <v>329</v>
      </c>
      <c r="H30" s="88"/>
    </row>
    <row r="31" spans="1:9" ht="21" x14ac:dyDescent="0.3">
      <c r="A31" s="87" t="s">
        <v>113</v>
      </c>
      <c r="B31" s="87" t="s">
        <v>4</v>
      </c>
      <c r="C31" s="88" t="s">
        <v>114</v>
      </c>
      <c r="D31" s="88"/>
      <c r="E31" s="87" t="s">
        <v>115</v>
      </c>
      <c r="F31" s="87" t="s">
        <v>4</v>
      </c>
      <c r="G31" s="88" t="s">
        <v>114</v>
      </c>
      <c r="H31" s="88"/>
    </row>
    <row r="32" spans="1:9" ht="21.75" customHeight="1" x14ac:dyDescent="0.3">
      <c r="A32" s="87" t="s">
        <v>116</v>
      </c>
      <c r="B32" s="87" t="s">
        <v>4</v>
      </c>
      <c r="C32" s="88" t="s">
        <v>114</v>
      </c>
      <c r="D32" s="88"/>
      <c r="E32" s="88"/>
      <c r="F32" s="88"/>
      <c r="G32" s="88"/>
      <c r="H32" s="88"/>
    </row>
    <row r="33" spans="1:15" ht="21" x14ac:dyDescent="0.3">
      <c r="A33" s="128" t="s">
        <v>37</v>
      </c>
      <c r="B33" s="128"/>
      <c r="C33" s="128"/>
      <c r="D33" s="128"/>
      <c r="E33" s="128"/>
      <c r="F33" s="128"/>
      <c r="G33" s="128"/>
      <c r="H33" s="128"/>
    </row>
    <row r="34" spans="1:15" ht="43.5" customHeight="1" x14ac:dyDescent="0.3">
      <c r="A34" s="87" t="s">
        <v>18</v>
      </c>
      <c r="B34" s="87"/>
      <c r="C34" s="88" t="s">
        <v>99</v>
      </c>
      <c r="D34" s="88"/>
      <c r="E34" s="87" t="s">
        <v>19</v>
      </c>
      <c r="F34" s="87" t="s">
        <v>4</v>
      </c>
      <c r="G34" s="88" t="s">
        <v>100</v>
      </c>
      <c r="H34" s="88"/>
    </row>
    <row r="35" spans="1:15" ht="43.5" customHeight="1" x14ac:dyDescent="0.3">
      <c r="A35" s="87" t="s">
        <v>22</v>
      </c>
      <c r="B35" s="87"/>
      <c r="C35" s="88" t="s">
        <v>100</v>
      </c>
      <c r="D35" s="88"/>
      <c r="E35" s="87" t="s">
        <v>32</v>
      </c>
      <c r="F35" s="87" t="s">
        <v>4</v>
      </c>
      <c r="G35" s="88" t="s">
        <v>100</v>
      </c>
      <c r="H35" s="88"/>
    </row>
    <row r="36" spans="1:15" ht="21" x14ac:dyDescent="0.3">
      <c r="A36" s="87" t="s">
        <v>31</v>
      </c>
      <c r="B36" s="87"/>
      <c r="C36" s="88" t="s">
        <v>101</v>
      </c>
      <c r="D36" s="88"/>
      <c r="E36" s="87" t="s">
        <v>21</v>
      </c>
      <c r="F36" s="87" t="s">
        <v>4</v>
      </c>
      <c r="G36" s="88" t="s">
        <v>102</v>
      </c>
      <c r="H36" s="88"/>
    </row>
    <row r="37" spans="1:15" ht="21" x14ac:dyDescent="0.3">
      <c r="A37" s="125" t="s">
        <v>0</v>
      </c>
      <c r="B37" s="125"/>
      <c r="C37" s="125"/>
      <c r="D37" s="125"/>
      <c r="E37" s="125"/>
      <c r="F37" s="125"/>
      <c r="G37" s="125"/>
      <c r="H37" s="125"/>
    </row>
    <row r="38" spans="1:15" ht="21" x14ac:dyDescent="0.3">
      <c r="A38" s="104" t="s">
        <v>0</v>
      </c>
      <c r="B38" s="104"/>
      <c r="C38" s="104" t="s">
        <v>227</v>
      </c>
      <c r="D38" s="104"/>
      <c r="E38" s="104"/>
      <c r="F38" s="104" t="s">
        <v>7</v>
      </c>
      <c r="G38" s="104"/>
      <c r="H38" s="104"/>
      <c r="J38" s="155" t="s">
        <v>1</v>
      </c>
      <c r="K38" s="156"/>
      <c r="L38" s="2" t="s">
        <v>6</v>
      </c>
      <c r="M38" s="155" t="s">
        <v>2</v>
      </c>
      <c r="N38" s="156"/>
      <c r="O38" s="2" t="s">
        <v>3</v>
      </c>
    </row>
    <row r="39" spans="1:15" ht="21" x14ac:dyDescent="0.3">
      <c r="A39" s="127" t="s">
        <v>2</v>
      </c>
      <c r="B39" s="127"/>
      <c r="C39" s="154" t="s">
        <v>333</v>
      </c>
      <c r="D39" s="154"/>
      <c r="E39" s="154"/>
      <c r="F39" s="154" t="s">
        <v>334</v>
      </c>
      <c r="G39" s="154"/>
      <c r="H39" s="154"/>
    </row>
    <row r="40" spans="1:15" ht="21" x14ac:dyDescent="0.3">
      <c r="A40" s="127" t="s">
        <v>3</v>
      </c>
      <c r="B40" s="127"/>
      <c r="C40" s="154" t="s">
        <v>331</v>
      </c>
      <c r="D40" s="154"/>
      <c r="E40" s="154"/>
      <c r="F40" s="154" t="s">
        <v>315</v>
      </c>
      <c r="G40" s="154"/>
      <c r="H40" s="154"/>
    </row>
    <row r="41" spans="1:15" ht="21" x14ac:dyDescent="0.3">
      <c r="A41" s="127" t="s">
        <v>1</v>
      </c>
      <c r="B41" s="127"/>
      <c r="C41" s="154" t="s">
        <v>330</v>
      </c>
      <c r="D41" s="154"/>
      <c r="E41" s="154"/>
      <c r="F41" s="154" t="s">
        <v>334</v>
      </c>
      <c r="G41" s="154"/>
      <c r="H41" s="154"/>
    </row>
    <row r="42" spans="1:15" ht="21" x14ac:dyDescent="0.3">
      <c r="A42" s="127" t="s">
        <v>6</v>
      </c>
      <c r="B42" s="127"/>
      <c r="C42" s="154" t="s">
        <v>332</v>
      </c>
      <c r="D42" s="154"/>
      <c r="E42" s="154"/>
      <c r="F42" s="154" t="s">
        <v>335</v>
      </c>
      <c r="G42" s="154"/>
      <c r="H42" s="154"/>
    </row>
    <row r="43" spans="1:15" ht="47.4" customHeight="1" x14ac:dyDescent="0.3">
      <c r="A43" s="87" t="s">
        <v>228</v>
      </c>
      <c r="B43" s="87"/>
      <c r="C43" s="88" t="s">
        <v>98</v>
      </c>
      <c r="D43" s="88"/>
      <c r="E43" s="88"/>
      <c r="F43" s="88"/>
      <c r="G43" s="88"/>
      <c r="H43" s="88"/>
    </row>
    <row r="44" spans="1:15" ht="21" x14ac:dyDescent="0.3">
      <c r="A44" s="125" t="s">
        <v>57</v>
      </c>
      <c r="B44" s="125"/>
      <c r="C44" s="125"/>
      <c r="D44" s="125"/>
      <c r="E44" s="125"/>
      <c r="F44" s="125"/>
      <c r="G44" s="125"/>
      <c r="H44" s="125"/>
    </row>
    <row r="45" spans="1:15" ht="21" customHeight="1" x14ac:dyDescent="0.3">
      <c r="A45" s="104" t="s">
        <v>58</v>
      </c>
      <c r="B45" s="104"/>
      <c r="C45" s="2" t="s">
        <v>59</v>
      </c>
      <c r="D45" s="104" t="s">
        <v>147</v>
      </c>
      <c r="E45" s="104"/>
      <c r="F45" s="104"/>
      <c r="G45" s="104" t="s">
        <v>60</v>
      </c>
      <c r="H45" s="104"/>
    </row>
    <row r="46" spans="1:15" ht="21" x14ac:dyDescent="0.3">
      <c r="A46" s="105" t="s">
        <v>340</v>
      </c>
      <c r="B46" s="105"/>
      <c r="C46" s="35" t="s">
        <v>89</v>
      </c>
      <c r="D46" s="88" t="s">
        <v>336</v>
      </c>
      <c r="E46" s="88"/>
      <c r="F46" s="88"/>
      <c r="G46" s="88" t="s">
        <v>336</v>
      </c>
      <c r="H46" s="88"/>
    </row>
    <row r="47" spans="1:15" ht="21" hidden="1" x14ac:dyDescent="0.3">
      <c r="A47" s="105" t="s">
        <v>302</v>
      </c>
      <c r="B47" s="105"/>
      <c r="C47" s="35" t="s">
        <v>89</v>
      </c>
      <c r="D47" s="88"/>
      <c r="E47" s="88"/>
      <c r="F47" s="88"/>
      <c r="G47" s="88"/>
      <c r="H47" s="88"/>
    </row>
    <row r="48" spans="1:15" ht="21" hidden="1" x14ac:dyDescent="0.3">
      <c r="A48" s="105" t="s">
        <v>303</v>
      </c>
      <c r="B48" s="105"/>
      <c r="C48" s="35" t="s">
        <v>89</v>
      </c>
      <c r="D48" s="88"/>
      <c r="E48" s="88"/>
      <c r="F48" s="88"/>
      <c r="G48" s="88"/>
      <c r="H48" s="88"/>
    </row>
    <row r="49" spans="1:14" ht="21" hidden="1" x14ac:dyDescent="0.3">
      <c r="A49" s="105" t="s">
        <v>304</v>
      </c>
      <c r="B49" s="105"/>
      <c r="C49" s="35" t="s">
        <v>89</v>
      </c>
      <c r="D49" s="88"/>
      <c r="E49" s="88"/>
      <c r="F49" s="88"/>
      <c r="G49" s="88"/>
      <c r="H49" s="88"/>
    </row>
    <row r="50" spans="1:14" ht="21" x14ac:dyDescent="0.3">
      <c r="A50" s="125" t="s">
        <v>61</v>
      </c>
      <c r="B50" s="125"/>
      <c r="C50" s="125"/>
      <c r="D50" s="125"/>
      <c r="E50" s="125"/>
      <c r="F50" s="125"/>
      <c r="G50" s="125"/>
      <c r="H50" s="125"/>
    </row>
    <row r="51" spans="1:14" ht="42.75" customHeight="1" x14ac:dyDescent="0.3">
      <c r="A51" s="87" t="s">
        <v>62</v>
      </c>
      <c r="B51" s="87" t="s">
        <v>4</v>
      </c>
      <c r="C51" s="88" t="s">
        <v>98</v>
      </c>
      <c r="D51" s="88"/>
      <c r="E51" s="88"/>
      <c r="F51" s="88"/>
      <c r="G51" s="88"/>
      <c r="H51" s="88"/>
    </row>
    <row r="52" spans="1:14" ht="21" x14ac:dyDescent="0.3">
      <c r="A52" s="87" t="s">
        <v>63</v>
      </c>
      <c r="B52" s="87" t="s">
        <v>4</v>
      </c>
      <c r="C52" s="88" t="s">
        <v>337</v>
      </c>
      <c r="D52" s="88"/>
      <c r="E52" s="88"/>
      <c r="F52" s="88"/>
      <c r="G52" s="52" t="s">
        <v>229</v>
      </c>
      <c r="H52" s="74">
        <v>45016</v>
      </c>
    </row>
    <row r="53" spans="1:14" ht="21" x14ac:dyDescent="0.3">
      <c r="A53" s="87" t="s">
        <v>64</v>
      </c>
      <c r="B53" s="87" t="s">
        <v>4</v>
      </c>
      <c r="C53" s="88" t="s">
        <v>337</v>
      </c>
      <c r="D53" s="88"/>
      <c r="E53" s="88"/>
      <c r="F53" s="88"/>
      <c r="G53" s="52" t="s">
        <v>229</v>
      </c>
      <c r="H53" s="74">
        <v>45016</v>
      </c>
    </row>
    <row r="54" spans="1:14" ht="21" x14ac:dyDescent="0.3">
      <c r="A54" s="87" t="s">
        <v>242</v>
      </c>
      <c r="B54" s="87"/>
      <c r="C54" s="88" t="s">
        <v>338</v>
      </c>
      <c r="D54" s="88"/>
      <c r="E54" s="88"/>
      <c r="F54" s="88"/>
      <c r="G54" s="52" t="s">
        <v>229</v>
      </c>
      <c r="H54" s="74">
        <v>45016</v>
      </c>
    </row>
    <row r="55" spans="1:14" ht="66.599999999999994" customHeight="1" x14ac:dyDescent="0.3">
      <c r="A55" s="87"/>
      <c r="B55" s="87"/>
      <c r="C55" s="79" t="s">
        <v>339</v>
      </c>
      <c r="D55" s="80"/>
      <c r="E55" s="80"/>
      <c r="F55" s="80"/>
      <c r="G55" s="80"/>
      <c r="H55" s="81"/>
    </row>
    <row r="56" spans="1:14" ht="46.5" hidden="1" customHeight="1" x14ac:dyDescent="0.3">
      <c r="A56" s="87" t="s">
        <v>65</v>
      </c>
      <c r="B56" s="87" t="s">
        <v>4</v>
      </c>
      <c r="C56" s="88"/>
      <c r="D56" s="88"/>
      <c r="E56" s="88"/>
      <c r="F56" s="88"/>
      <c r="G56" s="52" t="s">
        <v>230</v>
      </c>
      <c r="H56" s="37"/>
    </row>
    <row r="57" spans="1:14" ht="45" hidden="1" customHeight="1" x14ac:dyDescent="0.3">
      <c r="A57" s="87" t="s">
        <v>67</v>
      </c>
      <c r="B57" s="87" t="s">
        <v>4</v>
      </c>
      <c r="C57" s="88"/>
      <c r="D57" s="88"/>
      <c r="E57" s="88"/>
      <c r="F57" s="88"/>
      <c r="G57" s="52" t="s">
        <v>230</v>
      </c>
      <c r="H57" s="37"/>
    </row>
    <row r="58" spans="1:14" ht="46.5" hidden="1" customHeight="1" x14ac:dyDescent="0.3">
      <c r="A58" s="87" t="s">
        <v>66</v>
      </c>
      <c r="B58" s="87" t="s">
        <v>4</v>
      </c>
      <c r="C58" s="88"/>
      <c r="D58" s="88"/>
      <c r="E58" s="88"/>
      <c r="F58" s="88"/>
      <c r="G58" s="52" t="s">
        <v>230</v>
      </c>
      <c r="H58" s="37"/>
      <c r="N58" s="73" t="s">
        <v>306</v>
      </c>
    </row>
    <row r="59" spans="1:14" ht="45" hidden="1" customHeight="1" x14ac:dyDescent="0.3">
      <c r="A59" s="87" t="s">
        <v>68</v>
      </c>
      <c r="B59" s="87" t="s">
        <v>4</v>
      </c>
      <c r="C59" s="88"/>
      <c r="D59" s="88"/>
      <c r="E59" s="88"/>
      <c r="F59" s="88"/>
      <c r="G59" s="52" t="s">
        <v>230</v>
      </c>
      <c r="H59" s="37"/>
    </row>
    <row r="60" spans="1:14" ht="21.6" thickBot="1" x14ac:dyDescent="0.35">
      <c r="A60" s="125" t="s">
        <v>69</v>
      </c>
      <c r="B60" s="125"/>
      <c r="C60" s="125"/>
      <c r="D60" s="125"/>
      <c r="E60" s="125"/>
      <c r="F60" s="125"/>
      <c r="G60" s="125"/>
      <c r="H60" s="125"/>
    </row>
    <row r="61" spans="1:14" ht="20.25" customHeight="1" x14ac:dyDescent="0.4">
      <c r="A61" s="106" t="str">
        <f>CONCATENATE((IF(OR(A46="",A46="NA"),"",A46)),"= ",(IF(OR(D46="",D46="NA"),"",D46)),".")</f>
        <v>Building 1= Gr + 1st to 18th Floor.</v>
      </c>
      <c r="B61" s="106"/>
      <c r="C61" s="106"/>
      <c r="D61" s="30" t="s">
        <v>117</v>
      </c>
      <c r="E61" s="160" t="s">
        <v>104</v>
      </c>
      <c r="F61" s="160"/>
      <c r="G61" s="30" t="s">
        <v>118</v>
      </c>
      <c r="H61" s="30" t="s">
        <v>119</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10 Slab, Brickwork upto 3 Floor Completed</v>
      </c>
      <c r="J61" s="18"/>
    </row>
    <row r="62" spans="1:14" ht="21" x14ac:dyDescent="0.4">
      <c r="A62" s="106"/>
      <c r="B62" s="106"/>
      <c r="C62" s="106"/>
      <c r="D62" s="30">
        <f>IF(AND(ISNUMBER(SEARCH("1B",A61))),1,IF(AND(ISNUMBER(SEARCH("2B",A61))),2,IF(AND(ISNUMBER(SEARCH("3B",A61))),3,IF(AND(ISNUMBER(SEARCH("4B",A61))),4,IF(ISNUMBER(SEARCH("5B",A61)),5,0)))))</f>
        <v>0</v>
      </c>
      <c r="E62" s="160">
        <v>1</v>
      </c>
      <c r="F62" s="160"/>
      <c r="G62" s="30">
        <v>0</v>
      </c>
      <c r="H62" s="30">
        <f ca="1">--TRIM(RIGHT(SUBSTITUTE(LEFT(A61,_xlfn.AGGREGATE(16,6,FIND({0,1,2,3,4,5,6,7,8,9},A61,ROW(INDIRECT("1:"&amp;LEN(A61)))),1))," ",REPT(" ",LEN(A61))),LEN(A61)))</f>
        <v>18</v>
      </c>
      <c r="I62" s="17" t="s">
        <v>123</v>
      </c>
      <c r="J62" s="18"/>
    </row>
    <row r="63" spans="1:14" ht="20.25" customHeight="1" x14ac:dyDescent="0.4">
      <c r="A63" s="159" t="s">
        <v>121</v>
      </c>
      <c r="B63" s="159"/>
      <c r="C63" s="28" t="s">
        <v>131</v>
      </c>
      <c r="D63" s="28" t="s">
        <v>132</v>
      </c>
      <c r="E63" s="159" t="s">
        <v>122</v>
      </c>
      <c r="F63" s="159"/>
      <c r="G63" s="29" t="s">
        <v>120</v>
      </c>
      <c r="H63" s="29"/>
      <c r="I63" s="20" t="s">
        <v>133</v>
      </c>
      <c r="J63" s="19">
        <f ca="1">H62*25%</f>
        <v>4.5</v>
      </c>
    </row>
    <row r="64" spans="1:14" ht="20.25" customHeight="1" x14ac:dyDescent="0.4">
      <c r="A64" s="124" t="s">
        <v>134</v>
      </c>
      <c r="B64" s="124"/>
      <c r="C64" s="32">
        <f ca="1">J65</f>
        <v>18</v>
      </c>
      <c r="D64" s="5">
        <f ca="1">((100/H62)*C64)/100</f>
        <v>1</v>
      </c>
      <c r="E64" s="89">
        <f ca="1">(((C64/H62*10)+(C65/H62*15)+(25/(E62+G62+H62)*C66)+(5/(H62)*C67)+(2.5/(H62)*C68)+(2.5/(H62)*C69)+(5/H62*C70)+(10/H62*C71)+(2.5/H62*C72)+(2.5/H62*C73)+(10/H62*C74)+(10/H62*C75))/100)</f>
        <v>0.38991228070175443</v>
      </c>
      <c r="F64" s="90"/>
      <c r="G64" s="124" t="str">
        <f ca="1">I61</f>
        <v>Excavation work Completed. Plinth work completed, RCC upto 10 Slab, Brickwork upto 3 Floor Completed</v>
      </c>
      <c r="H64" s="124"/>
      <c r="I64" s="20" t="s">
        <v>124</v>
      </c>
      <c r="J64" s="24">
        <f ca="1">H62*50%</f>
        <v>9</v>
      </c>
    </row>
    <row r="65" spans="1:11" ht="21" x14ac:dyDescent="0.4">
      <c r="A65" s="124" t="s">
        <v>105</v>
      </c>
      <c r="B65" s="124"/>
      <c r="C65" s="32">
        <f ca="1">J73</f>
        <v>18</v>
      </c>
      <c r="D65" s="5">
        <f ca="1">((100/H62)*C65)/100</f>
        <v>1</v>
      </c>
      <c r="E65" s="91"/>
      <c r="F65" s="92"/>
      <c r="G65" s="124"/>
      <c r="H65" s="124"/>
      <c r="I65" s="20" t="s">
        <v>125</v>
      </c>
      <c r="J65" s="24">
        <f ca="1">H62</f>
        <v>18</v>
      </c>
    </row>
    <row r="66" spans="1:11" ht="21" customHeight="1" x14ac:dyDescent="0.4">
      <c r="A66" s="124" t="s">
        <v>135</v>
      </c>
      <c r="B66" s="124"/>
      <c r="C66" s="30">
        <v>10</v>
      </c>
      <c r="D66" s="5">
        <f ca="1">((100/(E62+G62+H62))*C66)/100</f>
        <v>0.52631578947368429</v>
      </c>
      <c r="E66" s="91"/>
      <c r="F66" s="92"/>
      <c r="G66" s="124"/>
      <c r="H66" s="124"/>
      <c r="I66" s="20" t="s">
        <v>126</v>
      </c>
      <c r="J66" s="25">
        <f ca="1">(IF(D62&gt;1,(H62/(D62+2)),H62*0.2))</f>
        <v>3.6</v>
      </c>
    </row>
    <row r="67" spans="1:11" ht="21" customHeight="1" x14ac:dyDescent="0.4">
      <c r="A67" s="124" t="s">
        <v>136</v>
      </c>
      <c r="B67" s="124"/>
      <c r="C67" s="30">
        <v>3</v>
      </c>
      <c r="D67" s="5">
        <f ca="1">((100/H62)*C67)/100</f>
        <v>0.16666666666666663</v>
      </c>
      <c r="E67" s="91"/>
      <c r="F67" s="92"/>
      <c r="G67" s="124"/>
      <c r="H67" s="124"/>
      <c r="I67" s="20" t="s">
        <v>127</v>
      </c>
      <c r="J67" s="25">
        <f ca="1">(IF(D62&gt;1,(H62/(D62+2)+J66),H62*0.2+J66))</f>
        <v>7.2</v>
      </c>
    </row>
    <row r="68" spans="1:11" ht="21" customHeight="1" x14ac:dyDescent="0.4">
      <c r="A68" s="107" t="s">
        <v>137</v>
      </c>
      <c r="B68" s="108"/>
      <c r="C68" s="30">
        <v>0</v>
      </c>
      <c r="D68" s="5">
        <f ca="1">((100/H62)*C68)/100</f>
        <v>0</v>
      </c>
      <c r="E68" s="91"/>
      <c r="F68" s="92"/>
      <c r="G68" s="124"/>
      <c r="H68" s="124"/>
      <c r="I68" s="20" t="s">
        <v>138</v>
      </c>
      <c r="J68" s="25">
        <f>(IF(D62&gt;1,(H62/(D62+2)+J67),0))</f>
        <v>0</v>
      </c>
    </row>
    <row r="69" spans="1:11" ht="21" customHeight="1" x14ac:dyDescent="0.4">
      <c r="A69" s="107" t="s">
        <v>168</v>
      </c>
      <c r="B69" s="108"/>
      <c r="C69" s="30">
        <v>0</v>
      </c>
      <c r="D69" s="5">
        <f ca="1">((100/H62)*C69)/100</f>
        <v>0</v>
      </c>
      <c r="E69" s="91"/>
      <c r="F69" s="92"/>
      <c r="G69" s="124"/>
      <c r="H69" s="124"/>
      <c r="I69" s="20" t="s">
        <v>139</v>
      </c>
      <c r="J69" s="25">
        <f>(IF(D62&gt;2,(H62/(D62+2)+J68),0))</f>
        <v>0</v>
      </c>
    </row>
    <row r="70" spans="1:11" ht="21" x14ac:dyDescent="0.4">
      <c r="A70" s="107" t="s">
        <v>165</v>
      </c>
      <c r="B70" s="108"/>
      <c r="C70" s="30">
        <v>0</v>
      </c>
      <c r="D70" s="5">
        <f ca="1">((100/(H62))*C70)/100</f>
        <v>0</v>
      </c>
      <c r="E70" s="91"/>
      <c r="F70" s="92"/>
      <c r="G70" s="124"/>
      <c r="H70" s="124"/>
      <c r="I70" s="20" t="s">
        <v>141</v>
      </c>
      <c r="J70" s="26">
        <f>(IF(D62&gt;3,(H62/(D62+2)+J69),0))</f>
        <v>0</v>
      </c>
    </row>
    <row r="71" spans="1:11" ht="21" x14ac:dyDescent="0.4">
      <c r="A71" s="124" t="s">
        <v>140</v>
      </c>
      <c r="B71" s="124"/>
      <c r="C71" s="30">
        <v>0</v>
      </c>
      <c r="D71" s="5">
        <f ca="1">((100/(H62))*C71)/100</f>
        <v>0</v>
      </c>
      <c r="E71" s="91"/>
      <c r="F71" s="92"/>
      <c r="G71" s="124"/>
      <c r="H71" s="124"/>
      <c r="I71" s="20" t="s">
        <v>142</v>
      </c>
      <c r="J71" s="25">
        <f>(IF(D62&gt;4,(H62/(D62+2)+J70),0))</f>
        <v>0</v>
      </c>
    </row>
    <row r="72" spans="1:11" ht="21" customHeight="1" x14ac:dyDescent="0.4">
      <c r="A72" s="124" t="s">
        <v>167</v>
      </c>
      <c r="B72" s="124"/>
      <c r="C72" s="30">
        <v>0</v>
      </c>
      <c r="D72" s="5">
        <f ca="1">((100/H62)*C72)/100</f>
        <v>0</v>
      </c>
      <c r="E72" s="91"/>
      <c r="F72" s="92"/>
      <c r="G72" s="124"/>
      <c r="H72" s="124"/>
      <c r="I72" s="20" t="s">
        <v>128</v>
      </c>
      <c r="J72" s="25">
        <f ca="1">(IF(D62=1,(H62/(D62+3)+J67),IF(D62=0,(H62*0.3+J67),IF(D62&gt;1,0))))</f>
        <v>12.6</v>
      </c>
    </row>
    <row r="73" spans="1:11" ht="21.6" thickBot="1" x14ac:dyDescent="0.45">
      <c r="A73" s="124" t="s">
        <v>166</v>
      </c>
      <c r="B73" s="124"/>
      <c r="C73" s="30">
        <v>0</v>
      </c>
      <c r="D73" s="5">
        <f ca="1">((100/H62)*C73)/100</f>
        <v>0</v>
      </c>
      <c r="E73" s="91"/>
      <c r="F73" s="92"/>
      <c r="G73" s="124"/>
      <c r="H73" s="124"/>
      <c r="I73" s="22" t="s">
        <v>129</v>
      </c>
      <c r="J73" s="27">
        <f ca="1">(IF(D62&gt;1.5,(H62/(D62+2)+J67+MAX(0,J68-J67)+MAX(0,J69-J68)+MAX(0,J70-J69)+MAX(0,J71-J70)+MAX(0,J72-J71)),IF(D62=1,(H62/(D62+3)+J72),IF(D62=0,H62*0.3+J72))))</f>
        <v>18</v>
      </c>
    </row>
    <row r="74" spans="1:11" ht="21" x14ac:dyDescent="0.3">
      <c r="A74" s="124" t="s">
        <v>143</v>
      </c>
      <c r="B74" s="124"/>
      <c r="C74" s="30">
        <v>0</v>
      </c>
      <c r="D74" s="5">
        <f ca="1">((100/(H62))*C74)/100</f>
        <v>0</v>
      </c>
      <c r="E74" s="91"/>
      <c r="F74" s="92"/>
      <c r="G74" s="124"/>
      <c r="H74" s="124"/>
    </row>
    <row r="75" spans="1:11" ht="21" x14ac:dyDescent="0.3">
      <c r="A75" s="124" t="s">
        <v>144</v>
      </c>
      <c r="B75" s="124"/>
      <c r="C75" s="30">
        <v>0</v>
      </c>
      <c r="D75" s="5">
        <f ca="1">((100/(H62))*C75)/100</f>
        <v>0</v>
      </c>
      <c r="E75" s="93"/>
      <c r="F75" s="94"/>
      <c r="G75" s="124"/>
      <c r="H75" s="124"/>
    </row>
    <row r="76" spans="1:11" ht="36.75" customHeight="1" x14ac:dyDescent="0.4">
      <c r="A76" s="95" t="s">
        <v>130</v>
      </c>
      <c r="B76" s="96"/>
      <c r="C76" s="96"/>
      <c r="D76" s="96"/>
      <c r="E76" s="96"/>
      <c r="F76" s="96"/>
      <c r="G76" s="157">
        <f ca="1">AVERAGE(E64)</f>
        <v>0.38991228070175443</v>
      </c>
      <c r="H76" s="158"/>
      <c r="I76" s="20"/>
      <c r="J76" s="21"/>
      <c r="K76" s="21"/>
    </row>
    <row r="77" spans="1:11" ht="21" x14ac:dyDescent="0.3">
      <c r="A77" s="119" t="s">
        <v>73</v>
      </c>
      <c r="B77" s="120"/>
      <c r="C77" s="120"/>
      <c r="D77" s="120"/>
      <c r="E77" s="120"/>
      <c r="F77" s="120"/>
      <c r="G77" s="120"/>
      <c r="H77" s="121"/>
      <c r="K77" s="1" t="s">
        <v>360</v>
      </c>
    </row>
    <row r="78" spans="1:11" ht="54.75" customHeight="1" x14ac:dyDescent="0.3">
      <c r="A78" s="122" t="s">
        <v>74</v>
      </c>
      <c r="B78" s="123"/>
      <c r="C78" s="116" t="s">
        <v>109</v>
      </c>
      <c r="D78" s="117"/>
      <c r="E78" s="122" t="s">
        <v>145</v>
      </c>
      <c r="F78" s="123" t="s">
        <v>4</v>
      </c>
      <c r="G78" s="148" t="s">
        <v>158</v>
      </c>
      <c r="H78" s="148"/>
      <c r="K78" s="1">
        <v>17500</v>
      </c>
    </row>
    <row r="79" spans="1:11" ht="44.25" customHeight="1" x14ac:dyDescent="0.3">
      <c r="A79" s="122" t="s">
        <v>155</v>
      </c>
      <c r="B79" s="123"/>
      <c r="C79" s="116" t="s">
        <v>362</v>
      </c>
      <c r="D79" s="117"/>
      <c r="E79" s="122" t="s">
        <v>156</v>
      </c>
      <c r="F79" s="123" t="s">
        <v>4</v>
      </c>
      <c r="G79" s="88" t="s">
        <v>146</v>
      </c>
      <c r="H79" s="88"/>
    </row>
    <row r="80" spans="1:11" ht="21" x14ac:dyDescent="0.3">
      <c r="A80" s="122" t="s">
        <v>75</v>
      </c>
      <c r="B80" s="123"/>
      <c r="C80" s="79">
        <v>500000</v>
      </c>
      <c r="D80" s="81"/>
      <c r="E80" s="122" t="s">
        <v>103</v>
      </c>
      <c r="F80" s="123" t="s">
        <v>4</v>
      </c>
      <c r="G80" s="116" t="s">
        <v>110</v>
      </c>
      <c r="H80" s="117"/>
    </row>
    <row r="81" spans="1:150 16226:16383" ht="21" x14ac:dyDescent="0.3">
      <c r="A81" s="119" t="s">
        <v>72</v>
      </c>
      <c r="B81" s="120"/>
      <c r="C81" s="120"/>
      <c r="D81" s="120"/>
      <c r="E81" s="120"/>
      <c r="F81" s="120"/>
      <c r="G81" s="120"/>
      <c r="H81" s="121"/>
    </row>
    <row r="82" spans="1:150 16226:16383" ht="20.25" customHeight="1" x14ac:dyDescent="0.3">
      <c r="A82" s="122" t="s">
        <v>8</v>
      </c>
      <c r="B82" s="150"/>
      <c r="C82" s="150"/>
      <c r="D82" s="150"/>
      <c r="E82" s="150"/>
      <c r="F82" s="123"/>
      <c r="G82" s="109">
        <f>8930/10.764</f>
        <v>829.61724266072099</v>
      </c>
      <c r="H82" s="110"/>
    </row>
    <row r="83" spans="1:150 16226:16383" ht="20.25" customHeight="1" x14ac:dyDescent="0.3">
      <c r="A83" s="122" t="s">
        <v>28</v>
      </c>
      <c r="B83" s="150"/>
      <c r="C83" s="150"/>
      <c r="D83" s="150"/>
      <c r="E83" s="150"/>
      <c r="F83" s="123" t="s">
        <v>4</v>
      </c>
      <c r="G83" s="118">
        <f>68200/10.764</f>
        <v>6335.9345968041625</v>
      </c>
      <c r="H83" s="118"/>
    </row>
    <row r="84" spans="1:150 16226:16383" ht="20.25" customHeight="1" x14ac:dyDescent="0.3">
      <c r="A84" s="122" t="s">
        <v>111</v>
      </c>
      <c r="B84" s="150"/>
      <c r="C84" s="150"/>
      <c r="D84" s="150"/>
      <c r="E84" s="150"/>
      <c r="F84" s="123" t="s">
        <v>4</v>
      </c>
      <c r="G84" s="118">
        <f>G82*0.8</f>
        <v>663.69379412857688</v>
      </c>
      <c r="H84" s="118"/>
    </row>
    <row r="85" spans="1:150 16226:16383" ht="21" x14ac:dyDescent="0.3">
      <c r="A85" s="114" t="s">
        <v>243</v>
      </c>
      <c r="B85" s="115"/>
      <c r="C85" s="115"/>
      <c r="D85" s="115"/>
      <c r="E85" s="115"/>
      <c r="F85" s="115"/>
      <c r="G85" s="115"/>
      <c r="H85" s="99"/>
    </row>
    <row r="86" spans="1:150 16226:16383" s="3" customFormat="1" ht="21" x14ac:dyDescent="0.3">
      <c r="A86" s="100" t="s">
        <v>152</v>
      </c>
      <c r="B86" s="101"/>
      <c r="C86" s="100" t="s">
        <v>153</v>
      </c>
      <c r="D86" s="101"/>
      <c r="E86" s="100" t="s">
        <v>151</v>
      </c>
      <c r="F86" s="101"/>
      <c r="G86" s="100" t="s">
        <v>163</v>
      </c>
      <c r="H86" s="10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3" customFormat="1" ht="21" x14ac:dyDescent="0.3">
      <c r="A87" s="102" t="s">
        <v>353</v>
      </c>
      <c r="B87" s="103"/>
      <c r="C87" s="102" t="s">
        <v>89</v>
      </c>
      <c r="D87" s="103"/>
      <c r="E87" s="102">
        <f>COUNT(E97:E109)</f>
        <v>13</v>
      </c>
      <c r="F87" s="103"/>
      <c r="G87" s="102">
        <f>SUM(H97:H109)</f>
        <v>4484.0671199999997</v>
      </c>
      <c r="H87" s="103"/>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1" x14ac:dyDescent="0.3">
      <c r="A88" s="102" t="s">
        <v>354</v>
      </c>
      <c r="B88" s="103"/>
      <c r="C88" s="102" t="s">
        <v>89</v>
      </c>
      <c r="D88" s="103"/>
      <c r="E88" s="102">
        <f>COUNT(E110:E120)</f>
        <v>11</v>
      </c>
      <c r="F88" s="103"/>
      <c r="G88" s="102">
        <f>SUM(H110:H120)</f>
        <v>7074.8542800000014</v>
      </c>
      <c r="H88" s="103"/>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1" x14ac:dyDescent="0.3">
      <c r="A89" s="100" t="s">
        <v>154</v>
      </c>
      <c r="B89" s="101"/>
      <c r="C89" s="100" t="s">
        <v>97</v>
      </c>
      <c r="D89" s="101"/>
      <c r="E89" s="100">
        <f>SUM(E87:F88)</f>
        <v>24</v>
      </c>
      <c r="F89" s="101"/>
      <c r="G89" s="100">
        <f>SUM(G87:H88)</f>
        <v>11558.921400000001</v>
      </c>
      <c r="H89" s="101">
        <f>SUM(H87:H88)</f>
        <v>0</v>
      </c>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ht="21" x14ac:dyDescent="0.3">
      <c r="A90" s="114" t="s">
        <v>231</v>
      </c>
      <c r="B90" s="115"/>
      <c r="C90" s="115"/>
      <c r="D90" s="115"/>
      <c r="E90" s="115"/>
      <c r="F90" s="115"/>
      <c r="G90" s="115"/>
      <c r="H90" s="99"/>
    </row>
    <row r="91" spans="1:150 16226:16383" s="3" customFormat="1" ht="21" x14ac:dyDescent="0.3">
      <c r="A91" s="100" t="s">
        <v>152</v>
      </c>
      <c r="B91" s="101"/>
      <c r="C91" s="100" t="s">
        <v>153</v>
      </c>
      <c r="D91" s="101"/>
      <c r="E91" s="100" t="s">
        <v>151</v>
      </c>
      <c r="F91" s="101"/>
      <c r="G91" s="100" t="s">
        <v>163</v>
      </c>
      <c r="H91" s="10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1" x14ac:dyDescent="0.3">
      <c r="A92" s="102" t="s">
        <v>355</v>
      </c>
      <c r="B92" s="103"/>
      <c r="C92" s="102" t="s">
        <v>89</v>
      </c>
      <c r="D92" s="103"/>
      <c r="E92" s="102">
        <f>COUNT(E124:E131)*13+COUNT(E133:E134,E136:E140)*3</f>
        <v>125</v>
      </c>
      <c r="F92" s="103"/>
      <c r="G92" s="102">
        <f>SUM(H124:H131)*13+SUM(H133:H134,H136:H140)*3</f>
        <v>72781.437221999979</v>
      </c>
      <c r="H92" s="103"/>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1" x14ac:dyDescent="0.3">
      <c r="A93" s="100" t="s">
        <v>244</v>
      </c>
      <c r="B93" s="101"/>
      <c r="C93" s="100" t="s">
        <v>97</v>
      </c>
      <c r="D93" s="101"/>
      <c r="E93" s="100">
        <f>E89+E92</f>
        <v>149</v>
      </c>
      <c r="F93" s="101"/>
      <c r="G93" s="100">
        <f>G89+G92</f>
        <v>84340.358621999985</v>
      </c>
      <c r="H93" s="10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ht="21" x14ac:dyDescent="0.3">
      <c r="A94" s="97" t="s">
        <v>150</v>
      </c>
      <c r="B94" s="98"/>
      <c r="C94" s="98"/>
      <c r="D94" s="98"/>
      <c r="E94" s="98"/>
      <c r="F94" s="98"/>
      <c r="G94" s="98"/>
      <c r="H94" s="99"/>
    </row>
    <row r="95" spans="1:150 16226:16383" ht="66" customHeight="1" x14ac:dyDescent="0.3">
      <c r="A95" s="53" t="s">
        <v>232</v>
      </c>
      <c r="B95" s="31" t="s">
        <v>233</v>
      </c>
      <c r="C95" s="34" t="s">
        <v>234</v>
      </c>
      <c r="D95" s="31" t="s">
        <v>90</v>
      </c>
      <c r="E95" s="31" t="s">
        <v>164</v>
      </c>
      <c r="F95" s="34" t="s">
        <v>351</v>
      </c>
      <c r="G95" s="31" t="s">
        <v>92</v>
      </c>
      <c r="H95" s="31" t="s">
        <v>91</v>
      </c>
    </row>
    <row r="96" spans="1:150 16226:16383" s="3" customFormat="1" ht="21" x14ac:dyDescent="0.3">
      <c r="A96" s="111" t="s">
        <v>341</v>
      </c>
      <c r="B96" s="112"/>
      <c r="C96" s="112"/>
      <c r="D96" s="112"/>
      <c r="E96" s="112"/>
      <c r="F96" s="112"/>
      <c r="G96" s="112"/>
      <c r="H96" s="113"/>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1" x14ac:dyDescent="0.3">
      <c r="A97" s="75">
        <v>1</v>
      </c>
      <c r="B97" s="75"/>
      <c r="C97" s="54" t="s">
        <v>89</v>
      </c>
      <c r="D97" s="54" t="s">
        <v>342</v>
      </c>
      <c r="E97" s="33">
        <f t="shared" ref="E97:E106" si="0">(31.5)*10.764</f>
        <v>339.06599999999997</v>
      </c>
      <c r="F97" s="6">
        <v>0</v>
      </c>
      <c r="G97" s="6">
        <v>0</v>
      </c>
      <c r="H97" s="6">
        <f>E97+F97+(IF(G97&lt;101,G97,IF(G97&lt;201,G97/2,IF(G97&lt;=301,G97/3,G97/4))))</f>
        <v>339.06599999999997</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1" x14ac:dyDescent="0.3">
      <c r="A98" s="82">
        <f>A97+1</f>
        <v>2</v>
      </c>
      <c r="B98" s="83"/>
      <c r="C98" s="54" t="s">
        <v>89</v>
      </c>
      <c r="D98" s="54" t="s">
        <v>342</v>
      </c>
      <c r="E98" s="33">
        <f t="shared" si="0"/>
        <v>339.06599999999997</v>
      </c>
      <c r="F98" s="6">
        <v>0</v>
      </c>
      <c r="G98" s="6">
        <v>0</v>
      </c>
      <c r="H98" s="6">
        <f t="shared" ref="H98:H104" si="1">E98+F98+(IF(G98&lt;101,G98,IF(G98&lt;201,G98/2,IF(G98&lt;=301,G98/3,G98/4))))</f>
        <v>339.06599999999997</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1" x14ac:dyDescent="0.3">
      <c r="A99" s="82">
        <f t="shared" ref="A99:A120" si="2">A98+1</f>
        <v>3</v>
      </c>
      <c r="B99" s="83"/>
      <c r="C99" s="54" t="s">
        <v>89</v>
      </c>
      <c r="D99" s="54" t="s">
        <v>342</v>
      </c>
      <c r="E99" s="33">
        <f t="shared" si="0"/>
        <v>339.06599999999997</v>
      </c>
      <c r="F99" s="6">
        <v>0</v>
      </c>
      <c r="G99" s="6">
        <v>0</v>
      </c>
      <c r="H99" s="6">
        <f t="shared" si="1"/>
        <v>339.06599999999997</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3">
      <c r="A100" s="82">
        <f t="shared" si="2"/>
        <v>4</v>
      </c>
      <c r="B100" s="83"/>
      <c r="C100" s="54" t="s">
        <v>89</v>
      </c>
      <c r="D100" s="54" t="s">
        <v>342</v>
      </c>
      <c r="E100" s="33">
        <f t="shared" si="0"/>
        <v>339.06599999999997</v>
      </c>
      <c r="F100" s="6">
        <v>0</v>
      </c>
      <c r="G100" s="6">
        <v>0</v>
      </c>
      <c r="H100" s="6">
        <f t="shared" si="1"/>
        <v>339.06599999999997</v>
      </c>
      <c r="I100" s="1"/>
      <c r="J100" s="1">
        <f>3.15*10</f>
        <v>31.5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3">
      <c r="A101" s="82">
        <f t="shared" si="2"/>
        <v>5</v>
      </c>
      <c r="B101" s="83"/>
      <c r="C101" s="54" t="s">
        <v>89</v>
      </c>
      <c r="D101" s="54" t="s">
        <v>342</v>
      </c>
      <c r="E101" s="33">
        <f t="shared" si="0"/>
        <v>339.06599999999997</v>
      </c>
      <c r="F101" s="6">
        <v>0</v>
      </c>
      <c r="G101" s="6">
        <v>0</v>
      </c>
      <c r="H101" s="6">
        <f t="shared" si="1"/>
        <v>339.06599999999997</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3">
      <c r="A102" s="82">
        <f t="shared" si="2"/>
        <v>6</v>
      </c>
      <c r="B102" s="83"/>
      <c r="C102" s="54" t="s">
        <v>89</v>
      </c>
      <c r="D102" s="54" t="s">
        <v>342</v>
      </c>
      <c r="E102" s="33">
        <f t="shared" si="0"/>
        <v>339.06599999999997</v>
      </c>
      <c r="F102" s="6">
        <v>0</v>
      </c>
      <c r="G102" s="6">
        <v>0</v>
      </c>
      <c r="H102" s="6">
        <f t="shared" si="1"/>
        <v>339.06599999999997</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customHeight="1" x14ac:dyDescent="0.3">
      <c r="A103" s="82">
        <f t="shared" si="2"/>
        <v>7</v>
      </c>
      <c r="B103" s="83"/>
      <c r="C103" s="54" t="s">
        <v>89</v>
      </c>
      <c r="D103" s="54" t="s">
        <v>342</v>
      </c>
      <c r="E103" s="33">
        <f t="shared" si="0"/>
        <v>339.06599999999997</v>
      </c>
      <c r="F103" s="6">
        <v>0</v>
      </c>
      <c r="G103" s="6">
        <v>0</v>
      </c>
      <c r="H103" s="6">
        <f t="shared" si="1"/>
        <v>339.06599999999997</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3">
      <c r="A104" s="82">
        <f t="shared" si="2"/>
        <v>8</v>
      </c>
      <c r="B104" s="83"/>
      <c r="C104" s="54" t="s">
        <v>89</v>
      </c>
      <c r="D104" s="54" t="s">
        <v>342</v>
      </c>
      <c r="E104" s="33">
        <f t="shared" si="0"/>
        <v>339.06599999999997</v>
      </c>
      <c r="F104" s="6">
        <v>0</v>
      </c>
      <c r="G104" s="6">
        <v>0</v>
      </c>
      <c r="H104" s="6">
        <f t="shared" si="1"/>
        <v>339.06599999999997</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3">
      <c r="A105" s="82">
        <f t="shared" si="2"/>
        <v>9</v>
      </c>
      <c r="B105" s="83"/>
      <c r="C105" s="54" t="s">
        <v>89</v>
      </c>
      <c r="D105" s="54" t="s">
        <v>342</v>
      </c>
      <c r="E105" s="33">
        <f t="shared" si="0"/>
        <v>339.06599999999997</v>
      </c>
      <c r="F105" s="6">
        <v>0</v>
      </c>
      <c r="G105" s="6">
        <v>0</v>
      </c>
      <c r="H105" s="6">
        <f t="shared" ref="H105:H118" si="3">E105+F105+(IF(G105&lt;101,G105,IF(G105&lt;201,G105/2,IF(G105&lt;=301,G105/3,G105/4))))</f>
        <v>339.06599999999997</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3">
      <c r="A106" s="82">
        <f t="shared" si="2"/>
        <v>10</v>
      </c>
      <c r="B106" s="83"/>
      <c r="C106" s="54" t="s">
        <v>89</v>
      </c>
      <c r="D106" s="54" t="s">
        <v>342</v>
      </c>
      <c r="E106" s="33">
        <f t="shared" si="0"/>
        <v>339.06599999999997</v>
      </c>
      <c r="F106" s="6">
        <v>0</v>
      </c>
      <c r="G106" s="6">
        <v>0</v>
      </c>
      <c r="H106" s="6">
        <f t="shared" si="3"/>
        <v>339.06599999999997</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3">
      <c r="A107" s="82">
        <f t="shared" si="2"/>
        <v>11</v>
      </c>
      <c r="B107" s="83"/>
      <c r="C107" s="54" t="s">
        <v>89</v>
      </c>
      <c r="D107" s="54" t="s">
        <v>342</v>
      </c>
      <c r="E107" s="33">
        <f>(29.27)*10.764</f>
        <v>315.06227999999999</v>
      </c>
      <c r="F107" s="6">
        <v>0</v>
      </c>
      <c r="G107" s="6">
        <v>0</v>
      </c>
      <c r="H107" s="6">
        <f t="shared" si="3"/>
        <v>315.06227999999999</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3">
      <c r="A108" s="82">
        <f t="shared" si="2"/>
        <v>12</v>
      </c>
      <c r="B108" s="83"/>
      <c r="C108" s="54" t="s">
        <v>89</v>
      </c>
      <c r="D108" s="54" t="s">
        <v>342</v>
      </c>
      <c r="E108" s="33">
        <f>(33.48)*10.764</f>
        <v>360.37871999999993</v>
      </c>
      <c r="F108" s="6">
        <v>0</v>
      </c>
      <c r="G108" s="6">
        <v>0</v>
      </c>
      <c r="H108" s="6">
        <f t="shared" si="3"/>
        <v>360.37871999999993</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customHeight="1" x14ac:dyDescent="0.3">
      <c r="A109" s="82">
        <f t="shared" si="2"/>
        <v>13</v>
      </c>
      <c r="B109" s="83"/>
      <c r="C109" s="54" t="s">
        <v>89</v>
      </c>
      <c r="D109" s="54" t="s">
        <v>342</v>
      </c>
      <c r="E109" s="33">
        <f>(38.83)*10.764</f>
        <v>417.96611999999993</v>
      </c>
      <c r="F109" s="6">
        <v>0</v>
      </c>
      <c r="G109" s="6">
        <v>0</v>
      </c>
      <c r="H109" s="6">
        <f t="shared" si="3"/>
        <v>417.96611999999993</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68.400000000000006" customHeight="1" x14ac:dyDescent="0.3">
      <c r="A110" s="82">
        <f t="shared" si="2"/>
        <v>14</v>
      </c>
      <c r="B110" s="83"/>
      <c r="C110" s="54" t="s">
        <v>89</v>
      </c>
      <c r="D110" s="54" t="s">
        <v>343</v>
      </c>
      <c r="E110" s="33">
        <f>(153.27)*10.764</f>
        <v>1649.79828</v>
      </c>
      <c r="F110" s="6">
        <v>0</v>
      </c>
      <c r="G110" s="6">
        <v>0</v>
      </c>
      <c r="H110" s="6">
        <f t="shared" si="3"/>
        <v>1649.79828</v>
      </c>
      <c r="I110" s="1"/>
      <c r="J110" s="1">
        <f>9.636*8*2</f>
        <v>154.17599999999999</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68.400000000000006" customHeight="1" x14ac:dyDescent="0.3">
      <c r="A111" s="82">
        <f t="shared" si="2"/>
        <v>15</v>
      </c>
      <c r="B111" s="83"/>
      <c r="C111" s="54" t="s">
        <v>89</v>
      </c>
      <c r="D111" s="54" t="s">
        <v>343</v>
      </c>
      <c r="E111" s="33">
        <f t="shared" ref="E111:E120" si="4">(50.4)*10.764</f>
        <v>542.50559999999996</v>
      </c>
      <c r="F111" s="6">
        <v>0</v>
      </c>
      <c r="G111" s="6">
        <v>0</v>
      </c>
      <c r="H111" s="6">
        <f t="shared" si="3"/>
        <v>542.50559999999996</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68.400000000000006" customHeight="1" x14ac:dyDescent="0.3">
      <c r="A112" s="82">
        <f t="shared" si="2"/>
        <v>16</v>
      </c>
      <c r="B112" s="83"/>
      <c r="C112" s="54" t="s">
        <v>89</v>
      </c>
      <c r="D112" s="54" t="s">
        <v>343</v>
      </c>
      <c r="E112" s="33">
        <f t="shared" si="4"/>
        <v>542.50559999999996</v>
      </c>
      <c r="F112" s="6">
        <v>0</v>
      </c>
      <c r="G112" s="6">
        <v>0</v>
      </c>
      <c r="H112" s="6">
        <f t="shared" si="3"/>
        <v>542.50559999999996</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68.400000000000006" customHeight="1" x14ac:dyDescent="0.3">
      <c r="A113" s="82">
        <f t="shared" si="2"/>
        <v>17</v>
      </c>
      <c r="B113" s="83"/>
      <c r="C113" s="54" t="s">
        <v>89</v>
      </c>
      <c r="D113" s="54" t="s">
        <v>343</v>
      </c>
      <c r="E113" s="33">
        <f t="shared" si="4"/>
        <v>542.50559999999996</v>
      </c>
      <c r="F113" s="6">
        <v>0</v>
      </c>
      <c r="G113" s="6">
        <v>0</v>
      </c>
      <c r="H113" s="6">
        <f t="shared" si="3"/>
        <v>542.50559999999996</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68.400000000000006" customHeight="1" x14ac:dyDescent="0.3">
      <c r="A114" s="82">
        <f t="shared" si="2"/>
        <v>18</v>
      </c>
      <c r="B114" s="83"/>
      <c r="C114" s="54" t="s">
        <v>89</v>
      </c>
      <c r="D114" s="54" t="s">
        <v>343</v>
      </c>
      <c r="E114" s="33">
        <f t="shared" si="4"/>
        <v>542.50559999999996</v>
      </c>
      <c r="F114" s="6">
        <v>0</v>
      </c>
      <c r="G114" s="6">
        <v>0</v>
      </c>
      <c r="H114" s="6">
        <f t="shared" si="3"/>
        <v>542.50559999999996</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68.400000000000006" customHeight="1" x14ac:dyDescent="0.3">
      <c r="A115" s="82">
        <f t="shared" si="2"/>
        <v>19</v>
      </c>
      <c r="B115" s="83"/>
      <c r="C115" s="54" t="s">
        <v>89</v>
      </c>
      <c r="D115" s="54" t="s">
        <v>343</v>
      </c>
      <c r="E115" s="33">
        <f t="shared" si="4"/>
        <v>542.50559999999996</v>
      </c>
      <c r="F115" s="6">
        <v>0</v>
      </c>
      <c r="G115" s="6">
        <v>0</v>
      </c>
      <c r="H115" s="6">
        <f t="shared" si="3"/>
        <v>542.50559999999996</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68.400000000000006" customHeight="1" x14ac:dyDescent="0.3">
      <c r="A116" s="82">
        <f t="shared" si="2"/>
        <v>20</v>
      </c>
      <c r="B116" s="83"/>
      <c r="C116" s="54" t="s">
        <v>89</v>
      </c>
      <c r="D116" s="54" t="s">
        <v>343</v>
      </c>
      <c r="E116" s="33">
        <f t="shared" si="4"/>
        <v>542.50559999999996</v>
      </c>
      <c r="F116" s="6">
        <v>0</v>
      </c>
      <c r="G116" s="6">
        <v>0</v>
      </c>
      <c r="H116" s="6">
        <f t="shared" si="3"/>
        <v>542.50559999999996</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68.400000000000006" customHeight="1" x14ac:dyDescent="0.3">
      <c r="A117" s="82">
        <f t="shared" si="2"/>
        <v>21</v>
      </c>
      <c r="B117" s="83"/>
      <c r="C117" s="54" t="s">
        <v>89</v>
      </c>
      <c r="D117" s="54" t="s">
        <v>343</v>
      </c>
      <c r="E117" s="33">
        <f t="shared" si="4"/>
        <v>542.50559999999996</v>
      </c>
      <c r="F117" s="6">
        <v>0</v>
      </c>
      <c r="G117" s="6">
        <v>0</v>
      </c>
      <c r="H117" s="6">
        <f t="shared" si="3"/>
        <v>542.50559999999996</v>
      </c>
      <c r="I117" s="1"/>
      <c r="J117" s="1"/>
      <c r="K117" s="1"/>
      <c r="L117" s="1"/>
      <c r="M117" s="1"/>
      <c r="N117" s="1"/>
      <c r="O117" s="1" t="s">
        <v>366</v>
      </c>
      <c r="P117" s="1">
        <v>14400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68.400000000000006" customHeight="1" x14ac:dyDescent="0.3">
      <c r="A118" s="82">
        <f t="shared" si="2"/>
        <v>22</v>
      </c>
      <c r="B118" s="83"/>
      <c r="C118" s="54" t="s">
        <v>89</v>
      </c>
      <c r="D118" s="54" t="s">
        <v>343</v>
      </c>
      <c r="E118" s="33">
        <f t="shared" si="4"/>
        <v>542.50559999999996</v>
      </c>
      <c r="F118" s="6">
        <v>0</v>
      </c>
      <c r="G118" s="6">
        <v>0</v>
      </c>
      <c r="H118" s="6">
        <f t="shared" si="3"/>
        <v>542.50559999999996</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68.400000000000006" customHeight="1" x14ac:dyDescent="0.3">
      <c r="A119" s="82">
        <f t="shared" si="2"/>
        <v>23</v>
      </c>
      <c r="B119" s="83"/>
      <c r="C119" s="54" t="s">
        <v>89</v>
      </c>
      <c r="D119" s="54" t="s">
        <v>343</v>
      </c>
      <c r="E119" s="33">
        <f t="shared" si="4"/>
        <v>542.50559999999996</v>
      </c>
      <c r="F119" s="6">
        <v>0</v>
      </c>
      <c r="G119" s="6">
        <v>0</v>
      </c>
      <c r="H119" s="6">
        <f t="shared" ref="H119:H120" si="5">E119+F119+(IF(G119&lt;101,G119,IF(G119&lt;201,G119/2,IF(G119&lt;=301,G119/3,G119/4))))</f>
        <v>542.50559999999996</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68.400000000000006" customHeight="1" x14ac:dyDescent="0.3">
      <c r="A120" s="82">
        <f t="shared" si="2"/>
        <v>24</v>
      </c>
      <c r="B120" s="83"/>
      <c r="C120" s="54" t="s">
        <v>89</v>
      </c>
      <c r="D120" s="54" t="s">
        <v>343</v>
      </c>
      <c r="E120" s="33">
        <f t="shared" si="4"/>
        <v>542.50559999999996</v>
      </c>
      <c r="F120" s="6">
        <v>0</v>
      </c>
      <c r="G120" s="6">
        <v>0</v>
      </c>
      <c r="H120" s="6">
        <f t="shared" si="5"/>
        <v>542.50559999999996</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x14ac:dyDescent="0.3">
      <c r="A121" s="84" t="s">
        <v>344</v>
      </c>
      <c r="B121" s="85"/>
      <c r="C121" s="85"/>
      <c r="D121" s="85"/>
      <c r="E121" s="85"/>
      <c r="F121" s="85"/>
      <c r="G121" s="85"/>
      <c r="H121" s="86"/>
      <c r="I121" s="1">
        <v>1</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1" x14ac:dyDescent="0.3">
      <c r="A122" s="84" t="s">
        <v>345</v>
      </c>
      <c r="B122" s="85"/>
      <c r="C122" s="85"/>
      <c r="D122" s="85"/>
      <c r="E122" s="85"/>
      <c r="F122" s="85"/>
      <c r="G122" s="85"/>
      <c r="H122" s="86"/>
      <c r="I122" s="1">
        <v>1</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1" x14ac:dyDescent="0.3">
      <c r="A123" s="84" t="s">
        <v>348</v>
      </c>
      <c r="B123" s="85"/>
      <c r="C123" s="85"/>
      <c r="D123" s="85"/>
      <c r="E123" s="85"/>
      <c r="F123" s="85"/>
      <c r="G123" s="85"/>
      <c r="H123" s="86"/>
      <c r="I123" s="1">
        <f>5+4+4</f>
        <v>13</v>
      </c>
      <c r="J123" s="1"/>
      <c r="K123" s="1"/>
      <c r="L123" s="1"/>
      <c r="M123" s="1"/>
      <c r="N123" s="1"/>
      <c r="O123" s="1" t="s">
        <v>365</v>
      </c>
      <c r="P123" s="1"/>
      <c r="Q123" s="1"/>
      <c r="R123" s="1" t="s">
        <v>364</v>
      </c>
      <c r="S123" s="1"/>
      <c r="T123" s="1"/>
      <c r="U123" s="1"/>
      <c r="V123" s="1"/>
      <c r="W123" s="1"/>
      <c r="X123" s="1" t="s">
        <v>363</v>
      </c>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3">
      <c r="A124" s="75">
        <v>1</v>
      </c>
      <c r="B124" s="75"/>
      <c r="C124" s="54" t="s">
        <v>89</v>
      </c>
      <c r="D124" s="54" t="s">
        <v>346</v>
      </c>
      <c r="E124" s="33">
        <f>(56.283)*10.764</f>
        <v>605.83021199999996</v>
      </c>
      <c r="F124" s="33">
        <f>(3.78+0.75*(2.15+3.05+3.05))*10.764</f>
        <v>107.29016999999999</v>
      </c>
      <c r="G124" s="6">
        <v>0</v>
      </c>
      <c r="H124" s="6">
        <f>E124+F124+(IF(G124&lt;101,G124,IF(G124&lt;201,G124/2,IF(G124&lt;=301,G124/3,G124/4))))</f>
        <v>713.12038199999995</v>
      </c>
      <c r="I124" s="1"/>
      <c r="J124" s="1">
        <f>3.05*4.85+2.15*2.9+3.05*2.9+3.05*3.15+2.1*1.2+1.2*2.1+1.5*3.4+0.9*1.2+0.8*2.5</f>
        <v>52.7</v>
      </c>
      <c r="K124" s="1">
        <f>3.15*1.2</f>
        <v>3.78</v>
      </c>
      <c r="L124" s="1"/>
      <c r="M124" s="1"/>
      <c r="N124" s="1"/>
      <c r="O124" s="1">
        <v>12500000</v>
      </c>
      <c r="P124" s="1">
        <f>O124/H124</f>
        <v>17528.597296494045</v>
      </c>
      <c r="Q124" s="1"/>
      <c r="R124" s="1">
        <v>8550000</v>
      </c>
      <c r="S124" s="1">
        <f>R124/H124</f>
        <v>11989.560550801927</v>
      </c>
      <c r="T124" s="23" t="str">
        <f t="shared" ref="T124:T131" ca="1" si="6">U124&amp;""&amp;",..,"&amp;""&amp;V124</f>
        <v>301,..,1701</v>
      </c>
      <c r="U124" s="23">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301</v>
      </c>
      <c r="V124" s="23">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1701</v>
      </c>
      <c r="W124" s="1"/>
      <c r="X124" s="1">
        <v>10800000</v>
      </c>
      <c r="Y124" s="1">
        <f>X124/H124</f>
        <v>15144.708064170854</v>
      </c>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3">
      <c r="A125" s="75">
        <f>A124+1</f>
        <v>2</v>
      </c>
      <c r="B125" s="75"/>
      <c r="C125" s="54" t="s">
        <v>89</v>
      </c>
      <c r="D125" s="54" t="s">
        <v>346</v>
      </c>
      <c r="E125" s="33">
        <f>(56.283)*10.764</f>
        <v>605.83021199999996</v>
      </c>
      <c r="F125" s="33">
        <f>(3.78+0.75*(2.15+3.05+3.05))*10.764</f>
        <v>107.29016999999999</v>
      </c>
      <c r="G125" s="6">
        <v>0</v>
      </c>
      <c r="H125" s="6">
        <f t="shared" ref="H125:H131" si="7">E125+F125+(IF(G125&lt;101,G125,IF(G125&lt;201,G125/2,IF(G125&lt;=301,G125/3,G125/4))))</f>
        <v>713.12038199999995</v>
      </c>
      <c r="I125" s="1"/>
      <c r="J125" s="1"/>
      <c r="K125" s="1"/>
      <c r="L125" s="1"/>
      <c r="M125" s="1"/>
      <c r="N125" s="1"/>
      <c r="O125" s="1"/>
      <c r="P125" s="1"/>
      <c r="Q125" s="1"/>
      <c r="R125" s="1"/>
      <c r="S125" s="1"/>
      <c r="T125" s="23" t="str">
        <f t="shared" ca="1" si="6"/>
        <v>302,..,1702</v>
      </c>
      <c r="U125" s="23">
        <f ca="1">U124+1</f>
        <v>302</v>
      </c>
      <c r="V125" s="23">
        <f ca="1">V124+1</f>
        <v>1702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3">
      <c r="A126" s="75">
        <f t="shared" ref="A126:A131" si="8">A125+1</f>
        <v>3</v>
      </c>
      <c r="B126" s="75"/>
      <c r="C126" s="54" t="s">
        <v>89</v>
      </c>
      <c r="D126" s="54" t="s">
        <v>347</v>
      </c>
      <c r="E126" s="33">
        <f>(37.641)*10.764</f>
        <v>405.16772399999996</v>
      </c>
      <c r="F126" s="33">
        <f>(4.387+0.75*(3.35+2.1))*10.764</f>
        <v>91.219517999999979</v>
      </c>
      <c r="G126" s="6">
        <v>0</v>
      </c>
      <c r="H126" s="6">
        <f t="shared" si="7"/>
        <v>496.38724199999996</v>
      </c>
      <c r="I126" s="1"/>
      <c r="J126" s="1"/>
      <c r="K126" s="1"/>
      <c r="L126" s="33">
        <v>10.763999999999999</v>
      </c>
      <c r="M126" s="1"/>
      <c r="N126" s="1"/>
      <c r="O126" s="1">
        <v>8600000</v>
      </c>
      <c r="P126" s="1">
        <f>O126/H126</f>
        <v>17325.183389785834</v>
      </c>
      <c r="Q126" s="1"/>
      <c r="R126" s="3">
        <v>6100000</v>
      </c>
      <c r="S126" s="1">
        <f>R126/H126</f>
        <v>12288.792869499253</v>
      </c>
      <c r="T126" s="23" t="str">
        <f t="shared" ca="1" si="6"/>
        <v>303,..,1703</v>
      </c>
      <c r="U126" s="23">
        <f t="shared" ref="U126:U131" ca="1" si="9">U125+1</f>
        <v>303</v>
      </c>
      <c r="V126" s="23">
        <f t="shared" ref="V126:V131" ca="1" si="10">V125+1</f>
        <v>1703</v>
      </c>
      <c r="W126" s="1"/>
      <c r="X126" s="1">
        <v>7900000</v>
      </c>
      <c r="Y126" s="1">
        <f>X126/H126</f>
        <v>15914.994044105591</v>
      </c>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3">
      <c r="A127" s="75">
        <f t="shared" si="8"/>
        <v>4</v>
      </c>
      <c r="B127" s="75"/>
      <c r="C127" s="54" t="s">
        <v>89</v>
      </c>
      <c r="D127" s="54" t="s">
        <v>347</v>
      </c>
      <c r="E127" s="33">
        <f>(37.641)*10.764</f>
        <v>405.16772399999996</v>
      </c>
      <c r="F127" s="33">
        <f>(4.387+0.75*(3.35+2.1))*10.764</f>
        <v>91.219517999999979</v>
      </c>
      <c r="G127" s="6">
        <v>0</v>
      </c>
      <c r="H127" s="6">
        <f t="shared" si="7"/>
        <v>496.38724199999996</v>
      </c>
      <c r="I127" s="1"/>
      <c r="J127" s="1"/>
      <c r="K127" s="1"/>
      <c r="L127" s="1"/>
      <c r="M127" s="1"/>
      <c r="N127" s="1"/>
      <c r="O127" s="1"/>
      <c r="P127" s="1"/>
      <c r="Q127" s="1"/>
      <c r="R127" s="1"/>
      <c r="S127" s="1"/>
      <c r="T127" s="23" t="str">
        <f t="shared" ca="1" si="6"/>
        <v>304,..,1704</v>
      </c>
      <c r="U127" s="23">
        <f t="shared" ca="1" si="9"/>
        <v>304</v>
      </c>
      <c r="V127" s="23">
        <f t="shared" ca="1" si="10"/>
        <v>1704</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3">
      <c r="A128" s="75">
        <f t="shared" si="8"/>
        <v>5</v>
      </c>
      <c r="B128" s="75"/>
      <c r="C128" s="54" t="s">
        <v>89</v>
      </c>
      <c r="D128" s="54" t="s">
        <v>346</v>
      </c>
      <c r="E128" s="33">
        <f>(51.26)*10.764</f>
        <v>551.76263999999992</v>
      </c>
      <c r="F128" s="33">
        <f>(3.78+0.75*(2.15+3.05+2.2))*10.764</f>
        <v>100.42811999999999</v>
      </c>
      <c r="G128" s="6">
        <v>0</v>
      </c>
      <c r="H128" s="6">
        <f t="shared" si="7"/>
        <v>652.19075999999995</v>
      </c>
      <c r="I128" s="1"/>
      <c r="J128" s="1"/>
      <c r="K128" s="1"/>
      <c r="L128" s="1"/>
      <c r="M128" s="1"/>
      <c r="N128" s="1"/>
      <c r="O128" s="1">
        <v>11000000</v>
      </c>
      <c r="P128" s="1">
        <f>O128/H128</f>
        <v>16866.230978188039</v>
      </c>
      <c r="Q128" s="1"/>
      <c r="R128" s="1">
        <v>7900000</v>
      </c>
      <c r="S128" s="1">
        <f>R128/H128</f>
        <v>12113.020429789593</v>
      </c>
      <c r="T128" s="23" t="str">
        <f t="shared" ca="1" si="6"/>
        <v>305,..,1705</v>
      </c>
      <c r="U128" s="23">
        <f t="shared" ca="1" si="9"/>
        <v>305</v>
      </c>
      <c r="V128" s="23">
        <f t="shared" ca="1" si="10"/>
        <v>1705</v>
      </c>
      <c r="W128" s="1"/>
      <c r="X128" s="1">
        <v>9960000</v>
      </c>
      <c r="Y128" s="1">
        <f>X128/H128</f>
        <v>15271.605503886625</v>
      </c>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3">
      <c r="A129" s="75">
        <f t="shared" si="8"/>
        <v>6</v>
      </c>
      <c r="B129" s="75"/>
      <c r="C129" s="54" t="s">
        <v>89</v>
      </c>
      <c r="D129" s="54" t="s">
        <v>346</v>
      </c>
      <c r="E129" s="33">
        <f>(51.26)*10.764</f>
        <v>551.76263999999992</v>
      </c>
      <c r="F129" s="33">
        <f>(3.78+0.75*(2.15+3.05+2.2))*10.764</f>
        <v>100.42811999999999</v>
      </c>
      <c r="G129" s="6">
        <v>0</v>
      </c>
      <c r="H129" s="6">
        <f t="shared" si="7"/>
        <v>652.19075999999995</v>
      </c>
      <c r="I129" s="1"/>
      <c r="J129" s="1"/>
      <c r="K129" s="1"/>
      <c r="L129" s="1"/>
      <c r="M129" s="1"/>
      <c r="N129" s="1"/>
      <c r="O129" s="1"/>
      <c r="P129" s="1"/>
      <c r="Q129" s="1"/>
      <c r="R129" s="1"/>
      <c r="S129" s="1"/>
      <c r="T129" s="23" t="str">
        <f t="shared" ca="1" si="6"/>
        <v>306,..,1706</v>
      </c>
      <c r="U129" s="23">
        <f t="shared" ca="1" si="9"/>
        <v>306</v>
      </c>
      <c r="V129" s="23">
        <f t="shared" ca="1" si="10"/>
        <v>1706</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3">
      <c r="A130" s="75">
        <f t="shared" si="8"/>
        <v>7</v>
      </c>
      <c r="B130" s="75"/>
      <c r="C130" s="54" t="s">
        <v>89</v>
      </c>
      <c r="D130" s="54" t="s">
        <v>347</v>
      </c>
      <c r="E130" s="33">
        <f>(36.393)*10.764</f>
        <v>391.73425199999997</v>
      </c>
      <c r="F130" s="33">
        <f>(0.75*(2.9+3.35+2.1))*10.764</f>
        <v>67.409549999999982</v>
      </c>
      <c r="G130" s="6">
        <v>0</v>
      </c>
      <c r="H130" s="6">
        <f t="shared" si="7"/>
        <v>459.14380199999994</v>
      </c>
      <c r="I130" s="1"/>
      <c r="J130" s="1"/>
      <c r="K130" s="1"/>
      <c r="L130" s="1"/>
      <c r="M130" s="1"/>
      <c r="N130" s="1"/>
      <c r="O130" s="1">
        <v>8100000</v>
      </c>
      <c r="P130" s="1">
        <f>O130/H130</f>
        <v>17641.531835379108</v>
      </c>
      <c r="Q130" s="1"/>
      <c r="R130" s="1">
        <v>5500000</v>
      </c>
      <c r="S130" s="1">
        <f>R130/H130</f>
        <v>11978.81791291174</v>
      </c>
      <c r="T130" s="23" t="str">
        <f t="shared" ca="1" si="6"/>
        <v>307,..,1707</v>
      </c>
      <c r="U130" s="23">
        <f t="shared" ca="1" si="9"/>
        <v>307</v>
      </c>
      <c r="V130" s="23">
        <f t="shared" ca="1" si="10"/>
        <v>1707</v>
      </c>
      <c r="W130" s="1"/>
      <c r="X130" s="1">
        <v>7000000</v>
      </c>
      <c r="Y130" s="1">
        <f>X130/H130</f>
        <v>15245.768252796759</v>
      </c>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3">
      <c r="A131" s="75">
        <f t="shared" si="8"/>
        <v>8</v>
      </c>
      <c r="B131" s="75"/>
      <c r="C131" s="54" t="s">
        <v>89</v>
      </c>
      <c r="D131" s="54" t="s">
        <v>347</v>
      </c>
      <c r="E131" s="33">
        <f>(36.393)*10.764</f>
        <v>391.73425199999997</v>
      </c>
      <c r="F131" s="33">
        <f>(0.75*(2.9+3.35+2.1))*10.764</f>
        <v>67.409549999999982</v>
      </c>
      <c r="G131" s="6">
        <v>0</v>
      </c>
      <c r="H131" s="6">
        <f t="shared" si="7"/>
        <v>459.14380199999994</v>
      </c>
      <c r="I131" s="1"/>
      <c r="J131" s="1"/>
      <c r="K131" s="1"/>
      <c r="L131" s="1"/>
      <c r="M131" s="1"/>
      <c r="N131" s="1"/>
      <c r="O131" s="1"/>
      <c r="P131" s="1"/>
      <c r="Q131" s="1"/>
      <c r="R131" s="1"/>
      <c r="S131" s="1"/>
      <c r="T131" s="23" t="str">
        <f t="shared" ca="1" si="6"/>
        <v>308,..,1708</v>
      </c>
      <c r="U131" s="23">
        <f t="shared" ca="1" si="9"/>
        <v>308</v>
      </c>
      <c r="V131" s="23">
        <f t="shared" ca="1" si="10"/>
        <v>1708</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84" t="s">
        <v>350</v>
      </c>
      <c r="B132" s="85"/>
      <c r="C132" s="85"/>
      <c r="D132" s="85"/>
      <c r="E132" s="85"/>
      <c r="F132" s="85"/>
      <c r="G132" s="85"/>
      <c r="H132" s="86"/>
      <c r="I132" s="1">
        <v>3</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3">
      <c r="A133" s="75">
        <v>1</v>
      </c>
      <c r="B133" s="75"/>
      <c r="C133" s="54" t="s">
        <v>89</v>
      </c>
      <c r="D133" s="54" t="s">
        <v>346</v>
      </c>
      <c r="E133" s="33">
        <f>(56.283)*10.764</f>
        <v>605.83021199999996</v>
      </c>
      <c r="F133" s="33">
        <f>(3.78+0.75*(2.15+3.05+3.05))*10.764</f>
        <v>107.29016999999999</v>
      </c>
      <c r="G133" s="6">
        <v>0</v>
      </c>
      <c r="H133" s="6">
        <f>E133+F133+(IF(G133&lt;101,G133,IF(G133&lt;201,G133/2,IF(G133&lt;=301,G133/3,G133/4))))</f>
        <v>713.12038199999995</v>
      </c>
      <c r="I133" s="1"/>
      <c r="J133" s="1"/>
      <c r="K133" s="1"/>
      <c r="L133" s="1"/>
      <c r="M133" s="1"/>
      <c r="N133" s="1"/>
      <c r="O133" s="1"/>
      <c r="P133" s="1"/>
      <c r="Q133" s="1"/>
      <c r="R133" s="1"/>
      <c r="S133" s="1"/>
      <c r="T133" s="23" t="str">
        <f t="shared" ref="T133:T140" ca="1" si="11">U133&amp;""&amp;",..,"&amp;""&amp;V133</f>
        <v>801,..,1801</v>
      </c>
      <c r="U133" s="23">
        <f ca="1">(SUMPRODUCT(MID(0&amp;(LEFT(A132,SUM(LEN(A132)-LEN(SUBSTITUTE(A132,{"0","1","2","3"},""))))), LARGE(INDEX(ISNUMBER(--MID((LEFT(A132,SUM(LEN(A132)-LEN(SUBSTITUTE(A132,{"0","1","2","3"},""))))), ROW(INDIRECT("1:"&amp;LEN((LEFT(A132,SUM(LEN(A132)-LEN(SUBSTITUTE(A132,{"0","1","2","3"},"")))))))), 1)) * ROW(INDIRECT("1:"&amp;LEN((LEFT(A132,SUM(LEN(A132)-LEN(SUBSTITUTE(A132,{"0","1","2","3"},"")))))))), 0), ROW(INDIRECT("1:"&amp;LEN((LEFT(A132,SUM(LEN(A132)-LEN(SUBSTITUTE(A132,{"0","1","2","3"},"")))))))))+1, 1) * 10^ROW(INDIRECT("1:"&amp;LEN((LEFT(A132,SUM(LEN(A132)-LEN(SUBSTITUTE(A132,{"0","1","2","3"},""))))))))/10))*100+1</f>
        <v>801</v>
      </c>
      <c r="V133" s="23">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1801</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3">
      <c r="A134" s="75">
        <f>A133+1</f>
        <v>2</v>
      </c>
      <c r="B134" s="75"/>
      <c r="C134" s="54" t="s">
        <v>89</v>
      </c>
      <c r="D134" s="54" t="s">
        <v>346</v>
      </c>
      <c r="E134" s="33">
        <f>(56.283)*10.764</f>
        <v>605.83021199999996</v>
      </c>
      <c r="F134" s="33">
        <f>(3.78+0.75*(2.15+3.05+3.05))*10.764</f>
        <v>107.29016999999999</v>
      </c>
      <c r="G134" s="6">
        <v>0</v>
      </c>
      <c r="H134" s="6">
        <f t="shared" ref="H134:H140" si="12">E134+F134+(IF(G134&lt;101,G134,IF(G134&lt;201,G134/2,IF(G134&lt;=301,G134/3,G134/4))))</f>
        <v>713.12038199999995</v>
      </c>
      <c r="I134" s="1"/>
      <c r="J134" s="1"/>
      <c r="K134" s="1"/>
      <c r="L134" s="1"/>
      <c r="M134" s="1"/>
      <c r="N134" s="1"/>
      <c r="O134" s="1"/>
      <c r="P134" s="1"/>
      <c r="Q134" s="1"/>
      <c r="R134" s="1"/>
      <c r="S134" s="1"/>
      <c r="T134" s="23" t="str">
        <f t="shared" ca="1" si="11"/>
        <v>802,..,1802</v>
      </c>
      <c r="U134" s="23">
        <f ca="1">U133+1</f>
        <v>802</v>
      </c>
      <c r="V134" s="23">
        <f ca="1">V133+1</f>
        <v>1802</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3">
      <c r="A135" s="75" t="s">
        <v>97</v>
      </c>
      <c r="B135" s="75"/>
      <c r="C135" s="54" t="s">
        <v>97</v>
      </c>
      <c r="D135" s="76" t="s">
        <v>349</v>
      </c>
      <c r="E135" s="77"/>
      <c r="F135" s="77"/>
      <c r="G135" s="77"/>
      <c r="H135" s="78"/>
      <c r="I135" s="1"/>
      <c r="J135" s="1"/>
      <c r="K135" s="1"/>
      <c r="L135" s="1"/>
      <c r="M135" s="1"/>
      <c r="N135" s="1"/>
      <c r="O135" s="1"/>
      <c r="P135" s="1"/>
      <c r="Q135" s="1"/>
      <c r="R135" s="1"/>
      <c r="S135" s="1"/>
      <c r="T135" s="23" t="str">
        <f t="shared" ca="1" si="11"/>
        <v>803,..,1803</v>
      </c>
      <c r="U135" s="23">
        <f t="shared" ref="U135:V140" ca="1" si="13">U134+1</f>
        <v>803</v>
      </c>
      <c r="V135" s="23">
        <f t="shared" ca="1" si="13"/>
        <v>1803</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3">
      <c r="A136" s="75">
        <v>3</v>
      </c>
      <c r="B136" s="75"/>
      <c r="C136" s="54" t="s">
        <v>89</v>
      </c>
      <c r="D136" s="54" t="s">
        <v>347</v>
      </c>
      <c r="E136" s="33">
        <f>(37.641)*10.764</f>
        <v>405.16772399999996</v>
      </c>
      <c r="F136" s="33">
        <f>(4.5+0.75*(3.35+2.1))*10.764</f>
        <v>92.435850000000002</v>
      </c>
      <c r="G136" s="6">
        <v>0</v>
      </c>
      <c r="H136" s="6">
        <f t="shared" si="12"/>
        <v>497.60357399999998</v>
      </c>
      <c r="I136" s="1"/>
      <c r="J136" s="1"/>
      <c r="K136" s="1"/>
      <c r="L136" s="1"/>
      <c r="M136" s="1"/>
      <c r="N136" s="1"/>
      <c r="O136" s="1"/>
      <c r="P136" s="1"/>
      <c r="Q136" s="1"/>
      <c r="R136" s="1"/>
      <c r="S136" s="1"/>
      <c r="T136" s="23" t="str">
        <f t="shared" ca="1" si="11"/>
        <v>804,..,1804</v>
      </c>
      <c r="U136" s="23">
        <f t="shared" ca="1" si="13"/>
        <v>804</v>
      </c>
      <c r="V136" s="23">
        <f t="shared" ca="1" si="13"/>
        <v>1804</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
      <c r="A137" s="75">
        <f t="shared" ref="A137:A140" si="14">A136+1</f>
        <v>4</v>
      </c>
      <c r="B137" s="75"/>
      <c r="C137" s="54" t="s">
        <v>89</v>
      </c>
      <c r="D137" s="54" t="s">
        <v>346</v>
      </c>
      <c r="E137" s="33">
        <f>(51.26)*10.764</f>
        <v>551.76263999999992</v>
      </c>
      <c r="F137" s="33">
        <f>(3.78+0.75*(2.15+3.05+2.2))*10.764</f>
        <v>100.42811999999999</v>
      </c>
      <c r="G137" s="6">
        <v>0</v>
      </c>
      <c r="H137" s="6">
        <f t="shared" si="12"/>
        <v>652.19075999999995</v>
      </c>
      <c r="I137" s="1"/>
      <c r="J137" s="1"/>
      <c r="K137" s="1"/>
      <c r="L137" s="1"/>
      <c r="M137" s="1"/>
      <c r="N137" s="1"/>
      <c r="O137" s="1"/>
      <c r="P137" s="1"/>
      <c r="Q137" s="1"/>
      <c r="R137" s="1"/>
      <c r="S137" s="1"/>
      <c r="T137" s="23" t="str">
        <f t="shared" ca="1" si="11"/>
        <v>805,..,1805</v>
      </c>
      <c r="U137" s="23">
        <f t="shared" ca="1" si="13"/>
        <v>805</v>
      </c>
      <c r="V137" s="23">
        <f t="shared" ca="1" si="13"/>
        <v>1805</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75">
        <f t="shared" si="14"/>
        <v>5</v>
      </c>
      <c r="B138" s="75"/>
      <c r="C138" s="54" t="s">
        <v>89</v>
      </c>
      <c r="D138" s="54" t="s">
        <v>346</v>
      </c>
      <c r="E138" s="33">
        <f>(51.26)*10.764</f>
        <v>551.76263999999992</v>
      </c>
      <c r="F138" s="33">
        <f>(3.78+0.75*(2.15+3.05+2.2))*10.764</f>
        <v>100.42811999999999</v>
      </c>
      <c r="G138" s="6">
        <v>0</v>
      </c>
      <c r="H138" s="6">
        <f t="shared" si="12"/>
        <v>652.19075999999995</v>
      </c>
      <c r="I138" s="1"/>
      <c r="J138" s="1"/>
      <c r="K138" s="1"/>
      <c r="L138" s="1"/>
      <c r="M138" s="1"/>
      <c r="N138" s="1"/>
      <c r="O138" s="1"/>
      <c r="P138" s="1"/>
      <c r="Q138" s="1"/>
      <c r="R138" s="1"/>
      <c r="S138" s="1"/>
      <c r="T138" s="23" t="str">
        <f t="shared" ca="1" si="11"/>
        <v>806,..,1806</v>
      </c>
      <c r="U138" s="23">
        <f t="shared" ca="1" si="13"/>
        <v>806</v>
      </c>
      <c r="V138" s="23">
        <f t="shared" ca="1" si="13"/>
        <v>1806</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75">
        <f t="shared" si="14"/>
        <v>6</v>
      </c>
      <c r="B139" s="75"/>
      <c r="C139" s="54" t="s">
        <v>89</v>
      </c>
      <c r="D139" s="54" t="s">
        <v>347</v>
      </c>
      <c r="E139" s="33">
        <f>(36.393)*10.764</f>
        <v>391.73425199999997</v>
      </c>
      <c r="F139" s="33">
        <f>(0.75*(2.9+3.35+2.1))*10.764</f>
        <v>67.409549999999982</v>
      </c>
      <c r="G139" s="6">
        <v>0</v>
      </c>
      <c r="H139" s="6">
        <f t="shared" si="12"/>
        <v>459.14380199999994</v>
      </c>
      <c r="I139" s="1"/>
      <c r="J139" s="1"/>
      <c r="K139" s="1"/>
      <c r="L139" s="1"/>
      <c r="M139" s="1"/>
      <c r="N139" s="1"/>
      <c r="O139" s="1"/>
      <c r="P139" s="1"/>
      <c r="Q139" s="1"/>
      <c r="R139" s="1"/>
      <c r="S139" s="1"/>
      <c r="T139" s="23" t="str">
        <f t="shared" ca="1" si="11"/>
        <v>807,..,1807</v>
      </c>
      <c r="U139" s="23">
        <f t="shared" ca="1" si="13"/>
        <v>807</v>
      </c>
      <c r="V139" s="23">
        <f t="shared" ca="1" si="13"/>
        <v>1807</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75">
        <f t="shared" si="14"/>
        <v>7</v>
      </c>
      <c r="B140" s="75"/>
      <c r="C140" s="54" t="s">
        <v>89</v>
      </c>
      <c r="D140" s="54" t="s">
        <v>347</v>
      </c>
      <c r="E140" s="33">
        <f>(36.393)*10.764</f>
        <v>391.73425199999997</v>
      </c>
      <c r="F140" s="33">
        <f>(0.75*(2.9+3.35+2.1))*10.764</f>
        <v>67.409549999999982</v>
      </c>
      <c r="G140" s="6">
        <v>0</v>
      </c>
      <c r="H140" s="6">
        <f t="shared" si="12"/>
        <v>459.14380199999994</v>
      </c>
      <c r="I140" s="1"/>
      <c r="J140" s="1"/>
      <c r="K140" s="1"/>
      <c r="L140" s="1"/>
      <c r="M140" s="1"/>
      <c r="N140" s="1"/>
      <c r="O140" s="1"/>
      <c r="P140" s="1"/>
      <c r="Q140" s="1"/>
      <c r="R140" s="1"/>
      <c r="S140" s="1"/>
      <c r="T140" s="23" t="str">
        <f t="shared" ca="1" si="11"/>
        <v>808,..,1808</v>
      </c>
      <c r="U140" s="23">
        <f t="shared" ca="1" si="13"/>
        <v>808</v>
      </c>
      <c r="V140" s="23">
        <f t="shared" ca="1" si="13"/>
        <v>1808</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ht="21" x14ac:dyDescent="0.3">
      <c r="A141" s="125" t="s">
        <v>70</v>
      </c>
      <c r="B141" s="125"/>
      <c r="C141" s="125"/>
      <c r="D141" s="125"/>
      <c r="E141" s="125"/>
      <c r="F141" s="125"/>
      <c r="G141" s="125"/>
      <c r="H141" s="125"/>
    </row>
    <row r="142" spans="1:150 16226:16383" ht="21" x14ac:dyDescent="0.3">
      <c r="A142" s="2" t="s">
        <v>235</v>
      </c>
      <c r="B142" s="79" t="s">
        <v>358</v>
      </c>
      <c r="C142" s="80"/>
      <c r="D142" s="80"/>
      <c r="E142" s="80"/>
      <c r="F142" s="80"/>
      <c r="G142" s="80"/>
      <c r="H142" s="81"/>
    </row>
    <row r="143" spans="1:150 16226:16383" ht="21" x14ac:dyDescent="0.3">
      <c r="A143" s="2" t="s">
        <v>235</v>
      </c>
      <c r="B143" s="79" t="s">
        <v>236</v>
      </c>
      <c r="C143" s="80"/>
      <c r="D143" s="80"/>
      <c r="E143" s="80"/>
      <c r="F143" s="80"/>
      <c r="G143" s="80"/>
      <c r="H143" s="81"/>
    </row>
    <row r="144" spans="1:150 16226:16383" ht="21" x14ac:dyDescent="0.3">
      <c r="A144" s="2" t="s">
        <v>235</v>
      </c>
      <c r="B144" s="79" t="s">
        <v>352</v>
      </c>
      <c r="C144" s="80"/>
      <c r="D144" s="80"/>
      <c r="E144" s="80"/>
      <c r="F144" s="80"/>
      <c r="G144" s="80"/>
      <c r="H144" s="81"/>
    </row>
    <row r="145" spans="1:8" ht="21" x14ac:dyDescent="0.3">
      <c r="A145" s="2" t="s">
        <v>235</v>
      </c>
      <c r="B145" s="79" t="s">
        <v>237</v>
      </c>
      <c r="C145" s="80"/>
      <c r="D145" s="80"/>
      <c r="E145" s="80"/>
      <c r="F145" s="80"/>
      <c r="G145" s="80"/>
      <c r="H145" s="81"/>
    </row>
    <row r="146" spans="1:8" ht="21" x14ac:dyDescent="0.3">
      <c r="A146" s="2" t="s">
        <v>235</v>
      </c>
      <c r="B146" s="79" t="s">
        <v>238</v>
      </c>
      <c r="C146" s="80"/>
      <c r="D146" s="80"/>
      <c r="E146" s="80"/>
      <c r="F146" s="80"/>
      <c r="G146" s="80"/>
      <c r="H146" s="81"/>
    </row>
    <row r="147" spans="1:8" ht="46.5" hidden="1" customHeight="1" x14ac:dyDescent="0.3">
      <c r="A147" s="2" t="s">
        <v>235</v>
      </c>
      <c r="B147" s="149" t="s">
        <v>239</v>
      </c>
      <c r="C147" s="80"/>
      <c r="D147" s="80"/>
      <c r="E147" s="80"/>
      <c r="F147" s="80"/>
      <c r="G147" s="80"/>
      <c r="H147" s="81"/>
    </row>
    <row r="148" spans="1:8" ht="24.75" hidden="1" customHeight="1" x14ac:dyDescent="0.3">
      <c r="A148" s="2" t="s">
        <v>235</v>
      </c>
      <c r="B148" s="149" t="s">
        <v>240</v>
      </c>
      <c r="C148" s="80"/>
      <c r="D148" s="80"/>
      <c r="E148" s="80"/>
      <c r="F148" s="80"/>
      <c r="G148" s="80"/>
      <c r="H148" s="81"/>
    </row>
    <row r="149" spans="1:8" ht="46.5" hidden="1" customHeight="1" x14ac:dyDescent="0.3">
      <c r="A149" s="2" t="s">
        <v>235</v>
      </c>
      <c r="B149" s="149" t="s">
        <v>239</v>
      </c>
      <c r="C149" s="80"/>
      <c r="D149" s="80"/>
      <c r="E149" s="80"/>
      <c r="F149" s="80"/>
      <c r="G149" s="80"/>
      <c r="H149" s="81"/>
    </row>
    <row r="150" spans="1:8" ht="21" x14ac:dyDescent="0.3">
      <c r="A150" s="2" t="s">
        <v>235</v>
      </c>
      <c r="B150" s="79" t="s">
        <v>367</v>
      </c>
      <c r="C150" s="80"/>
      <c r="D150" s="80"/>
      <c r="E150" s="80"/>
      <c r="F150" s="80"/>
      <c r="G150" s="80"/>
      <c r="H150" s="81"/>
    </row>
    <row r="151" spans="1:8" ht="21" x14ac:dyDescent="0.3">
      <c r="A151" s="130" t="s">
        <v>76</v>
      </c>
      <c r="B151" s="130"/>
      <c r="C151" s="130"/>
      <c r="D151" s="130"/>
      <c r="E151" s="130"/>
      <c r="F151" s="130"/>
      <c r="G151" s="130"/>
      <c r="H151" s="130"/>
    </row>
    <row r="152" spans="1:8" ht="21" x14ac:dyDescent="0.3">
      <c r="A152" s="87" t="s">
        <v>71</v>
      </c>
      <c r="B152" s="87"/>
      <c r="C152" s="87"/>
      <c r="D152" s="79" t="str">
        <f>C3</f>
        <v>Ellora Emerald</v>
      </c>
      <c r="E152" s="80"/>
      <c r="F152" s="80"/>
      <c r="G152" s="80"/>
      <c r="H152" s="81"/>
    </row>
    <row r="153" spans="1:8" ht="46.2" customHeight="1" x14ac:dyDescent="0.3">
      <c r="A153" s="87" t="s">
        <v>106</v>
      </c>
      <c r="B153" s="87"/>
      <c r="C153" s="87"/>
      <c r="D153" s="79" t="str">
        <f>C11</f>
        <v xml:space="preserve">Ellora Emerald, S.No. 52/5, Near Arihant Clan Aalishan, Mumbra-Panvel Road, Rohinjan, Taloja, Panvel, Raigad 410210 </v>
      </c>
      <c r="E153" s="80"/>
      <c r="F153" s="80"/>
      <c r="G153" s="80"/>
      <c r="H153" s="81"/>
    </row>
    <row r="154" spans="1:8" ht="20.25" customHeight="1" x14ac:dyDescent="0.3">
      <c r="A154" s="140" t="s">
        <v>112</v>
      </c>
      <c r="B154" s="140"/>
      <c r="C154" s="140"/>
      <c r="D154" s="79" t="str">
        <f>G3</f>
        <v>06/09/2025 @12:44PM</v>
      </c>
      <c r="E154" s="80"/>
      <c r="F154" s="80"/>
      <c r="G154" s="80"/>
      <c r="H154" s="81"/>
    </row>
    <row r="155" spans="1:8" ht="21" x14ac:dyDescent="0.3">
      <c r="A155" s="10"/>
      <c r="B155" s="11"/>
      <c r="C155" s="11"/>
      <c r="D155" s="11"/>
      <c r="E155" s="11"/>
      <c r="F155" s="11"/>
      <c r="G155" s="11"/>
      <c r="H155" s="7"/>
    </row>
    <row r="156" spans="1:8" ht="21" x14ac:dyDescent="0.3">
      <c r="A156" s="12"/>
      <c r="B156" s="13"/>
      <c r="C156" s="13"/>
      <c r="D156" s="13"/>
      <c r="E156" s="13"/>
      <c r="F156" s="13"/>
      <c r="G156" s="13"/>
      <c r="H156" s="8"/>
    </row>
    <row r="157" spans="1:8" ht="21" x14ac:dyDescent="0.3">
      <c r="A157" s="12"/>
      <c r="B157" s="13"/>
      <c r="C157" s="13"/>
      <c r="D157" s="13"/>
      <c r="E157" s="13"/>
      <c r="F157" s="13"/>
      <c r="G157" s="13"/>
      <c r="H157" s="8"/>
    </row>
    <row r="158" spans="1:8" ht="21" x14ac:dyDescent="0.3">
      <c r="A158" s="12"/>
      <c r="B158" s="13"/>
      <c r="C158" s="13"/>
      <c r="D158" s="13"/>
      <c r="E158" s="13"/>
      <c r="F158" s="13"/>
      <c r="G158" s="13"/>
      <c r="H158" s="8"/>
    </row>
    <row r="159" spans="1:8" ht="21" x14ac:dyDescent="0.3">
      <c r="A159" s="12"/>
      <c r="B159" s="13"/>
      <c r="C159" s="13"/>
      <c r="D159" s="13"/>
      <c r="E159" s="13"/>
      <c r="F159" s="13"/>
      <c r="G159" s="13"/>
      <c r="H159" s="8"/>
    </row>
    <row r="160" spans="1:8" ht="21" x14ac:dyDescent="0.3">
      <c r="A160" s="12"/>
      <c r="B160" s="13"/>
      <c r="C160" s="13"/>
      <c r="D160" s="13"/>
      <c r="E160" s="13"/>
      <c r="F160" s="13"/>
      <c r="G160" s="13"/>
      <c r="H160" s="8"/>
    </row>
    <row r="161" spans="1:8" ht="21" x14ac:dyDescent="0.3">
      <c r="A161" s="12"/>
      <c r="B161" s="13"/>
      <c r="C161" s="13"/>
      <c r="D161" s="13"/>
      <c r="E161" s="13"/>
      <c r="F161" s="13"/>
      <c r="G161" s="13"/>
      <c r="H161" s="8"/>
    </row>
    <row r="162" spans="1:8" ht="21" x14ac:dyDescent="0.3">
      <c r="A162" s="12"/>
      <c r="B162" s="13"/>
      <c r="C162" s="13"/>
      <c r="D162" s="13"/>
      <c r="E162" s="13"/>
      <c r="F162" s="13"/>
      <c r="G162" s="13"/>
      <c r="H162" s="8"/>
    </row>
    <row r="163" spans="1:8" ht="21" x14ac:dyDescent="0.3">
      <c r="A163" s="12"/>
      <c r="B163" s="13"/>
      <c r="C163" s="13"/>
      <c r="D163" s="13"/>
      <c r="E163" s="13"/>
      <c r="F163" s="13"/>
      <c r="G163" s="13"/>
      <c r="H163" s="8"/>
    </row>
    <row r="164" spans="1:8" ht="21" x14ac:dyDescent="0.3">
      <c r="A164" s="12"/>
      <c r="B164" s="13"/>
      <c r="C164" s="13"/>
      <c r="D164" s="13"/>
      <c r="E164" s="13"/>
      <c r="F164" s="13"/>
      <c r="G164" s="13"/>
      <c r="H164" s="8"/>
    </row>
    <row r="165" spans="1:8" ht="21" x14ac:dyDescent="0.3">
      <c r="A165" s="12"/>
      <c r="B165" s="13"/>
      <c r="C165" s="13"/>
      <c r="D165" s="13"/>
      <c r="E165" s="13"/>
      <c r="F165" s="13"/>
      <c r="G165" s="13"/>
      <c r="H165" s="8"/>
    </row>
    <row r="166" spans="1:8" ht="21" x14ac:dyDescent="0.3">
      <c r="A166" s="12"/>
      <c r="B166" s="13"/>
      <c r="C166" s="13"/>
      <c r="D166" s="13"/>
      <c r="E166" s="13"/>
      <c r="F166" s="13"/>
      <c r="G166" s="13"/>
      <c r="H166" s="8"/>
    </row>
    <row r="167" spans="1:8" ht="21" x14ac:dyDescent="0.3">
      <c r="A167" s="12"/>
      <c r="B167" s="13"/>
      <c r="C167" s="13"/>
      <c r="D167" s="13"/>
      <c r="E167" s="13"/>
      <c r="F167" s="13"/>
      <c r="G167" s="13"/>
      <c r="H167" s="8"/>
    </row>
    <row r="168" spans="1:8" ht="21" x14ac:dyDescent="0.3">
      <c r="A168" s="12"/>
      <c r="B168" s="13"/>
      <c r="C168" s="13"/>
      <c r="D168" s="13"/>
      <c r="E168" s="13"/>
      <c r="F168" s="13"/>
      <c r="G168" s="13"/>
      <c r="H168" s="8"/>
    </row>
    <row r="169" spans="1:8" ht="21" x14ac:dyDescent="0.3">
      <c r="A169" s="12"/>
      <c r="B169" s="13"/>
      <c r="C169" s="13"/>
      <c r="D169" s="13"/>
      <c r="E169" s="13"/>
      <c r="F169" s="13"/>
      <c r="G169" s="13"/>
      <c r="H169" s="8"/>
    </row>
    <row r="170" spans="1:8" ht="21" x14ac:dyDescent="0.3">
      <c r="A170" s="12"/>
      <c r="B170" s="13"/>
      <c r="C170" s="13"/>
      <c r="D170" s="13"/>
      <c r="E170" s="13"/>
      <c r="F170" s="13"/>
      <c r="G170" s="13"/>
      <c r="H170" s="8"/>
    </row>
    <row r="171" spans="1:8" ht="21" x14ac:dyDescent="0.3">
      <c r="A171" s="12"/>
      <c r="B171" s="13"/>
      <c r="C171" s="13"/>
      <c r="D171" s="13"/>
      <c r="E171" s="13"/>
      <c r="F171" s="13"/>
      <c r="G171" s="13"/>
      <c r="H171" s="8"/>
    </row>
    <row r="172" spans="1:8" ht="21" x14ac:dyDescent="0.3">
      <c r="A172" s="12"/>
      <c r="B172" s="13"/>
      <c r="C172" s="13"/>
      <c r="D172" s="13"/>
      <c r="E172" s="13"/>
      <c r="F172" s="13"/>
      <c r="G172" s="13"/>
      <c r="H172" s="8"/>
    </row>
    <row r="173" spans="1:8" ht="21" x14ac:dyDescent="0.3">
      <c r="A173" s="12"/>
      <c r="B173" s="13"/>
      <c r="C173" s="13"/>
      <c r="D173" s="13"/>
      <c r="E173" s="13"/>
      <c r="F173" s="13"/>
      <c r="G173" s="13"/>
      <c r="H173" s="8"/>
    </row>
    <row r="174" spans="1:8" ht="21" x14ac:dyDescent="0.3">
      <c r="A174" s="12"/>
      <c r="B174" s="13"/>
      <c r="C174" s="13"/>
      <c r="D174" s="13"/>
      <c r="E174" s="13"/>
      <c r="F174" s="13"/>
      <c r="G174" s="13"/>
      <c r="H174" s="8"/>
    </row>
    <row r="175" spans="1:8" ht="21" x14ac:dyDescent="0.3">
      <c r="A175" s="12"/>
      <c r="B175" s="13"/>
      <c r="C175" s="13"/>
      <c r="D175" s="13"/>
      <c r="E175" s="13"/>
      <c r="F175" s="13"/>
      <c r="G175" s="13"/>
      <c r="H175" s="8"/>
    </row>
    <row r="176" spans="1:8" ht="21" x14ac:dyDescent="0.3">
      <c r="A176" s="12"/>
      <c r="B176" s="13"/>
      <c r="C176" s="13"/>
      <c r="D176" s="13"/>
      <c r="E176" s="13"/>
      <c r="F176" s="13"/>
      <c r="G176" s="13"/>
      <c r="H176" s="8"/>
    </row>
    <row r="177" spans="1:8" ht="21" x14ac:dyDescent="0.3">
      <c r="A177" s="12"/>
      <c r="B177" s="13"/>
      <c r="C177" s="13"/>
      <c r="D177" s="13"/>
      <c r="E177" s="13"/>
      <c r="F177" s="13"/>
      <c r="G177" s="13"/>
      <c r="H177" s="8"/>
    </row>
    <row r="178" spans="1:8" ht="21" x14ac:dyDescent="0.3">
      <c r="A178" s="12"/>
      <c r="B178" s="13"/>
      <c r="C178" s="13"/>
      <c r="D178" s="13"/>
      <c r="E178" s="13"/>
      <c r="F178" s="13"/>
      <c r="G178" s="13"/>
      <c r="H178" s="8"/>
    </row>
    <row r="179" spans="1:8" ht="21" x14ac:dyDescent="0.3">
      <c r="A179" s="12"/>
      <c r="B179" s="13"/>
      <c r="C179" s="13"/>
      <c r="D179" s="13"/>
      <c r="E179" s="13"/>
      <c r="F179" s="13"/>
      <c r="G179" s="13"/>
      <c r="H179" s="8"/>
    </row>
    <row r="180" spans="1:8" ht="21" x14ac:dyDescent="0.3">
      <c r="A180" s="12"/>
      <c r="B180" s="13"/>
      <c r="C180" s="13"/>
      <c r="D180" s="13"/>
      <c r="E180" s="13"/>
      <c r="F180" s="13"/>
      <c r="G180" s="13"/>
      <c r="H180" s="8"/>
    </row>
    <row r="181" spans="1:8" ht="21" x14ac:dyDescent="0.3">
      <c r="A181" s="12"/>
      <c r="B181" s="13"/>
      <c r="C181" s="13"/>
      <c r="D181" s="13"/>
      <c r="E181" s="13"/>
      <c r="F181" s="13"/>
      <c r="G181" s="13"/>
      <c r="H181" s="8"/>
    </row>
    <row r="182" spans="1:8" ht="21" x14ac:dyDescent="0.3">
      <c r="A182" s="12"/>
      <c r="B182" s="13"/>
      <c r="C182" s="13"/>
      <c r="D182" s="13"/>
      <c r="E182" s="13"/>
      <c r="F182" s="13"/>
      <c r="G182" s="13"/>
      <c r="H182" s="8"/>
    </row>
    <row r="183" spans="1:8" ht="21" x14ac:dyDescent="0.3">
      <c r="A183" s="12"/>
      <c r="B183" s="13"/>
      <c r="C183" s="13"/>
      <c r="D183" s="13"/>
      <c r="E183" s="13"/>
      <c r="F183" s="13"/>
      <c r="G183" s="13"/>
      <c r="H183" s="8"/>
    </row>
    <row r="184" spans="1:8" ht="21" x14ac:dyDescent="0.3">
      <c r="A184" s="12"/>
      <c r="B184" s="13"/>
      <c r="C184" s="13"/>
      <c r="D184" s="13"/>
      <c r="E184" s="13"/>
      <c r="F184" s="13"/>
      <c r="G184" s="13"/>
      <c r="H184" s="8"/>
    </row>
    <row r="185" spans="1:8" ht="21" x14ac:dyDescent="0.3">
      <c r="A185" s="12"/>
      <c r="B185" s="13"/>
      <c r="C185" s="13"/>
      <c r="D185" s="13"/>
      <c r="E185" s="13"/>
      <c r="F185" s="13"/>
      <c r="G185" s="13"/>
      <c r="H185" s="8"/>
    </row>
    <row r="186" spans="1:8" ht="21" x14ac:dyDescent="0.3">
      <c r="A186" s="12"/>
      <c r="B186" s="13"/>
      <c r="C186" s="13"/>
      <c r="D186" s="13"/>
      <c r="E186" s="13"/>
      <c r="F186" s="13"/>
      <c r="G186" s="13"/>
      <c r="H186" s="8"/>
    </row>
    <row r="187" spans="1:8" ht="21" x14ac:dyDescent="0.3">
      <c r="A187" s="12"/>
      <c r="B187" s="13"/>
      <c r="C187" s="13"/>
      <c r="D187" s="13"/>
      <c r="E187" s="13"/>
      <c r="F187" s="13"/>
      <c r="G187" s="13"/>
      <c r="H187" s="8"/>
    </row>
    <row r="188" spans="1:8" ht="21" x14ac:dyDescent="0.3">
      <c r="A188" s="12"/>
      <c r="B188" s="13"/>
      <c r="C188" s="13"/>
      <c r="D188" s="13"/>
      <c r="E188" s="13"/>
      <c r="F188" s="13"/>
      <c r="G188" s="13"/>
      <c r="H188" s="8"/>
    </row>
    <row r="189" spans="1:8" ht="21" x14ac:dyDescent="0.3">
      <c r="A189" s="12"/>
      <c r="B189" s="13"/>
      <c r="C189" s="13"/>
      <c r="D189" s="13"/>
      <c r="E189" s="13"/>
      <c r="F189" s="13"/>
      <c r="G189" s="13"/>
      <c r="H189" s="8"/>
    </row>
    <row r="190" spans="1:8" ht="21" x14ac:dyDescent="0.3">
      <c r="A190" s="12"/>
      <c r="B190" s="13"/>
      <c r="C190" s="13"/>
      <c r="D190" s="13"/>
      <c r="E190" s="13"/>
      <c r="F190" s="13"/>
      <c r="G190" s="13"/>
      <c r="H190" s="8"/>
    </row>
    <row r="191" spans="1:8" ht="21" x14ac:dyDescent="0.3">
      <c r="A191" s="12"/>
      <c r="B191" s="13"/>
      <c r="C191" s="13"/>
      <c r="D191" s="13"/>
      <c r="E191" s="13"/>
      <c r="F191" s="13"/>
      <c r="G191" s="13"/>
      <c r="H191" s="8"/>
    </row>
    <row r="192" spans="1:8" ht="21" x14ac:dyDescent="0.3">
      <c r="A192" s="14"/>
      <c r="B192" s="15"/>
      <c r="C192" s="15"/>
      <c r="D192" s="15"/>
      <c r="E192" s="15"/>
      <c r="F192" s="15"/>
      <c r="G192" s="15"/>
      <c r="H192" s="9"/>
    </row>
    <row r="193" spans="1:8" ht="21" x14ac:dyDescent="0.3">
      <c r="A193" s="125" t="s">
        <v>160</v>
      </c>
      <c r="B193" s="125"/>
      <c r="C193" s="125"/>
      <c r="D193" s="125"/>
      <c r="E193" s="125"/>
      <c r="F193" s="125"/>
      <c r="G193" s="125"/>
      <c r="H193" s="125"/>
    </row>
    <row r="194" spans="1:8" ht="21" x14ac:dyDescent="0.3">
      <c r="A194" s="10"/>
      <c r="B194" s="11"/>
      <c r="C194" s="11"/>
      <c r="D194" s="11"/>
      <c r="E194" s="11"/>
      <c r="F194" s="11"/>
      <c r="G194" s="11"/>
      <c r="H194" s="7"/>
    </row>
    <row r="195" spans="1:8" ht="21" x14ac:dyDescent="0.3">
      <c r="A195" s="12"/>
      <c r="B195" s="13"/>
      <c r="C195" s="13"/>
      <c r="D195" s="13"/>
      <c r="E195" s="13"/>
      <c r="F195" s="13"/>
      <c r="G195" s="13"/>
      <c r="H195" s="8"/>
    </row>
    <row r="196" spans="1:8" ht="21" x14ac:dyDescent="0.3">
      <c r="A196" s="12"/>
      <c r="B196" s="13"/>
      <c r="C196" s="13"/>
      <c r="D196" s="13"/>
      <c r="E196" s="13"/>
      <c r="F196" s="13"/>
      <c r="G196" s="13"/>
      <c r="H196" s="8"/>
    </row>
    <row r="197" spans="1:8" ht="21" x14ac:dyDescent="0.3">
      <c r="A197" s="12"/>
      <c r="B197" s="13"/>
      <c r="C197" s="13"/>
      <c r="D197" s="13"/>
      <c r="E197" s="13"/>
      <c r="F197" s="13"/>
      <c r="G197" s="13"/>
      <c r="H197" s="8"/>
    </row>
    <row r="198" spans="1:8" ht="21" x14ac:dyDescent="0.3">
      <c r="A198" s="12"/>
      <c r="B198" s="13"/>
      <c r="C198" s="13"/>
      <c r="D198" s="13"/>
      <c r="E198" s="13"/>
      <c r="F198" s="13"/>
      <c r="G198" s="13"/>
      <c r="H198" s="8"/>
    </row>
    <row r="199" spans="1:8" ht="21" x14ac:dyDescent="0.3">
      <c r="A199" s="12"/>
      <c r="B199" s="13"/>
      <c r="C199" s="13"/>
      <c r="D199" s="13"/>
      <c r="E199" s="13"/>
      <c r="F199" s="13"/>
      <c r="G199" s="13"/>
      <c r="H199" s="8"/>
    </row>
    <row r="200" spans="1:8" ht="21" x14ac:dyDescent="0.3">
      <c r="A200" s="12"/>
      <c r="B200" s="13"/>
      <c r="C200" s="13"/>
      <c r="D200" s="13"/>
      <c r="E200" s="13"/>
      <c r="F200" s="13"/>
      <c r="G200" s="13"/>
      <c r="H200" s="8"/>
    </row>
    <row r="201" spans="1:8" ht="21" x14ac:dyDescent="0.3">
      <c r="A201" s="12"/>
      <c r="B201" s="13"/>
      <c r="C201" s="13"/>
      <c r="D201" s="13"/>
      <c r="E201" s="13"/>
      <c r="F201" s="13"/>
      <c r="G201" s="13"/>
      <c r="H201" s="8"/>
    </row>
    <row r="202" spans="1:8" ht="21" x14ac:dyDescent="0.3">
      <c r="A202" s="12"/>
      <c r="B202" s="13"/>
      <c r="C202" s="13"/>
      <c r="D202" s="13"/>
      <c r="E202" s="13"/>
      <c r="F202" s="13"/>
      <c r="G202" s="13"/>
      <c r="H202" s="8"/>
    </row>
    <row r="203" spans="1:8" ht="21" x14ac:dyDescent="0.3">
      <c r="A203" s="12"/>
      <c r="B203" s="13"/>
      <c r="C203" s="13"/>
      <c r="D203" s="13"/>
      <c r="E203" s="13"/>
      <c r="F203" s="13"/>
      <c r="G203" s="13"/>
      <c r="H203" s="8"/>
    </row>
    <row r="204" spans="1:8" ht="21" x14ac:dyDescent="0.3">
      <c r="A204" s="12"/>
      <c r="B204" s="13"/>
      <c r="C204" s="13"/>
      <c r="D204" s="13"/>
      <c r="E204" s="13"/>
      <c r="F204" s="13"/>
      <c r="G204" s="13"/>
      <c r="H204" s="8"/>
    </row>
    <row r="205" spans="1:8" ht="21" x14ac:dyDescent="0.3">
      <c r="A205" s="12"/>
      <c r="B205" s="13"/>
      <c r="C205" s="13"/>
      <c r="D205" s="13"/>
      <c r="E205" s="13"/>
      <c r="F205" s="13"/>
      <c r="G205" s="13"/>
      <c r="H205" s="8"/>
    </row>
    <row r="206" spans="1:8" ht="21" x14ac:dyDescent="0.3">
      <c r="A206" s="12"/>
      <c r="B206" s="13"/>
      <c r="C206" s="13"/>
      <c r="D206" s="13"/>
      <c r="E206" s="13"/>
      <c r="F206" s="13"/>
      <c r="G206" s="13"/>
      <c r="H206" s="8"/>
    </row>
    <row r="207" spans="1:8" ht="21" x14ac:dyDescent="0.3">
      <c r="A207" s="12"/>
      <c r="B207" s="13"/>
      <c r="C207" s="13"/>
      <c r="D207" s="13"/>
      <c r="E207" s="13"/>
      <c r="F207" s="13"/>
      <c r="G207" s="13"/>
      <c r="H207" s="8"/>
    </row>
    <row r="208" spans="1:8" ht="21" x14ac:dyDescent="0.3">
      <c r="A208" s="12"/>
      <c r="B208" s="13"/>
      <c r="C208" s="13"/>
      <c r="D208" s="13"/>
      <c r="E208" s="13"/>
      <c r="F208" s="13"/>
      <c r="G208" s="13"/>
      <c r="H208" s="8"/>
    </row>
    <row r="209" spans="1:8" ht="21" x14ac:dyDescent="0.3">
      <c r="A209" s="12"/>
      <c r="B209" s="13"/>
      <c r="C209" s="13"/>
      <c r="D209" s="13"/>
      <c r="E209" s="13"/>
      <c r="F209" s="13"/>
      <c r="G209" s="13"/>
      <c r="H209" s="8"/>
    </row>
    <row r="210" spans="1:8" ht="21" x14ac:dyDescent="0.3">
      <c r="A210" s="12"/>
      <c r="B210" s="13"/>
      <c r="C210" s="13"/>
      <c r="D210" s="13"/>
      <c r="E210" s="13"/>
      <c r="F210" s="13"/>
      <c r="G210" s="13"/>
      <c r="H210" s="8"/>
    </row>
    <row r="211" spans="1:8" ht="21" x14ac:dyDescent="0.3">
      <c r="A211" s="12"/>
      <c r="B211" s="13"/>
      <c r="C211" s="13"/>
      <c r="D211" s="13"/>
      <c r="E211" s="13"/>
      <c r="F211" s="13"/>
      <c r="G211" s="13"/>
      <c r="H211" s="8"/>
    </row>
    <row r="212" spans="1:8" ht="21" x14ac:dyDescent="0.3">
      <c r="A212" s="12"/>
      <c r="B212" s="13"/>
      <c r="C212" s="13"/>
      <c r="D212" s="13"/>
      <c r="E212" s="13"/>
      <c r="F212" s="13"/>
      <c r="G212" s="13"/>
      <c r="H212" s="8"/>
    </row>
    <row r="213" spans="1:8" ht="21" x14ac:dyDescent="0.3">
      <c r="A213" s="12"/>
      <c r="B213" s="13"/>
      <c r="C213" s="13"/>
      <c r="D213" s="13"/>
      <c r="E213" s="13"/>
      <c r="F213" s="13"/>
      <c r="G213" s="13"/>
      <c r="H213" s="8"/>
    </row>
    <row r="214" spans="1:8" ht="21" x14ac:dyDescent="0.3">
      <c r="A214" s="12"/>
      <c r="B214" s="13"/>
      <c r="C214" s="13"/>
      <c r="D214" s="13"/>
      <c r="E214" s="13"/>
      <c r="F214" s="13"/>
      <c r="G214" s="13"/>
      <c r="H214" s="8"/>
    </row>
    <row r="215" spans="1:8" ht="21" x14ac:dyDescent="0.3">
      <c r="A215" s="12"/>
      <c r="B215" s="13"/>
      <c r="C215" s="13"/>
      <c r="D215" s="13"/>
      <c r="E215" s="13"/>
      <c r="F215" s="13"/>
      <c r="G215" s="13"/>
      <c r="H215" s="8"/>
    </row>
    <row r="216" spans="1:8" ht="21" x14ac:dyDescent="0.3">
      <c r="A216" s="12"/>
      <c r="B216" s="13"/>
      <c r="C216" s="13"/>
      <c r="D216" s="13"/>
      <c r="E216" s="13"/>
      <c r="F216" s="13"/>
      <c r="G216" s="13"/>
      <c r="H216" s="8"/>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4"/>
      <c r="B234" s="15"/>
      <c r="C234" s="15"/>
      <c r="D234" s="15"/>
      <c r="E234" s="15"/>
      <c r="F234" s="15"/>
      <c r="G234" s="15"/>
      <c r="H234" s="9"/>
    </row>
    <row r="235" spans="1:8" ht="21" x14ac:dyDescent="0.3">
      <c r="A235" s="119" t="s">
        <v>77</v>
      </c>
      <c r="B235" s="120"/>
      <c r="C235" s="120"/>
      <c r="D235" s="120"/>
      <c r="E235" s="120"/>
      <c r="F235" s="120"/>
      <c r="G235" s="120"/>
      <c r="H235" s="121"/>
    </row>
    <row r="236" spans="1:8" ht="21" x14ac:dyDescent="0.3">
      <c r="A236" s="10"/>
      <c r="B236" s="11"/>
      <c r="C236" s="11"/>
      <c r="D236" s="11"/>
      <c r="E236" s="11"/>
      <c r="F236" s="11"/>
      <c r="G236" s="11"/>
      <c r="H236" s="7"/>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
      <c r="B256" s="13"/>
      <c r="C256" s="13"/>
      <c r="D256" s="13"/>
      <c r="E256" s="13"/>
      <c r="F256" s="13"/>
      <c r="G256" s="13"/>
      <c r="H256" s="8"/>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5" t="s">
        <v>24</v>
      </c>
      <c r="B261" s="125"/>
      <c r="C261" s="125"/>
      <c r="D261" s="125"/>
      <c r="E261" s="125"/>
      <c r="F261" s="125"/>
      <c r="G261" s="125"/>
      <c r="H261" s="125"/>
    </row>
    <row r="262" spans="1:8" ht="21" x14ac:dyDescent="0.3">
      <c r="A262" s="131" t="s">
        <v>78</v>
      </c>
      <c r="B262" s="132"/>
      <c r="C262" s="132"/>
      <c r="D262" s="132"/>
      <c r="E262" s="132"/>
      <c r="F262" s="132"/>
      <c r="G262" s="132"/>
      <c r="H262" s="133"/>
    </row>
    <row r="263" spans="1:8" ht="21" x14ac:dyDescent="0.3">
      <c r="A263" s="134" t="s">
        <v>79</v>
      </c>
      <c r="B263" s="135"/>
      <c r="C263" s="135"/>
      <c r="D263" s="135"/>
      <c r="E263" s="135"/>
      <c r="F263" s="135"/>
      <c r="G263" s="135"/>
      <c r="H263" s="136"/>
    </row>
    <row r="264" spans="1:8" ht="45" customHeight="1" x14ac:dyDescent="0.3">
      <c r="A264" s="134" t="s">
        <v>80</v>
      </c>
      <c r="B264" s="135"/>
      <c r="C264" s="135"/>
      <c r="D264" s="135"/>
      <c r="E264" s="135"/>
      <c r="F264" s="135"/>
      <c r="G264" s="135"/>
      <c r="H264" s="136"/>
    </row>
    <row r="265" spans="1:8" ht="42.75" customHeight="1" x14ac:dyDescent="0.3">
      <c r="A265" s="134" t="s">
        <v>81</v>
      </c>
      <c r="B265" s="135"/>
      <c r="C265" s="135"/>
      <c r="D265" s="135"/>
      <c r="E265" s="135"/>
      <c r="F265" s="135"/>
      <c r="G265" s="135"/>
      <c r="H265" s="136"/>
    </row>
    <row r="266" spans="1:8" ht="21" x14ac:dyDescent="0.3">
      <c r="A266" s="134" t="s">
        <v>82</v>
      </c>
      <c r="B266" s="135"/>
      <c r="C266" s="135"/>
      <c r="D266" s="135"/>
      <c r="E266" s="135"/>
      <c r="F266" s="135"/>
      <c r="G266" s="135"/>
      <c r="H266" s="136"/>
    </row>
    <row r="267" spans="1:8" ht="21" x14ac:dyDescent="0.3">
      <c r="A267" s="134" t="s">
        <v>83</v>
      </c>
      <c r="B267" s="135"/>
      <c r="C267" s="135"/>
      <c r="D267" s="135"/>
      <c r="E267" s="135"/>
      <c r="F267" s="135"/>
      <c r="G267" s="135"/>
      <c r="H267" s="136"/>
    </row>
    <row r="268" spans="1:8" ht="45" customHeight="1" x14ac:dyDescent="0.3">
      <c r="A268" s="134" t="s">
        <v>84</v>
      </c>
      <c r="B268" s="135"/>
      <c r="C268" s="135"/>
      <c r="D268" s="135"/>
      <c r="E268" s="135"/>
      <c r="F268" s="135"/>
      <c r="G268" s="135"/>
      <c r="H268" s="136"/>
    </row>
    <row r="269" spans="1:8" ht="45" customHeight="1" x14ac:dyDescent="0.3">
      <c r="A269" s="134" t="s">
        <v>85</v>
      </c>
      <c r="B269" s="135"/>
      <c r="C269" s="135"/>
      <c r="D269" s="135"/>
      <c r="E269" s="135"/>
      <c r="F269" s="135"/>
      <c r="G269" s="135"/>
      <c r="H269" s="136"/>
    </row>
    <row r="270" spans="1:8" ht="21" x14ac:dyDescent="0.3">
      <c r="A270" s="137" t="s">
        <v>86</v>
      </c>
      <c r="B270" s="138"/>
      <c r="C270" s="138"/>
      <c r="D270" s="138"/>
      <c r="E270" s="138"/>
      <c r="F270" s="138"/>
      <c r="G270" s="138"/>
      <c r="H270" s="139"/>
    </row>
    <row r="271" spans="1:8" ht="57" customHeight="1" x14ac:dyDescent="0.3">
      <c r="A271" s="141" t="s">
        <v>30</v>
      </c>
      <c r="B271" s="142"/>
      <c r="C271" s="143" t="s">
        <v>361</v>
      </c>
      <c r="D271" s="144"/>
      <c r="E271" s="141" t="s">
        <v>9</v>
      </c>
      <c r="F271" s="142"/>
      <c r="G271" s="129"/>
      <c r="H271" s="129"/>
    </row>
  </sheetData>
  <mergeCells count="318">
    <mergeCell ref="G76:H76"/>
    <mergeCell ref="G64:H75"/>
    <mergeCell ref="A60:H60"/>
    <mergeCell ref="A63:B63"/>
    <mergeCell ref="A64:B64"/>
    <mergeCell ref="E63:F63"/>
    <mergeCell ref="E61:F61"/>
    <mergeCell ref="E62:F62"/>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1:D21"/>
    <mergeCell ref="C22:D22"/>
    <mergeCell ref="A14:B14"/>
    <mergeCell ref="A15:B15"/>
    <mergeCell ref="A16:B16"/>
    <mergeCell ref="A17:B17"/>
    <mergeCell ref="A18:B18"/>
    <mergeCell ref="A19:B19"/>
    <mergeCell ref="A20:B20"/>
    <mergeCell ref="C18:D18"/>
    <mergeCell ref="C19:D19"/>
    <mergeCell ref="C20:D2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65:B65"/>
    <mergeCell ref="C27:D27"/>
    <mergeCell ref="A72:B72"/>
    <mergeCell ref="A73:B73"/>
    <mergeCell ref="A74:B74"/>
    <mergeCell ref="A75:B75"/>
    <mergeCell ref="A66:B66"/>
    <mergeCell ref="A67:B67"/>
    <mergeCell ref="A69:B69"/>
    <mergeCell ref="E14:F14"/>
    <mergeCell ref="E15:F15"/>
    <mergeCell ref="E16:F16"/>
    <mergeCell ref="E17:F17"/>
    <mergeCell ref="E18:F18"/>
    <mergeCell ref="E19:F19"/>
    <mergeCell ref="A23:B23"/>
    <mergeCell ref="A24:B24"/>
    <mergeCell ref="E20:F20"/>
    <mergeCell ref="E21:F21"/>
    <mergeCell ref="E22:F22"/>
    <mergeCell ref="C14:D14"/>
    <mergeCell ref="C15:D15"/>
    <mergeCell ref="A105:B105"/>
    <mergeCell ref="A78:B78"/>
    <mergeCell ref="C78:D78"/>
    <mergeCell ref="C79:D79"/>
    <mergeCell ref="C80:D80"/>
    <mergeCell ref="E80:F80"/>
    <mergeCell ref="A82:F82"/>
    <mergeCell ref="A83:F83"/>
    <mergeCell ref="A84:F84"/>
    <mergeCell ref="C88:D88"/>
    <mergeCell ref="A79:B79"/>
    <mergeCell ref="G14:H14"/>
    <mergeCell ref="G16:H16"/>
    <mergeCell ref="G17:H17"/>
    <mergeCell ref="G15:H15"/>
    <mergeCell ref="G18:H18"/>
    <mergeCell ref="G19:H19"/>
    <mergeCell ref="G46:H46"/>
    <mergeCell ref="G31:H31"/>
    <mergeCell ref="G22:H22"/>
    <mergeCell ref="G36:H36"/>
    <mergeCell ref="G35:H35"/>
    <mergeCell ref="C24:H24"/>
    <mergeCell ref="C23:H23"/>
    <mergeCell ref="C16:D16"/>
    <mergeCell ref="C17:D17"/>
    <mergeCell ref="G271:H271"/>
    <mergeCell ref="A151:H151"/>
    <mergeCell ref="D153:H153"/>
    <mergeCell ref="A262:H262"/>
    <mergeCell ref="A268:H268"/>
    <mergeCell ref="A269:H269"/>
    <mergeCell ref="A270:H270"/>
    <mergeCell ref="A263:H263"/>
    <mergeCell ref="A264:H264"/>
    <mergeCell ref="A265:H265"/>
    <mergeCell ref="A266:H266"/>
    <mergeCell ref="A153:C153"/>
    <mergeCell ref="A261:H261"/>
    <mergeCell ref="A267:H267"/>
    <mergeCell ref="A235:H235"/>
    <mergeCell ref="D152:H152"/>
    <mergeCell ref="A154:C154"/>
    <mergeCell ref="D154:H154"/>
    <mergeCell ref="A193:H193"/>
    <mergeCell ref="E271:F271"/>
    <mergeCell ref="A271:B271"/>
    <mergeCell ref="C271:D271"/>
    <mergeCell ref="A1:H1"/>
    <mergeCell ref="A152:C152"/>
    <mergeCell ref="G27:H27"/>
    <mergeCell ref="G28:H28"/>
    <mergeCell ref="A37:H37"/>
    <mergeCell ref="A44:H44"/>
    <mergeCell ref="A50:H50"/>
    <mergeCell ref="A85:H85"/>
    <mergeCell ref="G83:H83"/>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A102:B102"/>
    <mergeCell ref="A103:B103"/>
    <mergeCell ref="A104:B104"/>
    <mergeCell ref="A97:B97"/>
    <mergeCell ref="C92:D92"/>
    <mergeCell ref="C93:D93"/>
    <mergeCell ref="A128:B128"/>
    <mergeCell ref="A130:B130"/>
    <mergeCell ref="A131:B131"/>
    <mergeCell ref="A126:B126"/>
    <mergeCell ref="A125:B125"/>
    <mergeCell ref="A123:H123"/>
    <mergeCell ref="A129:B129"/>
    <mergeCell ref="A127:B127"/>
    <mergeCell ref="E92:F92"/>
    <mergeCell ref="A98:B98"/>
    <mergeCell ref="A99:B99"/>
    <mergeCell ref="A100:B100"/>
    <mergeCell ref="A101:B101"/>
    <mergeCell ref="A106:B106"/>
    <mergeCell ref="A107:B107"/>
    <mergeCell ref="A108:B108"/>
    <mergeCell ref="A109:B109"/>
    <mergeCell ref="A110:B110"/>
    <mergeCell ref="A61:C62"/>
    <mergeCell ref="A70:B70"/>
    <mergeCell ref="G82:H82"/>
    <mergeCell ref="A96:H96"/>
    <mergeCell ref="A93:B93"/>
    <mergeCell ref="A90:H90"/>
    <mergeCell ref="A91:B91"/>
    <mergeCell ref="E91:F91"/>
    <mergeCell ref="G80:H80"/>
    <mergeCell ref="G84:H84"/>
    <mergeCell ref="A81:H81"/>
    <mergeCell ref="E78:F78"/>
    <mergeCell ref="A68:B68"/>
    <mergeCell ref="A71:B71"/>
    <mergeCell ref="A92:B92"/>
    <mergeCell ref="G92:H92"/>
    <mergeCell ref="G93:H93"/>
    <mergeCell ref="A80:B80"/>
    <mergeCell ref="E79:F79"/>
    <mergeCell ref="G79:H79"/>
    <mergeCell ref="C91:D91"/>
    <mergeCell ref="E93:F93"/>
    <mergeCell ref="A77:H77"/>
    <mergeCell ref="G78:H78"/>
    <mergeCell ref="A45:B45"/>
    <mergeCell ref="A46:B46"/>
    <mergeCell ref="A47:B47"/>
    <mergeCell ref="D46:F46"/>
    <mergeCell ref="D45:F45"/>
    <mergeCell ref="D47:F47"/>
    <mergeCell ref="A48:B48"/>
    <mergeCell ref="D48:F48"/>
    <mergeCell ref="A58:B58"/>
    <mergeCell ref="A59:B59"/>
    <mergeCell ref="C56:F56"/>
    <mergeCell ref="C57:F57"/>
    <mergeCell ref="C58:F58"/>
    <mergeCell ref="C59:F59"/>
    <mergeCell ref="E64:F75"/>
    <mergeCell ref="A76:F76"/>
    <mergeCell ref="A94:H94"/>
    <mergeCell ref="E86:F86"/>
    <mergeCell ref="E87:F87"/>
    <mergeCell ref="E88:F88"/>
    <mergeCell ref="E89:F89"/>
    <mergeCell ref="A86:B86"/>
    <mergeCell ref="A87:B87"/>
    <mergeCell ref="A88:B88"/>
    <mergeCell ref="C86:D86"/>
    <mergeCell ref="A89:B89"/>
    <mergeCell ref="C87:D87"/>
    <mergeCell ref="G86:H86"/>
    <mergeCell ref="G87:H87"/>
    <mergeCell ref="G88:H88"/>
    <mergeCell ref="G89:H89"/>
    <mergeCell ref="C89:D89"/>
    <mergeCell ref="G91:H91"/>
    <mergeCell ref="A111:B111"/>
    <mergeCell ref="A112:B112"/>
    <mergeCell ref="A113:B113"/>
    <mergeCell ref="A114:B114"/>
    <mergeCell ref="A115:B115"/>
    <mergeCell ref="A116:B116"/>
    <mergeCell ref="A117:B117"/>
    <mergeCell ref="A118:B118"/>
    <mergeCell ref="A119:B119"/>
    <mergeCell ref="A138:B138"/>
    <mergeCell ref="A139:B139"/>
    <mergeCell ref="A140:B140"/>
    <mergeCell ref="D135:H135"/>
    <mergeCell ref="B150:H150"/>
    <mergeCell ref="A120:B120"/>
    <mergeCell ref="A121:H121"/>
    <mergeCell ref="A122:H122"/>
    <mergeCell ref="A132:H132"/>
    <mergeCell ref="A133:B133"/>
    <mergeCell ref="A134:B134"/>
    <mergeCell ref="A135:B135"/>
    <mergeCell ref="A136:B136"/>
    <mergeCell ref="A137:B137"/>
    <mergeCell ref="A124:B124"/>
    <mergeCell ref="B149:H149"/>
    <mergeCell ref="B143:H143"/>
    <mergeCell ref="B142:H142"/>
    <mergeCell ref="B146:H146"/>
    <mergeCell ref="B145:H145"/>
    <mergeCell ref="B144:H144"/>
    <mergeCell ref="B147:H147"/>
    <mergeCell ref="B148:H148"/>
    <mergeCell ref="A141:H141"/>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80" xr:uid="{00000000-0002-0000-0000-000002000000}">
      <formula1>"300000,350000,400000,500000,600000,700000,800000,900000,1000000,1200000,1400000,1500000,1600000"</formula1>
    </dataValidation>
    <dataValidation type="list" allowBlank="1" showInputMessage="1" showErrorMessage="1" sqref="F95" xr:uid="{00000000-0002-0000-0000-000003000000}">
      <formula1>"Fungible area,Balcony Area + 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95" xr:uid="{00000000-0002-0000-0000-000006000000}">
      <formula1>"Sale /         Rehab /           PAP,Sale / Mhada,Sale / Landowner"</formula1>
    </dataValidation>
  </dataValidations>
  <hyperlinks>
    <hyperlink ref="C23" r:id="rId1" xr:uid="{70B7F61E-589A-4DB6-ACA3-30F485F50AFE}"/>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9" max="16383" man="1"/>
    <brk id="150" max="8" man="1"/>
    <brk id="192" max="16383" man="1"/>
    <brk id="23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25" t="s">
        <v>69</v>
      </c>
      <c r="B3" s="125"/>
      <c r="C3" s="125"/>
      <c r="D3" s="125"/>
      <c r="E3" s="125"/>
      <c r="F3" s="125"/>
      <c r="G3" s="125"/>
      <c r="H3" s="125"/>
      <c r="I3" s="125"/>
    </row>
    <row r="4" spans="1:11" s="1" customFormat="1" ht="20.25" customHeight="1" x14ac:dyDescent="0.4">
      <c r="A4" s="170">
        <v>1</v>
      </c>
      <c r="B4" s="170"/>
      <c r="C4" s="170"/>
      <c r="D4" s="171" t="s">
        <v>4</v>
      </c>
      <c r="E4" s="30" t="s">
        <v>117</v>
      </c>
      <c r="F4" s="160" t="s">
        <v>104</v>
      </c>
      <c r="G4" s="160"/>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70"/>
      <c r="B5" s="170"/>
      <c r="C5" s="170"/>
      <c r="D5" s="171"/>
      <c r="E5" s="30">
        <v>3</v>
      </c>
      <c r="F5" s="160">
        <v>1</v>
      </c>
      <c r="G5" s="160"/>
      <c r="H5" s="30">
        <v>0</v>
      </c>
      <c r="I5" s="30">
        <f ca="1">--TRIM(RIGHT(SUBSTITUTE(LEFT(A4,_xlfn.AGGREGATE(16,6,FIND({0,1,2,3,4,5,6,7,8,9},A4,ROW(INDIRECT("1:"&amp;LEN(A4)))),1))," ",REPT(" ",LEN(A4))),LEN(A4)))</f>
        <v>1</v>
      </c>
      <c r="J5" s="17" t="s">
        <v>123</v>
      </c>
      <c r="K5" s="18"/>
    </row>
    <row r="6" spans="1:11" s="1" customFormat="1" ht="20.25" customHeight="1" x14ac:dyDescent="0.4">
      <c r="A6" s="159" t="s">
        <v>121</v>
      </c>
      <c r="B6" s="159"/>
      <c r="C6" s="159" t="s">
        <v>131</v>
      </c>
      <c r="D6" s="159"/>
      <c r="E6" s="28" t="s">
        <v>132</v>
      </c>
      <c r="F6" s="159" t="s">
        <v>122</v>
      </c>
      <c r="G6" s="159"/>
      <c r="H6" s="29" t="s">
        <v>120</v>
      </c>
      <c r="I6" s="29"/>
      <c r="J6" s="20" t="s">
        <v>133</v>
      </c>
      <c r="K6" s="19">
        <f ca="1">I5*25%</f>
        <v>0.25</v>
      </c>
    </row>
    <row r="7" spans="1:11" s="1" customFormat="1" ht="20.25" customHeight="1" x14ac:dyDescent="0.4">
      <c r="A7" s="124" t="s">
        <v>134</v>
      </c>
      <c r="B7" s="124"/>
      <c r="C7" s="160">
        <f ca="1">K8</f>
        <v>1</v>
      </c>
      <c r="D7" s="160"/>
      <c r="E7" s="5">
        <f ca="1">((100/I5)*C7)/100</f>
        <v>1</v>
      </c>
      <c r="F7" s="124">
        <f ca="1">(((C7/I5*5)+(C8/I5*20)+(25/(F5+H5+I5)*C9)+(5/(I5)*C10)+(2.5/(I5)*C11)+(2.5/(I5)*C12)+(5/I5*C13)+(10/I5*C14)+(2.5/I5*C15)+(2.5/I5*C16)+(10/I5*C17)+(10/I5*C18))/100)</f>
        <v>0.25</v>
      </c>
      <c r="G7" s="124"/>
      <c r="H7" s="124" t="str">
        <f ca="1">J4</f>
        <v>Excavation work Completed. Plinth work completed</v>
      </c>
      <c r="I7" s="124"/>
      <c r="J7" s="20" t="s">
        <v>124</v>
      </c>
      <c r="K7" s="24">
        <f ca="1">I5*50%</f>
        <v>0.5</v>
      </c>
    </row>
    <row r="8" spans="1:11" s="1" customFormat="1" ht="21" x14ac:dyDescent="0.4">
      <c r="A8" s="124" t="s">
        <v>105</v>
      </c>
      <c r="B8" s="124"/>
      <c r="C8" s="169">
        <f ca="1">K16</f>
        <v>1</v>
      </c>
      <c r="D8" s="160"/>
      <c r="E8" s="5">
        <f ca="1">((100/I5)*C8)/100</f>
        <v>1</v>
      </c>
      <c r="F8" s="124"/>
      <c r="G8" s="124"/>
      <c r="H8" s="124"/>
      <c r="I8" s="124"/>
      <c r="J8" s="20" t="s">
        <v>125</v>
      </c>
      <c r="K8" s="24">
        <f ca="1">I5</f>
        <v>1</v>
      </c>
    </row>
    <row r="9" spans="1:11" s="1" customFormat="1" ht="21" customHeight="1" x14ac:dyDescent="0.4">
      <c r="A9" s="124" t="s">
        <v>135</v>
      </c>
      <c r="B9" s="124"/>
      <c r="C9" s="160">
        <v>0</v>
      </c>
      <c r="D9" s="160"/>
      <c r="E9" s="5">
        <f ca="1">((100/(F5+H5+I5))*C9)/100</f>
        <v>0</v>
      </c>
      <c r="F9" s="124"/>
      <c r="G9" s="124"/>
      <c r="H9" s="124"/>
      <c r="I9" s="124"/>
      <c r="J9" s="20" t="s">
        <v>126</v>
      </c>
      <c r="K9" s="25">
        <f ca="1">(IF(E5&gt;1,(I5/(E5+2)),I5*0.2))</f>
        <v>0.2</v>
      </c>
    </row>
    <row r="10" spans="1:11" s="1" customFormat="1" ht="21" customHeight="1" x14ac:dyDescent="0.4">
      <c r="A10" s="124" t="s">
        <v>136</v>
      </c>
      <c r="B10" s="124"/>
      <c r="C10" s="160">
        <v>0</v>
      </c>
      <c r="D10" s="160"/>
      <c r="E10" s="5">
        <f ca="1">((100/I5)*C10)/100</f>
        <v>0</v>
      </c>
      <c r="F10" s="124"/>
      <c r="G10" s="124"/>
      <c r="H10" s="124"/>
      <c r="I10" s="124"/>
      <c r="J10" s="20" t="s">
        <v>127</v>
      </c>
      <c r="K10" s="25">
        <f ca="1">(IF(E5&gt;1,(I5/(E5+2)+K9),I5*0.2+K9))</f>
        <v>0.4</v>
      </c>
    </row>
    <row r="11" spans="1:11" s="1" customFormat="1" ht="21" customHeight="1" x14ac:dyDescent="0.4">
      <c r="A11" s="107" t="s">
        <v>137</v>
      </c>
      <c r="B11" s="108"/>
      <c r="C11" s="160">
        <v>0</v>
      </c>
      <c r="D11" s="160"/>
      <c r="E11" s="5">
        <f ca="1">((100/I5)*C11)/100</f>
        <v>0</v>
      </c>
      <c r="F11" s="124"/>
      <c r="G11" s="124"/>
      <c r="H11" s="124"/>
      <c r="I11" s="124"/>
      <c r="J11" s="20" t="s">
        <v>138</v>
      </c>
      <c r="K11" s="25">
        <f ca="1">(IF(E5&gt;1,(I5/(E5+2)+K10),0))</f>
        <v>0.60000000000000009</v>
      </c>
    </row>
    <row r="12" spans="1:11" s="1" customFormat="1" ht="21" customHeight="1" x14ac:dyDescent="0.4">
      <c r="A12" s="107" t="s">
        <v>168</v>
      </c>
      <c r="B12" s="108"/>
      <c r="C12" s="160">
        <v>0</v>
      </c>
      <c r="D12" s="160"/>
      <c r="E12" s="5">
        <f ca="1">((100/I5)*C12)/100</f>
        <v>0</v>
      </c>
      <c r="F12" s="124"/>
      <c r="G12" s="124"/>
      <c r="H12" s="124"/>
      <c r="I12" s="124"/>
      <c r="J12" s="20" t="s">
        <v>139</v>
      </c>
      <c r="K12" s="25">
        <f ca="1">(IF(E5&gt;2,(I5/(E5+2)+K11),0))</f>
        <v>0.8</v>
      </c>
    </row>
    <row r="13" spans="1:11" s="1" customFormat="1" ht="57.75" customHeight="1" x14ac:dyDescent="0.4">
      <c r="A13" s="107" t="s">
        <v>165</v>
      </c>
      <c r="B13" s="108"/>
      <c r="C13" s="160">
        <v>0</v>
      </c>
      <c r="D13" s="160"/>
      <c r="E13" s="5">
        <f ca="1">((100/(I5))*C13)/100</f>
        <v>0</v>
      </c>
      <c r="F13" s="124"/>
      <c r="G13" s="124"/>
      <c r="H13" s="124"/>
      <c r="I13" s="124"/>
      <c r="J13" s="20" t="s">
        <v>141</v>
      </c>
      <c r="K13" s="26">
        <f>(IF(E5&gt;3,(I5/(E5+2)+K12),0))</f>
        <v>0</v>
      </c>
    </row>
    <row r="14" spans="1:11" s="1" customFormat="1" ht="21" x14ac:dyDescent="0.4">
      <c r="A14" s="124" t="s">
        <v>140</v>
      </c>
      <c r="B14" s="124"/>
      <c r="C14" s="160">
        <v>0</v>
      </c>
      <c r="D14" s="160"/>
      <c r="E14" s="5">
        <f ca="1">((100/(I5))*C14)/100</f>
        <v>0</v>
      </c>
      <c r="F14" s="124"/>
      <c r="G14" s="124"/>
      <c r="H14" s="124"/>
      <c r="I14" s="124"/>
      <c r="J14" s="20" t="s">
        <v>142</v>
      </c>
      <c r="K14" s="25">
        <f>(IF(E5&gt;4,(I5/(E5+2)+K13),0))</f>
        <v>0</v>
      </c>
    </row>
    <row r="15" spans="1:11" s="1" customFormat="1" ht="21" customHeight="1" x14ac:dyDescent="0.4">
      <c r="A15" s="124" t="s">
        <v>167</v>
      </c>
      <c r="B15" s="124"/>
      <c r="C15" s="160">
        <v>0</v>
      </c>
      <c r="D15" s="160"/>
      <c r="E15" s="5">
        <f ca="1">((100/I5)*C15)/100</f>
        <v>0</v>
      </c>
      <c r="F15" s="124"/>
      <c r="G15" s="124"/>
      <c r="H15" s="124"/>
      <c r="I15" s="124"/>
      <c r="J15" s="20" t="s">
        <v>128</v>
      </c>
      <c r="K15" s="25">
        <f>(IF(E5=1,(I5/(E5+3)+K10),IF(E5=0,(I5*0.3+K10),IF(E5&gt;1,0))))</f>
        <v>0</v>
      </c>
    </row>
    <row r="16" spans="1:11" s="1" customFormat="1" ht="21.6" thickBot="1" x14ac:dyDescent="0.45">
      <c r="A16" s="124" t="s">
        <v>166</v>
      </c>
      <c r="B16" s="124"/>
      <c r="C16" s="160">
        <v>0</v>
      </c>
      <c r="D16" s="160"/>
      <c r="E16" s="5">
        <f ca="1">((100/I5)*C16)/100</f>
        <v>0</v>
      </c>
      <c r="F16" s="124"/>
      <c r="G16" s="124"/>
      <c r="H16" s="124"/>
      <c r="I16" s="124"/>
      <c r="J16" s="22" t="s">
        <v>129</v>
      </c>
      <c r="K16" s="27">
        <f ca="1">(IF(E5&gt;1.5,(I5/(E5+2)+K10+MAX(0,K11-K10)+MAX(0,K12-K11)+MAX(0,K13-K12)+MAX(0,K14-K13)+MAX(0,K15-K14)),IF(E5=1,(I5/(E5+3)+K15),IF(E5=0,I5*0.3+K15))))</f>
        <v>1</v>
      </c>
    </row>
    <row r="17" spans="1:9" s="1" customFormat="1" ht="21" x14ac:dyDescent="0.3">
      <c r="A17" s="124" t="s">
        <v>143</v>
      </c>
      <c r="B17" s="124"/>
      <c r="C17" s="160">
        <v>0</v>
      </c>
      <c r="D17" s="160"/>
      <c r="E17" s="5">
        <f ca="1">((100/(I5))*C17)/100</f>
        <v>0</v>
      </c>
      <c r="F17" s="124"/>
      <c r="G17" s="124"/>
      <c r="H17" s="124"/>
      <c r="I17" s="124"/>
    </row>
    <row r="18" spans="1:9" s="1" customFormat="1" ht="21" x14ac:dyDescent="0.3">
      <c r="A18" s="124" t="s">
        <v>144</v>
      </c>
      <c r="B18" s="124"/>
      <c r="C18" s="160">
        <v>0</v>
      </c>
      <c r="D18" s="160"/>
      <c r="E18" s="5">
        <f ca="1">((100/(I5))*C18)/100</f>
        <v>0</v>
      </c>
      <c r="F18" s="124"/>
      <c r="G18" s="124"/>
      <c r="H18" s="124"/>
      <c r="I18" s="124"/>
    </row>
    <row r="23" spans="1:9" x14ac:dyDescent="0.3">
      <c r="B23" s="168" t="s">
        <v>169</v>
      </c>
      <c r="C23" s="168"/>
      <c r="D23" s="168"/>
      <c r="E23" s="168"/>
      <c r="F23" s="168"/>
      <c r="G23" s="168"/>
    </row>
    <row r="24" spans="1:9" ht="14.4" customHeight="1" x14ac:dyDescent="0.3">
      <c r="B24" s="163" t="s">
        <v>170</v>
      </c>
      <c r="C24" s="163" t="s">
        <v>171</v>
      </c>
      <c r="D24" s="166" t="s">
        <v>172</v>
      </c>
      <c r="E24" s="167" t="s">
        <v>173</v>
      </c>
      <c r="F24" s="164" t="s">
        <v>174</v>
      </c>
      <c r="G24" s="163" t="s">
        <v>175</v>
      </c>
    </row>
    <row r="25" spans="1:9" x14ac:dyDescent="0.3">
      <c r="B25" s="163"/>
      <c r="C25" s="163"/>
      <c r="D25" s="166"/>
      <c r="E25" s="167"/>
      <c r="F25" s="164"/>
      <c r="G25" s="163"/>
    </row>
    <row r="26" spans="1:9" x14ac:dyDescent="0.3">
      <c r="B26" s="38" t="s">
        <v>176</v>
      </c>
      <c r="C26" s="39">
        <v>10</v>
      </c>
      <c r="D26" s="39">
        <v>1</v>
      </c>
      <c r="E26" s="40"/>
      <c r="F26" s="41">
        <f>((E26/D26)*0.05)*100</f>
        <v>0</v>
      </c>
      <c r="G26" s="41">
        <f t="shared" ref="G26:G37" si="0">((E26/D26)*(C26/100))*100</f>
        <v>0</v>
      </c>
    </row>
    <row r="27" spans="1:9" x14ac:dyDescent="0.3">
      <c r="B27" s="38" t="s">
        <v>177</v>
      </c>
      <c r="C27" s="40">
        <v>10</v>
      </c>
      <c r="D27" s="40">
        <v>1</v>
      </c>
      <c r="E27" s="40"/>
      <c r="F27" s="41">
        <f>((E27/D27)*0.05)*100</f>
        <v>0</v>
      </c>
      <c r="G27" s="41">
        <f t="shared" si="0"/>
        <v>0</v>
      </c>
    </row>
    <row r="28" spans="1:9" x14ac:dyDescent="0.3">
      <c r="B28" s="38" t="s">
        <v>178</v>
      </c>
      <c r="C28" s="40">
        <v>15</v>
      </c>
      <c r="D28" s="40">
        <v>1</v>
      </c>
      <c r="E28" s="40"/>
      <c r="F28" s="41">
        <f>((E28/D28)*0.15)*100</f>
        <v>0</v>
      </c>
      <c r="G28" s="41">
        <f t="shared" si="0"/>
        <v>0</v>
      </c>
    </row>
    <row r="29" spans="1:9" x14ac:dyDescent="0.3">
      <c r="B29" s="42" t="s">
        <v>179</v>
      </c>
      <c r="C29" s="40">
        <v>25</v>
      </c>
      <c r="D29" s="40">
        <v>40</v>
      </c>
      <c r="E29" s="40"/>
      <c r="F29" s="41">
        <f>((E29/D29)*0.25)*100</f>
        <v>0</v>
      </c>
      <c r="G29" s="41">
        <f t="shared" si="0"/>
        <v>0</v>
      </c>
    </row>
    <row r="30" spans="1:9" x14ac:dyDescent="0.3">
      <c r="B30" s="42" t="s">
        <v>180</v>
      </c>
      <c r="C30" s="40">
        <v>5</v>
      </c>
      <c r="D30" s="40">
        <v>39</v>
      </c>
      <c r="E30" s="40"/>
      <c r="F30" s="41">
        <f>((E30/D30)*0.05)*100</f>
        <v>0</v>
      </c>
      <c r="G30" s="41">
        <f t="shared" si="0"/>
        <v>0</v>
      </c>
    </row>
    <row r="31" spans="1:9" ht="28.8" x14ac:dyDescent="0.3">
      <c r="B31" s="42" t="s">
        <v>181</v>
      </c>
      <c r="C31" s="40">
        <v>2.5</v>
      </c>
      <c r="D31" s="40">
        <v>39</v>
      </c>
      <c r="E31" s="40"/>
      <c r="F31" s="41">
        <f>((E31/D31)*0.025)*100</f>
        <v>0</v>
      </c>
      <c r="G31" s="41">
        <f t="shared" si="0"/>
        <v>0</v>
      </c>
    </row>
    <row r="32" spans="1:9" ht="28.8" x14ac:dyDescent="0.3">
      <c r="B32" s="42" t="s">
        <v>182</v>
      </c>
      <c r="C32" s="40">
        <v>2.5</v>
      </c>
      <c r="D32" s="40">
        <v>39</v>
      </c>
      <c r="E32" s="40"/>
      <c r="F32" s="41">
        <f>((E32/D32)*0.025)*100</f>
        <v>0</v>
      </c>
      <c r="G32" s="41">
        <f t="shared" si="0"/>
        <v>0</v>
      </c>
    </row>
    <row r="33" spans="1:7" ht="43.2" x14ac:dyDescent="0.3">
      <c r="B33" s="43" t="s">
        <v>183</v>
      </c>
      <c r="C33" s="40">
        <v>5</v>
      </c>
      <c r="D33" s="40">
        <v>39</v>
      </c>
      <c r="E33" s="40"/>
      <c r="F33" s="41">
        <f>((E33/D33)*0.05)*100</f>
        <v>0</v>
      </c>
      <c r="G33" s="41">
        <f t="shared" si="0"/>
        <v>0</v>
      </c>
    </row>
    <row r="34" spans="1:7" ht="28.8" x14ac:dyDescent="0.3">
      <c r="B34" s="43" t="s">
        <v>184</v>
      </c>
      <c r="C34" s="40">
        <v>5</v>
      </c>
      <c r="D34" s="40">
        <v>39</v>
      </c>
      <c r="E34" s="40"/>
      <c r="F34" s="41">
        <f>((E34/D34)*0.1)*100</f>
        <v>0</v>
      </c>
      <c r="G34" s="41">
        <f t="shared" si="0"/>
        <v>0</v>
      </c>
    </row>
    <row r="35" spans="1:7" ht="28.8" x14ac:dyDescent="0.3">
      <c r="B35" s="43" t="s">
        <v>185</v>
      </c>
      <c r="C35" s="40">
        <v>5</v>
      </c>
      <c r="D35" s="40">
        <v>39</v>
      </c>
      <c r="E35" s="40"/>
      <c r="F35" s="41">
        <f>((E35/D35)*0.05)*100</f>
        <v>0</v>
      </c>
      <c r="G35" s="41">
        <f t="shared" si="0"/>
        <v>0</v>
      </c>
    </row>
    <row r="36" spans="1:7" ht="43.2" x14ac:dyDescent="0.3">
      <c r="B36" s="43" t="s">
        <v>186</v>
      </c>
      <c r="C36" s="40">
        <v>10</v>
      </c>
      <c r="D36" s="40">
        <v>39</v>
      </c>
      <c r="E36" s="40"/>
      <c r="F36" s="41">
        <f>((E36/D36)*0.1)*100</f>
        <v>0</v>
      </c>
      <c r="G36" s="41">
        <f t="shared" si="0"/>
        <v>0</v>
      </c>
    </row>
    <row r="37" spans="1:7" ht="43.2" x14ac:dyDescent="0.3">
      <c r="B37" s="43" t="s">
        <v>187</v>
      </c>
      <c r="C37" s="40">
        <v>5</v>
      </c>
      <c r="D37" s="40">
        <v>39</v>
      </c>
      <c r="E37" s="40"/>
      <c r="F37" s="41">
        <f>((E37/D37)*0.1)*100</f>
        <v>0</v>
      </c>
      <c r="G37" s="41">
        <f t="shared" si="0"/>
        <v>0</v>
      </c>
    </row>
    <row r="38" spans="1:7" ht="15.6" x14ac:dyDescent="0.3">
      <c r="B38" s="44" t="s">
        <v>188</v>
      </c>
      <c r="C38" s="45">
        <f>SUM(C26:C37)</f>
        <v>100</v>
      </c>
      <c r="D38" s="44"/>
      <c r="E38" s="44"/>
      <c r="F38" s="45">
        <f>SUM(F26:F37)</f>
        <v>0</v>
      </c>
      <c r="G38" s="45">
        <f>SUM(G26:G37)</f>
        <v>0</v>
      </c>
    </row>
    <row r="39" spans="1:7" x14ac:dyDescent="0.3">
      <c r="B39" s="164" t="s">
        <v>189</v>
      </c>
      <c r="C39" s="164"/>
      <c r="D39" s="164"/>
      <c r="E39" s="164"/>
      <c r="F39" s="164"/>
      <c r="G39" s="164"/>
    </row>
    <row r="40" spans="1:7" x14ac:dyDescent="0.3">
      <c r="B40" s="165" t="s">
        <v>190</v>
      </c>
      <c r="C40" s="165"/>
      <c r="D40" s="165"/>
      <c r="E40" s="165" t="s">
        <v>191</v>
      </c>
      <c r="F40" s="165"/>
      <c r="G40" s="165"/>
    </row>
    <row r="41" spans="1:7" x14ac:dyDescent="0.3">
      <c r="B41" s="161" t="s">
        <v>192</v>
      </c>
      <c r="C41" s="161"/>
      <c r="D41" s="161"/>
      <c r="E41" s="161" t="s">
        <v>193</v>
      </c>
      <c r="F41" s="161"/>
      <c r="G41" s="161"/>
    </row>
    <row r="42" spans="1:7" x14ac:dyDescent="0.3">
      <c r="B42" s="161" t="s">
        <v>194</v>
      </c>
      <c r="C42" s="161"/>
      <c r="D42" s="161"/>
      <c r="E42" s="161" t="s">
        <v>195</v>
      </c>
      <c r="F42" s="161"/>
      <c r="G42" s="161"/>
    </row>
    <row r="43" spans="1:7" x14ac:dyDescent="0.3">
      <c r="B43" s="162" t="s">
        <v>196</v>
      </c>
      <c r="C43" s="162"/>
      <c r="D43" s="162"/>
      <c r="E43" s="162" t="s">
        <v>197</v>
      </c>
      <c r="F43" s="162"/>
      <c r="G43" s="162"/>
    </row>
    <row r="45" spans="1:7" ht="15" thickBot="1" x14ac:dyDescent="0.35"/>
    <row r="46" spans="1:7" ht="16.8" thickTop="1" thickBot="1" x14ac:dyDescent="0.35">
      <c r="A46" s="46" t="s">
        <v>198</v>
      </c>
      <c r="B46" s="46" t="s">
        <v>170</v>
      </c>
      <c r="C46" s="47" t="s">
        <v>199</v>
      </c>
      <c r="D46" s="47" t="s">
        <v>200</v>
      </c>
      <c r="E46" s="47" t="s">
        <v>201</v>
      </c>
    </row>
    <row r="47" spans="1:7" ht="30" thickTop="1" thickBot="1" x14ac:dyDescent="0.35">
      <c r="A47" s="48">
        <v>1</v>
      </c>
      <c r="B47" s="49" t="s">
        <v>202</v>
      </c>
      <c r="C47" s="50">
        <v>0</v>
      </c>
      <c r="D47" s="51">
        <v>0.1</v>
      </c>
      <c r="E47" s="50">
        <v>0.1</v>
      </c>
    </row>
    <row r="48" spans="1:7" ht="15.6" thickTop="1" thickBot="1" x14ac:dyDescent="0.35">
      <c r="A48" s="48">
        <v>2</v>
      </c>
      <c r="B48" s="49" t="s">
        <v>203</v>
      </c>
      <c r="C48" s="50" t="s">
        <v>204</v>
      </c>
      <c r="D48" s="51" t="s">
        <v>205</v>
      </c>
      <c r="E48" s="50">
        <v>0.3</v>
      </c>
    </row>
    <row r="49" spans="1:5" ht="58.8" thickTop="1" thickBot="1" x14ac:dyDescent="0.35">
      <c r="A49" s="48">
        <v>3</v>
      </c>
      <c r="B49" s="49" t="s">
        <v>206</v>
      </c>
      <c r="C49" s="50" t="s">
        <v>207</v>
      </c>
      <c r="D49" s="51" t="s">
        <v>208</v>
      </c>
      <c r="E49" s="50">
        <v>0.45</v>
      </c>
    </row>
    <row r="50" spans="1:5" ht="73.2" thickTop="1" thickBot="1" x14ac:dyDescent="0.35">
      <c r="A50" s="48">
        <v>4</v>
      </c>
      <c r="B50" s="49" t="s">
        <v>209</v>
      </c>
      <c r="C50" s="50" t="s">
        <v>210</v>
      </c>
      <c r="D50" s="51" t="s">
        <v>211</v>
      </c>
      <c r="E50" s="50">
        <v>0.7</v>
      </c>
    </row>
    <row r="51" spans="1:5" ht="58.8" thickTop="1" thickBot="1" x14ac:dyDescent="0.35">
      <c r="A51" s="48">
        <v>5</v>
      </c>
      <c r="B51" s="49" t="s">
        <v>212</v>
      </c>
      <c r="C51" s="50" t="s">
        <v>213</v>
      </c>
      <c r="D51" s="51" t="s">
        <v>214</v>
      </c>
      <c r="E51" s="50">
        <v>0.75</v>
      </c>
    </row>
    <row r="52" spans="1:5" ht="73.2" thickTop="1" thickBot="1" x14ac:dyDescent="0.35">
      <c r="A52" s="48">
        <v>6</v>
      </c>
      <c r="B52" s="49" t="s">
        <v>215</v>
      </c>
      <c r="C52" s="50" t="s">
        <v>216</v>
      </c>
      <c r="D52" s="51" t="s">
        <v>217</v>
      </c>
      <c r="E52" s="50">
        <v>0.8</v>
      </c>
    </row>
    <row r="53" spans="1:5" ht="102" thickTop="1" thickBot="1" x14ac:dyDescent="0.35">
      <c r="A53" s="48">
        <v>7</v>
      </c>
      <c r="B53" s="49" t="s">
        <v>218</v>
      </c>
      <c r="C53" s="50" t="s">
        <v>219</v>
      </c>
      <c r="D53" s="51" t="s">
        <v>220</v>
      </c>
      <c r="E53" s="50">
        <v>0.85</v>
      </c>
    </row>
    <row r="54" spans="1:5" ht="174" thickTop="1" thickBot="1" x14ac:dyDescent="0.35">
      <c r="A54" s="48">
        <v>8</v>
      </c>
      <c r="B54" s="49" t="s">
        <v>221</v>
      </c>
      <c r="C54" s="50" t="s">
        <v>222</v>
      </c>
      <c r="D54" s="51" t="s">
        <v>223</v>
      </c>
      <c r="E54" s="50">
        <v>0.95</v>
      </c>
    </row>
    <row r="55" spans="1:5" ht="87.6" thickTop="1" thickBot="1" x14ac:dyDescent="0.35">
      <c r="A55" s="48">
        <v>9</v>
      </c>
      <c r="B55" s="49" t="s">
        <v>224</v>
      </c>
      <c r="C55" s="50" t="s">
        <v>225</v>
      </c>
      <c r="D55" s="51" t="s">
        <v>226</v>
      </c>
      <c r="E55" s="50">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40">
        <v>1</v>
      </c>
      <c r="C2" s="57" t="s">
        <v>245</v>
      </c>
    </row>
    <row r="3" spans="2:3" x14ac:dyDescent="0.3">
      <c r="B3" s="40">
        <v>2</v>
      </c>
      <c r="C3" s="58" t="s">
        <v>246</v>
      </c>
    </row>
    <row r="4" spans="2:3" x14ac:dyDescent="0.3">
      <c r="B4" s="40">
        <v>3</v>
      </c>
      <c r="C4" s="40" t="s">
        <v>247</v>
      </c>
    </row>
    <row r="5" spans="2:3" x14ac:dyDescent="0.3">
      <c r="B5" s="40">
        <v>4</v>
      </c>
      <c r="C5" s="58" t="s">
        <v>248</v>
      </c>
    </row>
    <row r="6" spans="2:3" x14ac:dyDescent="0.3">
      <c r="B6" s="40">
        <v>5</v>
      </c>
      <c r="C6" s="40" t="s">
        <v>249</v>
      </c>
    </row>
    <row r="7" spans="2:3" x14ac:dyDescent="0.3">
      <c r="B7" s="40">
        <v>6</v>
      </c>
      <c r="C7" s="58" t="s">
        <v>250</v>
      </c>
    </row>
    <row r="8" spans="2:3" ht="72" x14ac:dyDescent="0.3">
      <c r="B8" s="40">
        <v>7</v>
      </c>
      <c r="C8" s="58" t="s">
        <v>251</v>
      </c>
    </row>
    <row r="9" spans="2:3" x14ac:dyDescent="0.3">
      <c r="B9" s="40">
        <v>8</v>
      </c>
      <c r="C9" s="40" t="s">
        <v>252</v>
      </c>
    </row>
    <row r="10" spans="2:3" x14ac:dyDescent="0.3">
      <c r="B10" s="40">
        <v>9</v>
      </c>
      <c r="C10" s="40" t="s">
        <v>253</v>
      </c>
    </row>
    <row r="11" spans="2:3" x14ac:dyDescent="0.3">
      <c r="B11" s="40">
        <v>10</v>
      </c>
      <c r="C11" s="40" t="s">
        <v>254</v>
      </c>
    </row>
    <row r="12" spans="2:3" x14ac:dyDescent="0.3">
      <c r="B12" s="40">
        <v>11</v>
      </c>
      <c r="C12" s="40" t="s">
        <v>255</v>
      </c>
    </row>
    <row r="13" spans="2:3" x14ac:dyDescent="0.3">
      <c r="B13" s="40">
        <v>12</v>
      </c>
      <c r="C13" s="40" t="s">
        <v>256</v>
      </c>
    </row>
    <row r="14" spans="2:3" x14ac:dyDescent="0.3">
      <c r="B14" s="40">
        <v>13</v>
      </c>
      <c r="C14" s="40" t="s">
        <v>257</v>
      </c>
    </row>
    <row r="15" spans="2:3" x14ac:dyDescent="0.3">
      <c r="B15" s="40">
        <v>14</v>
      </c>
      <c r="C15" s="40" t="s">
        <v>247</v>
      </c>
    </row>
    <row r="16" spans="2:3" x14ac:dyDescent="0.3">
      <c r="B16" s="40">
        <v>15</v>
      </c>
      <c r="C16" s="40" t="s">
        <v>239</v>
      </c>
    </row>
    <row r="17" spans="2:3" x14ac:dyDescent="0.3">
      <c r="B17" s="59">
        <v>16</v>
      </c>
      <c r="C17" s="60" t="s">
        <v>258</v>
      </c>
    </row>
    <row r="18" spans="2:3" x14ac:dyDescent="0.3">
      <c r="B18" s="61">
        <v>17</v>
      </c>
      <c r="C18" s="60" t="s">
        <v>259</v>
      </c>
    </row>
    <row r="19" spans="2:3" x14ac:dyDescent="0.3">
      <c r="B19" s="62">
        <v>18</v>
      </c>
      <c r="C19" s="40" t="s">
        <v>260</v>
      </c>
    </row>
    <row r="20" spans="2:3" x14ac:dyDescent="0.3">
      <c r="B20" s="61">
        <v>19</v>
      </c>
      <c r="C20" s="40" t="s">
        <v>261</v>
      </c>
    </row>
    <row r="21" spans="2:3" x14ac:dyDescent="0.3">
      <c r="B21" s="40">
        <v>20</v>
      </c>
      <c r="C21" s="40" t="s">
        <v>262</v>
      </c>
    </row>
    <row r="22" spans="2:3" x14ac:dyDescent="0.3">
      <c r="B22" s="61">
        <v>21</v>
      </c>
      <c r="C22" s="40" t="s">
        <v>260</v>
      </c>
    </row>
    <row r="23" spans="2:3" s="64" customFormat="1" ht="28.8" x14ac:dyDescent="0.3">
      <c r="B23" s="63">
        <v>22</v>
      </c>
      <c r="C23" s="57" t="s">
        <v>263</v>
      </c>
    </row>
    <row r="24" spans="2:3" s="64" customFormat="1" ht="28.8" x14ac:dyDescent="0.3">
      <c r="B24" s="65">
        <v>23</v>
      </c>
      <c r="C24" s="57" t="s">
        <v>264</v>
      </c>
    </row>
    <row r="25" spans="2:3" x14ac:dyDescent="0.3">
      <c r="B25" s="40">
        <v>24</v>
      </c>
      <c r="C25" s="40" t="s">
        <v>265</v>
      </c>
    </row>
    <row r="26" spans="2:3" x14ac:dyDescent="0.3">
      <c r="B26" s="61">
        <v>25</v>
      </c>
      <c r="C26" s="40" t="s">
        <v>266</v>
      </c>
    </row>
    <row r="27" spans="2:3" x14ac:dyDescent="0.3">
      <c r="B27" s="65">
        <v>26</v>
      </c>
      <c r="C27" s="40" t="s">
        <v>267</v>
      </c>
    </row>
    <row r="28" spans="2:3" x14ac:dyDescent="0.3">
      <c r="B28" s="61">
        <v>27</v>
      </c>
      <c r="C28" s="40" t="s">
        <v>268</v>
      </c>
    </row>
    <row r="29" spans="2:3" ht="43.2" x14ac:dyDescent="0.3">
      <c r="B29" s="66">
        <v>28</v>
      </c>
      <c r="C29" s="58" t="s">
        <v>269</v>
      </c>
    </row>
    <row r="30" spans="2:3" x14ac:dyDescent="0.3">
      <c r="B30" s="65">
        <v>29</v>
      </c>
      <c r="C30" s="40" t="s">
        <v>270</v>
      </c>
    </row>
    <row r="31" spans="2:3" ht="28.8" x14ac:dyDescent="0.3">
      <c r="B31" s="65">
        <v>30</v>
      </c>
      <c r="C31" s="58" t="s">
        <v>298</v>
      </c>
    </row>
    <row r="32" spans="2:3" x14ac:dyDescent="0.3">
      <c r="B32" s="65">
        <v>31</v>
      </c>
      <c r="C32" s="40" t="s">
        <v>299</v>
      </c>
    </row>
    <row r="33" spans="2:3" x14ac:dyDescent="0.3">
      <c r="B33" s="65">
        <v>32</v>
      </c>
      <c r="C33" s="40" t="s">
        <v>300</v>
      </c>
    </row>
    <row r="34" spans="2:3" ht="28.8" x14ac:dyDescent="0.3">
      <c r="B34" s="65">
        <v>33</v>
      </c>
      <c r="C34" s="60" t="s">
        <v>301</v>
      </c>
    </row>
    <row r="35" spans="2:3" x14ac:dyDescent="0.3">
      <c r="B35" s="65">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7"/>
    <col min="2" max="2" width="12.33203125" style="67" customWidth="1"/>
    <col min="3" max="16384" width="9.109375" style="67"/>
  </cols>
  <sheetData>
    <row r="2" spans="1:12" x14ac:dyDescent="0.3">
      <c r="B2" s="68" t="s">
        <v>271</v>
      </c>
      <c r="C2" s="172"/>
      <c r="D2" s="172"/>
    </row>
    <row r="3" spans="1:12" x14ac:dyDescent="0.3">
      <c r="D3" s="69"/>
      <c r="E3" s="69"/>
      <c r="F3" s="69"/>
      <c r="G3" s="69"/>
      <c r="H3" s="69"/>
      <c r="I3" s="69"/>
    </row>
    <row r="4" spans="1:12" x14ac:dyDescent="0.3">
      <c r="A4" s="68" t="s">
        <v>272</v>
      </c>
      <c r="B4" s="56" t="s">
        <v>273</v>
      </c>
      <c r="C4" s="173" t="s">
        <v>274</v>
      </c>
      <c r="D4" s="173"/>
      <c r="E4" s="173"/>
      <c r="F4" s="56"/>
      <c r="G4" s="174" t="s">
        <v>275</v>
      </c>
      <c r="H4" s="174"/>
      <c r="I4" s="174"/>
      <c r="J4" s="175" t="s">
        <v>276</v>
      </c>
      <c r="K4" s="175"/>
      <c r="L4" s="175"/>
    </row>
    <row r="5" spans="1:12" x14ac:dyDescent="0.3">
      <c r="A5" s="68"/>
      <c r="B5" s="56"/>
      <c r="C5" s="56" t="s">
        <v>277</v>
      </c>
      <c r="D5" s="56" t="s">
        <v>278</v>
      </c>
      <c r="E5" s="56" t="s">
        <v>279</v>
      </c>
      <c r="F5" s="56"/>
      <c r="G5" s="56" t="s">
        <v>277</v>
      </c>
      <c r="H5" s="56" t="s">
        <v>278</v>
      </c>
      <c r="I5" s="56" t="s">
        <v>279</v>
      </c>
      <c r="J5" s="56" t="s">
        <v>277</v>
      </c>
      <c r="K5" s="56" t="s">
        <v>278</v>
      </c>
      <c r="L5" s="56" t="s">
        <v>279</v>
      </c>
    </row>
    <row r="6" spans="1:12" x14ac:dyDescent="0.3">
      <c r="B6" s="55" t="s">
        <v>280</v>
      </c>
      <c r="C6" s="55"/>
      <c r="D6" s="55"/>
      <c r="E6" s="55">
        <f>C6*D6</f>
        <v>0</v>
      </c>
      <c r="F6" s="55" t="s">
        <v>281</v>
      </c>
      <c r="G6" s="55"/>
      <c r="H6" s="55"/>
      <c r="I6" s="55">
        <f>G6*H6</f>
        <v>0</v>
      </c>
      <c r="J6" s="55"/>
      <c r="K6" s="55"/>
      <c r="L6" s="55">
        <f>J6*K6</f>
        <v>0</v>
      </c>
    </row>
    <row r="7" spans="1:12" x14ac:dyDescent="0.3">
      <c r="B7" s="55"/>
      <c r="C7" s="55"/>
      <c r="D7" s="55"/>
      <c r="E7" s="55">
        <f t="shared" ref="E7:E41" si="0">C7*D7</f>
        <v>0</v>
      </c>
      <c r="F7" s="55" t="s">
        <v>281</v>
      </c>
      <c r="G7" s="55"/>
      <c r="H7" s="55"/>
      <c r="I7" s="55">
        <f t="shared" ref="I7:I35" si="1">G7*H7</f>
        <v>0</v>
      </c>
      <c r="J7" s="55"/>
      <c r="K7" s="55"/>
      <c r="L7" s="55">
        <f t="shared" ref="L7:L35" si="2">J7*K7</f>
        <v>0</v>
      </c>
    </row>
    <row r="8" spans="1:12" x14ac:dyDescent="0.3">
      <c r="B8" s="55"/>
      <c r="C8" s="55"/>
      <c r="D8" s="55"/>
      <c r="E8" s="55">
        <f t="shared" si="0"/>
        <v>0</v>
      </c>
      <c r="F8" s="55"/>
      <c r="G8" s="55"/>
      <c r="H8" s="55"/>
      <c r="I8" s="55">
        <f t="shared" si="1"/>
        <v>0</v>
      </c>
      <c r="J8" s="55"/>
      <c r="K8" s="55"/>
      <c r="L8" s="55">
        <f t="shared" si="2"/>
        <v>0</v>
      </c>
    </row>
    <row r="9" spans="1:12" x14ac:dyDescent="0.3">
      <c r="B9" s="55"/>
      <c r="C9" s="55"/>
      <c r="D9" s="55"/>
      <c r="E9" s="55">
        <f t="shared" si="0"/>
        <v>0</v>
      </c>
      <c r="F9" s="55" t="s">
        <v>282</v>
      </c>
      <c r="G9" s="55"/>
      <c r="H9" s="55"/>
      <c r="I9" s="55">
        <f t="shared" si="1"/>
        <v>0</v>
      </c>
      <c r="J9" s="55"/>
      <c r="K9" s="55"/>
      <c r="L9" s="55">
        <f t="shared" si="2"/>
        <v>0</v>
      </c>
    </row>
    <row r="10" spans="1:12" x14ac:dyDescent="0.3">
      <c r="B10" s="55" t="s">
        <v>283</v>
      </c>
      <c r="C10" s="55"/>
      <c r="D10" s="55"/>
      <c r="E10" s="55">
        <f t="shared" si="0"/>
        <v>0</v>
      </c>
      <c r="F10" s="55" t="s">
        <v>282</v>
      </c>
      <c r="G10" s="55"/>
      <c r="H10" s="55"/>
      <c r="I10" s="55">
        <f t="shared" si="1"/>
        <v>0</v>
      </c>
      <c r="J10" s="55"/>
      <c r="K10" s="55"/>
      <c r="L10" s="55">
        <f t="shared" si="2"/>
        <v>0</v>
      </c>
    </row>
    <row r="11" spans="1:12" x14ac:dyDescent="0.3">
      <c r="B11" s="55"/>
      <c r="C11" s="55"/>
      <c r="D11" s="55"/>
      <c r="E11" s="55">
        <f t="shared" si="0"/>
        <v>0</v>
      </c>
      <c r="F11" s="55" t="s">
        <v>284</v>
      </c>
      <c r="G11" s="55"/>
      <c r="H11" s="55"/>
      <c r="I11" s="55">
        <f t="shared" si="1"/>
        <v>0</v>
      </c>
      <c r="J11" s="55"/>
      <c r="K11" s="55"/>
      <c r="L11" s="55">
        <f t="shared" si="2"/>
        <v>0</v>
      </c>
    </row>
    <row r="12" spans="1:12" x14ac:dyDescent="0.3">
      <c r="B12" s="55"/>
      <c r="C12" s="55"/>
      <c r="D12" s="55"/>
      <c r="E12" s="55">
        <f t="shared" si="0"/>
        <v>0</v>
      </c>
      <c r="F12" s="55"/>
      <c r="G12" s="55"/>
      <c r="H12" s="55"/>
      <c r="I12" s="55">
        <f t="shared" si="1"/>
        <v>0</v>
      </c>
      <c r="J12" s="55"/>
      <c r="K12" s="55"/>
      <c r="L12" s="55">
        <f t="shared" si="2"/>
        <v>0</v>
      </c>
    </row>
    <row r="13" spans="1:12" x14ac:dyDescent="0.3">
      <c r="B13" s="55"/>
      <c r="C13" s="55"/>
      <c r="D13" s="55"/>
      <c r="E13" s="55">
        <f t="shared" si="0"/>
        <v>0</v>
      </c>
      <c r="F13" s="55"/>
      <c r="G13" s="55"/>
      <c r="H13" s="55"/>
      <c r="I13" s="55">
        <f t="shared" si="1"/>
        <v>0</v>
      </c>
      <c r="J13" s="55"/>
      <c r="K13" s="55"/>
      <c r="L13" s="55">
        <f t="shared" si="2"/>
        <v>0</v>
      </c>
    </row>
    <row r="14" spans="1:12" x14ac:dyDescent="0.3">
      <c r="B14" s="55" t="s">
        <v>285</v>
      </c>
      <c r="C14" s="55"/>
      <c r="D14" s="55"/>
      <c r="E14" s="55">
        <f t="shared" si="0"/>
        <v>0</v>
      </c>
      <c r="F14" s="55" t="s">
        <v>282</v>
      </c>
      <c r="G14" s="55"/>
      <c r="H14" s="55"/>
      <c r="I14" s="55">
        <f t="shared" si="1"/>
        <v>0</v>
      </c>
      <c r="J14" s="55"/>
      <c r="K14" s="55"/>
      <c r="L14" s="55">
        <f t="shared" si="2"/>
        <v>0</v>
      </c>
    </row>
    <row r="15" spans="1:12" x14ac:dyDescent="0.3">
      <c r="B15" s="55"/>
      <c r="C15" s="55"/>
      <c r="D15" s="55"/>
      <c r="E15" s="55">
        <f t="shared" si="0"/>
        <v>0</v>
      </c>
      <c r="F15" s="55" t="s">
        <v>284</v>
      </c>
      <c r="G15" s="55"/>
      <c r="H15" s="55"/>
      <c r="I15" s="55">
        <f t="shared" si="1"/>
        <v>0</v>
      </c>
      <c r="J15" s="55"/>
      <c r="K15" s="55"/>
      <c r="L15" s="55">
        <f t="shared" si="2"/>
        <v>0</v>
      </c>
    </row>
    <row r="16" spans="1:12" x14ac:dyDescent="0.3">
      <c r="B16" s="55"/>
      <c r="C16" s="55"/>
      <c r="D16" s="55"/>
      <c r="E16" s="55">
        <f t="shared" si="0"/>
        <v>0</v>
      </c>
      <c r="F16" s="55"/>
      <c r="G16" s="55"/>
      <c r="H16" s="55"/>
      <c r="I16" s="55">
        <f t="shared" si="1"/>
        <v>0</v>
      </c>
      <c r="J16" s="55"/>
      <c r="K16" s="55"/>
      <c r="L16" s="55">
        <f t="shared" si="2"/>
        <v>0</v>
      </c>
    </row>
    <row r="17" spans="2:12" x14ac:dyDescent="0.3">
      <c r="B17" s="55"/>
      <c r="C17" s="55"/>
      <c r="D17" s="55"/>
      <c r="E17" s="55">
        <f t="shared" si="0"/>
        <v>0</v>
      </c>
      <c r="F17" s="55"/>
      <c r="G17" s="55"/>
      <c r="H17" s="55"/>
      <c r="I17" s="55">
        <f t="shared" si="1"/>
        <v>0</v>
      </c>
      <c r="J17" s="55"/>
      <c r="K17" s="55"/>
      <c r="L17" s="55">
        <f t="shared" si="2"/>
        <v>0</v>
      </c>
    </row>
    <row r="18" spans="2:12" x14ac:dyDescent="0.3">
      <c r="B18" s="55" t="s">
        <v>286</v>
      </c>
      <c r="C18" s="55"/>
      <c r="D18" s="55"/>
      <c r="E18" s="55">
        <f t="shared" si="0"/>
        <v>0</v>
      </c>
      <c r="F18" s="55" t="s">
        <v>282</v>
      </c>
      <c r="G18" s="55"/>
      <c r="H18" s="55"/>
      <c r="I18" s="55">
        <f t="shared" si="1"/>
        <v>0</v>
      </c>
      <c r="J18" s="55"/>
      <c r="K18" s="55"/>
      <c r="L18" s="55">
        <f t="shared" si="2"/>
        <v>0</v>
      </c>
    </row>
    <row r="19" spans="2:12" x14ac:dyDescent="0.3">
      <c r="B19" s="55"/>
      <c r="C19" s="55"/>
      <c r="D19" s="55"/>
      <c r="E19" s="55">
        <f t="shared" si="0"/>
        <v>0</v>
      </c>
      <c r="F19" s="55" t="s">
        <v>284</v>
      </c>
      <c r="G19" s="55"/>
      <c r="H19" s="55"/>
      <c r="I19" s="55">
        <f t="shared" si="1"/>
        <v>0</v>
      </c>
      <c r="J19" s="55"/>
      <c r="K19" s="55"/>
      <c r="L19" s="55">
        <f t="shared" si="2"/>
        <v>0</v>
      </c>
    </row>
    <row r="20" spans="2:12" x14ac:dyDescent="0.3">
      <c r="B20" s="55"/>
      <c r="C20" s="55"/>
      <c r="D20" s="55"/>
      <c r="E20" s="55">
        <f t="shared" si="0"/>
        <v>0</v>
      </c>
      <c r="F20" s="55"/>
      <c r="G20" s="55"/>
      <c r="H20" s="55"/>
      <c r="I20" s="55">
        <f t="shared" si="1"/>
        <v>0</v>
      </c>
      <c r="J20" s="55"/>
      <c r="K20" s="55"/>
      <c r="L20" s="55">
        <f t="shared" si="2"/>
        <v>0</v>
      </c>
    </row>
    <row r="21" spans="2:12" x14ac:dyDescent="0.3">
      <c r="B21" s="55" t="s">
        <v>287</v>
      </c>
      <c r="C21" s="55"/>
      <c r="D21" s="55"/>
      <c r="E21" s="55">
        <f t="shared" si="0"/>
        <v>0</v>
      </c>
      <c r="F21" s="55" t="s">
        <v>282</v>
      </c>
      <c r="G21" s="55"/>
      <c r="H21" s="55"/>
      <c r="I21" s="55">
        <f t="shared" si="1"/>
        <v>0</v>
      </c>
      <c r="J21" s="55"/>
      <c r="K21" s="55"/>
      <c r="L21" s="55">
        <f t="shared" si="2"/>
        <v>0</v>
      </c>
    </row>
    <row r="22" spans="2:12" x14ac:dyDescent="0.3">
      <c r="B22" s="55"/>
      <c r="C22" s="55"/>
      <c r="D22" s="55"/>
      <c r="E22" s="55">
        <f t="shared" si="0"/>
        <v>0</v>
      </c>
      <c r="F22" s="55" t="s">
        <v>284</v>
      </c>
      <c r="G22" s="55"/>
      <c r="H22" s="55"/>
      <c r="I22" s="55">
        <f t="shared" si="1"/>
        <v>0</v>
      </c>
      <c r="J22" s="55"/>
      <c r="K22" s="55"/>
      <c r="L22" s="55">
        <f t="shared" si="2"/>
        <v>0</v>
      </c>
    </row>
    <row r="23" spans="2:12" x14ac:dyDescent="0.3">
      <c r="B23" s="55"/>
      <c r="C23" s="55"/>
      <c r="D23" s="55"/>
      <c r="E23" s="55">
        <f t="shared" si="0"/>
        <v>0</v>
      </c>
      <c r="F23" s="55"/>
      <c r="G23" s="55"/>
      <c r="H23" s="55"/>
      <c r="I23" s="55">
        <f t="shared" si="1"/>
        <v>0</v>
      </c>
      <c r="J23" s="55"/>
      <c r="K23" s="55"/>
      <c r="L23" s="55">
        <f t="shared" si="2"/>
        <v>0</v>
      </c>
    </row>
    <row r="24" spans="2:12" x14ac:dyDescent="0.3">
      <c r="B24" s="55" t="s">
        <v>288</v>
      </c>
      <c r="C24" s="55"/>
      <c r="D24" s="55"/>
      <c r="E24" s="55">
        <f t="shared" si="0"/>
        <v>0</v>
      </c>
      <c r="F24" s="55" t="s">
        <v>289</v>
      </c>
      <c r="G24" s="55"/>
      <c r="H24" s="55"/>
      <c r="I24" s="55">
        <f t="shared" si="1"/>
        <v>0</v>
      </c>
      <c r="J24" s="55"/>
      <c r="K24" s="55"/>
      <c r="L24" s="55">
        <f t="shared" si="2"/>
        <v>0</v>
      </c>
    </row>
    <row r="25" spans="2:12" x14ac:dyDescent="0.3">
      <c r="B25" s="55"/>
      <c r="C25" s="55"/>
      <c r="D25" s="55"/>
      <c r="E25" s="55">
        <f t="shared" si="0"/>
        <v>0</v>
      </c>
      <c r="F25" s="55" t="s">
        <v>289</v>
      </c>
      <c r="G25" s="55"/>
      <c r="H25" s="55"/>
      <c r="I25" s="55">
        <f t="shared" si="1"/>
        <v>0</v>
      </c>
      <c r="J25" s="55"/>
      <c r="K25" s="55"/>
      <c r="L25" s="55">
        <f t="shared" si="2"/>
        <v>0</v>
      </c>
    </row>
    <row r="26" spans="2:12" x14ac:dyDescent="0.3">
      <c r="B26" s="55"/>
      <c r="C26" s="55"/>
      <c r="D26" s="55"/>
      <c r="E26" s="55">
        <f t="shared" si="0"/>
        <v>0</v>
      </c>
      <c r="F26" s="55" t="s">
        <v>289</v>
      </c>
      <c r="G26" s="55"/>
      <c r="H26" s="55"/>
      <c r="I26" s="55">
        <f t="shared" si="1"/>
        <v>0</v>
      </c>
      <c r="J26" s="55"/>
      <c r="K26" s="55"/>
      <c r="L26" s="55">
        <f t="shared" si="2"/>
        <v>0</v>
      </c>
    </row>
    <row r="27" spans="2:12" x14ac:dyDescent="0.3">
      <c r="B27" s="55"/>
      <c r="C27" s="55"/>
      <c r="D27" s="55"/>
      <c r="E27" s="55">
        <f t="shared" si="0"/>
        <v>0</v>
      </c>
      <c r="F27" s="55" t="s">
        <v>289</v>
      </c>
      <c r="G27" s="55"/>
      <c r="H27" s="55"/>
      <c r="I27" s="55">
        <f t="shared" si="1"/>
        <v>0</v>
      </c>
      <c r="J27" s="55"/>
      <c r="K27" s="55"/>
      <c r="L27" s="55">
        <f t="shared" si="2"/>
        <v>0</v>
      </c>
    </row>
    <row r="28" spans="2:12" x14ac:dyDescent="0.3">
      <c r="B28" s="55" t="s">
        <v>290</v>
      </c>
      <c r="C28" s="55"/>
      <c r="D28" s="55"/>
      <c r="E28" s="55">
        <f t="shared" si="0"/>
        <v>0</v>
      </c>
      <c r="F28" s="55" t="s">
        <v>289</v>
      </c>
      <c r="G28" s="55"/>
      <c r="H28" s="55"/>
      <c r="I28" s="55">
        <f t="shared" si="1"/>
        <v>0</v>
      </c>
      <c r="J28" s="55"/>
      <c r="K28" s="55"/>
      <c r="L28" s="55">
        <f t="shared" si="2"/>
        <v>0</v>
      </c>
    </row>
    <row r="29" spans="2:12" x14ac:dyDescent="0.3">
      <c r="B29" s="55" t="s">
        <v>291</v>
      </c>
      <c r="C29" s="55"/>
      <c r="D29" s="55"/>
      <c r="E29" s="55">
        <f t="shared" si="0"/>
        <v>0</v>
      </c>
      <c r="F29" s="55" t="s">
        <v>289</v>
      </c>
      <c r="G29" s="55"/>
      <c r="H29" s="55"/>
      <c r="I29" s="55">
        <f t="shared" si="1"/>
        <v>0</v>
      </c>
      <c r="J29" s="55"/>
      <c r="K29" s="55"/>
      <c r="L29" s="55">
        <f t="shared" si="2"/>
        <v>0</v>
      </c>
    </row>
    <row r="30" spans="2:12" x14ac:dyDescent="0.3">
      <c r="B30" s="55" t="s">
        <v>292</v>
      </c>
      <c r="C30" s="55"/>
      <c r="D30" s="55"/>
      <c r="E30" s="55">
        <f t="shared" si="0"/>
        <v>0</v>
      </c>
      <c r="F30" s="55"/>
      <c r="G30" s="55"/>
      <c r="H30" s="55"/>
      <c r="I30" s="55">
        <f t="shared" si="1"/>
        <v>0</v>
      </c>
      <c r="J30" s="55"/>
      <c r="K30" s="55"/>
      <c r="L30" s="55">
        <f t="shared" si="2"/>
        <v>0</v>
      </c>
    </row>
    <row r="31" spans="2:12" x14ac:dyDescent="0.3">
      <c r="B31" s="55"/>
      <c r="C31" s="55"/>
      <c r="D31" s="55"/>
      <c r="E31" s="55">
        <f t="shared" si="0"/>
        <v>0</v>
      </c>
      <c r="F31" s="55"/>
      <c r="G31" s="55"/>
      <c r="H31" s="55"/>
      <c r="I31" s="55">
        <f t="shared" si="1"/>
        <v>0</v>
      </c>
      <c r="J31" s="55"/>
      <c r="K31" s="55"/>
      <c r="L31" s="55">
        <f t="shared" si="2"/>
        <v>0</v>
      </c>
    </row>
    <row r="32" spans="2:12" x14ac:dyDescent="0.3">
      <c r="B32" s="55"/>
      <c r="C32" s="55"/>
      <c r="D32" s="55"/>
      <c r="E32" s="55">
        <f t="shared" si="0"/>
        <v>0</v>
      </c>
      <c r="F32" s="55"/>
      <c r="G32" s="55"/>
      <c r="H32" s="55"/>
      <c r="I32" s="55">
        <f t="shared" si="1"/>
        <v>0</v>
      </c>
      <c r="J32" s="55"/>
      <c r="K32" s="55"/>
      <c r="L32" s="55">
        <f t="shared" si="2"/>
        <v>0</v>
      </c>
    </row>
    <row r="33" spans="2:12" x14ac:dyDescent="0.3">
      <c r="B33" s="55" t="s">
        <v>293</v>
      </c>
      <c r="C33" s="55"/>
      <c r="D33" s="55"/>
      <c r="E33" s="55">
        <f t="shared" si="0"/>
        <v>0</v>
      </c>
      <c r="F33" s="55"/>
      <c r="G33" s="55"/>
      <c r="H33" s="55"/>
      <c r="I33" s="55">
        <f t="shared" si="1"/>
        <v>0</v>
      </c>
      <c r="J33" s="55"/>
      <c r="K33" s="55"/>
      <c r="L33" s="55">
        <f t="shared" si="2"/>
        <v>0</v>
      </c>
    </row>
    <row r="34" spans="2:12" x14ac:dyDescent="0.3">
      <c r="B34" s="55" t="s">
        <v>294</v>
      </c>
      <c r="C34" s="55"/>
      <c r="D34" s="55"/>
      <c r="E34" s="55">
        <f t="shared" si="0"/>
        <v>0</v>
      </c>
      <c r="F34" s="55"/>
      <c r="G34" s="55"/>
      <c r="H34" s="55"/>
      <c r="I34" s="55">
        <f t="shared" si="1"/>
        <v>0</v>
      </c>
      <c r="J34" s="55"/>
      <c r="K34" s="55"/>
      <c r="L34" s="55">
        <f t="shared" si="2"/>
        <v>0</v>
      </c>
    </row>
    <row r="35" spans="2:12" x14ac:dyDescent="0.3">
      <c r="B35" s="55" t="s">
        <v>295</v>
      </c>
      <c r="C35" s="55"/>
      <c r="D35" s="55"/>
      <c r="E35" s="55">
        <f t="shared" si="0"/>
        <v>0</v>
      </c>
      <c r="F35" s="55"/>
      <c r="G35" s="55"/>
      <c r="H35" s="55"/>
      <c r="I35" s="55">
        <f t="shared" si="1"/>
        <v>0</v>
      </c>
      <c r="J35" s="55"/>
      <c r="K35" s="55"/>
      <c r="L35" s="55">
        <f t="shared" si="2"/>
        <v>0</v>
      </c>
    </row>
    <row r="36" spans="2:12" x14ac:dyDescent="0.3">
      <c r="B36" s="55" t="s">
        <v>296</v>
      </c>
      <c r="C36" s="55"/>
      <c r="D36" s="55"/>
      <c r="E36" s="55">
        <f t="shared" si="0"/>
        <v>0</v>
      </c>
      <c r="F36" s="55"/>
      <c r="G36" s="55"/>
      <c r="H36" s="55"/>
      <c r="I36" s="55">
        <f>G36*H36</f>
        <v>0</v>
      </c>
      <c r="J36" s="55"/>
      <c r="K36" s="55"/>
      <c r="L36" s="55">
        <f>J36*K36</f>
        <v>0</v>
      </c>
    </row>
    <row r="37" spans="2:12" x14ac:dyDescent="0.3">
      <c r="B37" s="55"/>
      <c r="C37" s="55"/>
      <c r="D37" s="55"/>
      <c r="E37" s="55">
        <f t="shared" si="0"/>
        <v>0</v>
      </c>
      <c r="F37" s="55"/>
      <c r="G37" s="55"/>
      <c r="H37" s="55"/>
      <c r="I37" s="55">
        <f t="shared" ref="I37:I38" si="3">G37*H37</f>
        <v>0</v>
      </c>
      <c r="J37" s="55"/>
      <c r="K37" s="55"/>
      <c r="L37" s="55">
        <f t="shared" ref="L37:L38" si="4">J37*K37</f>
        <v>0</v>
      </c>
    </row>
    <row r="38" spans="2:12" x14ac:dyDescent="0.3">
      <c r="B38" s="55" t="s">
        <v>297</v>
      </c>
      <c r="C38" s="55"/>
      <c r="D38" s="55"/>
      <c r="E38" s="55">
        <f t="shared" si="0"/>
        <v>0</v>
      </c>
      <c r="F38" s="55"/>
      <c r="G38" s="55"/>
      <c r="H38" s="55"/>
      <c r="I38" s="55">
        <f t="shared" si="3"/>
        <v>0</v>
      </c>
      <c r="J38" s="55"/>
      <c r="K38" s="55"/>
      <c r="L38" s="55">
        <f t="shared" si="4"/>
        <v>0</v>
      </c>
    </row>
    <row r="39" spans="2:12" x14ac:dyDescent="0.3">
      <c r="B39" s="55"/>
      <c r="C39" s="55"/>
      <c r="D39" s="55"/>
      <c r="E39" s="55">
        <f t="shared" si="0"/>
        <v>0</v>
      </c>
      <c r="F39" s="55"/>
      <c r="G39" s="55"/>
      <c r="H39" s="55"/>
      <c r="I39" s="55">
        <f>G39*H39</f>
        <v>0</v>
      </c>
      <c r="J39" s="55"/>
      <c r="K39" s="55"/>
      <c r="L39" s="55">
        <f>J39*K39</f>
        <v>0</v>
      </c>
    </row>
    <row r="40" spans="2:12" x14ac:dyDescent="0.3">
      <c r="B40" s="55"/>
      <c r="C40" s="55"/>
      <c r="D40" s="55"/>
      <c r="E40" s="55">
        <f t="shared" si="0"/>
        <v>0</v>
      </c>
      <c r="F40" s="55"/>
      <c r="G40" s="55"/>
      <c r="H40" s="55"/>
      <c r="I40" s="55">
        <f>G40*H40</f>
        <v>0</v>
      </c>
      <c r="J40" s="55"/>
      <c r="K40" s="55"/>
      <c r="L40" s="55">
        <f>J40*K40</f>
        <v>0</v>
      </c>
    </row>
    <row r="41" spans="2:12" x14ac:dyDescent="0.3">
      <c r="B41" s="55"/>
      <c r="C41" s="55"/>
      <c r="D41" s="55"/>
      <c r="E41" s="55">
        <f t="shared" si="0"/>
        <v>0</v>
      </c>
      <c r="F41" s="55"/>
      <c r="G41" s="55"/>
      <c r="H41" s="55"/>
      <c r="I41" s="55">
        <f>G41*H41</f>
        <v>0</v>
      </c>
      <c r="J41" s="55"/>
      <c r="K41" s="55"/>
      <c r="L41" s="55">
        <f>J41*K41</f>
        <v>0</v>
      </c>
    </row>
    <row r="42" spans="2:12" x14ac:dyDescent="0.3">
      <c r="B42" s="55" t="s">
        <v>154</v>
      </c>
      <c r="C42" s="55"/>
      <c r="D42" s="55">
        <f>E42*10.764</f>
        <v>0</v>
      </c>
      <c r="E42" s="70">
        <f>SUM(E6:E41)</f>
        <v>0</v>
      </c>
      <c r="F42" s="55"/>
      <c r="G42" s="55"/>
      <c r="H42" s="55">
        <f>I42*10.764</f>
        <v>0</v>
      </c>
      <c r="I42" s="71">
        <f>SUM(I6:I41)</f>
        <v>0</v>
      </c>
      <c r="J42" s="55"/>
      <c r="K42" s="55">
        <f>L42*10.764</f>
        <v>0</v>
      </c>
      <c r="L42" s="72">
        <f>SUM(L6:L41)</f>
        <v>0</v>
      </c>
    </row>
    <row r="44" spans="2:12" x14ac:dyDescent="0.3">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2025-09-06T13:01:31Z</cp:lastPrinted>
  <dcterms:created xsi:type="dcterms:W3CDTF">2010-11-23T11:42:48Z</dcterms:created>
  <dcterms:modified xsi:type="dcterms:W3CDTF">2025-09-06T13:05:17Z</dcterms:modified>
</cp:coreProperties>
</file>