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8" i="1" l="1"/>
  <c r="F298" i="1" s="1"/>
  <c r="D297" i="1"/>
  <c r="D295" i="1"/>
  <c r="D290" i="1"/>
  <c r="G315" i="1"/>
  <c r="I313" i="1"/>
  <c r="D313" i="1"/>
  <c r="F313" i="1" s="1"/>
  <c r="D312" i="1"/>
  <c r="F312" i="1" s="1"/>
  <c r="D311" i="1"/>
  <c r="F311" i="1" s="1"/>
  <c r="G310" i="1"/>
  <c r="D310" i="1"/>
  <c r="F310" i="1" s="1"/>
  <c r="D308" i="1"/>
  <c r="F308" i="1" s="1"/>
  <c r="D307" i="1"/>
  <c r="F307" i="1" s="1"/>
  <c r="D306" i="1"/>
  <c r="F306" i="1" s="1"/>
  <c r="G305" i="1"/>
  <c r="F305" i="1"/>
  <c r="I305" i="1" s="1"/>
  <c r="D305" i="1"/>
  <c r="D303" i="1"/>
  <c r="F303" i="1" s="1"/>
  <c r="D302" i="1"/>
  <c r="F302" i="1" s="1"/>
  <c r="D301" i="1"/>
  <c r="F301" i="1" s="1"/>
  <c r="I301" i="1" s="1"/>
  <c r="G300" i="1"/>
  <c r="D300" i="1"/>
  <c r="F300" i="1" s="1"/>
  <c r="P298" i="1"/>
  <c r="A298" i="1" s="1"/>
  <c r="P297" i="1"/>
  <c r="A297" i="1" s="1"/>
  <c r="F297" i="1"/>
  <c r="P296" i="1"/>
  <c r="A296" i="1" s="1"/>
  <c r="D296" i="1"/>
  <c r="F296" i="1" s="1"/>
  <c r="P295" i="1"/>
  <c r="A295" i="1" s="1"/>
  <c r="G295" i="1"/>
  <c r="F295" i="1"/>
  <c r="P293" i="1"/>
  <c r="A293" i="1" s="1"/>
  <c r="D293" i="1"/>
  <c r="F293" i="1" s="1"/>
  <c r="P292" i="1"/>
  <c r="A292" i="1" s="1"/>
  <c r="D292" i="1"/>
  <c r="F292" i="1" s="1"/>
  <c r="P291" i="1"/>
  <c r="A291" i="1" s="1"/>
  <c r="D291" i="1"/>
  <c r="F291" i="1" s="1"/>
  <c r="P290" i="1"/>
  <c r="A290" i="1" s="1"/>
  <c r="G290" i="1"/>
  <c r="F290" i="1"/>
  <c r="D288" i="1"/>
  <c r="F288" i="1" s="1"/>
  <c r="D287" i="1"/>
  <c r="F287" i="1" s="1"/>
  <c r="D286" i="1"/>
  <c r="F286" i="1" s="1"/>
  <c r="G285" i="1"/>
  <c r="D285" i="1"/>
  <c r="F285" i="1" s="1"/>
  <c r="I285" i="1" s="1"/>
  <c r="D283" i="1"/>
  <c r="F283" i="1" s="1"/>
  <c r="D282" i="1"/>
  <c r="F282" i="1" s="1"/>
  <c r="D281" i="1"/>
  <c r="F281" i="1" s="1"/>
  <c r="G280" i="1"/>
  <c r="D280" i="1"/>
  <c r="F280" i="1" s="1"/>
  <c r="C108" i="1"/>
  <c r="K59" i="1"/>
  <c r="K58" i="1"/>
  <c r="E144" i="1" l="1"/>
  <c r="C144" i="1"/>
  <c r="G144" i="1"/>
  <c r="J120" i="1"/>
  <c r="J119" i="1"/>
  <c r="J118" i="1"/>
  <c r="J117" i="1"/>
  <c r="E7" i="1" l="1"/>
  <c r="J156" i="1" l="1"/>
  <c r="J155" i="1"/>
  <c r="J154" i="1"/>
  <c r="E40" i="1" l="1"/>
  <c r="I270" i="1"/>
  <c r="G272" i="1"/>
  <c r="D268" i="1"/>
  <c r="D267" i="1"/>
  <c r="F267" i="1" s="1"/>
  <c r="D270" i="1"/>
  <c r="F270" i="1" s="1"/>
  <c r="D269" i="1"/>
  <c r="F269" i="1" s="1"/>
  <c r="F268" i="1"/>
  <c r="G267" i="1"/>
  <c r="D265" i="1"/>
  <c r="F265" i="1" s="1"/>
  <c r="D263" i="1"/>
  <c r="F263" i="1" s="1"/>
  <c r="D264" i="1"/>
  <c r="F264" i="1" s="1"/>
  <c r="G262" i="1"/>
  <c r="D262" i="1"/>
  <c r="F262" i="1" s="1"/>
  <c r="I262" i="1" s="1"/>
  <c r="D260" i="1"/>
  <c r="F260" i="1" s="1"/>
  <c r="D259" i="1"/>
  <c r="F259" i="1" s="1"/>
  <c r="D258" i="1"/>
  <c r="F258" i="1" s="1"/>
  <c r="I258" i="1" s="1"/>
  <c r="G257" i="1"/>
  <c r="D257" i="1"/>
  <c r="F257" i="1" s="1"/>
  <c r="D255" i="1"/>
  <c r="F255" i="1" s="1"/>
  <c r="D253" i="1"/>
  <c r="F253" i="1" s="1"/>
  <c r="D254" i="1"/>
  <c r="F254" i="1" s="1"/>
  <c r="D252" i="1"/>
  <c r="F252" i="1" s="1"/>
  <c r="P255" i="1"/>
  <c r="A255" i="1" s="1"/>
  <c r="P254" i="1"/>
  <c r="A254" i="1" s="1"/>
  <c r="P253" i="1"/>
  <c r="A253" i="1" s="1"/>
  <c r="P252" i="1"/>
  <c r="A252" i="1" s="1"/>
  <c r="G252" i="1"/>
  <c r="D250" i="1"/>
  <c r="F250" i="1" s="1"/>
  <c r="D249" i="1"/>
  <c r="F249" i="1" s="1"/>
  <c r="D248" i="1"/>
  <c r="F248" i="1" s="1"/>
  <c r="D247" i="1"/>
  <c r="F247" i="1" s="1"/>
  <c r="P250" i="1"/>
  <c r="A250" i="1" s="1"/>
  <c r="P249" i="1"/>
  <c r="A249" i="1" s="1"/>
  <c r="P248" i="1"/>
  <c r="A248" i="1" s="1"/>
  <c r="P247" i="1"/>
  <c r="A247" i="1" s="1"/>
  <c r="G247" i="1"/>
  <c r="D245" i="1"/>
  <c r="F245" i="1" s="1"/>
  <c r="D244" i="1"/>
  <c r="F244" i="1" s="1"/>
  <c r="D243" i="1"/>
  <c r="F243" i="1" s="1"/>
  <c r="D242" i="1"/>
  <c r="F242" i="1" s="1"/>
  <c r="I242" i="1" s="1"/>
  <c r="G242" i="1"/>
  <c r="D240" i="1"/>
  <c r="F240" i="1" s="1"/>
  <c r="D239" i="1"/>
  <c r="F239" i="1" s="1"/>
  <c r="D238" i="1"/>
  <c r="F238" i="1" s="1"/>
  <c r="D237" i="1"/>
  <c r="F237" i="1" s="1"/>
  <c r="G237" i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P231" i="1"/>
  <c r="A231" i="1" s="1"/>
  <c r="P230" i="1"/>
  <c r="A230" i="1" s="1"/>
  <c r="P229" i="1"/>
  <c r="A229" i="1" s="1"/>
  <c r="P228" i="1"/>
  <c r="A228" i="1" s="1"/>
  <c r="P227" i="1"/>
  <c r="A227" i="1" s="1"/>
  <c r="P226" i="1"/>
  <c r="A226" i="1" s="1"/>
  <c r="G226" i="1"/>
  <c r="D224" i="1"/>
  <c r="F224" i="1" s="1"/>
  <c r="D220" i="1"/>
  <c r="F220" i="1" s="1"/>
  <c r="D219" i="1"/>
  <c r="F219" i="1" s="1"/>
  <c r="D222" i="1"/>
  <c r="D221" i="1"/>
  <c r="D217" i="1"/>
  <c r="F217" i="1" s="1"/>
  <c r="D216" i="1"/>
  <c r="F216" i="1" s="1"/>
  <c r="D215" i="1"/>
  <c r="F215" i="1" s="1"/>
  <c r="I215" i="1" s="1"/>
  <c r="D214" i="1"/>
  <c r="F214" i="1" s="1"/>
  <c r="D213" i="1"/>
  <c r="F213" i="1" s="1"/>
  <c r="D212" i="1"/>
  <c r="F212" i="1" s="1"/>
  <c r="F222" i="1"/>
  <c r="F221" i="1"/>
  <c r="G219" i="1"/>
  <c r="A219" i="1"/>
  <c r="A220" i="1" s="1"/>
  <c r="A221" i="1" s="1"/>
  <c r="A222" i="1" s="1"/>
  <c r="A223" i="1" s="1"/>
  <c r="A224" i="1" s="1"/>
  <c r="P217" i="1"/>
  <c r="A217" i="1" s="1"/>
  <c r="P216" i="1"/>
  <c r="A216" i="1" s="1"/>
  <c r="P215" i="1"/>
  <c r="A215" i="1" s="1"/>
  <c r="P214" i="1"/>
  <c r="A214" i="1" s="1"/>
  <c r="P213" i="1"/>
  <c r="A213" i="1" s="1"/>
  <c r="P212" i="1"/>
  <c r="A212" i="1" s="1"/>
  <c r="G212" i="1"/>
  <c r="E209" i="1"/>
  <c r="E208" i="1"/>
  <c r="E207" i="1"/>
  <c r="D210" i="1"/>
  <c r="F210" i="1" s="1"/>
  <c r="D209" i="1"/>
  <c r="D208" i="1"/>
  <c r="D207" i="1"/>
  <c r="D206" i="1"/>
  <c r="F206" i="1" s="1"/>
  <c r="D205" i="1"/>
  <c r="F205" i="1" s="1"/>
  <c r="G205" i="1"/>
  <c r="A205" i="1"/>
  <c r="A206" i="1" s="1"/>
  <c r="A207" i="1" s="1"/>
  <c r="A208" i="1" s="1"/>
  <c r="A209" i="1" s="1"/>
  <c r="A210" i="1" s="1"/>
  <c r="D203" i="1"/>
  <c r="F203" i="1" s="1"/>
  <c r="G203" i="1"/>
  <c r="D186" i="1"/>
  <c r="F186" i="1" s="1"/>
  <c r="E184" i="1"/>
  <c r="D184" i="1"/>
  <c r="D183" i="1"/>
  <c r="F183" i="1" s="1"/>
  <c r="D182" i="1"/>
  <c r="F182" i="1" s="1"/>
  <c r="G181" i="1"/>
  <c r="D181" i="1"/>
  <c r="F181" i="1" s="1"/>
  <c r="A181" i="1"/>
  <c r="A182" i="1" s="1"/>
  <c r="A183" i="1" s="1"/>
  <c r="A184" i="1" s="1"/>
  <c r="A185" i="1" s="1"/>
  <c r="A186" i="1" s="1"/>
  <c r="D199" i="1"/>
  <c r="F199" i="1" s="1"/>
  <c r="D198" i="1"/>
  <c r="F198" i="1" s="1"/>
  <c r="D196" i="1"/>
  <c r="F196" i="1" s="1"/>
  <c r="G195" i="1"/>
  <c r="D195" i="1"/>
  <c r="F195" i="1" s="1"/>
  <c r="A195" i="1"/>
  <c r="A196" i="1" s="1"/>
  <c r="A197" i="1" s="1"/>
  <c r="A198" i="1" s="1"/>
  <c r="A199" i="1" s="1"/>
  <c r="A200" i="1" s="1"/>
  <c r="D193" i="1"/>
  <c r="F193" i="1" s="1"/>
  <c r="D192" i="1"/>
  <c r="F192" i="1" s="1"/>
  <c r="D191" i="1"/>
  <c r="F191" i="1" s="1"/>
  <c r="D189" i="1"/>
  <c r="D188" i="1"/>
  <c r="F188" i="1" s="1"/>
  <c r="P193" i="1"/>
  <c r="A193" i="1" s="1"/>
  <c r="P192" i="1"/>
  <c r="A192" i="1" s="1"/>
  <c r="P191" i="1"/>
  <c r="A191" i="1" s="1"/>
  <c r="P190" i="1"/>
  <c r="A190" i="1" s="1"/>
  <c r="D190" i="1"/>
  <c r="F190" i="1" s="1"/>
  <c r="P189" i="1"/>
  <c r="A189" i="1" s="1"/>
  <c r="F189" i="1"/>
  <c r="P188" i="1"/>
  <c r="A188" i="1" s="1"/>
  <c r="G188" i="1"/>
  <c r="D175" i="1"/>
  <c r="D179" i="1"/>
  <c r="F179" i="1" s="1"/>
  <c r="D178" i="1"/>
  <c r="D177" i="1"/>
  <c r="D176" i="1"/>
  <c r="D174" i="1"/>
  <c r="P179" i="1"/>
  <c r="A179" i="1" s="1"/>
  <c r="P175" i="1"/>
  <c r="A175" i="1" s="1"/>
  <c r="P176" i="1"/>
  <c r="A176" i="1" s="1"/>
  <c r="P177" i="1"/>
  <c r="A177" i="1" s="1"/>
  <c r="P178" i="1"/>
  <c r="A178" i="1" s="1"/>
  <c r="P174" i="1"/>
  <c r="A174" i="1" s="1"/>
  <c r="E171" i="1"/>
  <c r="E170" i="1"/>
  <c r="D172" i="1"/>
  <c r="F172" i="1" s="1"/>
  <c r="D171" i="1"/>
  <c r="D170" i="1"/>
  <c r="D169" i="1"/>
  <c r="D168" i="1"/>
  <c r="D167" i="1"/>
  <c r="D165" i="1"/>
  <c r="D164" i="1"/>
  <c r="D163" i="1"/>
  <c r="D157" i="1"/>
  <c r="F157" i="1" s="1"/>
  <c r="D156" i="1"/>
  <c r="D155" i="1"/>
  <c r="D154" i="1"/>
  <c r="D153" i="1"/>
  <c r="I153" i="1"/>
  <c r="E27" i="1"/>
  <c r="F209" i="1" l="1"/>
  <c r="C141" i="1"/>
  <c r="G143" i="1"/>
  <c r="E141" i="1"/>
  <c r="E142" i="1"/>
  <c r="C138" i="1"/>
  <c r="E143" i="1"/>
  <c r="C142" i="1"/>
  <c r="C143" i="1"/>
  <c r="E138" i="1"/>
  <c r="F208" i="1"/>
  <c r="F207" i="1"/>
  <c r="G142" i="1" s="1"/>
  <c r="F184" i="1"/>
  <c r="F164" i="1"/>
  <c r="F165" i="1"/>
  <c r="F163" i="1"/>
  <c r="A164" i="1"/>
  <c r="G163" i="1"/>
  <c r="E145" i="1" l="1"/>
  <c r="C145" i="1"/>
  <c r="F135" i="1"/>
  <c r="F154" i="1" l="1"/>
  <c r="F155" i="1"/>
  <c r="F156" i="1"/>
  <c r="F153" i="1"/>
  <c r="G138" i="1" l="1"/>
  <c r="B321" i="1"/>
  <c r="C13" i="1" l="1"/>
  <c r="F178" i="1" l="1"/>
  <c r="F177" i="1"/>
  <c r="F176" i="1"/>
  <c r="F175" i="1"/>
  <c r="F174" i="1"/>
  <c r="I174" i="1" s="1"/>
  <c r="F171" i="1"/>
  <c r="F170" i="1"/>
  <c r="F168" i="1"/>
  <c r="F167" i="1"/>
  <c r="F169" i="1"/>
  <c r="G141" i="1" l="1"/>
  <c r="G145" i="1" s="1"/>
  <c r="B32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44" i="1"/>
  <c r="G174" i="1"/>
  <c r="G167" i="1"/>
  <c r="A167" i="1"/>
  <c r="A168" i="1" s="1"/>
  <c r="A169" i="1" s="1"/>
  <c r="A170" i="1" s="1"/>
  <c r="A171" i="1" s="1"/>
  <c r="A172" i="1" s="1"/>
  <c r="A154" i="1"/>
  <c r="A155" i="1" s="1"/>
  <c r="A156" i="1" s="1"/>
  <c r="A157" i="1" s="1"/>
  <c r="G153" i="1"/>
  <c r="G154" i="1" s="1"/>
  <c r="G155" i="1" s="1"/>
  <c r="G156" i="1" s="1"/>
  <c r="G157" i="1" s="1"/>
  <c r="J105" i="1"/>
  <c r="J104" i="1"/>
  <c r="C94" i="1"/>
  <c r="J91" i="1"/>
  <c r="J90" i="1"/>
  <c r="J89" i="1"/>
  <c r="C80" i="1"/>
  <c r="J77" i="1"/>
  <c r="J76" i="1"/>
  <c r="J75" i="1"/>
  <c r="C66" i="1"/>
  <c r="D52" i="1"/>
  <c r="G47" i="1"/>
  <c r="G48" i="1" s="1"/>
  <c r="C47" i="1"/>
  <c r="E41" i="1"/>
  <c r="E24" i="1"/>
  <c r="E22" i="1"/>
  <c r="E3" i="1"/>
  <c r="H81" i="1"/>
  <c r="H95" i="1"/>
  <c r="H67" i="1"/>
  <c r="D60" i="1" l="1"/>
  <c r="D91" i="1"/>
  <c r="D92" i="1"/>
  <c r="D93" i="1"/>
  <c r="D87" i="1"/>
  <c r="D88" i="1"/>
  <c r="D89" i="1"/>
  <c r="D90" i="1"/>
  <c r="J80" i="1"/>
  <c r="D79" i="1"/>
  <c r="D77" i="1"/>
  <c r="D76" i="1"/>
  <c r="D75" i="1"/>
  <c r="D73" i="1"/>
  <c r="J66" i="1"/>
  <c r="D78" i="1"/>
  <c r="D74" i="1"/>
  <c r="J70" i="1"/>
  <c r="J71" i="1"/>
  <c r="J69" i="1"/>
  <c r="J72" i="1"/>
  <c r="J73" i="1" s="1"/>
  <c r="J94" i="1"/>
  <c r="J98" i="1"/>
  <c r="D107" i="1"/>
  <c r="D105" i="1"/>
  <c r="D103" i="1"/>
  <c r="D101" i="1"/>
  <c r="J99" i="1"/>
  <c r="J97" i="1"/>
  <c r="J100" i="1"/>
  <c r="D106" i="1"/>
  <c r="D104" i="1"/>
  <c r="D102" i="1"/>
  <c r="J86" i="1"/>
  <c r="J87" i="1" s="1"/>
  <c r="J84" i="1"/>
  <c r="J85" i="1"/>
  <c r="J83" i="1"/>
  <c r="J78" i="1" l="1"/>
  <c r="J92" i="1"/>
  <c r="J101" i="1"/>
  <c r="J102" i="1" s="1"/>
  <c r="J74" i="1"/>
  <c r="J88" i="1"/>
  <c r="D100" i="1"/>
  <c r="J96" i="1"/>
  <c r="D98" i="1"/>
  <c r="D86" i="1"/>
  <c r="J82" i="1"/>
  <c r="D72" i="1"/>
  <c r="J68" i="1"/>
  <c r="D70" i="1"/>
  <c r="D84" i="1"/>
  <c r="H109" i="1"/>
  <c r="J114" i="1" l="1"/>
  <c r="J115" i="1" s="1"/>
  <c r="J116" i="1" s="1"/>
  <c r="J112" i="1"/>
  <c r="J111" i="1"/>
  <c r="D120" i="1"/>
  <c r="D118" i="1"/>
  <c r="D116" i="1"/>
  <c r="D114" i="1"/>
  <c r="G112" i="1"/>
  <c r="J113" i="1"/>
  <c r="E112" i="1"/>
  <c r="D121" i="1"/>
  <c r="D119" i="1"/>
  <c r="D117" i="1"/>
  <c r="D115" i="1"/>
  <c r="D113" i="1"/>
  <c r="D112" i="1"/>
  <c r="J108" i="1"/>
  <c r="J110" i="1" s="1"/>
  <c r="J103" i="1"/>
  <c r="J106" i="1"/>
  <c r="G98" i="1"/>
  <c r="J93" i="1"/>
  <c r="G84" i="1"/>
  <c r="J79" i="1"/>
  <c r="C71" i="1" s="1"/>
  <c r="G70" i="1" s="1"/>
  <c r="D64" i="1" s="1"/>
  <c r="D65" i="1" s="1"/>
  <c r="I109" i="1" l="1"/>
  <c r="I110" i="1" s="1"/>
  <c r="J121" i="1"/>
  <c r="J109" i="1" s="1"/>
  <c r="J107" i="1"/>
  <c r="J95" i="1" s="1"/>
  <c r="E84" i="1"/>
  <c r="J67" i="1"/>
  <c r="E98" i="1"/>
  <c r="D99" i="1"/>
  <c r="I95" i="1" s="1"/>
  <c r="I96" i="1" s="1"/>
  <c r="J81" i="1"/>
  <c r="D85" i="1"/>
  <c r="I81" i="1" s="1"/>
  <c r="I82" i="1" s="1"/>
  <c r="E70" i="1"/>
  <c r="D71" i="1"/>
  <c r="I67" i="1" s="1"/>
  <c r="I68" i="1" s="1"/>
  <c r="F65" i="1"/>
  <c r="I108" i="1" l="1"/>
  <c r="C110" i="1" s="1"/>
  <c r="I94" i="1"/>
  <c r="C96" i="1" s="1"/>
  <c r="I66" i="1"/>
  <c r="C68" i="1" s="1"/>
  <c r="I80" i="1"/>
  <c r="C82" i="1" s="1"/>
</calcChain>
</file>

<file path=xl/sharedStrings.xml><?xml version="1.0" encoding="utf-8"?>
<sst xmlns="http://schemas.openxmlformats.org/spreadsheetml/2006/main" count="543" uniqueCount="246">
  <si>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</si>
  <si>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</si>
  <si>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</si>
  <si>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</si>
  <si>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</si>
  <si>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</si>
  <si>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</si>
  <si>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</si>
  <si>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</si>
  <si>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</si>
  <si>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</si>
  <si>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</si>
  <si>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</si>
  <si>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</si>
  <si>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</si>
  <si>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</si>
  <si>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</si>
  <si>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</si>
  <si>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</si>
  <si>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</si>
  <si>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</si>
  <si>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</si>
  <si>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</si>
  <si>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</si>
  <si>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</si>
  <si>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</si>
  <si>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</si>
  <si>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</si>
  <si>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</si>
  <si>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</si>
  <si>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</si>
  <si>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</si>
  <si>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</si>
  <si>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</si>
  <si>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</si>
  <si>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</si>
  <si>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</si>
  <si>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</si>
  <si>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</si>
  <si>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</si>
  <si>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</si>
  <si>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</si>
  <si>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</si>
  <si>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</si>
  <si>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</si>
  <si>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</si>
  <si>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</si>
  <si>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</si>
  <si>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</si>
  <si>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</si>
  <si>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</si>
  <si>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</si>
  <si>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</si>
  <si>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</si>
  <si>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</si>
  <si>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</si>
  <si>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</si>
  <si>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</si>
  <si>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</si>
  <si>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</si>
  <si>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</si>
  <si>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</si>
  <si>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</si>
  <si>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</si>
  <si>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</si>
  <si>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</si>
  <si>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</si>
  <si>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</si>
  <si>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</si>
  <si>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</si>
  <si>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</si>
  <si>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</si>
  <si>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</si>
  <si>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</si>
  <si>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</si>
  <si>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</si>
  <si>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</si>
  <si>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</si>
  <si>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</si>
  <si>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</si>
  <si>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</si>
  <si>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</si>
  <si>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</si>
  <si>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</si>
  <si>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</si>
  <si>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</si>
  <si>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</si>
  <si>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</si>
  <si>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</si>
  <si>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</si>
  <si>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</si>
  <si>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</si>
  <si>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</si>
  <si>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</si>
  <si>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</si>
  <si>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</si>
  <si>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</si>
  <si>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</si>
  <si>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</si>
  <si>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</si>
  <si>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</si>
  <si>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</si>
  <si>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</si>
  <si>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</si>
  <si>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</si>
  <si>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</si>
  <si>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</si>
  <si>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</si>
  <si>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</si>
  <si>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</si>
  <si>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</si>
  <si>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</si>
  <si>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</si>
  <si>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</si>
  <si>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</si>
  <si>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</si>
  <si>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</si>
  <si>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</si>
  <si>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</si>
  <si>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</si>
  <si>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</si>
  <si>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</si>
  <si>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</si>
  <si>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</si>
  <si>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</si>
  <si>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</si>
  <si>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</si>
  <si>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</si>
  <si>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</si>
  <si>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</si>
  <si>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</si>
  <si>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</si>
  <si>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</si>
  <si>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</si>
  <si>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</si>
  <si>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</si>
  <si>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</si>
  <si>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</si>
  <si>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</si>
  <si>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</si>
  <si>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</si>
  <si>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</si>
  <si>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</si>
  <si>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</si>
  <si>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</si>
  <si>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</si>
  <si>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</si>
  <si>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</si>
  <si>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</si>
  <si>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</si>
  <si>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</si>
  <si>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</si>
  <si>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</si>
  <si>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</si>
  <si>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</si>
  <si>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</si>
  <si>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</si>
  <si>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</si>
  <si>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</si>
  <si>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</si>
  <si>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</si>
  <si>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</si>
  <si>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</si>
  <si>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</si>
  <si>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</si>
  <si>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</si>
  <si>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</si>
  <si>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</si>
  <si>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Ground Floor for Commercial &amp; Parking</t>
  </si>
  <si>
    <t>Shop (Duplex with 1st Floor)</t>
  </si>
  <si>
    <t>1st Floor for Residential</t>
  </si>
  <si>
    <t>3BHK</t>
  </si>
  <si>
    <t>3rd, 5th, 9th Floor</t>
  </si>
  <si>
    <t>4th, 6th, 8th Floor</t>
  </si>
  <si>
    <t>10th Floor</t>
  </si>
  <si>
    <t>Terrace Area</t>
  </si>
  <si>
    <t>10th Floor (Part Terrace Area)</t>
  </si>
  <si>
    <t>7th Floor (Part Refuge Area)</t>
  </si>
  <si>
    <t>Refuge Area</t>
  </si>
  <si>
    <t>10th Floor (Common Terrace Area)</t>
  </si>
  <si>
    <t>Basement 1st &amp; 2nd Floor for Parking</t>
  </si>
  <si>
    <t>Ground Floor for Parking</t>
  </si>
  <si>
    <t>MP Room</t>
  </si>
  <si>
    <t>3rd, 5th, 7th, 9th Floor</t>
  </si>
  <si>
    <t>11th Floor</t>
  </si>
  <si>
    <t>12th Floor</t>
  </si>
  <si>
    <t>4BHK + Family Room (Duplex with 13th Floor)</t>
  </si>
  <si>
    <t>13th Floor</t>
  </si>
  <si>
    <t>Duplex with 12th Floor</t>
  </si>
  <si>
    <t>Axis Sanpada</t>
  </si>
  <si>
    <t>M/s. Mistry Construction Co. Pvt. Ltd.</t>
  </si>
  <si>
    <t>Approved Plans, CC, Cost Sheet</t>
  </si>
  <si>
    <t>Plot No</t>
  </si>
  <si>
    <t>Nerul</t>
  </si>
  <si>
    <t>Pocket D &amp; E, Sector - 60</t>
  </si>
  <si>
    <t>Thane</t>
  </si>
  <si>
    <t>City and Industrial Development Corporation of Maharashtra (CIDCO)</t>
  </si>
  <si>
    <t>CIDCO/BP-15516/TPO(NM &amp; K)/2017/8159</t>
  </si>
  <si>
    <t xml:space="preserve">CIDCO/BP-15516/TPO(NM &amp; K)/2017/8159 </t>
  </si>
  <si>
    <t>As per RERA - 31/12/2028</t>
  </si>
  <si>
    <t>We considered Gross carpet area = Net carpet + Enclose balcony.</t>
  </si>
  <si>
    <t>Service road</t>
  </si>
  <si>
    <t>Navi Mumbai</t>
  </si>
  <si>
    <t>Vanashree CHS</t>
  </si>
  <si>
    <t>3 KM from Seawood Railway Station</t>
  </si>
  <si>
    <t>Seawoods Estates</t>
  </si>
  <si>
    <t>Palm Beach Road</t>
  </si>
  <si>
    <t>Crek</t>
  </si>
  <si>
    <t>Tower B1 = Tower 5 = 2B + G/St + 1st to 10th Floor</t>
  </si>
  <si>
    <t xml:space="preserve">Tower B2 = Tower 6 = 2B + G/St + 1st to 9th Floor </t>
  </si>
  <si>
    <t xml:space="preserve">Tower C1 = Tower 7 = 2B + G/St + 1st to 13th Floor </t>
  </si>
  <si>
    <t>Club House</t>
  </si>
  <si>
    <t>Advance Maintenance Charges (24 months from date of intimation of OC)</t>
  </si>
  <si>
    <t>Share Money</t>
  </si>
  <si>
    <t>Water &amp; Electric Charges</t>
  </si>
  <si>
    <t>MB</t>
  </si>
  <si>
    <t>This Project is adjacent to creek.</t>
  </si>
  <si>
    <t>Name of the Project on RERA &amp; RERA No.</t>
  </si>
  <si>
    <t>9PBR</t>
  </si>
  <si>
    <t>Tower 5 &amp; 6</t>
  </si>
  <si>
    <t>Tower 5</t>
  </si>
  <si>
    <t>Tower 6</t>
  </si>
  <si>
    <t>Tower 7</t>
  </si>
  <si>
    <t xml:space="preserve">1.Vitrified tiles flooring 2. Granite Kitchen Platform  3. Decorative Enternace  etc. 
</t>
  </si>
  <si>
    <t>20800 to 21000</t>
  </si>
  <si>
    <t>smith pal</t>
  </si>
  <si>
    <t>cost sheet</t>
  </si>
  <si>
    <t>21000 to 23700</t>
  </si>
  <si>
    <t>Cost sheet</t>
  </si>
  <si>
    <t>Location Link</t>
  </si>
  <si>
    <t>https://goo.gl/maps/7NmsSZZu5Nw8XyZy9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</si>
  <si>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</si>
  <si>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4 Tower</t>
  </si>
  <si>
    <t>Tower 5 - Tower B1
Tower 6 - Tower B2
Tower 7 - Tower C1
Tower 8 - Tower C2</t>
  </si>
  <si>
    <t xml:space="preserve">Tower B1 = Tower 5 = 2B + G/St + 1st to 10th Floor
Tower B2 = Tower 6 = 2B + G/St + 1st to 9th Floor 
Tower C1 = Tower 7 = 2B + G/St + 1st to 13th Floor 
Tower C2 = Tower 8 = 2B + G/St + 1st to 13th Floor </t>
  </si>
  <si>
    <t xml:space="preserve">Tower B1 = Tower 5 = 2B + G/St + 1st to 10th Floor
Tower B2 = Tower 6 = 2B + G/St + 1st to 9th Floor 
Tower C1 = Tower 7 = 2B + G/St + 1st to 13th Floor
Tower C2 = Tower 8 = 2B + G/St + 1st to 13th Floor 
</t>
  </si>
  <si>
    <t>Tower C2 = Tower 8 = 2B + G/St + 1st to 13th Floor</t>
  </si>
  <si>
    <t>Tower 8</t>
  </si>
  <si>
    <t>We have updated approved floor plan &amp; C.C for C2 Tower (on 20/12/2024).</t>
  </si>
  <si>
    <t>Flats -198</t>
  </si>
  <si>
    <t>Layout:</t>
  </si>
  <si>
    <t>9PBR Tower B1 - P51700032812
9PBR Tower B2 - P51700033690
9PBR Tower C1 - P51700033678
9PBR Tower C2 - P51700076870</t>
  </si>
  <si>
    <t>Pooja</t>
  </si>
  <si>
    <t>Tower B1, B2, C1 &amp; C2 = Construction work same as last visit dtd 20/12/2024.
Few labours found on site.</t>
  </si>
  <si>
    <t>On Site, we meet Ms. Dakshata : 7738508347.</t>
  </si>
  <si>
    <t>Aakash Chaure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</si>
</sst>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7" fillId="0" borderId="1" xfId="10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450</xdr:row>
      <xdr:rowOff>22479</xdr:rowOff>
    </xdr:from>
    <xdr:to>
      <xdr:col>7</xdr:col>
      <xdr:colOff>283102</xdr:colOff>
      <xdr:row>468</xdr:row>
      <xdr:rowOff>22029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5" y="79470504"/>
          <a:ext cx="579807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600075</xdr:colOff>
      <xdr:row>431</xdr:row>
      <xdr:rowOff>19050</xdr:rowOff>
    </xdr:from>
    <xdr:to>
      <xdr:col>7</xdr:col>
      <xdr:colOff>217726</xdr:colOff>
      <xdr:row>449</xdr:row>
      <xdr:rowOff>18600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0075" y="75666600"/>
          <a:ext cx="573270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258482</xdr:colOff>
      <xdr:row>341</xdr:row>
      <xdr:rowOff>86590</xdr:rowOff>
    </xdr:from>
    <xdr:to>
      <xdr:col>11</xdr:col>
      <xdr:colOff>674118</xdr:colOff>
      <xdr:row>343</xdr:row>
      <xdr:rowOff>69271</xdr:rowOff>
    </xdr:to>
    <xdr:sp macro="" textlink="">
      <xdr:nvSpPr>
        <xdr:cNvPr id="31" name="Rectangle 30"/>
        <xdr:cNvSpPr/>
      </xdr:nvSpPr>
      <xdr:spPr>
        <a:xfrm>
          <a:off x="9774823" y="64692067"/>
          <a:ext cx="415636" cy="3809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C1</a:t>
          </a:r>
        </a:p>
      </xdr:txBody>
    </xdr:sp>
    <xdr:clientData/>
  </xdr:twoCellAnchor>
  <xdr:twoCellAnchor>
    <xdr:from>
      <xdr:col>10</xdr:col>
      <xdr:colOff>7368</xdr:colOff>
      <xdr:row>343</xdr:row>
      <xdr:rowOff>60612</xdr:rowOff>
    </xdr:from>
    <xdr:to>
      <xdr:col>10</xdr:col>
      <xdr:colOff>423004</xdr:colOff>
      <xdr:row>345</xdr:row>
      <xdr:rowOff>43293</xdr:rowOff>
    </xdr:to>
    <xdr:sp macro="" textlink="">
      <xdr:nvSpPr>
        <xdr:cNvPr id="32" name="Rectangle 31"/>
        <xdr:cNvSpPr/>
      </xdr:nvSpPr>
      <xdr:spPr>
        <a:xfrm>
          <a:off x="8770368" y="65064407"/>
          <a:ext cx="415636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B1</a:t>
          </a:r>
        </a:p>
      </xdr:txBody>
    </xdr:sp>
    <xdr:clientData/>
  </xdr:twoCellAnchor>
  <xdr:twoCellAnchor>
    <xdr:from>
      <xdr:col>8</xdr:col>
      <xdr:colOff>558086</xdr:colOff>
      <xdr:row>342</xdr:row>
      <xdr:rowOff>143739</xdr:rowOff>
    </xdr:from>
    <xdr:to>
      <xdr:col>8</xdr:col>
      <xdr:colOff>973722</xdr:colOff>
      <xdr:row>344</xdr:row>
      <xdr:rowOff>126420</xdr:rowOff>
    </xdr:to>
    <xdr:sp macro="" textlink="">
      <xdr:nvSpPr>
        <xdr:cNvPr id="33" name="Rectangle 32"/>
        <xdr:cNvSpPr/>
      </xdr:nvSpPr>
      <xdr:spPr>
        <a:xfrm>
          <a:off x="7398768" y="64948375"/>
          <a:ext cx="415636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B2</a:t>
          </a:r>
        </a:p>
      </xdr:txBody>
    </xdr:sp>
    <xdr:clientData/>
  </xdr:twoCellAnchor>
  <xdr:twoCellAnchor>
    <xdr:from>
      <xdr:col>9</xdr:col>
      <xdr:colOff>25974</xdr:colOff>
      <xdr:row>345</xdr:row>
      <xdr:rowOff>65498</xdr:rowOff>
    </xdr:from>
    <xdr:to>
      <xdr:col>9</xdr:col>
      <xdr:colOff>441610</xdr:colOff>
      <xdr:row>347</xdr:row>
      <xdr:rowOff>56839</xdr:rowOff>
    </xdr:to>
    <xdr:sp macro="" textlink="">
      <xdr:nvSpPr>
        <xdr:cNvPr id="34" name="Rectangle 33"/>
        <xdr:cNvSpPr/>
      </xdr:nvSpPr>
      <xdr:spPr>
        <a:xfrm>
          <a:off x="8026974" y="65467612"/>
          <a:ext cx="415636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B1</a:t>
          </a:r>
        </a:p>
      </xdr:txBody>
    </xdr:sp>
    <xdr:clientData/>
  </xdr:twoCellAnchor>
  <xdr:twoCellAnchor>
    <xdr:from>
      <xdr:col>9</xdr:col>
      <xdr:colOff>583260</xdr:colOff>
      <xdr:row>345</xdr:row>
      <xdr:rowOff>65498</xdr:rowOff>
    </xdr:from>
    <xdr:to>
      <xdr:col>10</xdr:col>
      <xdr:colOff>236896</xdr:colOff>
      <xdr:row>347</xdr:row>
      <xdr:rowOff>56839</xdr:rowOff>
    </xdr:to>
    <xdr:sp macro="" textlink="">
      <xdr:nvSpPr>
        <xdr:cNvPr id="35" name="Rectangle 34"/>
        <xdr:cNvSpPr/>
      </xdr:nvSpPr>
      <xdr:spPr>
        <a:xfrm>
          <a:off x="8584260" y="65467612"/>
          <a:ext cx="415636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B2</a:t>
          </a:r>
        </a:p>
      </xdr:txBody>
    </xdr:sp>
    <xdr:clientData/>
  </xdr:twoCellAnchor>
  <xdr:twoCellAnchor>
    <xdr:from>
      <xdr:col>10</xdr:col>
      <xdr:colOff>317932</xdr:colOff>
      <xdr:row>345</xdr:row>
      <xdr:rowOff>56839</xdr:rowOff>
    </xdr:from>
    <xdr:to>
      <xdr:col>10</xdr:col>
      <xdr:colOff>733568</xdr:colOff>
      <xdr:row>347</xdr:row>
      <xdr:rowOff>48180</xdr:rowOff>
    </xdr:to>
    <xdr:sp macro="" textlink="">
      <xdr:nvSpPr>
        <xdr:cNvPr id="36" name="Rectangle 35"/>
        <xdr:cNvSpPr/>
      </xdr:nvSpPr>
      <xdr:spPr>
        <a:xfrm>
          <a:off x="9080932" y="65458953"/>
          <a:ext cx="415636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C1</a:t>
          </a:r>
        </a:p>
      </xdr:txBody>
    </xdr:sp>
    <xdr:clientData/>
  </xdr:twoCellAnchor>
  <xdr:twoCellAnchor>
    <xdr:from>
      <xdr:col>11</xdr:col>
      <xdr:colOff>415637</xdr:colOff>
      <xdr:row>343</xdr:row>
      <xdr:rowOff>69271</xdr:rowOff>
    </xdr:from>
    <xdr:to>
      <xdr:col>11</xdr:col>
      <xdr:colOff>466300</xdr:colOff>
      <xdr:row>344</xdr:row>
      <xdr:rowOff>190499</xdr:rowOff>
    </xdr:to>
    <xdr:cxnSp macro="">
      <xdr:nvCxnSpPr>
        <xdr:cNvPr id="37" name="Straight Arrow Connector 36"/>
        <xdr:cNvCxnSpPr>
          <a:stCxn id="31" idx="2"/>
        </xdr:cNvCxnSpPr>
      </xdr:nvCxnSpPr>
      <xdr:spPr>
        <a:xfrm flipH="1">
          <a:off x="9931978" y="65073066"/>
          <a:ext cx="50663" cy="32038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129887</xdr:colOff>
      <xdr:row>345</xdr:row>
      <xdr:rowOff>43293</xdr:rowOff>
    </xdr:from>
    <xdr:to>
      <xdr:col>10</xdr:col>
      <xdr:colOff>215186</xdr:colOff>
      <xdr:row>347</xdr:row>
      <xdr:rowOff>17317</xdr:rowOff>
    </xdr:to>
    <xdr:cxnSp macro="">
      <xdr:nvCxnSpPr>
        <xdr:cNvPr id="38" name="Straight Arrow Connector 37"/>
        <xdr:cNvCxnSpPr>
          <a:stCxn id="32" idx="2"/>
        </xdr:cNvCxnSpPr>
      </xdr:nvCxnSpPr>
      <xdr:spPr>
        <a:xfrm flipH="1">
          <a:off x="8892887" y="65445407"/>
          <a:ext cx="85299" cy="36368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765904</xdr:colOff>
      <xdr:row>344</xdr:row>
      <xdr:rowOff>126420</xdr:rowOff>
    </xdr:from>
    <xdr:to>
      <xdr:col>8</xdr:col>
      <xdr:colOff>839932</xdr:colOff>
      <xdr:row>347</xdr:row>
      <xdr:rowOff>155863</xdr:rowOff>
    </xdr:to>
    <xdr:cxnSp macro="">
      <xdr:nvCxnSpPr>
        <xdr:cNvPr id="39" name="Straight Arrow Connector 38"/>
        <xdr:cNvCxnSpPr>
          <a:stCxn id="33" idx="2"/>
        </xdr:cNvCxnSpPr>
      </xdr:nvCxnSpPr>
      <xdr:spPr>
        <a:xfrm>
          <a:off x="7606586" y="65329375"/>
          <a:ext cx="74028" cy="6182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216918</xdr:colOff>
      <xdr:row>350</xdr:row>
      <xdr:rowOff>166251</xdr:rowOff>
    </xdr:from>
    <xdr:to>
      <xdr:col>8</xdr:col>
      <xdr:colOff>632554</xdr:colOff>
      <xdr:row>352</xdr:row>
      <xdr:rowOff>148933</xdr:rowOff>
    </xdr:to>
    <xdr:sp macro="" textlink="">
      <xdr:nvSpPr>
        <xdr:cNvPr id="44" name="Rectangle 43"/>
        <xdr:cNvSpPr/>
      </xdr:nvSpPr>
      <xdr:spPr>
        <a:xfrm>
          <a:off x="7057600" y="66962478"/>
          <a:ext cx="415636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B2</a:t>
          </a:r>
        </a:p>
      </xdr:txBody>
    </xdr:sp>
    <xdr:clientData/>
  </xdr:twoCellAnchor>
  <xdr:twoCellAnchor>
    <xdr:from>
      <xdr:col>8</xdr:col>
      <xdr:colOff>424736</xdr:colOff>
      <xdr:row>352</xdr:row>
      <xdr:rowOff>148933</xdr:rowOff>
    </xdr:from>
    <xdr:to>
      <xdr:col>8</xdr:col>
      <xdr:colOff>498764</xdr:colOff>
      <xdr:row>355</xdr:row>
      <xdr:rowOff>169716</xdr:rowOff>
    </xdr:to>
    <xdr:cxnSp macro="">
      <xdr:nvCxnSpPr>
        <xdr:cNvPr id="45" name="Straight Arrow Connector 44"/>
        <xdr:cNvCxnSpPr>
          <a:stCxn id="44" idx="2"/>
        </xdr:cNvCxnSpPr>
      </xdr:nvCxnSpPr>
      <xdr:spPr>
        <a:xfrm>
          <a:off x="7265418" y="67343478"/>
          <a:ext cx="74028" cy="6182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540768</xdr:colOff>
      <xdr:row>351</xdr:row>
      <xdr:rowOff>109102</xdr:rowOff>
    </xdr:from>
    <xdr:to>
      <xdr:col>10</xdr:col>
      <xdr:colOff>194404</xdr:colOff>
      <xdr:row>353</xdr:row>
      <xdr:rowOff>91783</xdr:rowOff>
    </xdr:to>
    <xdr:sp macro="" textlink="">
      <xdr:nvSpPr>
        <xdr:cNvPr id="46" name="Rectangle 45"/>
        <xdr:cNvSpPr/>
      </xdr:nvSpPr>
      <xdr:spPr>
        <a:xfrm>
          <a:off x="8541768" y="67104488"/>
          <a:ext cx="415636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B1</a:t>
          </a:r>
        </a:p>
      </xdr:txBody>
    </xdr:sp>
    <xdr:clientData/>
  </xdr:twoCellAnchor>
  <xdr:twoCellAnchor>
    <xdr:from>
      <xdr:col>9</xdr:col>
      <xdr:colOff>663287</xdr:colOff>
      <xdr:row>353</xdr:row>
      <xdr:rowOff>91783</xdr:rowOff>
    </xdr:from>
    <xdr:to>
      <xdr:col>9</xdr:col>
      <xdr:colOff>748586</xdr:colOff>
      <xdr:row>355</xdr:row>
      <xdr:rowOff>57148</xdr:rowOff>
    </xdr:to>
    <xdr:cxnSp macro="">
      <xdr:nvCxnSpPr>
        <xdr:cNvPr id="47" name="Straight Arrow Connector 46"/>
        <xdr:cNvCxnSpPr>
          <a:stCxn id="46" idx="2"/>
        </xdr:cNvCxnSpPr>
      </xdr:nvCxnSpPr>
      <xdr:spPr>
        <a:xfrm flipH="1">
          <a:off x="8664287" y="67485488"/>
          <a:ext cx="85299" cy="36368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350269</xdr:colOff>
      <xdr:row>349</xdr:row>
      <xdr:rowOff>117762</xdr:rowOff>
    </xdr:from>
    <xdr:to>
      <xdr:col>12</xdr:col>
      <xdr:colOff>64519</xdr:colOff>
      <xdr:row>351</xdr:row>
      <xdr:rowOff>100443</xdr:rowOff>
    </xdr:to>
    <xdr:sp macro="" textlink="">
      <xdr:nvSpPr>
        <xdr:cNvPr id="48" name="Rectangle 47"/>
        <xdr:cNvSpPr/>
      </xdr:nvSpPr>
      <xdr:spPr>
        <a:xfrm>
          <a:off x="9866610" y="66714830"/>
          <a:ext cx="415636" cy="3809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C1</a:t>
          </a:r>
        </a:p>
      </xdr:txBody>
    </xdr:sp>
    <xdr:clientData/>
  </xdr:twoCellAnchor>
  <xdr:twoCellAnchor>
    <xdr:from>
      <xdr:col>11</xdr:col>
      <xdr:colOff>507424</xdr:colOff>
      <xdr:row>351</xdr:row>
      <xdr:rowOff>100443</xdr:rowOff>
    </xdr:from>
    <xdr:to>
      <xdr:col>11</xdr:col>
      <xdr:colOff>558087</xdr:colOff>
      <xdr:row>353</xdr:row>
      <xdr:rowOff>22512</xdr:rowOff>
    </xdr:to>
    <xdr:cxnSp macro="">
      <xdr:nvCxnSpPr>
        <xdr:cNvPr id="49" name="Straight Arrow Connector 48"/>
        <xdr:cNvCxnSpPr>
          <a:stCxn id="48" idx="2"/>
        </xdr:cNvCxnSpPr>
      </xdr:nvCxnSpPr>
      <xdr:spPr>
        <a:xfrm flipH="1">
          <a:off x="10023765" y="67095829"/>
          <a:ext cx="50663" cy="32038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225136</xdr:colOff>
      <xdr:row>362</xdr:row>
      <xdr:rowOff>116033</xdr:rowOff>
    </xdr:from>
    <xdr:to>
      <xdr:col>8</xdr:col>
      <xdr:colOff>640772</xdr:colOff>
      <xdr:row>364</xdr:row>
      <xdr:rowOff>98714</xdr:rowOff>
    </xdr:to>
    <xdr:sp macro="" textlink="">
      <xdr:nvSpPr>
        <xdr:cNvPr id="63" name="Rectangle 62"/>
        <xdr:cNvSpPr/>
      </xdr:nvSpPr>
      <xdr:spPr>
        <a:xfrm>
          <a:off x="7065818" y="69535965"/>
          <a:ext cx="415636" cy="3809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B1</a:t>
          </a:r>
        </a:p>
      </xdr:txBody>
    </xdr:sp>
    <xdr:clientData/>
  </xdr:twoCellAnchor>
  <xdr:twoCellAnchor>
    <xdr:from>
      <xdr:col>8</xdr:col>
      <xdr:colOff>347655</xdr:colOff>
      <xdr:row>364</xdr:row>
      <xdr:rowOff>98714</xdr:rowOff>
    </xdr:from>
    <xdr:to>
      <xdr:col>8</xdr:col>
      <xdr:colOff>432954</xdr:colOff>
      <xdr:row>366</xdr:row>
      <xdr:rowOff>64079</xdr:rowOff>
    </xdr:to>
    <xdr:cxnSp macro="">
      <xdr:nvCxnSpPr>
        <xdr:cNvPr id="64" name="Straight Arrow Connector 63"/>
        <xdr:cNvCxnSpPr>
          <a:stCxn id="63" idx="2"/>
        </xdr:cNvCxnSpPr>
      </xdr:nvCxnSpPr>
      <xdr:spPr>
        <a:xfrm flipH="1">
          <a:off x="7188337" y="69916964"/>
          <a:ext cx="85299" cy="36368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1009650</xdr:colOff>
      <xdr:row>362</xdr:row>
      <xdr:rowOff>17318</xdr:rowOff>
    </xdr:from>
    <xdr:to>
      <xdr:col>9</xdr:col>
      <xdr:colOff>264968</xdr:colOff>
      <xdr:row>364</xdr:row>
      <xdr:rowOff>0</xdr:rowOff>
    </xdr:to>
    <xdr:sp macro="" textlink="">
      <xdr:nvSpPr>
        <xdr:cNvPr id="65" name="Rectangle 64"/>
        <xdr:cNvSpPr/>
      </xdr:nvSpPr>
      <xdr:spPr>
        <a:xfrm>
          <a:off x="7850332" y="69437250"/>
          <a:ext cx="415636" cy="3810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B2</a:t>
          </a:r>
        </a:p>
      </xdr:txBody>
    </xdr:sp>
    <xdr:clientData/>
  </xdr:twoCellAnchor>
  <xdr:twoCellAnchor>
    <xdr:from>
      <xdr:col>9</xdr:col>
      <xdr:colOff>57150</xdr:colOff>
      <xdr:row>364</xdr:row>
      <xdr:rowOff>0</xdr:rowOff>
    </xdr:from>
    <xdr:to>
      <xdr:col>9</xdr:col>
      <xdr:colOff>131178</xdr:colOff>
      <xdr:row>367</xdr:row>
      <xdr:rowOff>20783</xdr:rowOff>
    </xdr:to>
    <xdr:cxnSp macro="">
      <xdr:nvCxnSpPr>
        <xdr:cNvPr id="66" name="Straight Arrow Connector 65"/>
        <xdr:cNvCxnSpPr>
          <a:stCxn id="65" idx="2"/>
        </xdr:cNvCxnSpPr>
      </xdr:nvCxnSpPr>
      <xdr:spPr>
        <a:xfrm>
          <a:off x="8058150" y="69818250"/>
          <a:ext cx="74028" cy="6182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51955</xdr:colOff>
      <xdr:row>362</xdr:row>
      <xdr:rowOff>72738</xdr:rowOff>
    </xdr:from>
    <xdr:to>
      <xdr:col>11</xdr:col>
      <xdr:colOff>467591</xdr:colOff>
      <xdr:row>364</xdr:row>
      <xdr:rowOff>55419</xdr:rowOff>
    </xdr:to>
    <xdr:sp macro="" textlink="">
      <xdr:nvSpPr>
        <xdr:cNvPr id="67" name="Rectangle 66"/>
        <xdr:cNvSpPr/>
      </xdr:nvSpPr>
      <xdr:spPr>
        <a:xfrm>
          <a:off x="9568296" y="69492670"/>
          <a:ext cx="415636" cy="3809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C1</a:t>
          </a:r>
        </a:p>
      </xdr:txBody>
    </xdr:sp>
    <xdr:clientData/>
  </xdr:twoCellAnchor>
  <xdr:twoCellAnchor>
    <xdr:from>
      <xdr:col>11</xdr:col>
      <xdr:colOff>209110</xdr:colOff>
      <xdr:row>364</xdr:row>
      <xdr:rowOff>55419</xdr:rowOff>
    </xdr:from>
    <xdr:to>
      <xdr:col>11</xdr:col>
      <xdr:colOff>259773</xdr:colOff>
      <xdr:row>365</xdr:row>
      <xdr:rowOff>176647</xdr:rowOff>
    </xdr:to>
    <xdr:cxnSp macro="">
      <xdr:nvCxnSpPr>
        <xdr:cNvPr id="68" name="Straight Arrow Connector 67"/>
        <xdr:cNvCxnSpPr>
          <a:stCxn id="67" idx="2"/>
        </xdr:cNvCxnSpPr>
      </xdr:nvCxnSpPr>
      <xdr:spPr>
        <a:xfrm flipH="1">
          <a:off x="9725451" y="69873669"/>
          <a:ext cx="50663" cy="3203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67371</xdr:colOff>
      <xdr:row>358</xdr:row>
      <xdr:rowOff>8938</xdr:rowOff>
    </xdr:from>
    <xdr:to>
      <xdr:col>14</xdr:col>
      <xdr:colOff>484079</xdr:colOff>
      <xdr:row>369</xdr:row>
      <xdr:rowOff>3588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92371" y="83514613"/>
          <a:ext cx="2750333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72288</xdr:colOff>
      <xdr:row>343</xdr:row>
      <xdr:rowOff>101600</xdr:rowOff>
    </xdr:from>
    <xdr:to>
      <xdr:col>16</xdr:col>
      <xdr:colOff>607676</xdr:colOff>
      <xdr:row>357</xdr:row>
      <xdr:rowOff>88050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30913" y="80616425"/>
          <a:ext cx="1973663" cy="2777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306019</xdr:colOff>
      <xdr:row>343</xdr:row>
      <xdr:rowOff>101600</xdr:rowOff>
    </xdr:from>
    <xdr:to>
      <xdr:col>13</xdr:col>
      <xdr:colOff>771557</xdr:colOff>
      <xdr:row>357</xdr:row>
      <xdr:rowOff>88050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1019" y="80616425"/>
          <a:ext cx="1960963" cy="2777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627924</xdr:colOff>
      <xdr:row>358</xdr:row>
      <xdr:rowOff>8938</xdr:rowOff>
    </xdr:from>
    <xdr:to>
      <xdr:col>17</xdr:col>
      <xdr:colOff>125537</xdr:colOff>
      <xdr:row>369</xdr:row>
      <xdr:rowOff>3588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86549" y="83514613"/>
          <a:ext cx="1545488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908050</xdr:colOff>
      <xdr:row>343</xdr:row>
      <xdr:rowOff>101600</xdr:rowOff>
    </xdr:from>
    <xdr:to>
      <xdr:col>11</xdr:col>
      <xdr:colOff>205188</xdr:colOff>
      <xdr:row>357</xdr:row>
      <xdr:rowOff>88050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6525" y="80616425"/>
          <a:ext cx="1973663" cy="2777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705546</xdr:colOff>
      <xdr:row>358</xdr:row>
      <xdr:rowOff>8938</xdr:rowOff>
    </xdr:from>
    <xdr:to>
      <xdr:col>10</xdr:col>
      <xdr:colOff>723471</xdr:colOff>
      <xdr:row>371</xdr:row>
      <xdr:rowOff>613</xdr:rowOff>
    </xdr:to>
    <xdr:pic>
      <xdr:nvPicPr>
        <xdr:cNvPr id="40" name="Picture 39" descr="https://vsjcllp.vsjadon.com/upload/insp-207244-92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4021" y="83514613"/>
          <a:ext cx="1941975" cy="2592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388</xdr:row>
      <xdr:rowOff>45461</xdr:rowOff>
    </xdr:from>
    <xdr:to>
      <xdr:col>7</xdr:col>
      <xdr:colOff>515150</xdr:colOff>
      <xdr:row>413</xdr:row>
      <xdr:rowOff>55685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6250" y="89951936"/>
          <a:ext cx="5734850" cy="50108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362350</xdr:colOff>
      <xdr:row>396</xdr:row>
      <xdr:rowOff>193449</xdr:rowOff>
    </xdr:from>
    <xdr:to>
      <xdr:col>5</xdr:col>
      <xdr:colOff>529038</xdr:colOff>
      <xdr:row>402</xdr:row>
      <xdr:rowOff>74386</xdr:rowOff>
    </xdr:to>
    <xdr:sp macro="" textlink="">
      <xdr:nvSpPr>
        <xdr:cNvPr id="61" name="Rectangle 60"/>
        <xdr:cNvSpPr/>
      </xdr:nvSpPr>
      <xdr:spPr>
        <a:xfrm>
          <a:off x="3715150" y="91700124"/>
          <a:ext cx="947738" cy="1081087"/>
        </a:xfrm>
        <a:prstGeom prst="rect">
          <a:avLst/>
        </a:prstGeom>
        <a:noFill/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152800</xdr:colOff>
      <xdr:row>389</xdr:row>
      <xdr:rowOff>98198</xdr:rowOff>
    </xdr:from>
    <xdr:to>
      <xdr:col>5</xdr:col>
      <xdr:colOff>730196</xdr:colOff>
      <xdr:row>395</xdr:row>
      <xdr:rowOff>45811</xdr:rowOff>
    </xdr:to>
    <xdr:sp macro="" textlink="">
      <xdr:nvSpPr>
        <xdr:cNvPr id="62" name="Rectangle 61"/>
        <xdr:cNvSpPr/>
      </xdr:nvSpPr>
      <xdr:spPr>
        <a:xfrm>
          <a:off x="3505600" y="90204698"/>
          <a:ext cx="1358446" cy="1147763"/>
        </a:xfrm>
        <a:prstGeom prst="rect">
          <a:avLst/>
        </a:prstGeom>
        <a:noFill/>
        <a:ln w="3810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595713</xdr:colOff>
      <xdr:row>391</xdr:row>
      <xdr:rowOff>141061</xdr:rowOff>
    </xdr:from>
    <xdr:to>
      <xdr:col>4</xdr:col>
      <xdr:colOff>124225</xdr:colOff>
      <xdr:row>398</xdr:row>
      <xdr:rowOff>36286</xdr:rowOff>
    </xdr:to>
    <xdr:sp macro="" textlink="">
      <xdr:nvSpPr>
        <xdr:cNvPr id="74" name="Rectangle 73"/>
        <xdr:cNvSpPr/>
      </xdr:nvSpPr>
      <xdr:spPr>
        <a:xfrm>
          <a:off x="2157813" y="90647611"/>
          <a:ext cx="1319212" cy="12954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595713</xdr:colOff>
      <xdr:row>390</xdr:row>
      <xdr:rowOff>60779</xdr:rowOff>
    </xdr:from>
    <xdr:to>
      <xdr:col>4</xdr:col>
      <xdr:colOff>524964</xdr:colOff>
      <xdr:row>392</xdr:row>
      <xdr:rowOff>30061</xdr:rowOff>
    </xdr:to>
    <xdr:sp macro="" textlink="">
      <xdr:nvSpPr>
        <xdr:cNvPr id="75" name="Rectangle 74"/>
        <xdr:cNvSpPr/>
      </xdr:nvSpPr>
      <xdr:spPr>
        <a:xfrm>
          <a:off x="2157813" y="90367304"/>
          <a:ext cx="171995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Tower B1</a:t>
          </a:r>
        </a:p>
      </xdr:txBody>
    </xdr:sp>
    <xdr:clientData/>
  </xdr:twoCellAnchor>
  <xdr:twoCellAnchor>
    <xdr:from>
      <xdr:col>4</xdr:col>
      <xdr:colOff>152800</xdr:colOff>
      <xdr:row>387</xdr:row>
      <xdr:rowOff>123825</xdr:rowOff>
    </xdr:from>
    <xdr:to>
      <xdr:col>5</xdr:col>
      <xdr:colOff>730196</xdr:colOff>
      <xdr:row>389</xdr:row>
      <xdr:rowOff>93107</xdr:rowOff>
    </xdr:to>
    <xdr:sp macro="" textlink="">
      <xdr:nvSpPr>
        <xdr:cNvPr id="76" name="Rectangle 75"/>
        <xdr:cNvSpPr/>
      </xdr:nvSpPr>
      <xdr:spPr>
        <a:xfrm>
          <a:off x="3505600" y="89830275"/>
          <a:ext cx="1358446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C000"/>
              </a:solidFill>
            </a:rPr>
            <a:t>Tower B2</a:t>
          </a:r>
        </a:p>
      </xdr:txBody>
    </xdr:sp>
    <xdr:clientData/>
  </xdr:twoCellAnchor>
  <xdr:twoCellAnchor>
    <xdr:from>
      <xdr:col>5</xdr:col>
      <xdr:colOff>529038</xdr:colOff>
      <xdr:row>398</xdr:row>
      <xdr:rowOff>92403</xdr:rowOff>
    </xdr:from>
    <xdr:to>
      <xdr:col>8</xdr:col>
      <xdr:colOff>47852</xdr:colOff>
      <xdr:row>400</xdr:row>
      <xdr:rowOff>61685</xdr:rowOff>
    </xdr:to>
    <xdr:sp macro="" textlink="">
      <xdr:nvSpPr>
        <xdr:cNvPr id="77" name="Rectangle 76"/>
        <xdr:cNvSpPr/>
      </xdr:nvSpPr>
      <xdr:spPr>
        <a:xfrm>
          <a:off x="4662888" y="91999128"/>
          <a:ext cx="223343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chemeClr val="accent6">
                  <a:lumMod val="75000"/>
                </a:schemeClr>
              </a:solidFill>
            </a:rPr>
            <a:t>Tower C1</a:t>
          </a:r>
        </a:p>
      </xdr:txBody>
    </xdr:sp>
    <xdr:clientData/>
  </xdr:twoCellAnchor>
  <xdr:oneCellAnchor>
    <xdr:from>
      <xdr:col>9</xdr:col>
      <xdr:colOff>120650</xdr:colOff>
      <xdr:row>338</xdr:row>
      <xdr:rowOff>184150</xdr:rowOff>
    </xdr:from>
    <xdr:ext cx="373307" cy="311496"/>
    <xdr:sp macro="" textlink="">
      <xdr:nvSpPr>
        <xdr:cNvPr id="5" name="TextBox 4"/>
        <xdr:cNvSpPr txBox="1"/>
      </xdr:nvSpPr>
      <xdr:spPr>
        <a:xfrm>
          <a:off x="8496300" y="76657200"/>
          <a:ext cx="37330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B1</a:t>
          </a:r>
        </a:p>
      </xdr:txBody>
    </xdr:sp>
    <xdr:clientData/>
  </xdr:oneCellAnchor>
  <xdr:twoCellAnchor>
    <xdr:from>
      <xdr:col>10</xdr:col>
      <xdr:colOff>0</xdr:colOff>
      <xdr:row>339</xdr:row>
      <xdr:rowOff>0</xdr:rowOff>
    </xdr:from>
    <xdr:to>
      <xdr:col>10</xdr:col>
      <xdr:colOff>427233</xdr:colOff>
      <xdr:row>340</xdr:row>
      <xdr:rowOff>177291</xdr:rowOff>
    </xdr:to>
    <xdr:sp macro="" textlink="">
      <xdr:nvSpPr>
        <xdr:cNvPr id="51" name="TextBox 50"/>
        <xdr:cNvSpPr txBox="1"/>
      </xdr:nvSpPr>
      <xdr:spPr>
        <a:xfrm>
          <a:off x="9175750" y="77089000"/>
          <a:ext cx="427233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8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B1</a:t>
          </a:r>
        </a:p>
      </xdr:txBody>
    </xdr:sp>
    <xdr:clientData/>
  </xdr:twoCellAnchor>
  <xdr:twoCellAnchor>
    <xdr:from>
      <xdr:col>0</xdr:col>
      <xdr:colOff>260350</xdr:colOff>
      <xdr:row>344</xdr:row>
      <xdr:rowOff>171450</xdr:rowOff>
    </xdr:from>
    <xdr:to>
      <xdr:col>7</xdr:col>
      <xdr:colOff>944553</xdr:colOff>
      <xdr:row>376</xdr:row>
      <xdr:rowOff>120424</xdr:rowOff>
    </xdr:to>
    <xdr:grpSp>
      <xdr:nvGrpSpPr>
        <xdr:cNvPr id="7" name="Group 6"/>
        <xdr:cNvGrpSpPr/>
      </xdr:nvGrpSpPr>
      <xdr:grpSpPr>
        <a:xfrm>
          <a:off x="260350" y="78244700"/>
          <a:ext cx="6627803" cy="6241824"/>
          <a:chOff x="260350" y="78244700"/>
          <a:chExt cx="6627803" cy="6241824"/>
        </a:xfrm>
      </xdr:grpSpPr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37647" y="782447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228" y="782447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350" y="82326524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0650" y="82326524"/>
            <a:ext cx="23447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65669" y="82326524"/>
            <a:ext cx="242248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1" name="TextBox 70"/>
          <xdr:cNvSpPr txBox="1"/>
        </xdr:nvSpPr>
        <xdr:spPr>
          <a:xfrm>
            <a:off x="1848078" y="79387700"/>
            <a:ext cx="427233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8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B1</a:t>
            </a:r>
          </a:p>
        </xdr:txBody>
      </xdr:sp>
      <xdr:sp macro="" textlink="">
        <xdr:nvSpPr>
          <xdr:cNvPr id="72" name="TextBox 71"/>
          <xdr:cNvSpPr txBox="1"/>
        </xdr:nvSpPr>
        <xdr:spPr>
          <a:xfrm>
            <a:off x="2552928" y="78962250"/>
            <a:ext cx="427233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8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B2</a:t>
            </a:r>
          </a:p>
        </xdr:txBody>
      </xdr:sp>
      <xdr:sp macro="" textlink="">
        <xdr:nvSpPr>
          <xdr:cNvPr id="73" name="TextBox 72"/>
          <xdr:cNvSpPr txBox="1"/>
        </xdr:nvSpPr>
        <xdr:spPr>
          <a:xfrm>
            <a:off x="4907647" y="80035400"/>
            <a:ext cx="427233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8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C1</a:t>
            </a:r>
          </a:p>
        </xdr:txBody>
      </xdr:sp>
      <xdr:sp macro="" textlink="">
        <xdr:nvSpPr>
          <xdr:cNvPr id="78" name="TextBox 77"/>
          <xdr:cNvSpPr txBox="1"/>
        </xdr:nvSpPr>
        <xdr:spPr>
          <a:xfrm>
            <a:off x="806450" y="83164724"/>
            <a:ext cx="427233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C2</a:t>
            </a:r>
          </a:p>
        </xdr:txBody>
      </xdr:sp>
      <xdr:cxnSp macro="">
        <xdr:nvCxnSpPr>
          <xdr:cNvPr id="79" name="Straight Arrow Connector 78"/>
          <xdr:cNvCxnSpPr/>
        </xdr:nvCxnSpPr>
        <xdr:spPr>
          <a:xfrm>
            <a:off x="2794228" y="79254350"/>
            <a:ext cx="25172" cy="48895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170688</xdr:rowOff>
    </xdr:from>
    <xdr:to>
      <xdr:col>2</xdr:col>
      <xdr:colOff>2362699</xdr:colOff>
      <xdr:row>38</xdr:row>
      <xdr:rowOff>44688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134894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49806</xdr:colOff>
      <xdr:row>26</xdr:row>
      <xdr:rowOff>170688</xdr:rowOff>
    </xdr:from>
    <xdr:to>
      <xdr:col>7</xdr:col>
      <xdr:colOff>104092</xdr:colOff>
      <xdr:row>38</xdr:row>
      <xdr:rowOff>44688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6982" y="5134894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14</xdr:row>
      <xdr:rowOff>0</xdr:rowOff>
    </xdr:from>
    <xdr:to>
      <xdr:col>2</xdr:col>
      <xdr:colOff>2362700</xdr:colOff>
      <xdr:row>25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26782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49806</xdr:colOff>
      <xdr:row>14</xdr:row>
      <xdr:rowOff>0</xdr:rowOff>
    </xdr:from>
    <xdr:to>
      <xdr:col>7</xdr:col>
      <xdr:colOff>104092</xdr:colOff>
      <xdr:row>25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6982" y="2678206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NmsSZZu5Nw8XyZy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30"/>
  <sheetViews>
    <sheetView tabSelected="1" view="pageBreakPreview" zoomScaleNormal="100" zoomScaleSheetLayoutView="100" workbookViewId="0">
      <selection activeCell="E9" sqref="E9:H9"/>
    </sheetView>
  </sheetViews>
  <sheetFormatPr defaultColWidth="9.08984375" defaultRowHeight="15.5" x14ac:dyDescent="0.35"/>
  <cols>
    <col min="1" max="1" width="11.453125" style="38" customWidth="1"/>
    <col min="2" max="2" width="12" style="38" customWidth="1"/>
    <col min="3" max="3" width="12.6328125" style="38" customWidth="1"/>
    <col min="4" max="4" width="14.08984375" style="38" customWidth="1"/>
    <col min="5" max="7" width="11.6328125" style="38" customWidth="1"/>
    <col min="8" max="8" width="17.36328125" style="38" customWidth="1"/>
    <col min="9" max="9" width="17.453125" style="19" customWidth="1"/>
    <col min="10" max="10" width="11.453125" style="19" customWidth="1"/>
    <col min="11" max="11" width="11.36328125" style="19" bestFit="1" customWidth="1"/>
    <col min="12" max="12" width="10.54296875" style="19" customWidth="1"/>
    <col min="13" max="13" width="11.90625" style="19" customWidth="1"/>
    <col min="14" max="14" width="12.54296875" style="19" customWidth="1"/>
    <col min="15" max="15" width="9.90625" style="19" customWidth="1"/>
    <col min="16" max="16" width="11.6328125" style="19" customWidth="1"/>
    <col min="17" max="247" width="9.08984375" style="19"/>
    <col min="248" max="248" width="8.6328125" style="19" customWidth="1"/>
    <col min="249" max="249" width="9.90625" style="19" customWidth="1"/>
    <col min="250" max="250" width="14.453125" style="19" customWidth="1"/>
    <col min="251" max="251" width="7.36328125" style="19" customWidth="1"/>
    <col min="252" max="252" width="5.54296875" style="19" customWidth="1"/>
    <col min="253" max="253" width="9" style="19" customWidth="1"/>
    <col min="254" max="255" width="9.90625" style="19" customWidth="1"/>
    <col min="256" max="256" width="11.08984375" style="19" customWidth="1"/>
    <col min="257" max="257" width="2.90625" style="19" customWidth="1"/>
    <col min="258" max="258" width="3.54296875" style="19" customWidth="1"/>
    <col min="259" max="503" width="9.08984375" style="19"/>
    <col min="504" max="504" width="8.6328125" style="19" customWidth="1"/>
    <col min="505" max="505" width="9.90625" style="19" customWidth="1"/>
    <col min="506" max="506" width="14.453125" style="19" customWidth="1"/>
    <col min="507" max="507" width="7.36328125" style="19" customWidth="1"/>
    <col min="508" max="508" width="5.54296875" style="19" customWidth="1"/>
    <col min="509" max="509" width="9" style="19" customWidth="1"/>
    <col min="510" max="511" width="9.90625" style="19" customWidth="1"/>
    <col min="512" max="512" width="11.08984375" style="19" customWidth="1"/>
    <col min="513" max="513" width="2.90625" style="19" customWidth="1"/>
    <col min="514" max="514" width="3.54296875" style="19" customWidth="1"/>
    <col min="515" max="759" width="9.08984375" style="19"/>
    <col min="760" max="760" width="8.6328125" style="19" customWidth="1"/>
    <col min="761" max="761" width="9.90625" style="19" customWidth="1"/>
    <col min="762" max="762" width="14.453125" style="19" customWidth="1"/>
    <col min="763" max="763" width="7.36328125" style="19" customWidth="1"/>
    <col min="764" max="764" width="5.54296875" style="19" customWidth="1"/>
    <col min="765" max="765" width="9" style="19" customWidth="1"/>
    <col min="766" max="767" width="9.90625" style="19" customWidth="1"/>
    <col min="768" max="768" width="11.08984375" style="19" customWidth="1"/>
    <col min="769" max="769" width="2.90625" style="19" customWidth="1"/>
    <col min="770" max="770" width="3.54296875" style="19" customWidth="1"/>
    <col min="771" max="1015" width="9.08984375" style="19"/>
    <col min="1016" max="1016" width="8.6328125" style="19" customWidth="1"/>
    <col min="1017" max="1017" width="9.90625" style="19" customWidth="1"/>
    <col min="1018" max="1018" width="14.453125" style="19" customWidth="1"/>
    <col min="1019" max="1019" width="7.36328125" style="19" customWidth="1"/>
    <col min="1020" max="1020" width="5.54296875" style="19" customWidth="1"/>
    <col min="1021" max="1021" width="9" style="19" customWidth="1"/>
    <col min="1022" max="1023" width="9.90625" style="19" customWidth="1"/>
    <col min="1024" max="1024" width="11.08984375" style="19" customWidth="1"/>
    <col min="1025" max="1025" width="2.90625" style="19" customWidth="1"/>
    <col min="1026" max="1026" width="3.54296875" style="19" customWidth="1"/>
    <col min="1027" max="1271" width="9.08984375" style="19"/>
    <col min="1272" max="1272" width="8.6328125" style="19" customWidth="1"/>
    <col min="1273" max="1273" width="9.90625" style="19" customWidth="1"/>
    <col min="1274" max="1274" width="14.453125" style="19" customWidth="1"/>
    <col min="1275" max="1275" width="7.36328125" style="19" customWidth="1"/>
    <col min="1276" max="1276" width="5.54296875" style="19" customWidth="1"/>
    <col min="1277" max="1277" width="9" style="19" customWidth="1"/>
    <col min="1278" max="1279" width="9.90625" style="19" customWidth="1"/>
    <col min="1280" max="1280" width="11.08984375" style="19" customWidth="1"/>
    <col min="1281" max="1281" width="2.90625" style="19" customWidth="1"/>
    <col min="1282" max="1282" width="3.54296875" style="19" customWidth="1"/>
    <col min="1283" max="1527" width="9.08984375" style="19"/>
    <col min="1528" max="1528" width="8.6328125" style="19" customWidth="1"/>
    <col min="1529" max="1529" width="9.90625" style="19" customWidth="1"/>
    <col min="1530" max="1530" width="14.453125" style="19" customWidth="1"/>
    <col min="1531" max="1531" width="7.36328125" style="19" customWidth="1"/>
    <col min="1532" max="1532" width="5.54296875" style="19" customWidth="1"/>
    <col min="1533" max="1533" width="9" style="19" customWidth="1"/>
    <col min="1534" max="1535" width="9.90625" style="19" customWidth="1"/>
    <col min="1536" max="1536" width="11.08984375" style="19" customWidth="1"/>
    <col min="1537" max="1537" width="2.90625" style="19" customWidth="1"/>
    <col min="1538" max="1538" width="3.54296875" style="19" customWidth="1"/>
    <col min="1539" max="1783" width="9.08984375" style="19"/>
    <col min="1784" max="1784" width="8.6328125" style="19" customWidth="1"/>
    <col min="1785" max="1785" width="9.90625" style="19" customWidth="1"/>
    <col min="1786" max="1786" width="14.453125" style="19" customWidth="1"/>
    <col min="1787" max="1787" width="7.36328125" style="19" customWidth="1"/>
    <col min="1788" max="1788" width="5.54296875" style="19" customWidth="1"/>
    <col min="1789" max="1789" width="9" style="19" customWidth="1"/>
    <col min="1790" max="1791" width="9.90625" style="19" customWidth="1"/>
    <col min="1792" max="1792" width="11.08984375" style="19" customWidth="1"/>
    <col min="1793" max="1793" width="2.90625" style="19" customWidth="1"/>
    <col min="1794" max="1794" width="3.54296875" style="19" customWidth="1"/>
    <col min="1795" max="2039" width="9.08984375" style="19"/>
    <col min="2040" max="2040" width="8.6328125" style="19" customWidth="1"/>
    <col min="2041" max="2041" width="9.90625" style="19" customWidth="1"/>
    <col min="2042" max="2042" width="14.453125" style="19" customWidth="1"/>
    <col min="2043" max="2043" width="7.36328125" style="19" customWidth="1"/>
    <col min="2044" max="2044" width="5.54296875" style="19" customWidth="1"/>
    <col min="2045" max="2045" width="9" style="19" customWidth="1"/>
    <col min="2046" max="2047" width="9.90625" style="19" customWidth="1"/>
    <col min="2048" max="2048" width="11.08984375" style="19" customWidth="1"/>
    <col min="2049" max="2049" width="2.90625" style="19" customWidth="1"/>
    <col min="2050" max="2050" width="3.54296875" style="19" customWidth="1"/>
    <col min="2051" max="2295" width="9.08984375" style="19"/>
    <col min="2296" max="2296" width="8.6328125" style="19" customWidth="1"/>
    <col min="2297" max="2297" width="9.90625" style="19" customWidth="1"/>
    <col min="2298" max="2298" width="14.453125" style="19" customWidth="1"/>
    <col min="2299" max="2299" width="7.36328125" style="19" customWidth="1"/>
    <col min="2300" max="2300" width="5.54296875" style="19" customWidth="1"/>
    <col min="2301" max="2301" width="9" style="19" customWidth="1"/>
    <col min="2302" max="2303" width="9.90625" style="19" customWidth="1"/>
    <col min="2304" max="2304" width="11.08984375" style="19" customWidth="1"/>
    <col min="2305" max="2305" width="2.90625" style="19" customWidth="1"/>
    <col min="2306" max="2306" width="3.54296875" style="19" customWidth="1"/>
    <col min="2307" max="2551" width="9.08984375" style="19"/>
    <col min="2552" max="2552" width="8.6328125" style="19" customWidth="1"/>
    <col min="2553" max="2553" width="9.90625" style="19" customWidth="1"/>
    <col min="2554" max="2554" width="14.453125" style="19" customWidth="1"/>
    <col min="2555" max="2555" width="7.36328125" style="19" customWidth="1"/>
    <col min="2556" max="2556" width="5.54296875" style="19" customWidth="1"/>
    <col min="2557" max="2557" width="9" style="19" customWidth="1"/>
    <col min="2558" max="2559" width="9.90625" style="19" customWidth="1"/>
    <col min="2560" max="2560" width="11.08984375" style="19" customWidth="1"/>
    <col min="2561" max="2561" width="2.90625" style="19" customWidth="1"/>
    <col min="2562" max="2562" width="3.54296875" style="19" customWidth="1"/>
    <col min="2563" max="2807" width="9.08984375" style="19"/>
    <col min="2808" max="2808" width="8.6328125" style="19" customWidth="1"/>
    <col min="2809" max="2809" width="9.90625" style="19" customWidth="1"/>
    <col min="2810" max="2810" width="14.453125" style="19" customWidth="1"/>
    <col min="2811" max="2811" width="7.36328125" style="19" customWidth="1"/>
    <col min="2812" max="2812" width="5.54296875" style="19" customWidth="1"/>
    <col min="2813" max="2813" width="9" style="19" customWidth="1"/>
    <col min="2814" max="2815" width="9.90625" style="19" customWidth="1"/>
    <col min="2816" max="2816" width="11.08984375" style="19" customWidth="1"/>
    <col min="2817" max="2817" width="2.90625" style="19" customWidth="1"/>
    <col min="2818" max="2818" width="3.54296875" style="19" customWidth="1"/>
    <col min="2819" max="3063" width="9.08984375" style="19"/>
    <col min="3064" max="3064" width="8.6328125" style="19" customWidth="1"/>
    <col min="3065" max="3065" width="9.90625" style="19" customWidth="1"/>
    <col min="3066" max="3066" width="14.453125" style="19" customWidth="1"/>
    <col min="3067" max="3067" width="7.36328125" style="19" customWidth="1"/>
    <col min="3068" max="3068" width="5.54296875" style="19" customWidth="1"/>
    <col min="3069" max="3069" width="9" style="19" customWidth="1"/>
    <col min="3070" max="3071" width="9.90625" style="19" customWidth="1"/>
    <col min="3072" max="3072" width="11.08984375" style="19" customWidth="1"/>
    <col min="3073" max="3073" width="2.90625" style="19" customWidth="1"/>
    <col min="3074" max="3074" width="3.54296875" style="19" customWidth="1"/>
    <col min="3075" max="3319" width="9.08984375" style="19"/>
    <col min="3320" max="3320" width="8.6328125" style="19" customWidth="1"/>
    <col min="3321" max="3321" width="9.90625" style="19" customWidth="1"/>
    <col min="3322" max="3322" width="14.453125" style="19" customWidth="1"/>
    <col min="3323" max="3323" width="7.36328125" style="19" customWidth="1"/>
    <col min="3324" max="3324" width="5.54296875" style="19" customWidth="1"/>
    <col min="3325" max="3325" width="9" style="19" customWidth="1"/>
    <col min="3326" max="3327" width="9.90625" style="19" customWidth="1"/>
    <col min="3328" max="3328" width="11.08984375" style="19" customWidth="1"/>
    <col min="3329" max="3329" width="2.90625" style="19" customWidth="1"/>
    <col min="3330" max="3330" width="3.54296875" style="19" customWidth="1"/>
    <col min="3331" max="3575" width="9.08984375" style="19"/>
    <col min="3576" max="3576" width="8.6328125" style="19" customWidth="1"/>
    <col min="3577" max="3577" width="9.90625" style="19" customWidth="1"/>
    <col min="3578" max="3578" width="14.453125" style="19" customWidth="1"/>
    <col min="3579" max="3579" width="7.36328125" style="19" customWidth="1"/>
    <col min="3580" max="3580" width="5.54296875" style="19" customWidth="1"/>
    <col min="3581" max="3581" width="9" style="19" customWidth="1"/>
    <col min="3582" max="3583" width="9.90625" style="19" customWidth="1"/>
    <col min="3584" max="3584" width="11.08984375" style="19" customWidth="1"/>
    <col min="3585" max="3585" width="2.90625" style="19" customWidth="1"/>
    <col min="3586" max="3586" width="3.54296875" style="19" customWidth="1"/>
    <col min="3587" max="3831" width="9.08984375" style="19"/>
    <col min="3832" max="3832" width="8.6328125" style="19" customWidth="1"/>
    <col min="3833" max="3833" width="9.90625" style="19" customWidth="1"/>
    <col min="3834" max="3834" width="14.453125" style="19" customWidth="1"/>
    <col min="3835" max="3835" width="7.36328125" style="19" customWidth="1"/>
    <col min="3836" max="3836" width="5.54296875" style="19" customWidth="1"/>
    <col min="3837" max="3837" width="9" style="19" customWidth="1"/>
    <col min="3838" max="3839" width="9.90625" style="19" customWidth="1"/>
    <col min="3840" max="3840" width="11.08984375" style="19" customWidth="1"/>
    <col min="3841" max="3841" width="2.90625" style="19" customWidth="1"/>
    <col min="3842" max="3842" width="3.54296875" style="19" customWidth="1"/>
    <col min="3843" max="4087" width="9.08984375" style="19"/>
    <col min="4088" max="4088" width="8.6328125" style="19" customWidth="1"/>
    <col min="4089" max="4089" width="9.90625" style="19" customWidth="1"/>
    <col min="4090" max="4090" width="14.453125" style="19" customWidth="1"/>
    <col min="4091" max="4091" width="7.36328125" style="19" customWidth="1"/>
    <col min="4092" max="4092" width="5.54296875" style="19" customWidth="1"/>
    <col min="4093" max="4093" width="9" style="19" customWidth="1"/>
    <col min="4094" max="4095" width="9.90625" style="19" customWidth="1"/>
    <col min="4096" max="4096" width="11.08984375" style="19" customWidth="1"/>
    <col min="4097" max="4097" width="2.90625" style="19" customWidth="1"/>
    <col min="4098" max="4098" width="3.54296875" style="19" customWidth="1"/>
    <col min="4099" max="4343" width="9.08984375" style="19"/>
    <col min="4344" max="4344" width="8.6328125" style="19" customWidth="1"/>
    <col min="4345" max="4345" width="9.90625" style="19" customWidth="1"/>
    <col min="4346" max="4346" width="14.453125" style="19" customWidth="1"/>
    <col min="4347" max="4347" width="7.36328125" style="19" customWidth="1"/>
    <col min="4348" max="4348" width="5.54296875" style="19" customWidth="1"/>
    <col min="4349" max="4349" width="9" style="19" customWidth="1"/>
    <col min="4350" max="4351" width="9.90625" style="19" customWidth="1"/>
    <col min="4352" max="4352" width="11.08984375" style="19" customWidth="1"/>
    <col min="4353" max="4353" width="2.90625" style="19" customWidth="1"/>
    <col min="4354" max="4354" width="3.54296875" style="19" customWidth="1"/>
    <col min="4355" max="4599" width="9.08984375" style="19"/>
    <col min="4600" max="4600" width="8.6328125" style="19" customWidth="1"/>
    <col min="4601" max="4601" width="9.90625" style="19" customWidth="1"/>
    <col min="4602" max="4602" width="14.453125" style="19" customWidth="1"/>
    <col min="4603" max="4603" width="7.36328125" style="19" customWidth="1"/>
    <col min="4604" max="4604" width="5.54296875" style="19" customWidth="1"/>
    <col min="4605" max="4605" width="9" style="19" customWidth="1"/>
    <col min="4606" max="4607" width="9.90625" style="19" customWidth="1"/>
    <col min="4608" max="4608" width="11.08984375" style="19" customWidth="1"/>
    <col min="4609" max="4609" width="2.90625" style="19" customWidth="1"/>
    <col min="4610" max="4610" width="3.54296875" style="19" customWidth="1"/>
    <col min="4611" max="4855" width="9.08984375" style="19"/>
    <col min="4856" max="4856" width="8.6328125" style="19" customWidth="1"/>
    <col min="4857" max="4857" width="9.90625" style="19" customWidth="1"/>
    <col min="4858" max="4858" width="14.453125" style="19" customWidth="1"/>
    <col min="4859" max="4859" width="7.36328125" style="19" customWidth="1"/>
    <col min="4860" max="4860" width="5.54296875" style="19" customWidth="1"/>
    <col min="4861" max="4861" width="9" style="19" customWidth="1"/>
    <col min="4862" max="4863" width="9.90625" style="19" customWidth="1"/>
    <col min="4864" max="4864" width="11.08984375" style="19" customWidth="1"/>
    <col min="4865" max="4865" width="2.90625" style="19" customWidth="1"/>
    <col min="4866" max="4866" width="3.54296875" style="19" customWidth="1"/>
    <col min="4867" max="5111" width="9.08984375" style="19"/>
    <col min="5112" max="5112" width="8.6328125" style="19" customWidth="1"/>
    <col min="5113" max="5113" width="9.90625" style="19" customWidth="1"/>
    <col min="5114" max="5114" width="14.453125" style="19" customWidth="1"/>
    <col min="5115" max="5115" width="7.36328125" style="19" customWidth="1"/>
    <col min="5116" max="5116" width="5.54296875" style="19" customWidth="1"/>
    <col min="5117" max="5117" width="9" style="19" customWidth="1"/>
    <col min="5118" max="5119" width="9.90625" style="19" customWidth="1"/>
    <col min="5120" max="5120" width="11.08984375" style="19" customWidth="1"/>
    <col min="5121" max="5121" width="2.90625" style="19" customWidth="1"/>
    <col min="5122" max="5122" width="3.54296875" style="19" customWidth="1"/>
    <col min="5123" max="5367" width="9.08984375" style="19"/>
    <col min="5368" max="5368" width="8.6328125" style="19" customWidth="1"/>
    <col min="5369" max="5369" width="9.90625" style="19" customWidth="1"/>
    <col min="5370" max="5370" width="14.453125" style="19" customWidth="1"/>
    <col min="5371" max="5371" width="7.36328125" style="19" customWidth="1"/>
    <col min="5372" max="5372" width="5.54296875" style="19" customWidth="1"/>
    <col min="5373" max="5373" width="9" style="19" customWidth="1"/>
    <col min="5374" max="5375" width="9.90625" style="19" customWidth="1"/>
    <col min="5376" max="5376" width="11.08984375" style="19" customWidth="1"/>
    <col min="5377" max="5377" width="2.90625" style="19" customWidth="1"/>
    <col min="5378" max="5378" width="3.54296875" style="19" customWidth="1"/>
    <col min="5379" max="5623" width="9.08984375" style="19"/>
    <col min="5624" max="5624" width="8.6328125" style="19" customWidth="1"/>
    <col min="5625" max="5625" width="9.90625" style="19" customWidth="1"/>
    <col min="5626" max="5626" width="14.453125" style="19" customWidth="1"/>
    <col min="5627" max="5627" width="7.36328125" style="19" customWidth="1"/>
    <col min="5628" max="5628" width="5.54296875" style="19" customWidth="1"/>
    <col min="5629" max="5629" width="9" style="19" customWidth="1"/>
    <col min="5630" max="5631" width="9.90625" style="19" customWidth="1"/>
    <col min="5632" max="5632" width="11.08984375" style="19" customWidth="1"/>
    <col min="5633" max="5633" width="2.90625" style="19" customWidth="1"/>
    <col min="5634" max="5634" width="3.54296875" style="19" customWidth="1"/>
    <col min="5635" max="5879" width="9.08984375" style="19"/>
    <col min="5880" max="5880" width="8.6328125" style="19" customWidth="1"/>
    <col min="5881" max="5881" width="9.90625" style="19" customWidth="1"/>
    <col min="5882" max="5882" width="14.453125" style="19" customWidth="1"/>
    <col min="5883" max="5883" width="7.36328125" style="19" customWidth="1"/>
    <col min="5884" max="5884" width="5.54296875" style="19" customWidth="1"/>
    <col min="5885" max="5885" width="9" style="19" customWidth="1"/>
    <col min="5886" max="5887" width="9.90625" style="19" customWidth="1"/>
    <col min="5888" max="5888" width="11.08984375" style="19" customWidth="1"/>
    <col min="5889" max="5889" width="2.90625" style="19" customWidth="1"/>
    <col min="5890" max="5890" width="3.54296875" style="19" customWidth="1"/>
    <col min="5891" max="6135" width="9.08984375" style="19"/>
    <col min="6136" max="6136" width="8.6328125" style="19" customWidth="1"/>
    <col min="6137" max="6137" width="9.90625" style="19" customWidth="1"/>
    <col min="6138" max="6138" width="14.453125" style="19" customWidth="1"/>
    <col min="6139" max="6139" width="7.36328125" style="19" customWidth="1"/>
    <col min="6140" max="6140" width="5.54296875" style="19" customWidth="1"/>
    <col min="6141" max="6141" width="9" style="19" customWidth="1"/>
    <col min="6142" max="6143" width="9.90625" style="19" customWidth="1"/>
    <col min="6144" max="6144" width="11.08984375" style="19" customWidth="1"/>
    <col min="6145" max="6145" width="2.90625" style="19" customWidth="1"/>
    <col min="6146" max="6146" width="3.54296875" style="19" customWidth="1"/>
    <col min="6147" max="6391" width="9.08984375" style="19"/>
    <col min="6392" max="6392" width="8.6328125" style="19" customWidth="1"/>
    <col min="6393" max="6393" width="9.90625" style="19" customWidth="1"/>
    <col min="6394" max="6394" width="14.453125" style="19" customWidth="1"/>
    <col min="6395" max="6395" width="7.36328125" style="19" customWidth="1"/>
    <col min="6396" max="6396" width="5.54296875" style="19" customWidth="1"/>
    <col min="6397" max="6397" width="9" style="19" customWidth="1"/>
    <col min="6398" max="6399" width="9.90625" style="19" customWidth="1"/>
    <col min="6400" max="6400" width="11.08984375" style="19" customWidth="1"/>
    <col min="6401" max="6401" width="2.90625" style="19" customWidth="1"/>
    <col min="6402" max="6402" width="3.54296875" style="19" customWidth="1"/>
    <col min="6403" max="6647" width="9.08984375" style="19"/>
    <col min="6648" max="6648" width="8.6328125" style="19" customWidth="1"/>
    <col min="6649" max="6649" width="9.90625" style="19" customWidth="1"/>
    <col min="6650" max="6650" width="14.453125" style="19" customWidth="1"/>
    <col min="6651" max="6651" width="7.36328125" style="19" customWidth="1"/>
    <col min="6652" max="6652" width="5.54296875" style="19" customWidth="1"/>
    <col min="6653" max="6653" width="9" style="19" customWidth="1"/>
    <col min="6654" max="6655" width="9.90625" style="19" customWidth="1"/>
    <col min="6656" max="6656" width="11.08984375" style="19" customWidth="1"/>
    <col min="6657" max="6657" width="2.90625" style="19" customWidth="1"/>
    <col min="6658" max="6658" width="3.54296875" style="19" customWidth="1"/>
    <col min="6659" max="6903" width="9.08984375" style="19"/>
    <col min="6904" max="6904" width="8.6328125" style="19" customWidth="1"/>
    <col min="6905" max="6905" width="9.90625" style="19" customWidth="1"/>
    <col min="6906" max="6906" width="14.453125" style="19" customWidth="1"/>
    <col min="6907" max="6907" width="7.36328125" style="19" customWidth="1"/>
    <col min="6908" max="6908" width="5.54296875" style="19" customWidth="1"/>
    <col min="6909" max="6909" width="9" style="19" customWidth="1"/>
    <col min="6910" max="6911" width="9.90625" style="19" customWidth="1"/>
    <col min="6912" max="6912" width="11.08984375" style="19" customWidth="1"/>
    <col min="6913" max="6913" width="2.90625" style="19" customWidth="1"/>
    <col min="6914" max="6914" width="3.54296875" style="19" customWidth="1"/>
    <col min="6915" max="7159" width="9.08984375" style="19"/>
    <col min="7160" max="7160" width="8.6328125" style="19" customWidth="1"/>
    <col min="7161" max="7161" width="9.90625" style="19" customWidth="1"/>
    <col min="7162" max="7162" width="14.453125" style="19" customWidth="1"/>
    <col min="7163" max="7163" width="7.36328125" style="19" customWidth="1"/>
    <col min="7164" max="7164" width="5.54296875" style="19" customWidth="1"/>
    <col min="7165" max="7165" width="9" style="19" customWidth="1"/>
    <col min="7166" max="7167" width="9.90625" style="19" customWidth="1"/>
    <col min="7168" max="7168" width="11.08984375" style="19" customWidth="1"/>
    <col min="7169" max="7169" width="2.90625" style="19" customWidth="1"/>
    <col min="7170" max="7170" width="3.54296875" style="19" customWidth="1"/>
    <col min="7171" max="7415" width="9.08984375" style="19"/>
    <col min="7416" max="7416" width="8.6328125" style="19" customWidth="1"/>
    <col min="7417" max="7417" width="9.90625" style="19" customWidth="1"/>
    <col min="7418" max="7418" width="14.453125" style="19" customWidth="1"/>
    <col min="7419" max="7419" width="7.36328125" style="19" customWidth="1"/>
    <col min="7420" max="7420" width="5.54296875" style="19" customWidth="1"/>
    <col min="7421" max="7421" width="9" style="19" customWidth="1"/>
    <col min="7422" max="7423" width="9.90625" style="19" customWidth="1"/>
    <col min="7424" max="7424" width="11.08984375" style="19" customWidth="1"/>
    <col min="7425" max="7425" width="2.90625" style="19" customWidth="1"/>
    <col min="7426" max="7426" width="3.54296875" style="19" customWidth="1"/>
    <col min="7427" max="7671" width="9.08984375" style="19"/>
    <col min="7672" max="7672" width="8.6328125" style="19" customWidth="1"/>
    <col min="7673" max="7673" width="9.90625" style="19" customWidth="1"/>
    <col min="7674" max="7674" width="14.453125" style="19" customWidth="1"/>
    <col min="7675" max="7675" width="7.36328125" style="19" customWidth="1"/>
    <col min="7676" max="7676" width="5.54296875" style="19" customWidth="1"/>
    <col min="7677" max="7677" width="9" style="19" customWidth="1"/>
    <col min="7678" max="7679" width="9.90625" style="19" customWidth="1"/>
    <col min="7680" max="7680" width="11.08984375" style="19" customWidth="1"/>
    <col min="7681" max="7681" width="2.90625" style="19" customWidth="1"/>
    <col min="7682" max="7682" width="3.54296875" style="19" customWidth="1"/>
    <col min="7683" max="7927" width="9.08984375" style="19"/>
    <col min="7928" max="7928" width="8.6328125" style="19" customWidth="1"/>
    <col min="7929" max="7929" width="9.90625" style="19" customWidth="1"/>
    <col min="7930" max="7930" width="14.453125" style="19" customWidth="1"/>
    <col min="7931" max="7931" width="7.36328125" style="19" customWidth="1"/>
    <col min="7932" max="7932" width="5.54296875" style="19" customWidth="1"/>
    <col min="7933" max="7933" width="9" style="19" customWidth="1"/>
    <col min="7934" max="7935" width="9.90625" style="19" customWidth="1"/>
    <col min="7936" max="7936" width="11.08984375" style="19" customWidth="1"/>
    <col min="7937" max="7937" width="2.90625" style="19" customWidth="1"/>
    <col min="7938" max="7938" width="3.54296875" style="19" customWidth="1"/>
    <col min="7939" max="8183" width="9.08984375" style="19"/>
    <col min="8184" max="8184" width="8.6328125" style="19" customWidth="1"/>
    <col min="8185" max="8185" width="9.90625" style="19" customWidth="1"/>
    <col min="8186" max="8186" width="14.453125" style="19" customWidth="1"/>
    <col min="8187" max="8187" width="7.36328125" style="19" customWidth="1"/>
    <col min="8188" max="8188" width="5.54296875" style="19" customWidth="1"/>
    <col min="8189" max="8189" width="9" style="19" customWidth="1"/>
    <col min="8190" max="8191" width="9.90625" style="19" customWidth="1"/>
    <col min="8192" max="8192" width="11.08984375" style="19" customWidth="1"/>
    <col min="8193" max="8193" width="2.90625" style="19" customWidth="1"/>
    <col min="8194" max="8194" width="3.54296875" style="19" customWidth="1"/>
    <col min="8195" max="8439" width="9.08984375" style="19"/>
    <col min="8440" max="8440" width="8.6328125" style="19" customWidth="1"/>
    <col min="8441" max="8441" width="9.90625" style="19" customWidth="1"/>
    <col min="8442" max="8442" width="14.453125" style="19" customWidth="1"/>
    <col min="8443" max="8443" width="7.36328125" style="19" customWidth="1"/>
    <col min="8444" max="8444" width="5.54296875" style="19" customWidth="1"/>
    <col min="8445" max="8445" width="9" style="19" customWidth="1"/>
    <col min="8446" max="8447" width="9.90625" style="19" customWidth="1"/>
    <col min="8448" max="8448" width="11.08984375" style="19" customWidth="1"/>
    <col min="8449" max="8449" width="2.90625" style="19" customWidth="1"/>
    <col min="8450" max="8450" width="3.54296875" style="19" customWidth="1"/>
    <col min="8451" max="8695" width="9.08984375" style="19"/>
    <col min="8696" max="8696" width="8.6328125" style="19" customWidth="1"/>
    <col min="8697" max="8697" width="9.90625" style="19" customWidth="1"/>
    <col min="8698" max="8698" width="14.453125" style="19" customWidth="1"/>
    <col min="8699" max="8699" width="7.36328125" style="19" customWidth="1"/>
    <col min="8700" max="8700" width="5.54296875" style="19" customWidth="1"/>
    <col min="8701" max="8701" width="9" style="19" customWidth="1"/>
    <col min="8702" max="8703" width="9.90625" style="19" customWidth="1"/>
    <col min="8704" max="8704" width="11.08984375" style="19" customWidth="1"/>
    <col min="8705" max="8705" width="2.90625" style="19" customWidth="1"/>
    <col min="8706" max="8706" width="3.54296875" style="19" customWidth="1"/>
    <col min="8707" max="8951" width="9.08984375" style="19"/>
    <col min="8952" max="8952" width="8.6328125" style="19" customWidth="1"/>
    <col min="8953" max="8953" width="9.90625" style="19" customWidth="1"/>
    <col min="8954" max="8954" width="14.453125" style="19" customWidth="1"/>
    <col min="8955" max="8955" width="7.36328125" style="19" customWidth="1"/>
    <col min="8956" max="8956" width="5.54296875" style="19" customWidth="1"/>
    <col min="8957" max="8957" width="9" style="19" customWidth="1"/>
    <col min="8958" max="8959" width="9.90625" style="19" customWidth="1"/>
    <col min="8960" max="8960" width="11.08984375" style="19" customWidth="1"/>
    <col min="8961" max="8961" width="2.90625" style="19" customWidth="1"/>
    <col min="8962" max="8962" width="3.54296875" style="19" customWidth="1"/>
    <col min="8963" max="9207" width="9.08984375" style="19"/>
    <col min="9208" max="9208" width="8.6328125" style="19" customWidth="1"/>
    <col min="9209" max="9209" width="9.90625" style="19" customWidth="1"/>
    <col min="9210" max="9210" width="14.453125" style="19" customWidth="1"/>
    <col min="9211" max="9211" width="7.36328125" style="19" customWidth="1"/>
    <col min="9212" max="9212" width="5.54296875" style="19" customWidth="1"/>
    <col min="9213" max="9213" width="9" style="19" customWidth="1"/>
    <col min="9214" max="9215" width="9.90625" style="19" customWidth="1"/>
    <col min="9216" max="9216" width="11.08984375" style="19" customWidth="1"/>
    <col min="9217" max="9217" width="2.90625" style="19" customWidth="1"/>
    <col min="9218" max="9218" width="3.54296875" style="19" customWidth="1"/>
    <col min="9219" max="9463" width="9.08984375" style="19"/>
    <col min="9464" max="9464" width="8.6328125" style="19" customWidth="1"/>
    <col min="9465" max="9465" width="9.90625" style="19" customWidth="1"/>
    <col min="9466" max="9466" width="14.453125" style="19" customWidth="1"/>
    <col min="9467" max="9467" width="7.36328125" style="19" customWidth="1"/>
    <col min="9468" max="9468" width="5.54296875" style="19" customWidth="1"/>
    <col min="9469" max="9469" width="9" style="19" customWidth="1"/>
    <col min="9470" max="9471" width="9.90625" style="19" customWidth="1"/>
    <col min="9472" max="9472" width="11.08984375" style="19" customWidth="1"/>
    <col min="9473" max="9473" width="2.90625" style="19" customWidth="1"/>
    <col min="9474" max="9474" width="3.54296875" style="19" customWidth="1"/>
    <col min="9475" max="9719" width="9.08984375" style="19"/>
    <col min="9720" max="9720" width="8.6328125" style="19" customWidth="1"/>
    <col min="9721" max="9721" width="9.90625" style="19" customWidth="1"/>
    <col min="9722" max="9722" width="14.453125" style="19" customWidth="1"/>
    <col min="9723" max="9723" width="7.36328125" style="19" customWidth="1"/>
    <col min="9724" max="9724" width="5.54296875" style="19" customWidth="1"/>
    <col min="9725" max="9725" width="9" style="19" customWidth="1"/>
    <col min="9726" max="9727" width="9.90625" style="19" customWidth="1"/>
    <col min="9728" max="9728" width="11.08984375" style="19" customWidth="1"/>
    <col min="9729" max="9729" width="2.90625" style="19" customWidth="1"/>
    <col min="9730" max="9730" width="3.54296875" style="19" customWidth="1"/>
    <col min="9731" max="9975" width="9.08984375" style="19"/>
    <col min="9976" max="9976" width="8.6328125" style="19" customWidth="1"/>
    <col min="9977" max="9977" width="9.90625" style="19" customWidth="1"/>
    <col min="9978" max="9978" width="14.453125" style="19" customWidth="1"/>
    <col min="9979" max="9979" width="7.36328125" style="19" customWidth="1"/>
    <col min="9980" max="9980" width="5.54296875" style="19" customWidth="1"/>
    <col min="9981" max="9981" width="9" style="19" customWidth="1"/>
    <col min="9982" max="9983" width="9.90625" style="19" customWidth="1"/>
    <col min="9984" max="9984" width="11.08984375" style="19" customWidth="1"/>
    <col min="9985" max="9985" width="2.90625" style="19" customWidth="1"/>
    <col min="9986" max="9986" width="3.54296875" style="19" customWidth="1"/>
    <col min="9987" max="10231" width="9.08984375" style="19"/>
    <col min="10232" max="10232" width="8.6328125" style="19" customWidth="1"/>
    <col min="10233" max="10233" width="9.90625" style="19" customWidth="1"/>
    <col min="10234" max="10234" width="14.453125" style="19" customWidth="1"/>
    <col min="10235" max="10235" width="7.36328125" style="19" customWidth="1"/>
    <col min="10236" max="10236" width="5.54296875" style="19" customWidth="1"/>
    <col min="10237" max="10237" width="9" style="19" customWidth="1"/>
    <col min="10238" max="10239" width="9.90625" style="19" customWidth="1"/>
    <col min="10240" max="10240" width="11.08984375" style="19" customWidth="1"/>
    <col min="10241" max="10241" width="2.90625" style="19" customWidth="1"/>
    <col min="10242" max="10242" width="3.54296875" style="19" customWidth="1"/>
    <col min="10243" max="10487" width="9.08984375" style="19"/>
    <col min="10488" max="10488" width="8.6328125" style="19" customWidth="1"/>
    <col min="10489" max="10489" width="9.90625" style="19" customWidth="1"/>
    <col min="10490" max="10490" width="14.453125" style="19" customWidth="1"/>
    <col min="10491" max="10491" width="7.36328125" style="19" customWidth="1"/>
    <col min="10492" max="10492" width="5.54296875" style="19" customWidth="1"/>
    <col min="10493" max="10493" width="9" style="19" customWidth="1"/>
    <col min="10494" max="10495" width="9.90625" style="19" customWidth="1"/>
    <col min="10496" max="10496" width="11.08984375" style="19" customWidth="1"/>
    <col min="10497" max="10497" width="2.90625" style="19" customWidth="1"/>
    <col min="10498" max="10498" width="3.54296875" style="19" customWidth="1"/>
    <col min="10499" max="10743" width="9.08984375" style="19"/>
    <col min="10744" max="10744" width="8.6328125" style="19" customWidth="1"/>
    <col min="10745" max="10745" width="9.90625" style="19" customWidth="1"/>
    <col min="10746" max="10746" width="14.453125" style="19" customWidth="1"/>
    <col min="10747" max="10747" width="7.36328125" style="19" customWidth="1"/>
    <col min="10748" max="10748" width="5.54296875" style="19" customWidth="1"/>
    <col min="10749" max="10749" width="9" style="19" customWidth="1"/>
    <col min="10750" max="10751" width="9.90625" style="19" customWidth="1"/>
    <col min="10752" max="10752" width="11.08984375" style="19" customWidth="1"/>
    <col min="10753" max="10753" width="2.90625" style="19" customWidth="1"/>
    <col min="10754" max="10754" width="3.54296875" style="19" customWidth="1"/>
    <col min="10755" max="10999" width="9.08984375" style="19"/>
    <col min="11000" max="11000" width="8.6328125" style="19" customWidth="1"/>
    <col min="11001" max="11001" width="9.90625" style="19" customWidth="1"/>
    <col min="11002" max="11002" width="14.453125" style="19" customWidth="1"/>
    <col min="11003" max="11003" width="7.36328125" style="19" customWidth="1"/>
    <col min="11004" max="11004" width="5.54296875" style="19" customWidth="1"/>
    <col min="11005" max="11005" width="9" style="19" customWidth="1"/>
    <col min="11006" max="11007" width="9.90625" style="19" customWidth="1"/>
    <col min="11008" max="11008" width="11.08984375" style="19" customWidth="1"/>
    <col min="11009" max="11009" width="2.90625" style="19" customWidth="1"/>
    <col min="11010" max="11010" width="3.54296875" style="19" customWidth="1"/>
    <col min="11011" max="11255" width="9.08984375" style="19"/>
    <col min="11256" max="11256" width="8.6328125" style="19" customWidth="1"/>
    <col min="11257" max="11257" width="9.90625" style="19" customWidth="1"/>
    <col min="11258" max="11258" width="14.453125" style="19" customWidth="1"/>
    <col min="11259" max="11259" width="7.36328125" style="19" customWidth="1"/>
    <col min="11260" max="11260" width="5.54296875" style="19" customWidth="1"/>
    <col min="11261" max="11261" width="9" style="19" customWidth="1"/>
    <col min="11262" max="11263" width="9.90625" style="19" customWidth="1"/>
    <col min="11264" max="11264" width="11.08984375" style="19" customWidth="1"/>
    <col min="11265" max="11265" width="2.90625" style="19" customWidth="1"/>
    <col min="11266" max="11266" width="3.54296875" style="19" customWidth="1"/>
    <col min="11267" max="11511" width="9.08984375" style="19"/>
    <col min="11512" max="11512" width="8.6328125" style="19" customWidth="1"/>
    <col min="11513" max="11513" width="9.90625" style="19" customWidth="1"/>
    <col min="11514" max="11514" width="14.453125" style="19" customWidth="1"/>
    <col min="11515" max="11515" width="7.36328125" style="19" customWidth="1"/>
    <col min="11516" max="11516" width="5.54296875" style="19" customWidth="1"/>
    <col min="11517" max="11517" width="9" style="19" customWidth="1"/>
    <col min="11518" max="11519" width="9.90625" style="19" customWidth="1"/>
    <col min="11520" max="11520" width="11.08984375" style="19" customWidth="1"/>
    <col min="11521" max="11521" width="2.90625" style="19" customWidth="1"/>
    <col min="11522" max="11522" width="3.54296875" style="19" customWidth="1"/>
    <col min="11523" max="11767" width="9.08984375" style="19"/>
    <col min="11768" max="11768" width="8.6328125" style="19" customWidth="1"/>
    <col min="11769" max="11769" width="9.90625" style="19" customWidth="1"/>
    <col min="11770" max="11770" width="14.453125" style="19" customWidth="1"/>
    <col min="11771" max="11771" width="7.36328125" style="19" customWidth="1"/>
    <col min="11772" max="11772" width="5.54296875" style="19" customWidth="1"/>
    <col min="11773" max="11773" width="9" style="19" customWidth="1"/>
    <col min="11774" max="11775" width="9.90625" style="19" customWidth="1"/>
    <col min="11776" max="11776" width="11.08984375" style="19" customWidth="1"/>
    <col min="11777" max="11777" width="2.90625" style="19" customWidth="1"/>
    <col min="11778" max="11778" width="3.54296875" style="19" customWidth="1"/>
    <col min="11779" max="12023" width="9.08984375" style="19"/>
    <col min="12024" max="12024" width="8.6328125" style="19" customWidth="1"/>
    <col min="12025" max="12025" width="9.90625" style="19" customWidth="1"/>
    <col min="12026" max="12026" width="14.453125" style="19" customWidth="1"/>
    <col min="12027" max="12027" width="7.36328125" style="19" customWidth="1"/>
    <col min="12028" max="12028" width="5.54296875" style="19" customWidth="1"/>
    <col min="12029" max="12029" width="9" style="19" customWidth="1"/>
    <col min="12030" max="12031" width="9.90625" style="19" customWidth="1"/>
    <col min="12032" max="12032" width="11.08984375" style="19" customWidth="1"/>
    <col min="12033" max="12033" width="2.90625" style="19" customWidth="1"/>
    <col min="12034" max="12034" width="3.54296875" style="19" customWidth="1"/>
    <col min="12035" max="12279" width="9.08984375" style="19"/>
    <col min="12280" max="12280" width="8.6328125" style="19" customWidth="1"/>
    <col min="12281" max="12281" width="9.90625" style="19" customWidth="1"/>
    <col min="12282" max="12282" width="14.453125" style="19" customWidth="1"/>
    <col min="12283" max="12283" width="7.36328125" style="19" customWidth="1"/>
    <col min="12284" max="12284" width="5.54296875" style="19" customWidth="1"/>
    <col min="12285" max="12285" width="9" style="19" customWidth="1"/>
    <col min="12286" max="12287" width="9.90625" style="19" customWidth="1"/>
    <col min="12288" max="12288" width="11.08984375" style="19" customWidth="1"/>
    <col min="12289" max="12289" width="2.90625" style="19" customWidth="1"/>
    <col min="12290" max="12290" width="3.54296875" style="19" customWidth="1"/>
    <col min="12291" max="12535" width="9.08984375" style="19"/>
    <col min="12536" max="12536" width="8.6328125" style="19" customWidth="1"/>
    <col min="12537" max="12537" width="9.90625" style="19" customWidth="1"/>
    <col min="12538" max="12538" width="14.453125" style="19" customWidth="1"/>
    <col min="12539" max="12539" width="7.36328125" style="19" customWidth="1"/>
    <col min="12540" max="12540" width="5.54296875" style="19" customWidth="1"/>
    <col min="12541" max="12541" width="9" style="19" customWidth="1"/>
    <col min="12542" max="12543" width="9.90625" style="19" customWidth="1"/>
    <col min="12544" max="12544" width="11.08984375" style="19" customWidth="1"/>
    <col min="12545" max="12545" width="2.90625" style="19" customWidth="1"/>
    <col min="12546" max="12546" width="3.54296875" style="19" customWidth="1"/>
    <col min="12547" max="12791" width="9.08984375" style="19"/>
    <col min="12792" max="12792" width="8.6328125" style="19" customWidth="1"/>
    <col min="12793" max="12793" width="9.90625" style="19" customWidth="1"/>
    <col min="12794" max="12794" width="14.453125" style="19" customWidth="1"/>
    <col min="12795" max="12795" width="7.36328125" style="19" customWidth="1"/>
    <col min="12796" max="12796" width="5.54296875" style="19" customWidth="1"/>
    <col min="12797" max="12797" width="9" style="19" customWidth="1"/>
    <col min="12798" max="12799" width="9.90625" style="19" customWidth="1"/>
    <col min="12800" max="12800" width="11.08984375" style="19" customWidth="1"/>
    <col min="12801" max="12801" width="2.90625" style="19" customWidth="1"/>
    <col min="12802" max="12802" width="3.54296875" style="19" customWidth="1"/>
    <col min="12803" max="13047" width="9.08984375" style="19"/>
    <col min="13048" max="13048" width="8.6328125" style="19" customWidth="1"/>
    <col min="13049" max="13049" width="9.90625" style="19" customWidth="1"/>
    <col min="13050" max="13050" width="14.453125" style="19" customWidth="1"/>
    <col min="13051" max="13051" width="7.36328125" style="19" customWidth="1"/>
    <col min="13052" max="13052" width="5.54296875" style="19" customWidth="1"/>
    <col min="13053" max="13053" width="9" style="19" customWidth="1"/>
    <col min="13054" max="13055" width="9.90625" style="19" customWidth="1"/>
    <col min="13056" max="13056" width="11.08984375" style="19" customWidth="1"/>
    <col min="13057" max="13057" width="2.90625" style="19" customWidth="1"/>
    <col min="13058" max="13058" width="3.54296875" style="19" customWidth="1"/>
    <col min="13059" max="13303" width="9.08984375" style="19"/>
    <col min="13304" max="13304" width="8.6328125" style="19" customWidth="1"/>
    <col min="13305" max="13305" width="9.90625" style="19" customWidth="1"/>
    <col min="13306" max="13306" width="14.453125" style="19" customWidth="1"/>
    <col min="13307" max="13307" width="7.36328125" style="19" customWidth="1"/>
    <col min="13308" max="13308" width="5.54296875" style="19" customWidth="1"/>
    <col min="13309" max="13309" width="9" style="19" customWidth="1"/>
    <col min="13310" max="13311" width="9.90625" style="19" customWidth="1"/>
    <col min="13312" max="13312" width="11.08984375" style="19" customWidth="1"/>
    <col min="13313" max="13313" width="2.90625" style="19" customWidth="1"/>
    <col min="13314" max="13314" width="3.54296875" style="19" customWidth="1"/>
    <col min="13315" max="13559" width="9.08984375" style="19"/>
    <col min="13560" max="13560" width="8.6328125" style="19" customWidth="1"/>
    <col min="13561" max="13561" width="9.90625" style="19" customWidth="1"/>
    <col min="13562" max="13562" width="14.453125" style="19" customWidth="1"/>
    <col min="13563" max="13563" width="7.36328125" style="19" customWidth="1"/>
    <col min="13564" max="13564" width="5.54296875" style="19" customWidth="1"/>
    <col min="13565" max="13565" width="9" style="19" customWidth="1"/>
    <col min="13566" max="13567" width="9.90625" style="19" customWidth="1"/>
    <col min="13568" max="13568" width="11.08984375" style="19" customWidth="1"/>
    <col min="13569" max="13569" width="2.90625" style="19" customWidth="1"/>
    <col min="13570" max="13570" width="3.54296875" style="19" customWidth="1"/>
    <col min="13571" max="13815" width="9.08984375" style="19"/>
    <col min="13816" max="13816" width="8.6328125" style="19" customWidth="1"/>
    <col min="13817" max="13817" width="9.90625" style="19" customWidth="1"/>
    <col min="13818" max="13818" width="14.453125" style="19" customWidth="1"/>
    <col min="13819" max="13819" width="7.36328125" style="19" customWidth="1"/>
    <col min="13820" max="13820" width="5.54296875" style="19" customWidth="1"/>
    <col min="13821" max="13821" width="9" style="19" customWidth="1"/>
    <col min="13822" max="13823" width="9.90625" style="19" customWidth="1"/>
    <col min="13824" max="13824" width="11.08984375" style="19" customWidth="1"/>
    <col min="13825" max="13825" width="2.90625" style="19" customWidth="1"/>
    <col min="13826" max="13826" width="3.54296875" style="19" customWidth="1"/>
    <col min="13827" max="14071" width="9.08984375" style="19"/>
    <col min="14072" max="14072" width="8.6328125" style="19" customWidth="1"/>
    <col min="14073" max="14073" width="9.90625" style="19" customWidth="1"/>
    <col min="14074" max="14074" width="14.453125" style="19" customWidth="1"/>
    <col min="14075" max="14075" width="7.36328125" style="19" customWidth="1"/>
    <col min="14076" max="14076" width="5.54296875" style="19" customWidth="1"/>
    <col min="14077" max="14077" width="9" style="19" customWidth="1"/>
    <col min="14078" max="14079" width="9.90625" style="19" customWidth="1"/>
    <col min="14080" max="14080" width="11.08984375" style="19" customWidth="1"/>
    <col min="14081" max="14081" width="2.90625" style="19" customWidth="1"/>
    <col min="14082" max="14082" width="3.54296875" style="19" customWidth="1"/>
    <col min="14083" max="14327" width="9.08984375" style="19"/>
    <col min="14328" max="14328" width="8.6328125" style="19" customWidth="1"/>
    <col min="14329" max="14329" width="9.90625" style="19" customWidth="1"/>
    <col min="14330" max="14330" width="14.453125" style="19" customWidth="1"/>
    <col min="14331" max="14331" width="7.36328125" style="19" customWidth="1"/>
    <col min="14332" max="14332" width="5.54296875" style="19" customWidth="1"/>
    <col min="14333" max="14333" width="9" style="19" customWidth="1"/>
    <col min="14334" max="14335" width="9.90625" style="19" customWidth="1"/>
    <col min="14336" max="14336" width="11.08984375" style="19" customWidth="1"/>
    <col min="14337" max="14337" width="2.90625" style="19" customWidth="1"/>
    <col min="14338" max="14338" width="3.54296875" style="19" customWidth="1"/>
    <col min="14339" max="14583" width="9.08984375" style="19"/>
    <col min="14584" max="14584" width="8.6328125" style="19" customWidth="1"/>
    <col min="14585" max="14585" width="9.90625" style="19" customWidth="1"/>
    <col min="14586" max="14586" width="14.453125" style="19" customWidth="1"/>
    <col min="14587" max="14587" width="7.36328125" style="19" customWidth="1"/>
    <col min="14588" max="14588" width="5.54296875" style="19" customWidth="1"/>
    <col min="14589" max="14589" width="9" style="19" customWidth="1"/>
    <col min="14590" max="14591" width="9.90625" style="19" customWidth="1"/>
    <col min="14592" max="14592" width="11.08984375" style="19" customWidth="1"/>
    <col min="14593" max="14593" width="2.90625" style="19" customWidth="1"/>
    <col min="14594" max="14594" width="3.54296875" style="19" customWidth="1"/>
    <col min="14595" max="14839" width="9.08984375" style="19"/>
    <col min="14840" max="14840" width="8.6328125" style="19" customWidth="1"/>
    <col min="14841" max="14841" width="9.90625" style="19" customWidth="1"/>
    <col min="14842" max="14842" width="14.453125" style="19" customWidth="1"/>
    <col min="14843" max="14843" width="7.36328125" style="19" customWidth="1"/>
    <col min="14844" max="14844" width="5.54296875" style="19" customWidth="1"/>
    <col min="14845" max="14845" width="9" style="19" customWidth="1"/>
    <col min="14846" max="14847" width="9.90625" style="19" customWidth="1"/>
    <col min="14848" max="14848" width="11.08984375" style="19" customWidth="1"/>
    <col min="14849" max="14849" width="2.90625" style="19" customWidth="1"/>
    <col min="14850" max="14850" width="3.54296875" style="19" customWidth="1"/>
    <col min="14851" max="15095" width="9.08984375" style="19"/>
    <col min="15096" max="15096" width="8.6328125" style="19" customWidth="1"/>
    <col min="15097" max="15097" width="9.90625" style="19" customWidth="1"/>
    <col min="15098" max="15098" width="14.453125" style="19" customWidth="1"/>
    <col min="15099" max="15099" width="7.36328125" style="19" customWidth="1"/>
    <col min="15100" max="15100" width="5.54296875" style="19" customWidth="1"/>
    <col min="15101" max="15101" width="9" style="19" customWidth="1"/>
    <col min="15102" max="15103" width="9.90625" style="19" customWidth="1"/>
    <col min="15104" max="15104" width="11.08984375" style="19" customWidth="1"/>
    <col min="15105" max="15105" width="2.90625" style="19" customWidth="1"/>
    <col min="15106" max="15106" width="3.54296875" style="19" customWidth="1"/>
    <col min="15107" max="15351" width="9.08984375" style="19"/>
    <col min="15352" max="15352" width="8.6328125" style="19" customWidth="1"/>
    <col min="15353" max="15353" width="9.90625" style="19" customWidth="1"/>
    <col min="15354" max="15354" width="14.453125" style="19" customWidth="1"/>
    <col min="15355" max="15355" width="7.36328125" style="19" customWidth="1"/>
    <col min="15356" max="15356" width="5.54296875" style="19" customWidth="1"/>
    <col min="15357" max="15357" width="9" style="19" customWidth="1"/>
    <col min="15358" max="15359" width="9.90625" style="19" customWidth="1"/>
    <col min="15360" max="15360" width="11.08984375" style="19" customWidth="1"/>
    <col min="15361" max="15361" width="2.90625" style="19" customWidth="1"/>
    <col min="15362" max="15362" width="3.54296875" style="19" customWidth="1"/>
    <col min="15363" max="15607" width="9.08984375" style="19"/>
    <col min="15608" max="15608" width="8.6328125" style="19" customWidth="1"/>
    <col min="15609" max="15609" width="9.90625" style="19" customWidth="1"/>
    <col min="15610" max="15610" width="14.453125" style="19" customWidth="1"/>
    <col min="15611" max="15611" width="7.36328125" style="19" customWidth="1"/>
    <col min="15612" max="15612" width="5.54296875" style="19" customWidth="1"/>
    <col min="15613" max="15613" width="9" style="19" customWidth="1"/>
    <col min="15614" max="15615" width="9.90625" style="19" customWidth="1"/>
    <col min="15616" max="15616" width="11.08984375" style="19" customWidth="1"/>
    <col min="15617" max="15617" width="2.90625" style="19" customWidth="1"/>
    <col min="15618" max="15618" width="3.54296875" style="19" customWidth="1"/>
    <col min="15619" max="15863" width="9.08984375" style="19"/>
    <col min="15864" max="15864" width="8.6328125" style="19" customWidth="1"/>
    <col min="15865" max="15865" width="9.90625" style="19" customWidth="1"/>
    <col min="15866" max="15866" width="14.453125" style="19" customWidth="1"/>
    <col min="15867" max="15867" width="7.36328125" style="19" customWidth="1"/>
    <col min="15868" max="15868" width="5.54296875" style="19" customWidth="1"/>
    <col min="15869" max="15869" width="9" style="19" customWidth="1"/>
    <col min="15870" max="15871" width="9.90625" style="19" customWidth="1"/>
    <col min="15872" max="15872" width="11.08984375" style="19" customWidth="1"/>
    <col min="15873" max="15873" width="2.90625" style="19" customWidth="1"/>
    <col min="15874" max="15874" width="3.54296875" style="19" customWidth="1"/>
    <col min="15875" max="16119" width="9.08984375" style="19"/>
    <col min="16120" max="16120" width="8.6328125" style="19" customWidth="1"/>
    <col min="16121" max="16121" width="9.90625" style="19" customWidth="1"/>
    <col min="16122" max="16122" width="14.453125" style="19" customWidth="1"/>
    <col min="16123" max="16123" width="7.36328125" style="19" customWidth="1"/>
    <col min="16124" max="16124" width="5.54296875" style="19" customWidth="1"/>
    <col min="16125" max="16125" width="9" style="19" customWidth="1"/>
    <col min="16126" max="16127" width="9.90625" style="19" customWidth="1"/>
    <col min="16128" max="16128" width="11.08984375" style="19" customWidth="1"/>
    <col min="16129" max="16129" width="2.90625" style="19" customWidth="1"/>
    <col min="16130" max="16130" width="3.54296875" style="19" customWidth="1"/>
    <col min="16131" max="16384" width="9.08984375" style="19"/>
  </cols>
  <sheetData>
    <row r="1" spans="1:8" ht="46.5" customHeight="1" x14ac:dyDescent="0.35">
      <c r="A1" s="148" t="s">
        <v>231</v>
      </c>
      <c r="B1" s="148"/>
      <c r="C1" s="148"/>
      <c r="D1" s="148"/>
      <c r="E1" s="148"/>
      <c r="F1" s="148"/>
      <c r="G1" s="148"/>
      <c r="H1" s="148"/>
    </row>
    <row r="2" spans="1:8" ht="16.5" customHeight="1" x14ac:dyDescent="0.35">
      <c r="A2" s="80" t="s">
        <v>0</v>
      </c>
      <c r="B2" s="80"/>
      <c r="C2" s="80"/>
      <c r="D2" s="80"/>
      <c r="E2" s="80"/>
      <c r="F2" s="80"/>
      <c r="G2" s="80"/>
      <c r="H2" s="80"/>
    </row>
    <row r="3" spans="1:8" x14ac:dyDescent="0.35">
      <c r="A3" s="145" t="s">
        <v>1</v>
      </c>
      <c r="B3" s="145"/>
      <c r="C3" s="145"/>
      <c r="D3" s="145"/>
      <c r="E3" s="145" t="str">
        <f ca="1">TEXT(TODAY(),"DD/MM/YYYY")</f>
        <v>19/09/2025</v>
      </c>
      <c r="F3" s="145"/>
      <c r="G3" s="145"/>
      <c r="H3" s="145"/>
    </row>
    <row r="4" spans="1:8" ht="15" customHeight="1" x14ac:dyDescent="0.35">
      <c r="A4" s="145" t="s">
        <v>2</v>
      </c>
      <c r="B4" s="145"/>
      <c r="C4" s="145"/>
      <c r="D4" s="145"/>
      <c r="E4" s="145" t="s">
        <v>189</v>
      </c>
      <c r="F4" s="145"/>
      <c r="G4" s="145"/>
      <c r="H4" s="145"/>
    </row>
    <row r="5" spans="1:8" x14ac:dyDescent="0.35">
      <c r="A5" s="145" t="s">
        <v>3</v>
      </c>
      <c r="B5" s="145"/>
      <c r="C5" s="145"/>
      <c r="D5" s="145"/>
      <c r="E5" s="149">
        <v>45916</v>
      </c>
      <c r="F5" s="145"/>
      <c r="G5" s="145"/>
      <c r="H5" s="145"/>
    </row>
    <row r="6" spans="1:8" ht="16.5" customHeight="1" x14ac:dyDescent="0.35">
      <c r="A6" s="145" t="s">
        <v>4</v>
      </c>
      <c r="B6" s="145"/>
      <c r="C6" s="145"/>
      <c r="D6" s="145"/>
      <c r="E6" s="145" t="s">
        <v>190</v>
      </c>
      <c r="F6" s="145"/>
      <c r="G6" s="145"/>
      <c r="H6" s="145"/>
    </row>
    <row r="7" spans="1:8" ht="15" customHeight="1" x14ac:dyDescent="0.35">
      <c r="A7" s="145" t="s">
        <v>5</v>
      </c>
      <c r="B7" s="145"/>
      <c r="C7" s="145"/>
      <c r="D7" s="145"/>
      <c r="E7" s="145" t="str">
        <f>E6</f>
        <v>M/s. Mistry Construction Co. Pvt. Ltd.</v>
      </c>
      <c r="F7" s="145"/>
      <c r="G7" s="145"/>
      <c r="H7" s="145"/>
    </row>
    <row r="8" spans="1:8" x14ac:dyDescent="0.35">
      <c r="A8" s="145" t="s">
        <v>6</v>
      </c>
      <c r="B8" s="145"/>
      <c r="C8" s="145"/>
      <c r="D8" s="145"/>
      <c r="E8" s="121" t="s">
        <v>218</v>
      </c>
      <c r="F8" s="121"/>
      <c r="G8" s="121"/>
      <c r="H8" s="121"/>
    </row>
    <row r="9" spans="1:8" x14ac:dyDescent="0.35">
      <c r="A9" s="145" t="s">
        <v>125</v>
      </c>
      <c r="B9" s="145"/>
      <c r="C9" s="145"/>
      <c r="D9" s="145"/>
      <c r="E9" s="145">
        <v>8369403487</v>
      </c>
      <c r="F9" s="145"/>
      <c r="G9" s="145"/>
      <c r="H9" s="145"/>
    </row>
    <row r="10" spans="1:8" ht="63.75" customHeight="1" x14ac:dyDescent="0.35">
      <c r="A10" s="145" t="s">
        <v>7</v>
      </c>
      <c r="B10" s="145"/>
      <c r="C10" s="145"/>
      <c r="D10" s="145"/>
      <c r="E10" s="139" t="s">
        <v>233</v>
      </c>
      <c r="F10" s="145"/>
      <c r="G10" s="145"/>
      <c r="H10" s="145"/>
    </row>
    <row r="11" spans="1:8" x14ac:dyDescent="0.35">
      <c r="A11" s="145" t="s">
        <v>8</v>
      </c>
      <c r="B11" s="145"/>
      <c r="C11" s="145"/>
      <c r="D11" s="145"/>
      <c r="E11" s="139" t="s">
        <v>191</v>
      </c>
      <c r="F11" s="139"/>
      <c r="G11" s="139"/>
      <c r="H11" s="139"/>
    </row>
    <row r="12" spans="1:8" ht="67.5" customHeight="1" x14ac:dyDescent="0.35">
      <c r="A12" s="145" t="s">
        <v>217</v>
      </c>
      <c r="B12" s="145"/>
      <c r="C12" s="145"/>
      <c r="D12" s="145"/>
      <c r="E12" s="139" t="s">
        <v>241</v>
      </c>
      <c r="F12" s="145"/>
      <c r="G12" s="145"/>
      <c r="H12" s="145"/>
    </row>
    <row r="13" spans="1:8" ht="32.25" customHeight="1" x14ac:dyDescent="0.35">
      <c r="A13" s="139" t="s">
        <v>9</v>
      </c>
      <c r="B13" s="139"/>
      <c r="C13" s="13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9PBR, Plot No.Pocket D &amp; E, Sector - 60, near Vanashree CHS, Service road, Nerul, Navi Mumbai, Thane, Thane - 400706.</v>
      </c>
      <c r="D13" s="139"/>
      <c r="E13" s="139"/>
      <c r="F13" s="139"/>
      <c r="G13" s="139"/>
      <c r="H13" s="139"/>
    </row>
    <row r="14" spans="1:8" x14ac:dyDescent="0.35">
      <c r="A14" s="139" t="s">
        <v>192</v>
      </c>
      <c r="B14" s="139"/>
      <c r="C14" s="139" t="s">
        <v>194</v>
      </c>
      <c r="D14" s="139"/>
      <c r="E14" s="139"/>
      <c r="F14" s="139"/>
      <c r="G14" s="139"/>
      <c r="H14" s="139"/>
    </row>
    <row r="15" spans="1:8" ht="15.75" customHeight="1" x14ac:dyDescent="0.35">
      <c r="A15" s="139" t="s">
        <v>10</v>
      </c>
      <c r="B15" s="139"/>
      <c r="C15" s="145" t="s">
        <v>201</v>
      </c>
      <c r="D15" s="145"/>
      <c r="E15" s="139" t="s">
        <v>76</v>
      </c>
      <c r="F15" s="139"/>
      <c r="G15" s="139" t="s">
        <v>193</v>
      </c>
      <c r="H15" s="139"/>
    </row>
    <row r="16" spans="1:8" x14ac:dyDescent="0.35">
      <c r="A16" s="145" t="s">
        <v>12</v>
      </c>
      <c r="B16" s="145"/>
      <c r="C16" s="139" t="s">
        <v>202</v>
      </c>
      <c r="D16" s="139"/>
      <c r="E16" s="139" t="s">
        <v>11</v>
      </c>
      <c r="F16" s="139"/>
      <c r="G16" s="147" t="s">
        <v>195</v>
      </c>
      <c r="H16" s="147"/>
    </row>
    <row r="17" spans="1:8" x14ac:dyDescent="0.35">
      <c r="A17" s="91" t="s">
        <v>77</v>
      </c>
      <c r="B17" s="91"/>
      <c r="C17" s="139" t="s">
        <v>195</v>
      </c>
      <c r="D17" s="139"/>
      <c r="E17" s="139" t="s">
        <v>13</v>
      </c>
      <c r="F17" s="139"/>
      <c r="G17" s="139">
        <v>400706</v>
      </c>
      <c r="H17" s="139"/>
    </row>
    <row r="18" spans="1:8" ht="32.25" customHeight="1" x14ac:dyDescent="0.35">
      <c r="A18" s="91" t="s">
        <v>126</v>
      </c>
      <c r="B18" s="91"/>
      <c r="C18" s="139" t="s">
        <v>203</v>
      </c>
      <c r="D18" s="139"/>
      <c r="E18" s="139" t="s">
        <v>14</v>
      </c>
      <c r="F18" s="139"/>
      <c r="G18" s="139" t="s">
        <v>204</v>
      </c>
      <c r="H18" s="139"/>
    </row>
    <row r="19" spans="1:8" ht="15" customHeight="1" x14ac:dyDescent="0.35">
      <c r="A19" s="146" t="s">
        <v>80</v>
      </c>
      <c r="B19" s="146"/>
      <c r="C19" s="146"/>
      <c r="D19" s="146"/>
      <c r="E19" s="145" t="s">
        <v>15</v>
      </c>
      <c r="F19" s="145"/>
      <c r="G19" s="145"/>
      <c r="H19" s="145"/>
    </row>
    <row r="20" spans="1:8" ht="18.75" customHeight="1" x14ac:dyDescent="0.35">
      <c r="A20" s="146"/>
      <c r="B20" s="146"/>
      <c r="C20" s="146"/>
      <c r="D20" s="146"/>
      <c r="E20" s="145"/>
      <c r="F20" s="145"/>
      <c r="G20" s="145"/>
      <c r="H20" s="145"/>
    </row>
    <row r="21" spans="1:8" ht="15" customHeight="1" x14ac:dyDescent="0.35">
      <c r="A21" s="146" t="s">
        <v>16</v>
      </c>
      <c r="B21" s="146"/>
      <c r="C21" s="146"/>
      <c r="D21" s="146"/>
      <c r="E21" s="139" t="s">
        <v>17</v>
      </c>
      <c r="F21" s="139"/>
      <c r="G21" s="139"/>
      <c r="H21" s="139"/>
    </row>
    <row r="22" spans="1:8" ht="15" customHeight="1" x14ac:dyDescent="0.35">
      <c r="A22" s="91" t="s">
        <v>18</v>
      </c>
      <c r="B22" s="91"/>
      <c r="C22" s="91"/>
      <c r="D22" s="91"/>
      <c r="E22" s="139" t="str">
        <f>IF(AND(G16="Mumbai"),"Upper Class","Middle Class")</f>
        <v>Middle Class</v>
      </c>
      <c r="F22" s="139"/>
      <c r="G22" s="139"/>
      <c r="H22" s="139"/>
    </row>
    <row r="23" spans="1:8" x14ac:dyDescent="0.35">
      <c r="A23" s="91" t="s">
        <v>19</v>
      </c>
      <c r="B23" s="91"/>
      <c r="C23" s="91"/>
      <c r="D23" s="91"/>
      <c r="E23" s="139" t="s">
        <v>20</v>
      </c>
      <c r="F23" s="139"/>
      <c r="G23" s="139"/>
      <c r="H23" s="139"/>
    </row>
    <row r="24" spans="1:8" ht="15.75" customHeight="1" x14ac:dyDescent="0.35">
      <c r="A24" s="91" t="s">
        <v>21</v>
      </c>
      <c r="B24" s="91"/>
      <c r="C24" s="91"/>
      <c r="D24" s="91"/>
      <c r="E24" s="139" t="str">
        <f>IF(AND(G16="Mumbai"),"Developed","Developing")</f>
        <v>Developing</v>
      </c>
      <c r="F24" s="139"/>
      <c r="G24" s="139"/>
      <c r="H24" s="139"/>
    </row>
    <row r="25" spans="1:8" x14ac:dyDescent="0.35">
      <c r="A25" s="91" t="s">
        <v>22</v>
      </c>
      <c r="B25" s="91"/>
      <c r="C25" s="91"/>
      <c r="D25" s="91"/>
      <c r="E25" s="139" t="s">
        <v>23</v>
      </c>
      <c r="F25" s="139"/>
      <c r="G25" s="139"/>
      <c r="H25" s="139"/>
    </row>
    <row r="26" spans="1:8" ht="15.75" customHeight="1" x14ac:dyDescent="0.35">
      <c r="A26" s="91" t="s">
        <v>85</v>
      </c>
      <c r="B26" s="91"/>
      <c r="C26" s="91"/>
      <c r="D26" s="91"/>
      <c r="E26" s="139" t="s">
        <v>86</v>
      </c>
      <c r="F26" s="139"/>
      <c r="G26" s="139"/>
      <c r="H26" s="139"/>
    </row>
    <row r="27" spans="1:8" ht="15" customHeight="1" x14ac:dyDescent="0.35">
      <c r="A27" s="91" t="s">
        <v>34</v>
      </c>
      <c r="B27" s="91"/>
      <c r="C27" s="91"/>
      <c r="D27" s="91"/>
      <c r="E27" s="139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</v>
      </c>
      <c r="F27" s="139"/>
      <c r="G27" s="139"/>
      <c r="H27" s="139"/>
    </row>
    <row r="28" spans="1:8" ht="15.75" customHeight="1" x14ac:dyDescent="0.35">
      <c r="A28" s="91" t="s">
        <v>97</v>
      </c>
      <c r="B28" s="91"/>
      <c r="C28" s="91"/>
      <c r="D28" s="91"/>
      <c r="E28" s="139" t="s">
        <v>35</v>
      </c>
      <c r="F28" s="139"/>
      <c r="G28" s="139"/>
      <c r="H28" s="139"/>
    </row>
    <row r="29" spans="1:8" s="20" customFormat="1" x14ac:dyDescent="0.35">
      <c r="A29" s="144" t="s">
        <v>98</v>
      </c>
      <c r="B29" s="144"/>
      <c r="C29" s="141" t="s">
        <v>28</v>
      </c>
      <c r="D29" s="141"/>
      <c r="E29" s="141"/>
      <c r="F29" s="141" t="s">
        <v>30</v>
      </c>
      <c r="G29" s="141"/>
      <c r="H29" s="141"/>
    </row>
    <row r="30" spans="1:8" s="20" customFormat="1" x14ac:dyDescent="0.35">
      <c r="A30" s="130" t="s">
        <v>24</v>
      </c>
      <c r="B30" s="130" t="s">
        <v>29</v>
      </c>
      <c r="C30" s="131" t="s">
        <v>29</v>
      </c>
      <c r="D30" s="131"/>
      <c r="E30" s="131"/>
      <c r="F30" s="131" t="s">
        <v>205</v>
      </c>
      <c r="G30" s="131"/>
      <c r="H30" s="131"/>
    </row>
    <row r="31" spans="1:8" x14ac:dyDescent="0.35">
      <c r="A31" s="130" t="s">
        <v>25</v>
      </c>
      <c r="B31" s="130" t="s">
        <v>29</v>
      </c>
      <c r="C31" s="131" t="s">
        <v>29</v>
      </c>
      <c r="D31" s="131"/>
      <c r="E31" s="131"/>
      <c r="F31" s="131" t="s">
        <v>203</v>
      </c>
      <c r="G31" s="131"/>
      <c r="H31" s="131"/>
    </row>
    <row r="32" spans="1:8" s="20" customFormat="1" x14ac:dyDescent="0.35">
      <c r="A32" s="130" t="s">
        <v>27</v>
      </c>
      <c r="B32" s="130" t="s">
        <v>29</v>
      </c>
      <c r="C32" s="131" t="s">
        <v>29</v>
      </c>
      <c r="D32" s="131"/>
      <c r="E32" s="131"/>
      <c r="F32" s="131" t="s">
        <v>206</v>
      </c>
      <c r="G32" s="131"/>
      <c r="H32" s="131"/>
    </row>
    <row r="33" spans="1:8" x14ac:dyDescent="0.35">
      <c r="A33" s="130" t="s">
        <v>26</v>
      </c>
      <c r="B33" s="130" t="s">
        <v>29</v>
      </c>
      <c r="C33" s="131" t="s">
        <v>29</v>
      </c>
      <c r="D33" s="131"/>
      <c r="E33" s="131"/>
      <c r="F33" s="131" t="s">
        <v>207</v>
      </c>
      <c r="G33" s="131"/>
      <c r="H33" s="131"/>
    </row>
    <row r="34" spans="1:8" x14ac:dyDescent="0.35">
      <c r="A34" s="91" t="s">
        <v>31</v>
      </c>
      <c r="B34" s="91"/>
      <c r="C34" s="91"/>
      <c r="D34" s="91"/>
      <c r="E34" s="91"/>
      <c r="F34" s="91"/>
      <c r="G34" s="91"/>
      <c r="H34" s="91"/>
    </row>
    <row r="35" spans="1:8" ht="15.75" customHeight="1" x14ac:dyDescent="0.35">
      <c r="A35" s="80" t="s">
        <v>32</v>
      </c>
      <c r="B35" s="80"/>
      <c r="C35" s="142">
        <v>19.007769</v>
      </c>
      <c r="D35" s="142"/>
      <c r="E35" s="80" t="s">
        <v>33</v>
      </c>
      <c r="F35" s="80"/>
      <c r="G35" s="143">
        <v>73.012873999999996</v>
      </c>
      <c r="H35" s="143"/>
    </row>
    <row r="36" spans="1:8" ht="15.75" customHeight="1" x14ac:dyDescent="0.35">
      <c r="A36" s="80" t="s">
        <v>229</v>
      </c>
      <c r="B36" s="80"/>
      <c r="C36" s="81" t="s">
        <v>230</v>
      </c>
      <c r="D36" s="82"/>
      <c r="E36" s="82"/>
      <c r="F36" s="82"/>
      <c r="G36" s="82"/>
      <c r="H36" s="82"/>
    </row>
    <row r="37" spans="1:8" x14ac:dyDescent="0.35">
      <c r="A37" s="134" t="s">
        <v>36</v>
      </c>
      <c r="B37" s="134"/>
      <c r="C37" s="134"/>
      <c r="D37" s="134"/>
      <c r="E37" s="134"/>
      <c r="F37" s="134"/>
      <c r="G37" s="134"/>
      <c r="H37" s="134"/>
    </row>
    <row r="38" spans="1:8" x14ac:dyDescent="0.35">
      <c r="A38" s="91" t="s">
        <v>37</v>
      </c>
      <c r="B38" s="91"/>
      <c r="C38" s="91"/>
      <c r="D38" s="91"/>
      <c r="E38" s="140">
        <v>27000.02</v>
      </c>
      <c r="F38" s="140"/>
      <c r="G38" s="140"/>
      <c r="H38" s="140"/>
    </row>
    <row r="39" spans="1:8" x14ac:dyDescent="0.35">
      <c r="A39" s="91" t="s">
        <v>38</v>
      </c>
      <c r="B39" s="91"/>
      <c r="C39" s="91"/>
      <c r="D39" s="91"/>
      <c r="E39" s="151">
        <v>1.5</v>
      </c>
      <c r="F39" s="151"/>
      <c r="G39" s="151"/>
      <c r="H39" s="151"/>
    </row>
    <row r="40" spans="1:8" x14ac:dyDescent="0.35">
      <c r="A40" s="91" t="s">
        <v>39</v>
      </c>
      <c r="B40" s="91"/>
      <c r="C40" s="91"/>
      <c r="D40" s="91"/>
      <c r="E40" s="151">
        <f>E42/E38-E39</f>
        <v>0</v>
      </c>
      <c r="F40" s="151"/>
      <c r="G40" s="151"/>
      <c r="H40" s="151"/>
    </row>
    <row r="41" spans="1:8" x14ac:dyDescent="0.35">
      <c r="A41" s="91" t="s">
        <v>40</v>
      </c>
      <c r="B41" s="91"/>
      <c r="C41" s="91"/>
      <c r="D41" s="91"/>
      <c r="E41" s="151">
        <f>E39+E40</f>
        <v>1.5</v>
      </c>
      <c r="F41" s="151"/>
      <c r="G41" s="151"/>
      <c r="H41" s="151"/>
    </row>
    <row r="42" spans="1:8" x14ac:dyDescent="0.35">
      <c r="A42" s="145" t="s">
        <v>96</v>
      </c>
      <c r="B42" s="145"/>
      <c r="C42" s="145"/>
      <c r="D42" s="145"/>
      <c r="E42" s="152">
        <v>40500.03</v>
      </c>
      <c r="F42" s="152"/>
      <c r="G42" s="152"/>
      <c r="H42" s="152"/>
    </row>
    <row r="43" spans="1:8" x14ac:dyDescent="0.35">
      <c r="A43" s="145" t="s">
        <v>41</v>
      </c>
      <c r="B43" s="145"/>
      <c r="C43" s="145"/>
      <c r="D43" s="145"/>
      <c r="E43" s="145" t="s">
        <v>232</v>
      </c>
      <c r="F43" s="145"/>
      <c r="G43" s="145"/>
      <c r="H43" s="145"/>
    </row>
    <row r="44" spans="1:8" x14ac:dyDescent="0.35">
      <c r="A44" s="121" t="s">
        <v>42</v>
      </c>
      <c r="B44" s="121"/>
      <c r="C44" s="121"/>
      <c r="D44" s="121"/>
      <c r="E44" s="121"/>
      <c r="F44" s="121"/>
      <c r="G44" s="121"/>
      <c r="H44" s="121"/>
    </row>
    <row r="45" spans="1:8" ht="33.75" customHeight="1" x14ac:dyDescent="0.35">
      <c r="A45" s="139" t="s">
        <v>155</v>
      </c>
      <c r="B45" s="139"/>
      <c r="C45" s="145" t="s">
        <v>196</v>
      </c>
      <c r="D45" s="145"/>
      <c r="E45" s="145"/>
      <c r="F45" s="145"/>
      <c r="G45" s="145"/>
      <c r="H45" s="145"/>
    </row>
    <row r="46" spans="1:8" ht="34.5" customHeight="1" x14ac:dyDescent="0.35">
      <c r="A46" s="110" t="s">
        <v>43</v>
      </c>
      <c r="B46" s="111"/>
      <c r="C46" s="110" t="s">
        <v>197</v>
      </c>
      <c r="D46" s="169"/>
      <c r="E46" s="111"/>
      <c r="F46" s="48" t="s">
        <v>44</v>
      </c>
      <c r="G46" s="158">
        <v>44232</v>
      </c>
      <c r="H46" s="159"/>
    </row>
    <row r="47" spans="1:8" ht="33" customHeight="1" x14ac:dyDescent="0.35">
      <c r="A47" s="110" t="s">
        <v>45</v>
      </c>
      <c r="B47" s="111"/>
      <c r="C47" s="110" t="str">
        <f>C46</f>
        <v>CIDCO/BP-15516/TPO(NM &amp; K)/2017/8159</v>
      </c>
      <c r="D47" s="169"/>
      <c r="E47" s="111"/>
      <c r="F47" s="48" t="s">
        <v>44</v>
      </c>
      <c r="G47" s="158">
        <f>G46</f>
        <v>44232</v>
      </c>
      <c r="H47" s="159"/>
    </row>
    <row r="48" spans="1:8" s="21" customFormat="1" ht="33.75" customHeight="1" x14ac:dyDescent="0.35">
      <c r="A48" s="160" t="s">
        <v>159</v>
      </c>
      <c r="B48" s="161"/>
      <c r="C48" s="166" t="s">
        <v>198</v>
      </c>
      <c r="D48" s="167"/>
      <c r="E48" s="168"/>
      <c r="F48" s="18" t="s">
        <v>44</v>
      </c>
      <c r="G48" s="164">
        <f>G47</f>
        <v>44232</v>
      </c>
      <c r="H48" s="165"/>
    </row>
    <row r="49" spans="1:14" s="21" customFormat="1" ht="65.25" customHeight="1" x14ac:dyDescent="0.35">
      <c r="A49" s="162"/>
      <c r="B49" s="163"/>
      <c r="C49" s="166" t="s">
        <v>235</v>
      </c>
      <c r="D49" s="167"/>
      <c r="E49" s="167"/>
      <c r="F49" s="167"/>
      <c r="G49" s="167"/>
      <c r="H49" s="168"/>
    </row>
    <row r="50" spans="1:14" x14ac:dyDescent="0.35">
      <c r="A50" s="170" t="s">
        <v>46</v>
      </c>
      <c r="B50" s="171"/>
      <c r="C50" s="170" t="s">
        <v>106</v>
      </c>
      <c r="D50" s="177"/>
      <c r="E50" s="171"/>
      <c r="F50" s="42" t="s">
        <v>44</v>
      </c>
      <c r="G50" s="179" t="s">
        <v>29</v>
      </c>
      <c r="H50" s="180"/>
    </row>
    <row r="51" spans="1:14" x14ac:dyDescent="0.35">
      <c r="A51" s="178" t="s">
        <v>48</v>
      </c>
      <c r="B51" s="178"/>
      <c r="C51" s="178"/>
      <c r="D51" s="178"/>
      <c r="E51" s="178"/>
      <c r="F51" s="178"/>
      <c r="G51" s="178"/>
      <c r="H51" s="178"/>
    </row>
    <row r="52" spans="1:14" x14ac:dyDescent="0.35">
      <c r="A52" s="146" t="s">
        <v>95</v>
      </c>
      <c r="B52" s="146"/>
      <c r="C52" s="146"/>
      <c r="D52" s="91">
        <f>E42</f>
        <v>40500.03</v>
      </c>
      <c r="E52" s="91"/>
      <c r="F52" s="91"/>
      <c r="G52" s="91"/>
      <c r="H52" s="91"/>
    </row>
    <row r="53" spans="1:14" x14ac:dyDescent="0.35">
      <c r="A53" s="139" t="s">
        <v>49</v>
      </c>
      <c r="B53" s="145"/>
      <c r="C53" s="145"/>
      <c r="D53" s="145" t="s">
        <v>239</v>
      </c>
      <c r="E53" s="145"/>
      <c r="F53" s="145"/>
      <c r="G53" s="145"/>
      <c r="H53" s="145"/>
      <c r="I53" s="22"/>
    </row>
    <row r="54" spans="1:14" ht="63" customHeight="1" x14ac:dyDescent="0.35">
      <c r="A54" s="155" t="s">
        <v>50</v>
      </c>
      <c r="B54" s="156"/>
      <c r="C54" s="157"/>
      <c r="D54" s="153" t="s">
        <v>234</v>
      </c>
      <c r="E54" s="154"/>
      <c r="F54" s="154"/>
      <c r="G54" s="154"/>
      <c r="H54" s="154"/>
    </row>
    <row r="55" spans="1:14" ht="15.75" customHeight="1" x14ac:dyDescent="0.35">
      <c r="A55" s="139" t="s">
        <v>93</v>
      </c>
      <c r="B55" s="139"/>
      <c r="C55" s="139"/>
      <c r="D55" s="145" t="s">
        <v>208</v>
      </c>
      <c r="E55" s="145"/>
      <c r="F55" s="145"/>
      <c r="G55" s="145"/>
      <c r="H55" s="145"/>
    </row>
    <row r="56" spans="1:14" ht="15.75" customHeight="1" x14ac:dyDescent="0.35">
      <c r="A56" s="139"/>
      <c r="B56" s="139"/>
      <c r="C56" s="139"/>
      <c r="D56" s="145" t="s">
        <v>209</v>
      </c>
      <c r="E56" s="145"/>
      <c r="F56" s="145"/>
      <c r="G56" s="145"/>
      <c r="H56" s="145"/>
    </row>
    <row r="57" spans="1:14" ht="15.75" customHeight="1" x14ac:dyDescent="0.35">
      <c r="A57" s="139"/>
      <c r="B57" s="139"/>
      <c r="C57" s="139"/>
      <c r="D57" s="145" t="s">
        <v>210</v>
      </c>
      <c r="E57" s="145"/>
      <c r="F57" s="145"/>
      <c r="G57" s="145"/>
      <c r="H57" s="145"/>
    </row>
    <row r="58" spans="1:14" ht="15.75" customHeight="1" x14ac:dyDescent="0.35">
      <c r="A58" s="139"/>
      <c r="B58" s="139"/>
      <c r="C58" s="139"/>
      <c r="D58" s="145" t="s">
        <v>236</v>
      </c>
      <c r="E58" s="145"/>
      <c r="F58" s="145"/>
      <c r="G58" s="145"/>
      <c r="H58" s="145"/>
      <c r="K58" s="19">
        <f>3800*580</f>
        <v>2204000</v>
      </c>
    </row>
    <row r="59" spans="1:14" ht="15.75" customHeight="1" x14ac:dyDescent="0.35">
      <c r="A59" s="91" t="s">
        <v>47</v>
      </c>
      <c r="B59" s="91"/>
      <c r="C59" s="91"/>
      <c r="D59" s="139" t="s">
        <v>199</v>
      </c>
      <c r="E59" s="139"/>
      <c r="F59" s="139"/>
      <c r="G59" s="139"/>
      <c r="H59" s="139"/>
      <c r="J59" s="23"/>
      <c r="K59" s="19">
        <f>3900*580</f>
        <v>2262000</v>
      </c>
      <c r="N59" s="22"/>
    </row>
    <row r="60" spans="1:14" ht="15.75" customHeight="1" x14ac:dyDescent="0.35">
      <c r="A60" s="91" t="s">
        <v>91</v>
      </c>
      <c r="B60" s="91"/>
      <c r="C60" s="91"/>
      <c r="D60" s="150" t="str">
        <f>(IF(G50="NA","60 Years After Completion",IF(G50&lt;&gt;"NA",""&amp;60-ROUNDDOWN((E3-G50)/360,0)&amp;" Years"," ")))</f>
        <v>60 Years After Completion</v>
      </c>
      <c r="E60" s="150"/>
      <c r="F60" s="150"/>
      <c r="G60" s="150"/>
      <c r="H60" s="150"/>
      <c r="N60" s="22"/>
    </row>
    <row r="61" spans="1:14" ht="15.75" customHeight="1" x14ac:dyDescent="0.35">
      <c r="A61" s="91" t="s">
        <v>92</v>
      </c>
      <c r="B61" s="91"/>
      <c r="C61" s="91"/>
      <c r="D61" s="146" t="s">
        <v>23</v>
      </c>
      <c r="E61" s="146"/>
      <c r="F61" s="146"/>
      <c r="G61" s="146"/>
      <c r="H61" s="146"/>
      <c r="J61" s="24"/>
      <c r="K61" s="24"/>
    </row>
    <row r="62" spans="1:14" ht="30.75" customHeight="1" x14ac:dyDescent="0.35">
      <c r="A62" s="91" t="s">
        <v>78</v>
      </c>
      <c r="B62" s="91"/>
      <c r="C62" s="91"/>
      <c r="D62" s="139" t="s">
        <v>223</v>
      </c>
      <c r="E62" s="146"/>
      <c r="F62" s="146"/>
      <c r="G62" s="146"/>
      <c r="H62" s="146"/>
    </row>
    <row r="63" spans="1:14" x14ac:dyDescent="0.35">
      <c r="A63" s="146" t="s">
        <v>152</v>
      </c>
      <c r="B63" s="146"/>
      <c r="C63" s="146"/>
      <c r="D63" s="146" t="s">
        <v>29</v>
      </c>
      <c r="E63" s="146"/>
      <c r="F63" s="146"/>
      <c r="G63" s="146"/>
      <c r="H63" s="146"/>
      <c r="I63" s="25"/>
      <c r="J63" s="25"/>
      <c r="K63" s="25"/>
      <c r="L63" s="25"/>
      <c r="M63" s="25"/>
      <c r="N63" s="25"/>
    </row>
    <row r="64" spans="1:14" ht="15.75" customHeight="1" x14ac:dyDescent="0.35">
      <c r="A64" s="91" t="s">
        <v>90</v>
      </c>
      <c r="B64" s="91"/>
      <c r="C64" s="91"/>
      <c r="D64" s="139" t="str">
        <f ca="1">(IF(G70&gt;95%,"Nothing",IF(G70&gt;0%,"Cement, Aggregate, Steel, etc",IF(G70=0%,"Work not yet Started"))))</f>
        <v>Cement, Aggregate, Steel, etc</v>
      </c>
      <c r="E64" s="139"/>
      <c r="F64" s="139"/>
      <c r="G64" s="139"/>
      <c r="H64" s="139"/>
      <c r="J64" s="24"/>
    </row>
    <row r="65" spans="1:10" ht="33.75" customHeight="1" thickBot="1" x14ac:dyDescent="0.4">
      <c r="A65" s="146" t="s">
        <v>119</v>
      </c>
      <c r="B65" s="146"/>
      <c r="C65" s="146"/>
      <c r="D65" s="139" t="str">
        <f ca="1">(IF(D64="Nothing","Yes",IF(D64="Cement, Aggregate, Steel, etc","Under Construction",IF(D64="Work not yet Started","Work not yet Started"))))</f>
        <v>Under Construction</v>
      </c>
      <c r="E65" s="139"/>
      <c r="F65" s="139" t="str">
        <f ca="1">(IF(D64="Nothing","Yes",IF(D64="Cement, Aggregate, Steel, etc","Under Construction",IF(D64="Work not yet Started","Work not yet Started"))))</f>
        <v>Under Construction</v>
      </c>
      <c r="G65" s="139"/>
      <c r="H65" s="139"/>
    </row>
    <row r="66" spans="1:10" ht="15.75" customHeight="1" x14ac:dyDescent="0.35">
      <c r="A66" s="122" t="s">
        <v>144</v>
      </c>
      <c r="B66" s="122"/>
      <c r="C66" s="122" t="str">
        <f>D55</f>
        <v>Tower B1 = Tower 5 = 2B + G/St + 1st to 10th Floor</v>
      </c>
      <c r="D66" s="122"/>
      <c r="E66" s="122"/>
      <c r="F66" s="122"/>
      <c r="G66" s="122"/>
      <c r="H66" s="122"/>
      <c r="I66" s="65" t="str">
        <f ca="1">IF(D79=100%,"All work Completed. Possession granted to the Building.",IF(D78=100%,"All work Completed, Waiting for OC",I67&amp;""&amp;I68&amp;""&amp;J67&amp;""&amp;J66&amp;" "&amp;J68))</f>
        <v>Excavation, Plinth Completed, RCC upto 8 Slab, Brickwork upto 5 Floor, Internal Plaster upto 1 Floor Completed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8 Slab, Brickwork upto 5 Floor, Internal Plaster upto 1 Floor</v>
      </c>
    </row>
    <row r="67" spans="1:10" x14ac:dyDescent="0.35">
      <c r="A67" s="64" t="s">
        <v>146</v>
      </c>
      <c r="B67" s="64">
        <v>2</v>
      </c>
      <c r="C67" s="64" t="s">
        <v>75</v>
      </c>
      <c r="D67" s="64">
        <v>1</v>
      </c>
      <c r="E67" s="64" t="s">
        <v>74</v>
      </c>
      <c r="F67" s="64">
        <v>0</v>
      </c>
      <c r="G67" s="64" t="s">
        <v>84</v>
      </c>
      <c r="H67" s="64">
        <f ca="1">--TRIM(RIGHT(SUBSTITUTE(LEFT(C66,_xlfn.AGGREGATE(16,6,FIND({0,1,2,3,4,5,6,7,8,9},C66,ROW(INDIRECT("1:"&amp;LEN(C66)))),1))," ",REPT(" ",LEN(C66))),LEN(C66)))</f>
        <v>10</v>
      </c>
      <c r="I67" s="6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2.25" customHeight="1" x14ac:dyDescent="0.35">
      <c r="A68" s="121" t="s">
        <v>94</v>
      </c>
      <c r="B68" s="121"/>
      <c r="C68" s="122" t="str">
        <f ca="1">(IF($G$50="NA",I66,"All work Completed. OC Received."))</f>
        <v>Excavation, Plinth Completed, RCC upto 8 Slab, Brickwork upto 5 Floor, Internal Plaster upto 1 Floor Completed</v>
      </c>
      <c r="D68" s="122"/>
      <c r="E68" s="122"/>
      <c r="F68" s="122"/>
      <c r="G68" s="122"/>
      <c r="H68" s="122"/>
      <c r="I68" s="66" t="str">
        <f ca="1">IF(I67&lt;&gt;""," Completed","")</f>
        <v xml:space="preserve"> Completed</v>
      </c>
      <c r="J68" s="47" t="str">
        <f ca="1">IF(J66&lt;&gt;"","Completed","")</f>
        <v>Completed</v>
      </c>
    </row>
    <row r="69" spans="1:10" ht="15.75" customHeight="1" x14ac:dyDescent="0.35">
      <c r="A69" s="76" t="s">
        <v>51</v>
      </c>
      <c r="B69" s="77"/>
      <c r="C69" s="50" t="s">
        <v>143</v>
      </c>
      <c r="D69" s="50" t="s">
        <v>87</v>
      </c>
      <c r="E69" s="77" t="s">
        <v>89</v>
      </c>
      <c r="F69" s="77"/>
      <c r="G69" s="77" t="s">
        <v>88</v>
      </c>
      <c r="H69" s="124"/>
      <c r="I69" s="14" t="s">
        <v>145</v>
      </c>
      <c r="J69" s="26">
        <f ca="1">H67*25%</f>
        <v>2.5</v>
      </c>
    </row>
    <row r="70" spans="1:10" x14ac:dyDescent="0.35">
      <c r="A70" s="76" t="s">
        <v>132</v>
      </c>
      <c r="B70" s="77"/>
      <c r="C70" s="50">
        <v>10</v>
      </c>
      <c r="D70" s="51">
        <f ca="1">((100/H67)*C70)/100</f>
        <v>1</v>
      </c>
      <c r="E70" s="67">
        <f ca="1">(((C71/H67*10)+(40/(D67+F67+H67)*C72)+(7.5/(H67)*C73)+(7.5/(H67)*C74)+(10/H67*C75)+(10/H67*C76)+(5/H67*C77)+(5/H67*C78)+(5/H67*C79))/100)</f>
        <v>0.43590909090909091</v>
      </c>
      <c r="F70" s="68"/>
      <c r="G70" s="67">
        <f ca="1">((((C70/H67)*20)+((C71/H67)*25)+(30/(H67+F67+D67)*C72)+(5/H67*C73)+(5/H67*C74)+(5/H67*C75)+(5/H67*C76)+(0/H67*C77)+(0/H67*C78)+(5/H67*C79))/100)</f>
        <v>0.69818181818181813</v>
      </c>
      <c r="H70" s="73"/>
      <c r="I70" s="14" t="s">
        <v>101</v>
      </c>
      <c r="J70" s="27">
        <f ca="1">H67*50%</f>
        <v>5</v>
      </c>
    </row>
    <row r="71" spans="1:10" x14ac:dyDescent="0.35">
      <c r="A71" s="76" t="s">
        <v>52</v>
      </c>
      <c r="B71" s="77"/>
      <c r="C71" s="55">
        <f ca="1">J79</f>
        <v>10</v>
      </c>
      <c r="D71" s="51">
        <f ca="1">((100/H67)*C71)/100</f>
        <v>1</v>
      </c>
      <c r="E71" s="69"/>
      <c r="F71" s="70"/>
      <c r="G71" s="69"/>
      <c r="H71" s="74"/>
      <c r="I71" s="14" t="s">
        <v>102</v>
      </c>
      <c r="J71" s="27">
        <f ca="1">H67</f>
        <v>10</v>
      </c>
    </row>
    <row r="72" spans="1:10" ht="15.75" customHeight="1" x14ac:dyDescent="0.35">
      <c r="A72" s="76" t="s">
        <v>133</v>
      </c>
      <c r="B72" s="77"/>
      <c r="C72" s="50">
        <v>8</v>
      </c>
      <c r="D72" s="51">
        <f ca="1">((100/(D67+F67+H67))*C72)/100</f>
        <v>0.72727272727272729</v>
      </c>
      <c r="E72" s="69"/>
      <c r="F72" s="70"/>
      <c r="G72" s="69"/>
      <c r="H72" s="74"/>
      <c r="I72" s="14" t="s">
        <v>103</v>
      </c>
      <c r="J72" s="28">
        <f ca="1">(IF(B67&gt;1,(H67/(B67+2)),H67/4))</f>
        <v>2.5</v>
      </c>
    </row>
    <row r="73" spans="1:10" ht="15.75" customHeight="1" x14ac:dyDescent="0.35">
      <c r="A73" s="76" t="s">
        <v>140</v>
      </c>
      <c r="B73" s="77" t="s">
        <v>134</v>
      </c>
      <c r="C73" s="50">
        <v>5</v>
      </c>
      <c r="D73" s="51">
        <f ca="1">((100/H67)*C73)/100</f>
        <v>0.5</v>
      </c>
      <c r="E73" s="69"/>
      <c r="F73" s="70"/>
      <c r="G73" s="69"/>
      <c r="H73" s="74"/>
      <c r="I73" s="14" t="s">
        <v>104</v>
      </c>
      <c r="J73" s="28">
        <f ca="1">(IF(B67&gt;1,(H67/(B67+2)+J72),H67/4+J72))</f>
        <v>5</v>
      </c>
    </row>
    <row r="74" spans="1:10" ht="15.75" customHeight="1" x14ac:dyDescent="0.35">
      <c r="A74" s="76" t="s">
        <v>141</v>
      </c>
      <c r="B74" s="77" t="s">
        <v>134</v>
      </c>
      <c r="C74" s="50">
        <v>1</v>
      </c>
      <c r="D74" s="51">
        <f ca="1">((100/H67)*C74)/100</f>
        <v>0.1</v>
      </c>
      <c r="E74" s="69"/>
      <c r="F74" s="70"/>
      <c r="G74" s="69"/>
      <c r="H74" s="74"/>
      <c r="I74" s="14" t="s">
        <v>150</v>
      </c>
      <c r="J74" s="28">
        <f ca="1">(IF(B67&gt;1,(H67/(B67+2)+J73),0))</f>
        <v>7.5</v>
      </c>
    </row>
    <row r="75" spans="1:10" ht="15" customHeight="1" x14ac:dyDescent="0.35">
      <c r="A75" s="76" t="s">
        <v>139</v>
      </c>
      <c r="B75" s="77" t="s">
        <v>136</v>
      </c>
      <c r="C75" s="50">
        <v>0</v>
      </c>
      <c r="D75" s="51">
        <f ca="1">((100/(H67))*C75)/100</f>
        <v>0</v>
      </c>
      <c r="E75" s="69"/>
      <c r="F75" s="70"/>
      <c r="G75" s="69"/>
      <c r="H75" s="74"/>
      <c r="I75" s="14" t="s">
        <v>147</v>
      </c>
      <c r="J75" s="28">
        <f>(IF(B67&gt;2,(H67/(B67+2)+J74),0))</f>
        <v>0</v>
      </c>
    </row>
    <row r="76" spans="1:10" ht="15.75" customHeight="1" x14ac:dyDescent="0.35">
      <c r="A76" s="76" t="s">
        <v>135</v>
      </c>
      <c r="B76" s="77" t="s">
        <v>135</v>
      </c>
      <c r="C76" s="50">
        <v>0</v>
      </c>
      <c r="D76" s="51">
        <f ca="1">((100/H67)*C76)/100</f>
        <v>0</v>
      </c>
      <c r="E76" s="69"/>
      <c r="F76" s="70"/>
      <c r="G76" s="69"/>
      <c r="H76" s="74"/>
      <c r="I76" s="14" t="s">
        <v>148</v>
      </c>
      <c r="J76" s="29">
        <f>(IF(B67&gt;3,(H67/(B67+2)+J75),0))</f>
        <v>0</v>
      </c>
    </row>
    <row r="77" spans="1:10" ht="15.75" customHeight="1" x14ac:dyDescent="0.35">
      <c r="A77" s="76" t="s">
        <v>142</v>
      </c>
      <c r="B77" s="77"/>
      <c r="C77" s="50">
        <v>0</v>
      </c>
      <c r="D77" s="51">
        <f ca="1">((100/H67)*C77)/100</f>
        <v>0</v>
      </c>
      <c r="E77" s="69"/>
      <c r="F77" s="70"/>
      <c r="G77" s="69"/>
      <c r="H77" s="74"/>
      <c r="I77" s="14" t="s">
        <v>149</v>
      </c>
      <c r="J77" s="28">
        <f>(IF(B67&gt;4,(H67/(B67+2)+J76),0))</f>
        <v>0</v>
      </c>
    </row>
    <row r="78" spans="1:10" ht="15.75" customHeight="1" x14ac:dyDescent="0.35">
      <c r="A78" s="76" t="s">
        <v>137</v>
      </c>
      <c r="B78" s="77" t="s">
        <v>137</v>
      </c>
      <c r="C78" s="50">
        <v>0</v>
      </c>
      <c r="D78" s="51">
        <f ca="1">((100/(H67))*C78)/100</f>
        <v>0</v>
      </c>
      <c r="E78" s="69"/>
      <c r="F78" s="70"/>
      <c r="G78" s="69"/>
      <c r="H78" s="74"/>
      <c r="I78" s="14" t="s">
        <v>151</v>
      </c>
      <c r="J78" s="28">
        <f>(IF(B67=1,(H67/(B67+3)+J73),IF(B67=0,(H67/4+J73),IF(B67&gt;1,0))))</f>
        <v>0</v>
      </c>
    </row>
    <row r="79" spans="1:10" ht="16" thickBot="1" x14ac:dyDescent="0.4">
      <c r="A79" s="78" t="s">
        <v>138</v>
      </c>
      <c r="B79" s="79"/>
      <c r="C79" s="52">
        <v>0</v>
      </c>
      <c r="D79" s="53">
        <f ca="1">((100/(H67))*C79)/100</f>
        <v>0</v>
      </c>
      <c r="E79" s="71"/>
      <c r="F79" s="72"/>
      <c r="G79" s="71"/>
      <c r="H79" s="75"/>
      <c r="I79" s="15" t="s">
        <v>105</v>
      </c>
      <c r="J79" s="30">
        <f ca="1">(IF(B67&gt;1.5,(H67/(B67+2)+J73+MAX(0,J74-J73)+MAX(0,J75-J74)+MAX(0,J76-J75)+MAX(0,J77-J76)+MAX(0,J78-J77)),IF(B67=1,(H67/(B67+3)+J78),IF(B67=0,H67/4+J78))))</f>
        <v>10</v>
      </c>
    </row>
    <row r="80" spans="1:10" ht="15.75" customHeight="1" x14ac:dyDescent="0.35">
      <c r="A80" s="125" t="s">
        <v>144</v>
      </c>
      <c r="B80" s="126"/>
      <c r="C80" s="127" t="str">
        <f>D56</f>
        <v xml:space="preserve">Tower B2 = Tower 6 = 2B + G/St + 1st to 9th Floor </v>
      </c>
      <c r="D80" s="128"/>
      <c r="E80" s="128"/>
      <c r="F80" s="128"/>
      <c r="G80" s="128"/>
      <c r="H80" s="129"/>
      <c r="I80" s="44" t="str">
        <f ca="1">IF(D93=100%,"All work Completed. Possession granted to the Building.",IF(D92=100%,"All work Completed, Waiting for OC",I81&amp;""&amp;I82&amp;""&amp;J81&amp;""&amp;J80&amp;" "&amp;J82))</f>
        <v>Excavation, Plinth Completed, RCC upto 9 Slab, Brickwork upto 6 Floor Completed</v>
      </c>
      <c r="J80" s="45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9 Slab, Brickwork upto 6 Floor</v>
      </c>
    </row>
    <row r="81" spans="1:10" x14ac:dyDescent="0.35">
      <c r="A81" s="16" t="s">
        <v>146</v>
      </c>
      <c r="B81" s="49">
        <v>2</v>
      </c>
      <c r="C81" s="49" t="s">
        <v>75</v>
      </c>
      <c r="D81" s="49">
        <v>1</v>
      </c>
      <c r="E81" s="49" t="s">
        <v>74</v>
      </c>
      <c r="F81" s="49">
        <v>0</v>
      </c>
      <c r="G81" s="49" t="s">
        <v>84</v>
      </c>
      <c r="H81" s="17">
        <f ca="1">--TRIM(RIGHT(SUBSTITUTE(LEFT(C80,_xlfn.AGGREGATE(16,6,FIND({0,1,2,3,4,5,6,7,8,9},C80,ROW(INDIRECT("1:"&amp;LEN(C80)))),1))," ",REPT(" ",LEN(C80))),LEN(C80)))</f>
        <v>9</v>
      </c>
      <c r="I81" s="46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47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x14ac:dyDescent="0.35">
      <c r="A82" s="120" t="s">
        <v>94</v>
      </c>
      <c r="B82" s="121"/>
      <c r="C82" s="122" t="str">
        <f ca="1">(IF($G$50="NA",I80,"All work Completed. OC Received."))</f>
        <v>Excavation, Plinth Completed, RCC upto 9 Slab, Brickwork upto 6 Floor Completed</v>
      </c>
      <c r="D82" s="122"/>
      <c r="E82" s="122"/>
      <c r="F82" s="122"/>
      <c r="G82" s="122"/>
      <c r="H82" s="123"/>
      <c r="I82" s="46" t="str">
        <f ca="1">IF(I81&lt;&gt;""," Completed","")</f>
        <v xml:space="preserve"> Completed</v>
      </c>
      <c r="J82" s="47" t="str">
        <f ca="1">IF(J80&lt;&gt;"","Completed","")</f>
        <v>Completed</v>
      </c>
    </row>
    <row r="83" spans="1:10" ht="15.75" customHeight="1" x14ac:dyDescent="0.35">
      <c r="A83" s="76" t="s">
        <v>51</v>
      </c>
      <c r="B83" s="77"/>
      <c r="C83" s="50" t="s">
        <v>143</v>
      </c>
      <c r="D83" s="50" t="s">
        <v>87</v>
      </c>
      <c r="E83" s="77" t="s">
        <v>89</v>
      </c>
      <c r="F83" s="77"/>
      <c r="G83" s="77" t="s">
        <v>88</v>
      </c>
      <c r="H83" s="124"/>
      <c r="I83" s="14" t="s">
        <v>145</v>
      </c>
      <c r="J83" s="26">
        <f ca="1">H81*25%</f>
        <v>2.25</v>
      </c>
    </row>
    <row r="84" spans="1:10" x14ac:dyDescent="0.35">
      <c r="A84" s="76" t="s">
        <v>132</v>
      </c>
      <c r="B84" s="77"/>
      <c r="C84" s="50">
        <v>9</v>
      </c>
      <c r="D84" s="51">
        <f ca="1">((100/H81)*C84)/100</f>
        <v>1</v>
      </c>
      <c r="E84" s="67">
        <f ca="1">(((C85/H81*10)+(40/(D81+F81+H81)*C86)+(7.5/(H81)*C87)+(7.5/(H81)*C88)+(10/H81*C89)+(10/H81*C90)+(5/H81*C91)+(5/H81*C92)+(5/H81*C93))/100)</f>
        <v>0.51</v>
      </c>
      <c r="F84" s="68"/>
      <c r="G84" s="67">
        <f ca="1">((((C84/H81)*20)+((C85/H81)*25)+(30/(H81+F81+D81)*C86)+(5/H81*C87)+(5/H81*C88)+(5/H81*C89)+(5/H81*C90)+(0/H81*C91)+(0/H81*C92)+(5/H81*C93))/100)</f>
        <v>0.7533333333333333</v>
      </c>
      <c r="H84" s="73"/>
      <c r="I84" s="14" t="s">
        <v>101</v>
      </c>
      <c r="J84" s="27">
        <f ca="1">H81*50%</f>
        <v>4.5</v>
      </c>
    </row>
    <row r="85" spans="1:10" x14ac:dyDescent="0.35">
      <c r="A85" s="76" t="s">
        <v>52</v>
      </c>
      <c r="B85" s="77"/>
      <c r="C85" s="55">
        <v>9</v>
      </c>
      <c r="D85" s="51">
        <f ca="1">((100/H81)*C85)/100</f>
        <v>1</v>
      </c>
      <c r="E85" s="69"/>
      <c r="F85" s="70"/>
      <c r="G85" s="69"/>
      <c r="H85" s="74"/>
      <c r="I85" s="14" t="s">
        <v>102</v>
      </c>
      <c r="J85" s="27">
        <f ca="1">H81</f>
        <v>9</v>
      </c>
    </row>
    <row r="86" spans="1:10" ht="15.75" customHeight="1" x14ac:dyDescent="0.35">
      <c r="A86" s="76" t="s">
        <v>133</v>
      </c>
      <c r="B86" s="77"/>
      <c r="C86" s="50">
        <v>9</v>
      </c>
      <c r="D86" s="51">
        <f ca="1">((100/(D81+F81+H81))*C86)/100</f>
        <v>0.9</v>
      </c>
      <c r="E86" s="69"/>
      <c r="F86" s="70"/>
      <c r="G86" s="69"/>
      <c r="H86" s="74"/>
      <c r="I86" s="14" t="s">
        <v>103</v>
      </c>
      <c r="J86" s="28">
        <f ca="1">(IF(B81&gt;1,(H81/(B81+2)),H81/4))</f>
        <v>2.25</v>
      </c>
    </row>
    <row r="87" spans="1:10" ht="15.75" customHeight="1" x14ac:dyDescent="0.35">
      <c r="A87" s="76" t="s">
        <v>140</v>
      </c>
      <c r="B87" s="77" t="s">
        <v>134</v>
      </c>
      <c r="C87" s="50">
        <v>6</v>
      </c>
      <c r="D87" s="51">
        <f ca="1">((100/H81)*C87)/100</f>
        <v>0.66666666666666652</v>
      </c>
      <c r="E87" s="69"/>
      <c r="F87" s="70"/>
      <c r="G87" s="69"/>
      <c r="H87" s="74"/>
      <c r="I87" s="14" t="s">
        <v>104</v>
      </c>
      <c r="J87" s="28">
        <f ca="1">(IF(B81&gt;1,(H81/(B81+2)+J86),H81/4+J86))</f>
        <v>4.5</v>
      </c>
    </row>
    <row r="88" spans="1:10" ht="15.75" customHeight="1" x14ac:dyDescent="0.35">
      <c r="A88" s="76" t="s">
        <v>141</v>
      </c>
      <c r="B88" s="77" t="s">
        <v>134</v>
      </c>
      <c r="C88" s="50">
        <v>0</v>
      </c>
      <c r="D88" s="51">
        <f ca="1">((100/H81)*C88)/100</f>
        <v>0</v>
      </c>
      <c r="E88" s="69"/>
      <c r="F88" s="70"/>
      <c r="G88" s="69"/>
      <c r="H88" s="74"/>
      <c r="I88" s="14" t="s">
        <v>150</v>
      </c>
      <c r="J88" s="28">
        <f ca="1">(IF(B81&gt;1,(H81/(B81+2)+J87),0))</f>
        <v>6.75</v>
      </c>
    </row>
    <row r="89" spans="1:10" ht="15" customHeight="1" x14ac:dyDescent="0.35">
      <c r="A89" s="76" t="s">
        <v>139</v>
      </c>
      <c r="B89" s="77" t="s">
        <v>136</v>
      </c>
      <c r="C89" s="50">
        <v>0</v>
      </c>
      <c r="D89" s="51">
        <f ca="1">((100/(H81))*C89)/100</f>
        <v>0</v>
      </c>
      <c r="E89" s="69"/>
      <c r="F89" s="70"/>
      <c r="G89" s="69"/>
      <c r="H89" s="74"/>
      <c r="I89" s="14" t="s">
        <v>147</v>
      </c>
      <c r="J89" s="28">
        <f>(IF(B81&gt;2,(H81/(B81+2)+J88),0))</f>
        <v>0</v>
      </c>
    </row>
    <row r="90" spans="1:10" ht="15.75" customHeight="1" x14ac:dyDescent="0.35">
      <c r="A90" s="76" t="s">
        <v>135</v>
      </c>
      <c r="B90" s="77" t="s">
        <v>135</v>
      </c>
      <c r="C90" s="50">
        <v>0</v>
      </c>
      <c r="D90" s="51">
        <f ca="1">((100/H81)*C90)/100</f>
        <v>0</v>
      </c>
      <c r="E90" s="69"/>
      <c r="F90" s="70"/>
      <c r="G90" s="69"/>
      <c r="H90" s="74"/>
      <c r="I90" s="14" t="s">
        <v>148</v>
      </c>
      <c r="J90" s="29">
        <f>(IF(B81&gt;3,(H81/(B81+2)+J89),0))</f>
        <v>0</v>
      </c>
    </row>
    <row r="91" spans="1:10" ht="15.75" customHeight="1" x14ac:dyDescent="0.35">
      <c r="A91" s="76" t="s">
        <v>142</v>
      </c>
      <c r="B91" s="77"/>
      <c r="C91" s="50">
        <v>0</v>
      </c>
      <c r="D91" s="51">
        <f ca="1">((100/H81)*C91)/100</f>
        <v>0</v>
      </c>
      <c r="E91" s="69"/>
      <c r="F91" s="70"/>
      <c r="G91" s="69"/>
      <c r="H91" s="74"/>
      <c r="I91" s="14" t="s">
        <v>149</v>
      </c>
      <c r="J91" s="28">
        <f>(IF(B81&gt;4,(H81/(B81+2)+J90),0))</f>
        <v>0</v>
      </c>
    </row>
    <row r="92" spans="1:10" ht="15.75" customHeight="1" x14ac:dyDescent="0.35">
      <c r="A92" s="76" t="s">
        <v>137</v>
      </c>
      <c r="B92" s="77" t="s">
        <v>137</v>
      </c>
      <c r="C92" s="50">
        <v>0</v>
      </c>
      <c r="D92" s="51">
        <f ca="1">((100/(H81))*C92)/100</f>
        <v>0</v>
      </c>
      <c r="E92" s="69"/>
      <c r="F92" s="70"/>
      <c r="G92" s="69"/>
      <c r="H92" s="74"/>
      <c r="I92" s="14" t="s">
        <v>151</v>
      </c>
      <c r="J92" s="28">
        <f>(IF(B81=1,(H81/(B81+3)+J87),IF(B81=0,(H81/4+J87),IF(B81&gt;1,0))))</f>
        <v>0</v>
      </c>
    </row>
    <row r="93" spans="1:10" ht="16" thickBot="1" x14ac:dyDescent="0.4">
      <c r="A93" s="78" t="s">
        <v>138</v>
      </c>
      <c r="B93" s="79"/>
      <c r="C93" s="52">
        <v>0</v>
      </c>
      <c r="D93" s="53">
        <f ca="1">((100/(H81))*C93)/100</f>
        <v>0</v>
      </c>
      <c r="E93" s="71"/>
      <c r="F93" s="72"/>
      <c r="G93" s="71"/>
      <c r="H93" s="75"/>
      <c r="I93" s="15" t="s">
        <v>105</v>
      </c>
      <c r="J93" s="30">
        <f ca="1">(IF(B81&gt;1.5,(H81/(B81+2)+J87+MAX(0,J88-J87)+MAX(0,J89-J88)+MAX(0,J90-J89)+MAX(0,J91-J90)+MAX(0,J92-J91)),IF(B81=1,(H81/(B81+3)+J92),IF(B81=0,H81/4+J92))))</f>
        <v>9</v>
      </c>
    </row>
    <row r="94" spans="1:10" ht="15.75" customHeight="1" x14ac:dyDescent="0.35">
      <c r="A94" s="125" t="s">
        <v>144</v>
      </c>
      <c r="B94" s="126"/>
      <c r="C94" s="127" t="str">
        <f>D57</f>
        <v xml:space="preserve">Tower C1 = Tower 7 = 2B + G/St + 1st to 13th Floor </v>
      </c>
      <c r="D94" s="128"/>
      <c r="E94" s="128"/>
      <c r="F94" s="128"/>
      <c r="G94" s="128"/>
      <c r="H94" s="129"/>
      <c r="I94" s="44" t="str">
        <f ca="1">IF(D107=100%,"All work Completed. Possession granted to the Building.",IF(D106=100%,"All work Completed, Waiting for OC",I95&amp;""&amp;I96&amp;""&amp;J95&amp;""&amp;J94&amp;" "&amp;J96))</f>
        <v>Excavation, Plinth Completed, RCC upto 12 Slab, Brickwork upto 6 Floor Completed</v>
      </c>
      <c r="J94" s="45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RCC upto 12 Slab, Brickwork upto 6 Floor</v>
      </c>
    </row>
    <row r="95" spans="1:10" x14ac:dyDescent="0.35">
      <c r="A95" s="16" t="s">
        <v>146</v>
      </c>
      <c r="B95" s="49">
        <v>2</v>
      </c>
      <c r="C95" s="49" t="s">
        <v>75</v>
      </c>
      <c r="D95" s="49">
        <v>1</v>
      </c>
      <c r="E95" s="49" t="s">
        <v>74</v>
      </c>
      <c r="F95" s="49">
        <v>0</v>
      </c>
      <c r="G95" s="49" t="s">
        <v>84</v>
      </c>
      <c r="H95" s="17">
        <f ca="1">--TRIM(RIGHT(SUBSTITUTE(LEFT(C94,_xlfn.AGGREGATE(16,6,FIND({0,1,2,3,4,5,6,7,8,9},C94,ROW(INDIRECT("1:"&amp;LEN(C94)))),1))," ",REPT(" ",LEN(C94))),LEN(C94)))</f>
        <v>13</v>
      </c>
      <c r="I95" s="46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</v>
      </c>
      <c r="J95" s="47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1.5" customHeight="1" x14ac:dyDescent="0.35">
      <c r="A96" s="120" t="s">
        <v>94</v>
      </c>
      <c r="B96" s="121"/>
      <c r="C96" s="122" t="str">
        <f ca="1">(IF($G$50="NA",I94,"All work Completed. OC Received."))</f>
        <v>Excavation, Plinth Completed, RCC upto 12 Slab, Brickwork upto 6 Floor Completed</v>
      </c>
      <c r="D96" s="122"/>
      <c r="E96" s="122"/>
      <c r="F96" s="122"/>
      <c r="G96" s="122"/>
      <c r="H96" s="123"/>
      <c r="I96" s="46" t="str">
        <f ca="1">IF(I95&lt;&gt;""," Completed","")</f>
        <v xml:space="preserve"> Completed</v>
      </c>
      <c r="J96" s="47" t="str">
        <f ca="1">IF(J94&lt;&gt;"","Completed","")</f>
        <v>Completed</v>
      </c>
    </row>
    <row r="97" spans="1:10" ht="15.75" customHeight="1" x14ac:dyDescent="0.35">
      <c r="A97" s="76" t="s">
        <v>51</v>
      </c>
      <c r="B97" s="77"/>
      <c r="C97" s="50" t="s">
        <v>143</v>
      </c>
      <c r="D97" s="50" t="s">
        <v>87</v>
      </c>
      <c r="E97" s="77" t="s">
        <v>89</v>
      </c>
      <c r="F97" s="77"/>
      <c r="G97" s="77" t="s">
        <v>88</v>
      </c>
      <c r="H97" s="124"/>
      <c r="I97" s="14" t="s">
        <v>145</v>
      </c>
      <c r="J97" s="26">
        <f ca="1">H95*25%</f>
        <v>3.25</v>
      </c>
    </row>
    <row r="98" spans="1:10" x14ac:dyDescent="0.35">
      <c r="A98" s="76" t="s">
        <v>132</v>
      </c>
      <c r="B98" s="77"/>
      <c r="C98" s="50">
        <v>13</v>
      </c>
      <c r="D98" s="51">
        <f ca="1">((100/H95)*C98)/100</f>
        <v>1</v>
      </c>
      <c r="E98" s="67">
        <f ca="1">(((C99/H95*10)+(40/(D95+F95+H95)*C100)+(7.5/(H95)*C101)+(7.5/(H95)*C102)+(10/H95*C103)+(10/H95*C104)+(5/H95*C105)+(5/H95*C106)+(5/H95*C107))/100)</f>
        <v>0.47747252747252744</v>
      </c>
      <c r="F98" s="68"/>
      <c r="G98" s="67">
        <f ca="1">((((C98/H95)*20)+((C99/H95)*25)+(30/(H95+F95+D95)*C100)+(5/H95*C101)+(5/H95*C102)+(5/H95*C103)+(5/H95*C104)+(0/H95*C105)+(0/H95*C106)+(5/H95*C107))/100)</f>
        <v>0.73021978021978029</v>
      </c>
      <c r="H98" s="73"/>
      <c r="I98" s="14" t="s">
        <v>101</v>
      </c>
      <c r="J98" s="27">
        <f ca="1">H95*50%</f>
        <v>6.5</v>
      </c>
    </row>
    <row r="99" spans="1:10" x14ac:dyDescent="0.35">
      <c r="A99" s="76" t="s">
        <v>52</v>
      </c>
      <c r="B99" s="77"/>
      <c r="C99" s="55">
        <v>13</v>
      </c>
      <c r="D99" s="51">
        <f ca="1">((100/H95)*C99)/100</f>
        <v>1</v>
      </c>
      <c r="E99" s="69"/>
      <c r="F99" s="70"/>
      <c r="G99" s="69"/>
      <c r="H99" s="74"/>
      <c r="I99" s="14" t="s">
        <v>102</v>
      </c>
      <c r="J99" s="27">
        <f ca="1">H95</f>
        <v>13</v>
      </c>
    </row>
    <row r="100" spans="1:10" ht="15.75" customHeight="1" x14ac:dyDescent="0.35">
      <c r="A100" s="76" t="s">
        <v>133</v>
      </c>
      <c r="B100" s="77"/>
      <c r="C100" s="50">
        <v>12</v>
      </c>
      <c r="D100" s="51">
        <f ca="1">((100/(D95+F95+H95))*C100)/100</f>
        <v>0.85714285714285721</v>
      </c>
      <c r="E100" s="69"/>
      <c r="F100" s="70"/>
      <c r="G100" s="69"/>
      <c r="H100" s="74"/>
      <c r="I100" s="14" t="s">
        <v>103</v>
      </c>
      <c r="J100" s="28">
        <f ca="1">(IF(B95&gt;1,(H95/(B95+2)),H95/4))</f>
        <v>3.25</v>
      </c>
    </row>
    <row r="101" spans="1:10" ht="15.75" customHeight="1" x14ac:dyDescent="0.35">
      <c r="A101" s="76" t="s">
        <v>140</v>
      </c>
      <c r="B101" s="77" t="s">
        <v>134</v>
      </c>
      <c r="C101" s="50">
        <v>6</v>
      </c>
      <c r="D101" s="51">
        <f ca="1">((100/H95)*C101)/100</f>
        <v>0.46153846153846151</v>
      </c>
      <c r="E101" s="69"/>
      <c r="F101" s="70"/>
      <c r="G101" s="69"/>
      <c r="H101" s="74"/>
      <c r="I101" s="14" t="s">
        <v>104</v>
      </c>
      <c r="J101" s="28">
        <f ca="1">(IF(B95&gt;1,(H95/(B95+2)+J100),H95/4+J100))</f>
        <v>6.5</v>
      </c>
    </row>
    <row r="102" spans="1:10" ht="15.75" customHeight="1" x14ac:dyDescent="0.35">
      <c r="A102" s="76" t="s">
        <v>141</v>
      </c>
      <c r="B102" s="77" t="s">
        <v>134</v>
      </c>
      <c r="C102" s="50">
        <v>0</v>
      </c>
      <c r="D102" s="51">
        <f ca="1">((100/H95)*C102)/100</f>
        <v>0</v>
      </c>
      <c r="E102" s="69"/>
      <c r="F102" s="70"/>
      <c r="G102" s="69"/>
      <c r="H102" s="74"/>
      <c r="I102" s="14" t="s">
        <v>150</v>
      </c>
      <c r="J102" s="28">
        <f ca="1">(IF(B95&gt;1,(H95/(B95+2)+J101),0))</f>
        <v>9.75</v>
      </c>
    </row>
    <row r="103" spans="1:10" ht="15" customHeight="1" x14ac:dyDescent="0.35">
      <c r="A103" s="76" t="s">
        <v>139</v>
      </c>
      <c r="B103" s="77" t="s">
        <v>136</v>
      </c>
      <c r="C103" s="50">
        <v>0</v>
      </c>
      <c r="D103" s="51">
        <f ca="1">((100/(H95))*C103)/100</f>
        <v>0</v>
      </c>
      <c r="E103" s="69"/>
      <c r="F103" s="70"/>
      <c r="G103" s="69"/>
      <c r="H103" s="74"/>
      <c r="I103" s="14" t="s">
        <v>147</v>
      </c>
      <c r="J103" s="28">
        <f>(IF(B95&gt;2,(H95/(B95+2)+J102),0))</f>
        <v>0</v>
      </c>
    </row>
    <row r="104" spans="1:10" ht="15.75" customHeight="1" x14ac:dyDescent="0.35">
      <c r="A104" s="76" t="s">
        <v>135</v>
      </c>
      <c r="B104" s="77" t="s">
        <v>135</v>
      </c>
      <c r="C104" s="50">
        <v>0</v>
      </c>
      <c r="D104" s="51">
        <f ca="1">((100/H95)*C104)/100</f>
        <v>0</v>
      </c>
      <c r="E104" s="69"/>
      <c r="F104" s="70"/>
      <c r="G104" s="69"/>
      <c r="H104" s="74"/>
      <c r="I104" s="14" t="s">
        <v>148</v>
      </c>
      <c r="J104" s="29">
        <f>(IF(B95&gt;3,(H95/(B95+2)+J103),0))</f>
        <v>0</v>
      </c>
    </row>
    <row r="105" spans="1:10" ht="15.75" customHeight="1" x14ac:dyDescent="0.35">
      <c r="A105" s="76" t="s">
        <v>142</v>
      </c>
      <c r="B105" s="77"/>
      <c r="C105" s="50">
        <v>0</v>
      </c>
      <c r="D105" s="51">
        <f ca="1">((100/H95)*C105)/100</f>
        <v>0</v>
      </c>
      <c r="E105" s="69"/>
      <c r="F105" s="70"/>
      <c r="G105" s="69"/>
      <c r="H105" s="74"/>
      <c r="I105" s="14" t="s">
        <v>149</v>
      </c>
      <c r="J105" s="28">
        <f>(IF(B95&gt;4,(H95/(B95+2)+J104),0))</f>
        <v>0</v>
      </c>
    </row>
    <row r="106" spans="1:10" ht="15.75" customHeight="1" x14ac:dyDescent="0.35">
      <c r="A106" s="76" t="s">
        <v>137</v>
      </c>
      <c r="B106" s="77" t="s">
        <v>137</v>
      </c>
      <c r="C106" s="50">
        <v>0</v>
      </c>
      <c r="D106" s="51">
        <f ca="1">((100/(H95))*C106)/100</f>
        <v>0</v>
      </c>
      <c r="E106" s="69"/>
      <c r="F106" s="70"/>
      <c r="G106" s="69"/>
      <c r="H106" s="74"/>
      <c r="I106" s="14" t="s">
        <v>151</v>
      </c>
      <c r="J106" s="28">
        <f>(IF(B95=1,(H95/(B95+3)+J101),IF(B95=0,(H95/4+J101),IF(B95&gt;1,0))))</f>
        <v>0</v>
      </c>
    </row>
    <row r="107" spans="1:10" ht="16" thickBot="1" x14ac:dyDescent="0.4">
      <c r="A107" s="78" t="s">
        <v>138</v>
      </c>
      <c r="B107" s="79"/>
      <c r="C107" s="52">
        <v>0</v>
      </c>
      <c r="D107" s="53">
        <f ca="1">((100/(H95))*C107)/100</f>
        <v>0</v>
      </c>
      <c r="E107" s="71"/>
      <c r="F107" s="72"/>
      <c r="G107" s="71"/>
      <c r="H107" s="75"/>
      <c r="I107" s="15" t="s">
        <v>105</v>
      </c>
      <c r="J107" s="30">
        <f ca="1">(IF(B95&gt;1.5,(H95/(B95+2)+J101+MAX(0,J102-J101)+MAX(0,J103-J102)+MAX(0,J104-J103)+MAX(0,J105-J104)+MAX(0,J106-J105)),IF(B95=1,(H95/(B95+3)+J106),IF(B95=0,H95/4+J106))))</f>
        <v>13</v>
      </c>
    </row>
    <row r="108" spans="1:10" ht="15.75" customHeight="1" x14ac:dyDescent="0.35">
      <c r="A108" s="125" t="s">
        <v>144</v>
      </c>
      <c r="B108" s="126"/>
      <c r="C108" s="127" t="str">
        <f>D58</f>
        <v>Tower C2 = Tower 8 = 2B + G/St + 1st to 13th Floor</v>
      </c>
      <c r="D108" s="128"/>
      <c r="E108" s="128"/>
      <c r="F108" s="128"/>
      <c r="G108" s="128"/>
      <c r="H108" s="129"/>
      <c r="I108" s="44" t="str">
        <f ca="1">IF(D121=100%,"All work Completed. Possession granted to the Building.",IF(D120=100%,"All work Completed, Waiting for OC",I109&amp;""&amp;I110&amp;""&amp;J109&amp;""&amp;J108&amp;" "&amp;J110))</f>
        <v>Excavation, Plinth Completed, RCC upto 7 Slab, Brickwork upto 2 Floor Completed</v>
      </c>
      <c r="J108" s="45" t="str">
        <f ca="1">(IF(C114=(D109+F109+H109),"",IF(C114&gt;0,", RCC upto "&amp;C114&amp;" Slab","")))&amp;(IF(C115=H109,"",IF(C115&gt;0,", Brickwork upto "&amp;C115&amp;" Floor","")))&amp;(IF(C116=H109,"",IF(C116&gt;0,", Internal Plaster upto "&amp;C116&amp;" Floor","")))&amp;(IF(C117=H109,"",IF(C117&gt;0,", External Plaster upto "&amp;C117&amp;" Floor","")))&amp;(IF(C118=H109,"",IF(C118&gt;0,", Flooring upto "&amp;C118&amp;" Floor","")))&amp;(IF(C119=H109,"",IF(C119&gt;0,", Painting upto "&amp;C119&amp;" Floor","")))&amp;(IF(C120=H109,"",IF(C120&gt;0,", Finishing upto "&amp;C120&amp;" Floor","")))&amp;(IF(C121=H109,"",IF(C121&gt;0,", Possession upto "&amp;C121&amp;" Floor","")))</f>
        <v>, RCC upto 7 Slab, Brickwork upto 2 Floor</v>
      </c>
    </row>
    <row r="109" spans="1:10" x14ac:dyDescent="0.35">
      <c r="A109" s="16" t="s">
        <v>146</v>
      </c>
      <c r="B109" s="59">
        <v>2</v>
      </c>
      <c r="C109" s="59" t="s">
        <v>75</v>
      </c>
      <c r="D109" s="59">
        <v>1</v>
      </c>
      <c r="E109" s="59" t="s">
        <v>74</v>
      </c>
      <c r="F109" s="59">
        <v>0</v>
      </c>
      <c r="G109" s="59" t="s">
        <v>84</v>
      </c>
      <c r="H109" s="17">
        <f ca="1">--TRIM(RIGHT(SUBSTITUTE(LEFT(C108,_xlfn.AGGREGATE(16,6,FIND({0,1,2,3,4,5,6,7,8,9},C108,ROW(INDIRECT("1:"&amp;LEN(C108)))),1))," ",REPT(" ",LEN(C108))),LEN(C108)))</f>
        <v>13</v>
      </c>
      <c r="I109" s="46" t="str">
        <f ca="1">IF(D112=100%,"Excavation","")&amp;IF(D113=100%,", Plinth","")&amp;IF(D114=100%,", RCC Slab","")&amp;IF(D115=100%,", Brickwork","")&amp;IF(D116=100%,", Internal Plaster","")&amp;IF(D117=100%,", External Plaster","")&amp;IF(D118=100%,", Flooring","")&amp;IF(D119=100%,", Painting","")&amp;IF(D120=100%,", Building common Amenities","")</f>
        <v>Excavation, Plinth</v>
      </c>
      <c r="J109" s="47" t="str">
        <f ca="1">(IF(C112=0,"Work not yet Started.",IF(D112=25%,"Piling work in process",IF(D112=50%,"Excavation work in process",IF(D112=100%,"","0")))))&amp;(IF(C113=0%,"",IF(C113=J114,", Footing work is process",IF(C113=J115,", Footing work Completed",IF(C113=J116,", 1st Basement Completed",IF(C113=J117,", 1st &amp; 2nd Basement Completed",IF(C113=J118,", 1st to 3rd Basement Completed",IF(C113=J119,", 1st to 4th Basement Completed",IF(C113=J120,", Plinth work is process",IF(C113=J121,"","0"))))))))))</f>
        <v/>
      </c>
    </row>
    <row r="110" spans="1:10" x14ac:dyDescent="0.35">
      <c r="A110" s="120" t="s">
        <v>94</v>
      </c>
      <c r="B110" s="121"/>
      <c r="C110" s="122" t="str">
        <f ca="1">(IF($G$50="NA",I108,"All work Completed. OC Received."))</f>
        <v>Excavation, Plinth Completed, RCC upto 7 Slab, Brickwork upto 2 Floor Completed</v>
      </c>
      <c r="D110" s="122"/>
      <c r="E110" s="122"/>
      <c r="F110" s="122"/>
      <c r="G110" s="122"/>
      <c r="H110" s="123"/>
      <c r="I110" s="46" t="str">
        <f ca="1">IF(I109&lt;&gt;""," Completed","")</f>
        <v xml:space="preserve"> Completed</v>
      </c>
      <c r="J110" s="47" t="str">
        <f ca="1">IF(J108&lt;&gt;"","Completed","")</f>
        <v>Completed</v>
      </c>
    </row>
    <row r="111" spans="1:10" ht="15.75" customHeight="1" x14ac:dyDescent="0.35">
      <c r="A111" s="76" t="s">
        <v>51</v>
      </c>
      <c r="B111" s="77"/>
      <c r="C111" s="58" t="s">
        <v>143</v>
      </c>
      <c r="D111" s="58" t="s">
        <v>87</v>
      </c>
      <c r="E111" s="77" t="s">
        <v>89</v>
      </c>
      <c r="F111" s="77"/>
      <c r="G111" s="77" t="s">
        <v>88</v>
      </c>
      <c r="H111" s="124"/>
      <c r="I111" s="14" t="s">
        <v>145</v>
      </c>
      <c r="J111" s="26">
        <f ca="1">H109*25%</f>
        <v>3.25</v>
      </c>
    </row>
    <row r="112" spans="1:10" x14ac:dyDescent="0.35">
      <c r="A112" s="76" t="s">
        <v>132</v>
      </c>
      <c r="B112" s="77"/>
      <c r="C112" s="58">
        <v>13</v>
      </c>
      <c r="D112" s="51">
        <f ca="1">((100/H109)*C112)/100</f>
        <v>1</v>
      </c>
      <c r="E112" s="67">
        <f ca="1">(((C113/H109*10)+(40/(D109+F109+H109)*C114)+(7.5/(H109)*C115)+(7.5/(H109)*C116)+(10/H109*C117)+(10/H109*C118)+(5/H109*C119)+(5/H109*C120)+(5/H109*C121))/100)</f>
        <v>0.31153846153846154</v>
      </c>
      <c r="F112" s="68"/>
      <c r="G112" s="67">
        <f ca="1">((((C112/H109)*20)+((C113/H109)*25)+(30/(H109+F109+D109)*C114)+(5/H109*C115)+(5/H109*C116)+(5/H109*C117)+(5/H109*C118)+(0/H109*C119)+(0/H109*C120)+(5/H109*C121))/100)</f>
        <v>0.60769230769230764</v>
      </c>
      <c r="H112" s="73"/>
      <c r="I112" s="14" t="s">
        <v>101</v>
      </c>
      <c r="J112" s="27">
        <f ca="1">H109*50%</f>
        <v>6.5</v>
      </c>
    </row>
    <row r="113" spans="1:12" x14ac:dyDescent="0.35">
      <c r="A113" s="76" t="s">
        <v>52</v>
      </c>
      <c r="B113" s="77"/>
      <c r="C113" s="55">
        <v>13</v>
      </c>
      <c r="D113" s="51">
        <f ca="1">((100/H109)*C113)/100</f>
        <v>1</v>
      </c>
      <c r="E113" s="69"/>
      <c r="F113" s="70"/>
      <c r="G113" s="69"/>
      <c r="H113" s="74"/>
      <c r="I113" s="14" t="s">
        <v>102</v>
      </c>
      <c r="J113" s="27">
        <f ca="1">H109</f>
        <v>13</v>
      </c>
    </row>
    <row r="114" spans="1:12" ht="15.75" customHeight="1" x14ac:dyDescent="0.35">
      <c r="A114" s="76" t="s">
        <v>133</v>
      </c>
      <c r="B114" s="77"/>
      <c r="C114" s="58">
        <v>7</v>
      </c>
      <c r="D114" s="51">
        <f ca="1">((100/(D109+F109+H109))*C114)/100</f>
        <v>0.5</v>
      </c>
      <c r="E114" s="69"/>
      <c r="F114" s="70"/>
      <c r="G114" s="69"/>
      <c r="H114" s="74"/>
      <c r="I114" s="14" t="s">
        <v>103</v>
      </c>
      <c r="J114" s="28">
        <f ca="1">(IF(B109&gt;1,(H109/(B109+2)),H109/4))</f>
        <v>3.25</v>
      </c>
    </row>
    <row r="115" spans="1:12" ht="15.75" customHeight="1" x14ac:dyDescent="0.35">
      <c r="A115" s="76" t="s">
        <v>140</v>
      </c>
      <c r="B115" s="77" t="s">
        <v>134</v>
      </c>
      <c r="C115" s="58">
        <v>2</v>
      </c>
      <c r="D115" s="51">
        <f ca="1">((100/H109)*C115)/100</f>
        <v>0.15384615384615385</v>
      </c>
      <c r="E115" s="69"/>
      <c r="F115" s="70"/>
      <c r="G115" s="69"/>
      <c r="H115" s="74"/>
      <c r="I115" s="14" t="s">
        <v>104</v>
      </c>
      <c r="J115" s="28">
        <f ca="1">(IF(B109&gt;1,(H109/(B109+2)+J114),H109/4+J114))</f>
        <v>6.5</v>
      </c>
    </row>
    <row r="116" spans="1:12" ht="15.75" customHeight="1" x14ac:dyDescent="0.35">
      <c r="A116" s="76" t="s">
        <v>141</v>
      </c>
      <c r="B116" s="77" t="s">
        <v>134</v>
      </c>
      <c r="C116" s="58">
        <v>0</v>
      </c>
      <c r="D116" s="51">
        <f ca="1">((100/H109)*C116)/100</f>
        <v>0</v>
      </c>
      <c r="E116" s="69"/>
      <c r="F116" s="70"/>
      <c r="G116" s="69"/>
      <c r="H116" s="74"/>
      <c r="I116" s="14" t="s">
        <v>150</v>
      </c>
      <c r="J116" s="28">
        <f ca="1">(IF(B109&gt;1,(H109/(B109+2)+J115),0))</f>
        <v>9.75</v>
      </c>
    </row>
    <row r="117" spans="1:12" ht="15" customHeight="1" x14ac:dyDescent="0.35">
      <c r="A117" s="76" t="s">
        <v>139</v>
      </c>
      <c r="B117" s="77" t="s">
        <v>136</v>
      </c>
      <c r="C117" s="58">
        <v>0</v>
      </c>
      <c r="D117" s="51">
        <f ca="1">((100/(H109))*C117)/100</f>
        <v>0</v>
      </c>
      <c r="E117" s="69"/>
      <c r="F117" s="70"/>
      <c r="G117" s="69"/>
      <c r="H117" s="74"/>
      <c r="I117" s="14" t="s">
        <v>147</v>
      </c>
      <c r="J117" s="28">
        <f>(IF(B109&gt;2,(H109/(B109+2)+J116),0))</f>
        <v>0</v>
      </c>
    </row>
    <row r="118" spans="1:12" ht="15.75" customHeight="1" x14ac:dyDescent="0.35">
      <c r="A118" s="76" t="s">
        <v>135</v>
      </c>
      <c r="B118" s="77" t="s">
        <v>135</v>
      </c>
      <c r="C118" s="58">
        <v>0</v>
      </c>
      <c r="D118" s="51">
        <f ca="1">((100/H109)*C118)/100</f>
        <v>0</v>
      </c>
      <c r="E118" s="69"/>
      <c r="F118" s="70"/>
      <c r="G118" s="69"/>
      <c r="H118" s="74"/>
      <c r="I118" s="14" t="s">
        <v>148</v>
      </c>
      <c r="J118" s="29">
        <f>(IF(B109&gt;3,(H109/(B109+2)+J117),0))</f>
        <v>0</v>
      </c>
    </row>
    <row r="119" spans="1:12" ht="15.75" customHeight="1" x14ac:dyDescent="0.35">
      <c r="A119" s="76" t="s">
        <v>142</v>
      </c>
      <c r="B119" s="77"/>
      <c r="C119" s="58">
        <v>0</v>
      </c>
      <c r="D119" s="51">
        <f ca="1">((100/H109)*C119)/100</f>
        <v>0</v>
      </c>
      <c r="E119" s="69"/>
      <c r="F119" s="70"/>
      <c r="G119" s="69"/>
      <c r="H119" s="74"/>
      <c r="I119" s="14" t="s">
        <v>149</v>
      </c>
      <c r="J119" s="28">
        <f>(IF(B109&gt;4,(H109/(B109+2)+J118),0))</f>
        <v>0</v>
      </c>
    </row>
    <row r="120" spans="1:12" ht="15.75" customHeight="1" x14ac:dyDescent="0.35">
      <c r="A120" s="76" t="s">
        <v>137</v>
      </c>
      <c r="B120" s="77" t="s">
        <v>137</v>
      </c>
      <c r="C120" s="58">
        <v>0</v>
      </c>
      <c r="D120" s="51">
        <f ca="1">((100/(H109))*C120)/100</f>
        <v>0</v>
      </c>
      <c r="E120" s="69"/>
      <c r="F120" s="70"/>
      <c r="G120" s="69"/>
      <c r="H120" s="74"/>
      <c r="I120" s="14" t="s">
        <v>151</v>
      </c>
      <c r="J120" s="28">
        <f>(IF(B109=1,(H109/(B109+3)+J115),IF(B109=0,(H109/4+J115),IF(B109&gt;1,0))))</f>
        <v>0</v>
      </c>
    </row>
    <row r="121" spans="1:12" ht="16" thickBot="1" x14ac:dyDescent="0.4">
      <c r="A121" s="78" t="s">
        <v>138</v>
      </c>
      <c r="B121" s="79"/>
      <c r="C121" s="60">
        <v>0</v>
      </c>
      <c r="D121" s="53">
        <f ca="1">((100/(H109))*C121)/100</f>
        <v>0</v>
      </c>
      <c r="E121" s="71"/>
      <c r="F121" s="72"/>
      <c r="G121" s="71"/>
      <c r="H121" s="75"/>
      <c r="I121" s="15" t="s">
        <v>105</v>
      </c>
      <c r="J121" s="30">
        <f ca="1">(IF(B109&gt;1.5,(H109/(B109+2)+J115+MAX(0,J116-J115)+MAX(0,J117-J116)+MAX(0,J118-J117)+MAX(0,J119-J118)+MAX(0,J120-J119)),IF(B109=1,(H109/(B109+3)+J120),IF(B109=0,H109/4+J120))))</f>
        <v>13</v>
      </c>
    </row>
    <row r="122" spans="1:12" x14ac:dyDescent="0.35">
      <c r="A122" s="105" t="s">
        <v>161</v>
      </c>
      <c r="B122" s="105"/>
      <c r="C122" s="105"/>
      <c r="D122" s="105"/>
      <c r="E122" s="105"/>
      <c r="F122" s="106" t="s">
        <v>166</v>
      </c>
      <c r="G122" s="106"/>
      <c r="H122" s="106"/>
    </row>
    <row r="123" spans="1:12" x14ac:dyDescent="0.35">
      <c r="A123" s="91" t="s">
        <v>164</v>
      </c>
      <c r="B123" s="91"/>
      <c r="C123" s="91"/>
      <c r="D123" s="91"/>
      <c r="E123" s="91"/>
      <c r="F123" s="183">
        <v>23700</v>
      </c>
      <c r="G123" s="183"/>
      <c r="H123" s="183"/>
      <c r="I123" s="56" t="s">
        <v>224</v>
      </c>
      <c r="J123" s="56" t="s">
        <v>225</v>
      </c>
      <c r="K123" s="57">
        <v>44958</v>
      </c>
      <c r="L123" s="56" t="s">
        <v>226</v>
      </c>
    </row>
    <row r="124" spans="1:12" x14ac:dyDescent="0.35">
      <c r="A124" s="91" t="s">
        <v>163</v>
      </c>
      <c r="B124" s="91"/>
      <c r="C124" s="91"/>
      <c r="D124" s="91"/>
      <c r="E124" s="91"/>
      <c r="F124" s="92">
        <v>30000</v>
      </c>
      <c r="G124" s="92"/>
      <c r="H124" s="92"/>
      <c r="I124" s="56" t="s">
        <v>227</v>
      </c>
      <c r="J124" s="56" t="s">
        <v>225</v>
      </c>
      <c r="K124" s="57">
        <v>44994</v>
      </c>
      <c r="L124" s="56" t="s">
        <v>228</v>
      </c>
    </row>
    <row r="125" spans="1:12" hidden="1" x14ac:dyDescent="0.35">
      <c r="A125" s="91" t="s">
        <v>165</v>
      </c>
      <c r="B125" s="91"/>
      <c r="C125" s="91"/>
      <c r="D125" s="91"/>
      <c r="E125" s="91"/>
      <c r="F125" s="92"/>
      <c r="G125" s="92"/>
      <c r="H125" s="92"/>
    </row>
    <row r="126" spans="1:12" s="31" customFormat="1" hidden="1" x14ac:dyDescent="0.3">
      <c r="A126" s="91" t="s">
        <v>162</v>
      </c>
      <c r="B126" s="91"/>
      <c r="C126" s="91"/>
      <c r="D126" s="91"/>
      <c r="E126" s="91"/>
      <c r="F126" s="92"/>
      <c r="G126" s="92"/>
      <c r="H126" s="92"/>
    </row>
    <row r="127" spans="1:12" s="31" customFormat="1" x14ac:dyDescent="0.3">
      <c r="A127" s="91" t="s">
        <v>99</v>
      </c>
      <c r="B127" s="91"/>
      <c r="C127" s="91"/>
      <c r="D127" s="91"/>
      <c r="E127" s="91"/>
      <c r="F127" s="92">
        <v>350000</v>
      </c>
      <c r="G127" s="92"/>
      <c r="H127" s="92"/>
    </row>
    <row r="128" spans="1:12" s="31" customFormat="1" x14ac:dyDescent="0.3">
      <c r="A128" s="91" t="s">
        <v>211</v>
      </c>
      <c r="B128" s="91"/>
      <c r="C128" s="91"/>
      <c r="D128" s="91"/>
      <c r="E128" s="91"/>
      <c r="F128" s="92">
        <v>500000</v>
      </c>
      <c r="G128" s="92"/>
      <c r="H128" s="92"/>
    </row>
    <row r="129" spans="1:8" s="31" customFormat="1" hidden="1" x14ac:dyDescent="0.3">
      <c r="A129" s="91" t="s">
        <v>167</v>
      </c>
      <c r="B129" s="91"/>
      <c r="C129" s="91"/>
      <c r="D129" s="91"/>
      <c r="E129" s="91"/>
      <c r="F129" s="92">
        <v>30000</v>
      </c>
      <c r="G129" s="92"/>
      <c r="H129" s="92"/>
    </row>
    <row r="130" spans="1:8" s="31" customFormat="1" x14ac:dyDescent="0.3">
      <c r="A130" s="91" t="s">
        <v>213</v>
      </c>
      <c r="B130" s="91"/>
      <c r="C130" s="91"/>
      <c r="D130" s="91"/>
      <c r="E130" s="91"/>
      <c r="F130" s="92">
        <v>650</v>
      </c>
      <c r="G130" s="92"/>
      <c r="H130" s="92"/>
    </row>
    <row r="131" spans="1:8" s="31" customFormat="1" x14ac:dyDescent="0.3">
      <c r="A131" s="91" t="s">
        <v>214</v>
      </c>
      <c r="B131" s="91"/>
      <c r="C131" s="91"/>
      <c r="D131" s="91"/>
      <c r="E131" s="91"/>
      <c r="F131" s="92">
        <v>35000</v>
      </c>
      <c r="G131" s="92"/>
      <c r="H131" s="92"/>
    </row>
    <row r="132" spans="1:8" s="31" customFormat="1" x14ac:dyDescent="0.3">
      <c r="A132" s="91" t="s">
        <v>100</v>
      </c>
      <c r="B132" s="91"/>
      <c r="C132" s="91"/>
      <c r="D132" s="91"/>
      <c r="E132" s="91"/>
      <c r="F132" s="92">
        <v>20000</v>
      </c>
      <c r="G132" s="92"/>
      <c r="H132" s="92"/>
    </row>
    <row r="133" spans="1:8" s="31" customFormat="1" x14ac:dyDescent="0.3">
      <c r="A133" s="91" t="s">
        <v>212</v>
      </c>
      <c r="B133" s="91"/>
      <c r="C133" s="91"/>
      <c r="D133" s="91"/>
      <c r="E133" s="91"/>
      <c r="F133" s="92">
        <v>500000</v>
      </c>
      <c r="G133" s="92"/>
      <c r="H133" s="92"/>
    </row>
    <row r="134" spans="1:8" x14ac:dyDescent="0.35">
      <c r="A134" s="91" t="s">
        <v>53</v>
      </c>
      <c r="B134" s="91"/>
      <c r="C134" s="91"/>
      <c r="D134" s="91"/>
      <c r="E134" s="91"/>
      <c r="F134" s="92">
        <v>800000</v>
      </c>
      <c r="G134" s="92"/>
      <c r="H134" s="92"/>
    </row>
    <row r="135" spans="1:8" s="32" customFormat="1" x14ac:dyDescent="0.35">
      <c r="A135" s="134" t="s">
        <v>54</v>
      </c>
      <c r="B135" s="134"/>
      <c r="C135" s="134"/>
      <c r="D135" s="134"/>
      <c r="E135" s="134"/>
      <c r="F135" s="92">
        <f>F123*0.8</f>
        <v>18960</v>
      </c>
      <c r="G135" s="92"/>
      <c r="H135" s="92"/>
    </row>
    <row r="136" spans="1:8" s="33" customFormat="1" ht="15.75" customHeight="1" x14ac:dyDescent="0.35">
      <c r="A136" s="115" t="s">
        <v>79</v>
      </c>
      <c r="B136" s="115"/>
      <c r="C136" s="115"/>
      <c r="D136" s="115"/>
      <c r="E136" s="115"/>
      <c r="F136" s="115"/>
      <c r="G136" s="115"/>
      <c r="H136" s="115"/>
    </row>
    <row r="137" spans="1:8" s="33" customFormat="1" ht="15.75" customHeight="1" x14ac:dyDescent="0.35">
      <c r="A137" s="96" t="s">
        <v>55</v>
      </c>
      <c r="B137" s="96"/>
      <c r="C137" s="114" t="s">
        <v>82</v>
      </c>
      <c r="D137" s="114"/>
      <c r="E137" s="117" t="s">
        <v>56</v>
      </c>
      <c r="F137" s="117"/>
      <c r="G137" s="96" t="s">
        <v>57</v>
      </c>
      <c r="H137" s="96"/>
    </row>
    <row r="138" spans="1:8" s="33" customFormat="1" x14ac:dyDescent="0.35">
      <c r="A138" s="93" t="s">
        <v>219</v>
      </c>
      <c r="B138" s="93"/>
      <c r="C138" s="175">
        <f>COUNT(D153:D157)</f>
        <v>5</v>
      </c>
      <c r="D138" s="94"/>
      <c r="E138" s="95">
        <f>SUM(D153:D157)</f>
        <v>15358.182839999999</v>
      </c>
      <c r="F138" s="176"/>
      <c r="G138" s="95">
        <f>SUM(F153:F157)</f>
        <v>23805.183401999999</v>
      </c>
      <c r="H138" s="176"/>
    </row>
    <row r="139" spans="1:8" s="33" customFormat="1" x14ac:dyDescent="0.35">
      <c r="A139" s="115" t="s">
        <v>73</v>
      </c>
      <c r="B139" s="115"/>
      <c r="C139" s="115"/>
      <c r="D139" s="115"/>
      <c r="E139" s="115"/>
      <c r="F139" s="115"/>
      <c r="G139" s="115"/>
      <c r="H139" s="115"/>
    </row>
    <row r="140" spans="1:8" s="33" customFormat="1" ht="15.75" customHeight="1" x14ac:dyDescent="0.35">
      <c r="A140" s="96" t="s">
        <v>55</v>
      </c>
      <c r="B140" s="96"/>
      <c r="C140" s="114" t="s">
        <v>82</v>
      </c>
      <c r="D140" s="114"/>
      <c r="E140" s="117" t="s">
        <v>56</v>
      </c>
      <c r="F140" s="117"/>
      <c r="G140" s="96" t="s">
        <v>57</v>
      </c>
      <c r="H140" s="96"/>
    </row>
    <row r="141" spans="1:8" s="33" customFormat="1" x14ac:dyDescent="0.35">
      <c r="A141" s="93" t="s">
        <v>220</v>
      </c>
      <c r="B141" s="93"/>
      <c r="C141" s="94">
        <f>COUNT(D163:D165)+COUNT(D167:D172)+COUNT(D174:D179)*3+COUNT(D181:D184,D186)+COUNT(D188:D193)*3+COUNT(D195:D196,D198:D199)</f>
        <v>54</v>
      </c>
      <c r="D141" s="94"/>
      <c r="E141" s="95">
        <f>SUM(D163:D165)+SUM(D167:D172)+SUM(D174:D179)*3+SUM(D181:D184,D186)+SUM(D188:D193)*3+SUM(D195:D196,D198:D199)</f>
        <v>60746.418719999994</v>
      </c>
      <c r="F141" s="95"/>
      <c r="G141" s="95">
        <f>SUM(F163:F165)+SUM(F167:F172)+SUM(F174:F179)*3+SUM(F181:F184,F186)+SUM(F188:F193)*3+SUM(F195:F196,F198:F199)</f>
        <v>94435.306056000001</v>
      </c>
      <c r="H141" s="95"/>
    </row>
    <row r="142" spans="1:8" s="33" customFormat="1" x14ac:dyDescent="0.35">
      <c r="A142" s="93" t="s">
        <v>221</v>
      </c>
      <c r="B142" s="93"/>
      <c r="C142" s="94">
        <f>COUNT(D203)+COUNT(D205:D210)+COUNT(D212:D217)*3+COUNT(D219:D222,D224)+COUNT(D226:D231)*3</f>
        <v>48</v>
      </c>
      <c r="D142" s="94"/>
      <c r="E142" s="95">
        <f>SUM(D203)+SUM(D205:D210)+SUM(D212:D217)*3+SUM(D219:D222,D224)+SUM(D226:D231)*3</f>
        <v>47733.496199999994</v>
      </c>
      <c r="F142" s="95"/>
      <c r="G142" s="95">
        <f>SUM(F203)+SUM(F205:F210)+SUM(F212:F217)*3+SUM(F219:F222,F224)+SUM(F226:F231)*3</f>
        <v>74233.307069999995</v>
      </c>
      <c r="H142" s="95"/>
    </row>
    <row r="143" spans="1:8" s="33" customFormat="1" x14ac:dyDescent="0.35">
      <c r="A143" s="93" t="s">
        <v>222</v>
      </c>
      <c r="B143" s="93"/>
      <c r="C143" s="94">
        <f>COUNT(D237:D240)+COUNT(D242:D245)+COUNT(D247:D250)*4+COUNT(D252:D255)*3+COUNT(D257:D260)+COUNT(D262:D265)+COUNT(D267:D270)</f>
        <v>48</v>
      </c>
      <c r="D143" s="94"/>
      <c r="E143" s="95">
        <f>SUM(D237:D240)+SUM(D242:D245)+SUM(D247:D250)*4+SUM(D252:D255)*3+SUM(D257:D260)+SUM(D262:D265)+SUM(D267:D270)</f>
        <v>61861.461479999984</v>
      </c>
      <c r="F143" s="95"/>
      <c r="G143" s="95">
        <f>SUM(F237:F240)+SUM(F242:F245)+SUM(F247:F250)*4+SUM(F252:F255)*3+SUM(F257:F260)+SUM(F262:F265)+SUM(F267:F270)</f>
        <v>95885.265293999997</v>
      </c>
      <c r="H143" s="95"/>
    </row>
    <row r="144" spans="1:8" s="33" customFormat="1" x14ac:dyDescent="0.35">
      <c r="A144" s="93" t="s">
        <v>237</v>
      </c>
      <c r="B144" s="93"/>
      <c r="C144" s="94">
        <f>COUNT(D280:D283)+COUNT(D285:D288)+COUNT(D290:D293)*4+COUNT(D295:D298)*3+COUNT(D300:D303)+COUNT(D305:D308)+COUNT(D310:D313)</f>
        <v>48</v>
      </c>
      <c r="D144" s="94"/>
      <c r="E144" s="95">
        <f>SUM(D280:D283)+SUM(D285:D288)+SUM(D290:D293)*4+SUM(D295:D298)*3+SUM(D300:D303)+SUM(D305:D308)+SUM(D310:D313)</f>
        <v>61861.892039999992</v>
      </c>
      <c r="F144" s="95"/>
      <c r="G144" s="95">
        <f>SUM(F280:F283)+SUM(F285:F288)+SUM(F290:F293)*4+SUM(F295:F298)*3+SUM(F300:F303)+SUM(F305:F308,F310:F313)</f>
        <v>95885.932662000007</v>
      </c>
      <c r="H144" s="95"/>
    </row>
    <row r="145" spans="1:14" s="33" customFormat="1" x14ac:dyDescent="0.35">
      <c r="A145" s="115" t="s">
        <v>154</v>
      </c>
      <c r="B145" s="115"/>
      <c r="C145" s="114">
        <f>SUM(C141:C144)</f>
        <v>198</v>
      </c>
      <c r="D145" s="114"/>
      <c r="E145" s="116">
        <f>SUM(E141:E144)</f>
        <v>232203.26843999996</v>
      </c>
      <c r="F145" s="117"/>
      <c r="G145" s="96">
        <f>SUM(G141:G144)</f>
        <v>360439.81108199997</v>
      </c>
      <c r="H145" s="96"/>
    </row>
    <row r="146" spans="1:14" s="32" customFormat="1" x14ac:dyDescent="0.35">
      <c r="A146" s="80" t="s">
        <v>58</v>
      </c>
      <c r="B146" s="80"/>
      <c r="C146" s="80"/>
      <c r="D146" s="80"/>
      <c r="E146" s="80"/>
      <c r="F146" s="80"/>
      <c r="G146" s="80"/>
      <c r="H146" s="80"/>
    </row>
    <row r="147" spans="1:14" x14ac:dyDescent="0.35">
      <c r="A147" s="80" t="s">
        <v>59</v>
      </c>
      <c r="B147" s="80"/>
      <c r="C147" s="80"/>
      <c r="D147" s="80"/>
      <c r="E147" s="80"/>
      <c r="F147" s="80"/>
      <c r="G147" s="80"/>
      <c r="H147" s="80"/>
    </row>
    <row r="148" spans="1:14" ht="47.25" customHeight="1" x14ac:dyDescent="0.35">
      <c r="A148" s="112" t="s">
        <v>122</v>
      </c>
      <c r="B148" s="112" t="s">
        <v>121</v>
      </c>
      <c r="C148" s="112" t="s">
        <v>60</v>
      </c>
      <c r="D148" s="112" t="s">
        <v>61</v>
      </c>
      <c r="E148" s="135" t="s">
        <v>160</v>
      </c>
      <c r="F148" s="41" t="s">
        <v>153</v>
      </c>
      <c r="G148" s="132" t="s">
        <v>63</v>
      </c>
      <c r="H148" s="137"/>
    </row>
    <row r="149" spans="1:14" s="35" customFormat="1" x14ac:dyDescent="0.35">
      <c r="A149" s="113"/>
      <c r="B149" s="113"/>
      <c r="C149" s="113"/>
      <c r="D149" s="113"/>
      <c r="E149" s="136"/>
      <c r="F149" s="13">
        <v>0.55000000000000004</v>
      </c>
      <c r="G149" s="133"/>
      <c r="H149" s="138"/>
    </row>
    <row r="150" spans="1:14" x14ac:dyDescent="0.35">
      <c r="A150" s="80" t="s">
        <v>219</v>
      </c>
      <c r="B150" s="80"/>
      <c r="C150" s="80"/>
      <c r="D150" s="80"/>
      <c r="E150" s="80"/>
      <c r="F150" s="80"/>
      <c r="G150" s="80"/>
      <c r="H150" s="80"/>
    </row>
    <row r="151" spans="1:14" x14ac:dyDescent="0.35">
      <c r="A151" s="80" t="s">
        <v>180</v>
      </c>
      <c r="B151" s="80"/>
      <c r="C151" s="80"/>
      <c r="D151" s="80"/>
      <c r="E151" s="80"/>
      <c r="F151" s="80"/>
      <c r="G151" s="80"/>
      <c r="H151" s="80"/>
    </row>
    <row r="152" spans="1:14" s="35" customFormat="1" x14ac:dyDescent="0.35">
      <c r="A152" s="99" t="s">
        <v>168</v>
      </c>
      <c r="B152" s="100"/>
      <c r="C152" s="100"/>
      <c r="D152" s="100"/>
      <c r="E152" s="100"/>
      <c r="F152" s="100"/>
      <c r="G152" s="100"/>
      <c r="H152" s="101"/>
      <c r="J152" s="34"/>
    </row>
    <row r="153" spans="1:14" s="35" customFormat="1" ht="46.5" x14ac:dyDescent="0.35">
      <c r="A153" s="89">
        <v>9</v>
      </c>
      <c r="B153" s="90"/>
      <c r="C153" s="40" t="s">
        <v>169</v>
      </c>
      <c r="D153" s="40">
        <f>(221.32)*10.764</f>
        <v>2382.2884799999997</v>
      </c>
      <c r="E153" s="40">
        <v>0</v>
      </c>
      <c r="F153" s="40">
        <f>(D153+E153)*(($F$149)+1)</f>
        <v>3692.5471439999997</v>
      </c>
      <c r="G153" s="89" t="str">
        <f>A152</f>
        <v>Ground Floor for Commercial &amp; Parking</v>
      </c>
      <c r="H153" s="90"/>
      <c r="I153" s="34">
        <f>(3.75*4.85+2.6*1.5+10.35*8.55+2.45*2.2+2.4*1.2+3.75*5.05+10.35*8.55+2.45*2.2)*10.764</f>
        <v>2493.6958800000002</v>
      </c>
      <c r="L153" s="118"/>
      <c r="M153" s="118"/>
      <c r="N153" s="34"/>
    </row>
    <row r="154" spans="1:14" s="35" customFormat="1" ht="46.5" x14ac:dyDescent="0.35">
      <c r="A154" s="89">
        <f t="shared" ref="A154:A157" si="0">A153+1</f>
        <v>10</v>
      </c>
      <c r="B154" s="90"/>
      <c r="C154" s="40" t="s">
        <v>169</v>
      </c>
      <c r="D154" s="40">
        <f>(352.61)*10.764</f>
        <v>3795.49404</v>
      </c>
      <c r="E154" s="40">
        <v>0</v>
      </c>
      <c r="F154" s="40">
        <f t="shared" ref="F154:F156" si="1">(D154+E154)*(($F$149)+1)</f>
        <v>5883.015762</v>
      </c>
      <c r="G154" s="89" t="str">
        <f t="shared" ref="G154:G157" si="2">G153</f>
        <v>Ground Floor for Commercial &amp; Parking</v>
      </c>
      <c r="H154" s="90"/>
      <c r="I154" s="34"/>
      <c r="J154" s="35">
        <f>8000000/370</f>
        <v>21621.62162162162</v>
      </c>
      <c r="L154" s="118"/>
      <c r="M154" s="118"/>
      <c r="N154" s="34"/>
    </row>
    <row r="155" spans="1:14" s="35" customFormat="1" ht="46.5" x14ac:dyDescent="0.35">
      <c r="A155" s="89">
        <f t="shared" si="0"/>
        <v>11</v>
      </c>
      <c r="B155" s="90"/>
      <c r="C155" s="40" t="s">
        <v>169</v>
      </c>
      <c r="D155" s="40">
        <f>(444.89)*10.764</f>
        <v>4788.7959599999995</v>
      </c>
      <c r="E155" s="40">
        <v>0</v>
      </c>
      <c r="F155" s="40">
        <f t="shared" si="1"/>
        <v>7422.6337379999995</v>
      </c>
      <c r="G155" s="89" t="str">
        <f t="shared" si="2"/>
        <v>Ground Floor for Commercial &amp; Parking</v>
      </c>
      <c r="H155" s="90"/>
      <c r="I155" s="34"/>
      <c r="J155" s="35">
        <f>13000000/600</f>
        <v>21666.666666666668</v>
      </c>
      <c r="L155" s="118"/>
      <c r="M155" s="118"/>
      <c r="N155" s="34"/>
    </row>
    <row r="156" spans="1:14" s="35" customFormat="1" ht="46.5" x14ac:dyDescent="0.35">
      <c r="A156" s="89">
        <f t="shared" si="0"/>
        <v>12</v>
      </c>
      <c r="B156" s="90"/>
      <c r="C156" s="40" t="s">
        <v>169</v>
      </c>
      <c r="D156" s="40">
        <f>(206.06)*10.764</f>
        <v>2218.0298399999997</v>
      </c>
      <c r="E156" s="40">
        <v>0</v>
      </c>
      <c r="F156" s="40">
        <f t="shared" si="1"/>
        <v>3437.9462519999997</v>
      </c>
      <c r="G156" s="89" t="str">
        <f t="shared" si="2"/>
        <v>Ground Floor for Commercial &amp; Parking</v>
      </c>
      <c r="H156" s="90"/>
      <c r="I156" s="34"/>
      <c r="J156" s="35">
        <f>19000000/700</f>
        <v>27142.857142857141</v>
      </c>
      <c r="L156" s="118"/>
      <c r="M156" s="118"/>
      <c r="N156" s="34"/>
    </row>
    <row r="157" spans="1:14" s="35" customFormat="1" ht="46.5" x14ac:dyDescent="0.35">
      <c r="A157" s="89">
        <f t="shared" si="0"/>
        <v>13</v>
      </c>
      <c r="B157" s="90"/>
      <c r="C157" s="40" t="s">
        <v>169</v>
      </c>
      <c r="D157" s="40">
        <f>(201.93)*10.764</f>
        <v>2173.5745200000001</v>
      </c>
      <c r="E157" s="40">
        <v>0</v>
      </c>
      <c r="F157" s="40">
        <f t="shared" ref="F157" si="3">(D157+E157)*(($F$149)+1)</f>
        <v>3369.0405060000003</v>
      </c>
      <c r="G157" s="89" t="str">
        <f t="shared" si="2"/>
        <v>Ground Floor for Commercial &amp; Parking</v>
      </c>
      <c r="H157" s="90"/>
      <c r="I157" s="34"/>
      <c r="L157" s="118"/>
      <c r="M157" s="118"/>
      <c r="N157" s="34"/>
    </row>
    <row r="158" spans="1:14" s="35" customFormat="1" x14ac:dyDescent="0.35">
      <c r="A158" s="89"/>
      <c r="B158" s="119"/>
      <c r="C158" s="119"/>
      <c r="D158" s="119"/>
      <c r="E158" s="119"/>
      <c r="F158" s="119"/>
      <c r="G158" s="119"/>
      <c r="H158" s="90"/>
      <c r="I158" s="34"/>
      <c r="N158" s="34"/>
    </row>
    <row r="159" spans="1:14" ht="47.25" customHeight="1" x14ac:dyDescent="0.35">
      <c r="A159" s="132" t="s">
        <v>123</v>
      </c>
      <c r="B159" s="132" t="s">
        <v>124</v>
      </c>
      <c r="C159" s="112" t="s">
        <v>60</v>
      </c>
      <c r="D159" s="112" t="s">
        <v>61</v>
      </c>
      <c r="E159" s="135" t="s">
        <v>62</v>
      </c>
      <c r="F159" s="41" t="s">
        <v>153</v>
      </c>
      <c r="G159" s="132" t="s">
        <v>63</v>
      </c>
      <c r="H159" s="137"/>
      <c r="I159" s="34"/>
    </row>
    <row r="160" spans="1:14" s="35" customFormat="1" x14ac:dyDescent="0.35">
      <c r="A160" s="133"/>
      <c r="B160" s="133"/>
      <c r="C160" s="113"/>
      <c r="D160" s="113"/>
      <c r="E160" s="136"/>
      <c r="F160" s="13">
        <v>0.55000000000000004</v>
      </c>
      <c r="G160" s="133"/>
      <c r="H160" s="138"/>
      <c r="I160" s="34"/>
    </row>
    <row r="161" spans="1:16" x14ac:dyDescent="0.35">
      <c r="A161" s="80" t="s">
        <v>220</v>
      </c>
      <c r="B161" s="80"/>
      <c r="C161" s="80"/>
      <c r="D161" s="80"/>
      <c r="E161" s="80"/>
      <c r="F161" s="80"/>
      <c r="G161" s="80"/>
      <c r="H161" s="80"/>
    </row>
    <row r="162" spans="1:16" s="35" customFormat="1" x14ac:dyDescent="0.35">
      <c r="A162" s="99" t="s">
        <v>170</v>
      </c>
      <c r="B162" s="100"/>
      <c r="C162" s="100"/>
      <c r="D162" s="100"/>
      <c r="E162" s="100"/>
      <c r="F162" s="100"/>
      <c r="G162" s="100"/>
      <c r="H162" s="101"/>
      <c r="J162" s="34"/>
    </row>
    <row r="163" spans="1:16" s="35" customFormat="1" ht="15.75" customHeight="1" x14ac:dyDescent="0.35">
      <c r="A163" s="89">
        <v>101</v>
      </c>
      <c r="B163" s="90"/>
      <c r="C163" s="40" t="s">
        <v>171</v>
      </c>
      <c r="D163" s="40">
        <f>(129.05)*10.764</f>
        <v>1389.0942</v>
      </c>
      <c r="E163" s="40">
        <v>0</v>
      </c>
      <c r="F163" s="40">
        <f>D163*(($F$160)+1)+(IF(E163&lt;101,E163,IF(E163&lt;201,E163/2,IF(E163&lt;=301,E163/3,E163/4))))</f>
        <v>2153.0960100000002</v>
      </c>
      <c r="G163" s="83" t="str">
        <f>A162</f>
        <v>1st Floor for Residential</v>
      </c>
      <c r="H163" s="84"/>
      <c r="I163" s="34"/>
      <c r="L163" s="118"/>
      <c r="M163" s="118"/>
      <c r="N163" s="34"/>
    </row>
    <row r="164" spans="1:16" s="35" customFormat="1" ht="15.75" customHeight="1" x14ac:dyDescent="0.35">
      <c r="A164" s="89">
        <f t="shared" ref="A164" si="4">A163+1</f>
        <v>102</v>
      </c>
      <c r="B164" s="90"/>
      <c r="C164" s="40" t="s">
        <v>171</v>
      </c>
      <c r="D164" s="40">
        <f>(128.92)*10.764</f>
        <v>1387.6948799999998</v>
      </c>
      <c r="E164" s="40">
        <v>0</v>
      </c>
      <c r="F164" s="40">
        <f>D164*(($F$160)+1)+(IF(E164&lt;101,E164,IF(E164&lt;201,E164/2,IF(E164&lt;=301,E164/3,E164/4))))</f>
        <v>2150.9270639999995</v>
      </c>
      <c r="G164" s="85"/>
      <c r="H164" s="86"/>
      <c r="I164" s="34"/>
      <c r="L164" s="118"/>
      <c r="M164" s="118"/>
      <c r="N164" s="34"/>
    </row>
    <row r="165" spans="1:16" s="35" customFormat="1" ht="15.75" customHeight="1" x14ac:dyDescent="0.35">
      <c r="A165" s="89">
        <v>103</v>
      </c>
      <c r="B165" s="90"/>
      <c r="C165" s="40" t="s">
        <v>171</v>
      </c>
      <c r="D165" s="40">
        <f>(105.8)*10.764</f>
        <v>1138.8311999999999</v>
      </c>
      <c r="E165" s="40">
        <v>0</v>
      </c>
      <c r="F165" s="40">
        <f>D165*(($F$160)+1)+(IF(E165&lt;101,E165,IF(E165&lt;201,E165/2,IF(E165&lt;=301,E165/3,E165/4))))</f>
        <v>1765.1883599999999</v>
      </c>
      <c r="G165" s="87"/>
      <c r="H165" s="88"/>
      <c r="I165" s="34"/>
      <c r="L165" s="118"/>
      <c r="M165" s="118"/>
      <c r="N165" s="34"/>
    </row>
    <row r="166" spans="1:16" s="35" customFormat="1" x14ac:dyDescent="0.35">
      <c r="A166" s="97" t="s">
        <v>120</v>
      </c>
      <c r="B166" s="97"/>
      <c r="C166" s="97"/>
      <c r="D166" s="97"/>
      <c r="E166" s="97"/>
      <c r="F166" s="97"/>
      <c r="G166" s="97"/>
      <c r="H166" s="97"/>
      <c r="I166" s="34"/>
      <c r="L166" s="118"/>
      <c r="M166" s="118"/>
    </row>
    <row r="167" spans="1:16" s="35" customFormat="1" x14ac:dyDescent="0.35">
      <c r="A167" s="98">
        <f>LEFT(A166,SUM(LEN(A166)-LEN(SUBSTITUTE(A166,{"0","1","2","3","4","5","6","7","8","9"},""))))*100+1</f>
        <v>201</v>
      </c>
      <c r="B167" s="98"/>
      <c r="C167" s="40" t="s">
        <v>171</v>
      </c>
      <c r="D167" s="40">
        <f>(128.92)*10.764</f>
        <v>1387.6948799999998</v>
      </c>
      <c r="E167" s="40">
        <v>0</v>
      </c>
      <c r="F167" s="40">
        <f t="shared" ref="F167:F168" si="5">D167*(($F$160)+1)+(IF(E167&lt;101,E167,IF(E167&lt;201,E167/2,IF(E167&lt;=301,E167/3,E167/4))))</f>
        <v>2150.9270639999995</v>
      </c>
      <c r="G167" s="83" t="str">
        <f>A166</f>
        <v>2nd Floor</v>
      </c>
      <c r="H167" s="84"/>
      <c r="I167" s="34"/>
      <c r="N167" s="34"/>
    </row>
    <row r="168" spans="1:16" s="35" customFormat="1" x14ac:dyDescent="0.35">
      <c r="A168" s="98">
        <f>A167+1</f>
        <v>202</v>
      </c>
      <c r="B168" s="98"/>
      <c r="C168" s="40" t="s">
        <v>171</v>
      </c>
      <c r="D168" s="40">
        <f>(128.92)*10.764</f>
        <v>1387.6948799999998</v>
      </c>
      <c r="E168" s="40">
        <v>0</v>
      </c>
      <c r="F168" s="40">
        <f t="shared" si="5"/>
        <v>2150.9270639999995</v>
      </c>
      <c r="G168" s="85"/>
      <c r="H168" s="86"/>
      <c r="I168" s="34"/>
      <c r="N168" s="34"/>
    </row>
    <row r="169" spans="1:16" s="35" customFormat="1" x14ac:dyDescent="0.35">
      <c r="A169" s="98">
        <f>A168+1</f>
        <v>203</v>
      </c>
      <c r="B169" s="98"/>
      <c r="C169" s="40" t="s">
        <v>171</v>
      </c>
      <c r="D169" s="40">
        <f>(105.79)*10.764</f>
        <v>1138.7235599999999</v>
      </c>
      <c r="E169" s="40">
        <v>0</v>
      </c>
      <c r="F169" s="40">
        <f>D169*(($F$160)+1)+(IF(E169&lt;101,E169,IF(E169&lt;201,E169/2,IF(E169&lt;=301,E169/3,E169/4))))</f>
        <v>1765.021518</v>
      </c>
      <c r="G169" s="85"/>
      <c r="H169" s="86"/>
      <c r="I169" s="34"/>
      <c r="N169" s="34"/>
    </row>
    <row r="170" spans="1:16" s="35" customFormat="1" x14ac:dyDescent="0.35">
      <c r="A170" s="98">
        <f>A169+1</f>
        <v>204</v>
      </c>
      <c r="B170" s="98"/>
      <c r="C170" s="40" t="s">
        <v>171</v>
      </c>
      <c r="D170" s="40">
        <f>(85.63)*10.764</f>
        <v>921.72131999999988</v>
      </c>
      <c r="E170" s="40">
        <f>(8.7*1.2+3.4*2)*10.764</f>
        <v>185.57135999999997</v>
      </c>
      <c r="F170" s="40">
        <f>D170*(($F$160)+1)+(IF(E170&lt;101,E170,IF(E170&lt;201,E170/2,IF(E170&lt;=301,E170/3,E170/4))))</f>
        <v>1521.4537259999997</v>
      </c>
      <c r="G170" s="85"/>
      <c r="H170" s="86"/>
      <c r="I170" s="34"/>
      <c r="N170" s="34"/>
    </row>
    <row r="171" spans="1:16" s="35" customFormat="1" x14ac:dyDescent="0.35">
      <c r="A171" s="98">
        <f>A170+1</f>
        <v>205</v>
      </c>
      <c r="B171" s="98"/>
      <c r="C171" s="40" t="s">
        <v>171</v>
      </c>
      <c r="D171" s="40">
        <f>(85.63)*10.764</f>
        <v>921.72131999999988</v>
      </c>
      <c r="E171" s="40">
        <f>(8.7*1.2+3.4*2)*10.764</f>
        <v>185.57135999999997</v>
      </c>
      <c r="F171" s="40">
        <f>D171*(($F$160)+1)+(IF(E171&lt;101,E171,IF(E171&lt;201,E171/2,IF(E171&lt;=301,E171/3,E171/4))))</f>
        <v>1521.4537259999997</v>
      </c>
      <c r="G171" s="85"/>
      <c r="H171" s="86"/>
      <c r="I171" s="34"/>
      <c r="N171" s="34"/>
    </row>
    <row r="172" spans="1:16" s="35" customFormat="1" x14ac:dyDescent="0.35">
      <c r="A172" s="98">
        <f>A171+1</f>
        <v>206</v>
      </c>
      <c r="B172" s="98"/>
      <c r="C172" s="40" t="s">
        <v>171</v>
      </c>
      <c r="D172" s="40">
        <f>(82.14)*10.764</f>
        <v>884.15495999999996</v>
      </c>
      <c r="E172" s="40">
        <v>0</v>
      </c>
      <c r="F172" s="40">
        <f>D172*(($F$160)+1)+(IF(E172&lt;101,E172,IF(E172&lt;201,E172/2,IF(E172&lt;=301,E172/3,E172/4))))</f>
        <v>1370.440188</v>
      </c>
      <c r="G172" s="87"/>
      <c r="H172" s="88"/>
      <c r="I172" s="34"/>
      <c r="N172" s="34"/>
    </row>
    <row r="173" spans="1:16" s="35" customFormat="1" ht="15.75" customHeight="1" x14ac:dyDescent="0.35">
      <c r="A173" s="99" t="s">
        <v>172</v>
      </c>
      <c r="B173" s="100"/>
      <c r="C173" s="100"/>
      <c r="D173" s="100"/>
      <c r="E173" s="100"/>
      <c r="F173" s="100"/>
      <c r="G173" s="100"/>
      <c r="H173" s="101"/>
      <c r="I173" s="34"/>
    </row>
    <row r="174" spans="1:16" s="35" customFormat="1" ht="15.75" customHeight="1" x14ac:dyDescent="0.35">
      <c r="A174" s="89" t="str">
        <f>P174</f>
        <v>301,…,901</v>
      </c>
      <c r="B174" s="90"/>
      <c r="C174" s="40" t="s">
        <v>171</v>
      </c>
      <c r="D174" s="40">
        <f>(128.92)*10.764</f>
        <v>1387.6948799999998</v>
      </c>
      <c r="E174" s="40">
        <v>0</v>
      </c>
      <c r="F174" s="40">
        <f t="shared" ref="F174:F179" si="6">D174*(($F$160)+1)+(IF(E174&lt;101,E174,IF(E174&lt;201,E174/2,IF(E174&lt;=301,E174/3,E174/4))))</f>
        <v>2150.9270639999995</v>
      </c>
      <c r="G174" s="83" t="str">
        <f>A173</f>
        <v>3rd, 5th, 9th Floor</v>
      </c>
      <c r="H174" s="84"/>
      <c r="I174" s="34">
        <f>(45000000-1350000)/F174</f>
        <v>20293.575142815727</v>
      </c>
      <c r="M174" s="35">
        <v>301</v>
      </c>
      <c r="N174" s="35">
        <v>901</v>
      </c>
      <c r="P174" s="35" t="str">
        <f>M174&amp;""&amp;",…,"&amp;""&amp;N174</f>
        <v>301,…,901</v>
      </c>
    </row>
    <row r="175" spans="1:16" s="35" customFormat="1" ht="15.75" customHeight="1" x14ac:dyDescent="0.35">
      <c r="A175" s="89" t="str">
        <f t="shared" ref="A175:A178" si="7">P175</f>
        <v>302,…,902</v>
      </c>
      <c r="B175" s="90"/>
      <c r="C175" s="40" t="s">
        <v>171</v>
      </c>
      <c r="D175" s="40">
        <f>(128.92)*10.764</f>
        <v>1387.6948799999998</v>
      </c>
      <c r="E175" s="40">
        <v>0</v>
      </c>
      <c r="F175" s="40">
        <f t="shared" si="6"/>
        <v>2150.9270639999995</v>
      </c>
      <c r="G175" s="85"/>
      <c r="H175" s="86"/>
      <c r="I175" s="34"/>
      <c r="M175" s="35">
        <v>302</v>
      </c>
      <c r="N175" s="35">
        <v>902</v>
      </c>
      <c r="P175" s="35" t="str">
        <f t="shared" ref="P175:P178" si="8">M175&amp;""&amp;",…,"&amp;""&amp;N175</f>
        <v>302,…,902</v>
      </c>
    </row>
    <row r="176" spans="1:16" s="35" customFormat="1" ht="15.75" customHeight="1" x14ac:dyDescent="0.35">
      <c r="A176" s="89" t="str">
        <f t="shared" si="7"/>
        <v>303,…,903</v>
      </c>
      <c r="B176" s="90"/>
      <c r="C176" s="40" t="s">
        <v>171</v>
      </c>
      <c r="D176" s="40">
        <f>(105.79)*10.764</f>
        <v>1138.7235599999999</v>
      </c>
      <c r="E176" s="40">
        <v>0</v>
      </c>
      <c r="F176" s="40">
        <f t="shared" si="6"/>
        <v>1765.021518</v>
      </c>
      <c r="G176" s="85"/>
      <c r="H176" s="86"/>
      <c r="I176" s="34"/>
      <c r="M176" s="35">
        <v>303</v>
      </c>
      <c r="N176" s="35">
        <v>903</v>
      </c>
      <c r="P176" s="35" t="str">
        <f t="shared" si="8"/>
        <v>303,…,903</v>
      </c>
    </row>
    <row r="177" spans="1:16" s="35" customFormat="1" ht="15.75" customHeight="1" x14ac:dyDescent="0.35">
      <c r="A177" s="89" t="str">
        <f t="shared" si="7"/>
        <v>304,…,904</v>
      </c>
      <c r="B177" s="90"/>
      <c r="C177" s="40" t="s">
        <v>171</v>
      </c>
      <c r="D177" s="40">
        <f>(85.63)*10.764</f>
        <v>921.72131999999988</v>
      </c>
      <c r="E177" s="40">
        <v>0</v>
      </c>
      <c r="F177" s="40">
        <f t="shared" si="6"/>
        <v>1428.6680459999998</v>
      </c>
      <c r="G177" s="85"/>
      <c r="H177" s="86"/>
      <c r="I177" s="34"/>
      <c r="M177" s="35">
        <v>304</v>
      </c>
      <c r="N177" s="35">
        <v>904</v>
      </c>
      <c r="P177" s="35" t="str">
        <f t="shared" si="8"/>
        <v>304,…,904</v>
      </c>
    </row>
    <row r="178" spans="1:16" s="35" customFormat="1" ht="15.75" customHeight="1" x14ac:dyDescent="0.35">
      <c r="A178" s="89" t="str">
        <f t="shared" si="7"/>
        <v>305,…,905</v>
      </c>
      <c r="B178" s="90"/>
      <c r="C178" s="40" t="s">
        <v>171</v>
      </c>
      <c r="D178" s="40">
        <f>(85.63)*10.764</f>
        <v>921.72131999999988</v>
      </c>
      <c r="E178" s="40">
        <v>0</v>
      </c>
      <c r="F178" s="40">
        <f t="shared" si="6"/>
        <v>1428.6680459999998</v>
      </c>
      <c r="G178" s="85"/>
      <c r="H178" s="86"/>
      <c r="I178" s="34"/>
      <c r="M178" s="35">
        <v>305</v>
      </c>
      <c r="N178" s="35">
        <v>905</v>
      </c>
      <c r="P178" s="35" t="str">
        <f t="shared" si="8"/>
        <v>305,…,905</v>
      </c>
    </row>
    <row r="179" spans="1:16" s="35" customFormat="1" ht="15.75" customHeight="1" x14ac:dyDescent="0.35">
      <c r="A179" s="89" t="str">
        <f t="shared" ref="A179" si="9">P179</f>
        <v>306,…,906</v>
      </c>
      <c r="B179" s="90"/>
      <c r="C179" s="40" t="s">
        <v>171</v>
      </c>
      <c r="D179" s="40">
        <f>(82.14)*10.764</f>
        <v>884.15495999999996</v>
      </c>
      <c r="E179" s="40">
        <v>0</v>
      </c>
      <c r="F179" s="40">
        <f t="shared" si="6"/>
        <v>1370.440188</v>
      </c>
      <c r="G179" s="87"/>
      <c r="H179" s="88"/>
      <c r="I179" s="34"/>
      <c r="M179" s="35">
        <v>306</v>
      </c>
      <c r="N179" s="35">
        <v>906</v>
      </c>
      <c r="P179" s="35" t="str">
        <f t="shared" ref="P179" si="10">M179&amp;""&amp;",…,"&amp;""&amp;N179</f>
        <v>306,…,906</v>
      </c>
    </row>
    <row r="180" spans="1:16" s="35" customFormat="1" x14ac:dyDescent="0.35">
      <c r="A180" s="97" t="s">
        <v>177</v>
      </c>
      <c r="B180" s="97"/>
      <c r="C180" s="97"/>
      <c r="D180" s="97"/>
      <c r="E180" s="97"/>
      <c r="F180" s="97"/>
      <c r="G180" s="97"/>
      <c r="H180" s="97"/>
      <c r="I180" s="34"/>
      <c r="L180" s="118"/>
      <c r="M180" s="118"/>
    </row>
    <row r="181" spans="1:16" s="35" customFormat="1" ht="15.75" customHeight="1" x14ac:dyDescent="0.35">
      <c r="A181" s="98">
        <f>LEFT(A180,SUM(LEN(A180)-LEN(SUBSTITUTE(A180,{"0","1","2","3","4","5","6","7","8","9"},""))))*100+1</f>
        <v>701</v>
      </c>
      <c r="B181" s="98"/>
      <c r="C181" s="40" t="s">
        <v>171</v>
      </c>
      <c r="D181" s="40">
        <f>(128.92)*10.764</f>
        <v>1387.6948799999998</v>
      </c>
      <c r="E181" s="40">
        <v>0</v>
      </c>
      <c r="F181" s="40">
        <f t="shared" ref="F181:F182" si="11">D181*(($F$160)+1)+(IF(E181&lt;101,E181,IF(E181&lt;201,E181/2,IF(E181&lt;=301,E181/3,E181/4))))</f>
        <v>2150.9270639999995</v>
      </c>
      <c r="G181" s="83" t="str">
        <f>A180</f>
        <v>7th Floor (Part Refuge Area)</v>
      </c>
      <c r="H181" s="84"/>
      <c r="I181" s="34"/>
      <c r="N181" s="34"/>
    </row>
    <row r="182" spans="1:16" s="35" customFormat="1" ht="15.75" customHeight="1" x14ac:dyDescent="0.35">
      <c r="A182" s="98">
        <f>A181+1</f>
        <v>702</v>
      </c>
      <c r="B182" s="98"/>
      <c r="C182" s="40" t="s">
        <v>171</v>
      </c>
      <c r="D182" s="40">
        <f>(128.92)*10.764</f>
        <v>1387.6948799999998</v>
      </c>
      <c r="E182" s="40">
        <v>0</v>
      </c>
      <c r="F182" s="40">
        <f t="shared" si="11"/>
        <v>2150.9270639999995</v>
      </c>
      <c r="G182" s="85"/>
      <c r="H182" s="86"/>
      <c r="I182" s="34"/>
      <c r="N182" s="34"/>
    </row>
    <row r="183" spans="1:16" s="35" customFormat="1" ht="15.75" customHeight="1" x14ac:dyDescent="0.35">
      <c r="A183" s="98">
        <f>A182+1</f>
        <v>703</v>
      </c>
      <c r="B183" s="98"/>
      <c r="C183" s="40" t="s">
        <v>171</v>
      </c>
      <c r="D183" s="40">
        <f>(105.79)*10.764</f>
        <v>1138.7235599999999</v>
      </c>
      <c r="E183" s="40">
        <v>0</v>
      </c>
      <c r="F183" s="40">
        <f>D183*(($F$160)+1)+(IF(E183&lt;101,E183,IF(E183&lt;201,E183/2,IF(E183&lt;=301,E183/3,E183/4))))</f>
        <v>1765.021518</v>
      </c>
      <c r="G183" s="85"/>
      <c r="H183" s="86"/>
      <c r="I183" s="34"/>
      <c r="N183" s="34"/>
    </row>
    <row r="184" spans="1:16" s="35" customFormat="1" ht="15.75" customHeight="1" x14ac:dyDescent="0.35">
      <c r="A184" s="98">
        <f>A183+1</f>
        <v>704</v>
      </c>
      <c r="B184" s="98"/>
      <c r="C184" s="40" t="s">
        <v>171</v>
      </c>
      <c r="D184" s="40">
        <f>(85.63)*10.764</f>
        <v>921.72131999999988</v>
      </c>
      <c r="E184" s="40">
        <f>(8.7*1.2+3.4*2)*10.764</f>
        <v>185.57135999999997</v>
      </c>
      <c r="F184" s="40">
        <f>D184*(($F$160)+1)+(IF(E184&lt;101,E184,IF(E184&lt;201,E184/2,IF(E184&lt;=301,E184/3,E184/4))))</f>
        <v>1521.4537259999997</v>
      </c>
      <c r="G184" s="85"/>
      <c r="H184" s="86"/>
      <c r="I184" s="34"/>
      <c r="N184" s="34"/>
    </row>
    <row r="185" spans="1:16" s="35" customFormat="1" ht="15.75" customHeight="1" x14ac:dyDescent="0.35">
      <c r="A185" s="98">
        <f>A184+1</f>
        <v>705</v>
      </c>
      <c r="B185" s="98"/>
      <c r="C185" s="89" t="s">
        <v>178</v>
      </c>
      <c r="D185" s="119"/>
      <c r="E185" s="119"/>
      <c r="F185" s="90"/>
      <c r="G185" s="85"/>
      <c r="H185" s="86"/>
      <c r="I185" s="34"/>
      <c r="N185" s="34"/>
    </row>
    <row r="186" spans="1:16" s="35" customFormat="1" ht="15.75" customHeight="1" x14ac:dyDescent="0.35">
      <c r="A186" s="98">
        <f>A185+1</f>
        <v>706</v>
      </c>
      <c r="B186" s="98"/>
      <c r="C186" s="40" t="s">
        <v>171</v>
      </c>
      <c r="D186" s="40">
        <f>(82.14)*10.764</f>
        <v>884.15495999999996</v>
      </c>
      <c r="E186" s="40">
        <v>0</v>
      </c>
      <c r="F186" s="40">
        <f>D186*(($F$160)+1)+(IF(E186&lt;101,E186,IF(E186&lt;201,E186/2,IF(E186&lt;=301,E186/3,E186/4))))</f>
        <v>1370.440188</v>
      </c>
      <c r="G186" s="87"/>
      <c r="H186" s="88"/>
      <c r="I186" s="34"/>
      <c r="N186" s="34"/>
    </row>
    <row r="187" spans="1:16" s="35" customFormat="1" ht="15.75" customHeight="1" x14ac:dyDescent="0.35">
      <c r="A187" s="99" t="s">
        <v>173</v>
      </c>
      <c r="B187" s="100"/>
      <c r="C187" s="100"/>
      <c r="D187" s="100"/>
      <c r="E187" s="100"/>
      <c r="F187" s="100"/>
      <c r="G187" s="100"/>
      <c r="H187" s="101"/>
      <c r="I187" s="34"/>
    </row>
    <row r="188" spans="1:16" s="35" customFormat="1" ht="15.75" customHeight="1" x14ac:dyDescent="0.35">
      <c r="A188" s="89" t="str">
        <f>P188</f>
        <v>401,…,801</v>
      </c>
      <c r="B188" s="90"/>
      <c r="C188" s="40" t="s">
        <v>171</v>
      </c>
      <c r="D188" s="40">
        <f>(128.91)*10.764</f>
        <v>1387.5872399999998</v>
      </c>
      <c r="E188" s="40">
        <v>0</v>
      </c>
      <c r="F188" s="40">
        <f t="shared" ref="F188:F193" si="12">D188*(($F$160)+1)+(IF(E188&lt;101,E188,IF(E188&lt;201,E188/2,IF(E188&lt;=301,E188/3,E188/4))))</f>
        <v>2150.7602219999999</v>
      </c>
      <c r="G188" s="83" t="str">
        <f>A187</f>
        <v>4th, 6th, 8th Floor</v>
      </c>
      <c r="H188" s="84"/>
      <c r="I188" s="34"/>
      <c r="M188" s="35">
        <v>401</v>
      </c>
      <c r="N188" s="35">
        <v>801</v>
      </c>
      <c r="P188" s="35" t="str">
        <f>M188&amp;""&amp;",…,"&amp;""&amp;N188</f>
        <v>401,…,801</v>
      </c>
    </row>
    <row r="189" spans="1:16" s="35" customFormat="1" ht="15.75" customHeight="1" x14ac:dyDescent="0.35">
      <c r="A189" s="89" t="str">
        <f t="shared" ref="A189:A193" si="13">P189</f>
        <v>402,…,802</v>
      </c>
      <c r="B189" s="90"/>
      <c r="C189" s="40" t="s">
        <v>171</v>
      </c>
      <c r="D189" s="40">
        <f>(128.93)*10.764</f>
        <v>1387.80252</v>
      </c>
      <c r="E189" s="40">
        <v>0</v>
      </c>
      <c r="F189" s="40">
        <f t="shared" si="12"/>
        <v>2151.0939060000001</v>
      </c>
      <c r="G189" s="85"/>
      <c r="H189" s="86"/>
      <c r="I189" s="34"/>
      <c r="M189" s="35">
        <v>402</v>
      </c>
      <c r="N189" s="35">
        <v>802</v>
      </c>
      <c r="P189" s="35" t="str">
        <f t="shared" ref="P189:P193" si="14">M189&amp;""&amp;",…,"&amp;""&amp;N189</f>
        <v>402,…,802</v>
      </c>
    </row>
    <row r="190" spans="1:16" s="35" customFormat="1" ht="15.75" customHeight="1" x14ac:dyDescent="0.35">
      <c r="A190" s="89" t="str">
        <f t="shared" si="13"/>
        <v>403,…,803</v>
      </c>
      <c r="B190" s="90"/>
      <c r="C190" s="40" t="s">
        <v>171</v>
      </c>
      <c r="D190" s="40">
        <f>(105.79)*10.764</f>
        <v>1138.7235599999999</v>
      </c>
      <c r="E190" s="40">
        <v>0</v>
      </c>
      <c r="F190" s="40">
        <f t="shared" si="12"/>
        <v>1765.021518</v>
      </c>
      <c r="G190" s="85"/>
      <c r="H190" s="86"/>
      <c r="I190" s="34"/>
      <c r="M190" s="35">
        <v>403</v>
      </c>
      <c r="N190" s="35">
        <v>803</v>
      </c>
      <c r="P190" s="35" t="str">
        <f t="shared" si="14"/>
        <v>403,…,803</v>
      </c>
    </row>
    <row r="191" spans="1:16" s="35" customFormat="1" ht="15.75" customHeight="1" x14ac:dyDescent="0.35">
      <c r="A191" s="89" t="str">
        <f t="shared" si="13"/>
        <v>404,…,804</v>
      </c>
      <c r="B191" s="90"/>
      <c r="C191" s="40" t="s">
        <v>171</v>
      </c>
      <c r="D191" s="40">
        <f>(85.63)*10.764</f>
        <v>921.72131999999988</v>
      </c>
      <c r="E191" s="40">
        <v>0</v>
      </c>
      <c r="F191" s="40">
        <f t="shared" si="12"/>
        <v>1428.6680459999998</v>
      </c>
      <c r="G191" s="85"/>
      <c r="H191" s="86"/>
      <c r="I191" s="34"/>
      <c r="M191" s="35">
        <v>404</v>
      </c>
      <c r="N191" s="35">
        <v>804</v>
      </c>
      <c r="P191" s="35" t="str">
        <f t="shared" si="14"/>
        <v>404,…,804</v>
      </c>
    </row>
    <row r="192" spans="1:16" s="35" customFormat="1" ht="15.75" customHeight="1" x14ac:dyDescent="0.35">
      <c r="A192" s="89" t="str">
        <f t="shared" si="13"/>
        <v>405,…,805</v>
      </c>
      <c r="B192" s="90"/>
      <c r="C192" s="40" t="s">
        <v>171</v>
      </c>
      <c r="D192" s="40">
        <f>(85.63)*10.764</f>
        <v>921.72131999999988</v>
      </c>
      <c r="E192" s="40">
        <v>0</v>
      </c>
      <c r="F192" s="40">
        <f t="shared" si="12"/>
        <v>1428.6680459999998</v>
      </c>
      <c r="G192" s="85"/>
      <c r="H192" s="86"/>
      <c r="I192" s="34"/>
      <c r="M192" s="35">
        <v>405</v>
      </c>
      <c r="N192" s="35">
        <v>805</v>
      </c>
      <c r="P192" s="35" t="str">
        <f t="shared" si="14"/>
        <v>405,…,805</v>
      </c>
    </row>
    <row r="193" spans="1:16" s="35" customFormat="1" ht="15.75" customHeight="1" x14ac:dyDescent="0.35">
      <c r="A193" s="89" t="str">
        <f t="shared" si="13"/>
        <v>406,…,806</v>
      </c>
      <c r="B193" s="90"/>
      <c r="C193" s="40" t="s">
        <v>171</v>
      </c>
      <c r="D193" s="40">
        <f>(82.14)*10.764</f>
        <v>884.15495999999996</v>
      </c>
      <c r="E193" s="40">
        <v>0</v>
      </c>
      <c r="F193" s="40">
        <f t="shared" si="12"/>
        <v>1370.440188</v>
      </c>
      <c r="G193" s="87"/>
      <c r="H193" s="88"/>
      <c r="I193" s="34"/>
      <c r="M193" s="35">
        <v>406</v>
      </c>
      <c r="N193" s="35">
        <v>806</v>
      </c>
      <c r="P193" s="35" t="str">
        <f t="shared" si="14"/>
        <v>406,…,806</v>
      </c>
    </row>
    <row r="194" spans="1:16" s="35" customFormat="1" x14ac:dyDescent="0.35">
      <c r="A194" s="97" t="s">
        <v>176</v>
      </c>
      <c r="B194" s="97"/>
      <c r="C194" s="97"/>
      <c r="D194" s="97"/>
      <c r="E194" s="97"/>
      <c r="F194" s="97"/>
      <c r="G194" s="97"/>
      <c r="H194" s="97"/>
      <c r="I194" s="34"/>
      <c r="L194" s="118"/>
      <c r="M194" s="118"/>
    </row>
    <row r="195" spans="1:16" s="35" customFormat="1" ht="15.75" customHeight="1" x14ac:dyDescent="0.35">
      <c r="A195" s="98">
        <f>LEFT(A194,SUM(LEN(A194)-LEN(SUBSTITUTE(A194,{"0","1","2","3","4","5","6","7","8","9"},""))))*100+1</f>
        <v>1001</v>
      </c>
      <c r="B195" s="98"/>
      <c r="C195" s="40" t="s">
        <v>171</v>
      </c>
      <c r="D195" s="40">
        <f>(128.92)*10.764</f>
        <v>1387.6948799999998</v>
      </c>
      <c r="E195" s="40">
        <v>0</v>
      </c>
      <c r="F195" s="40">
        <f t="shared" ref="F195:F196" si="15">D195*(($F$160)+1)+(IF(E195&lt;101,E195,IF(E195&lt;201,E195/2,IF(E195&lt;=301,E195/3,E195/4))))</f>
        <v>2150.9270639999995</v>
      </c>
      <c r="G195" s="83" t="str">
        <f>A194</f>
        <v>10th Floor (Part Terrace Area)</v>
      </c>
      <c r="H195" s="84"/>
      <c r="I195" s="34"/>
      <c r="N195" s="34"/>
    </row>
    <row r="196" spans="1:16" s="35" customFormat="1" ht="15.75" customHeight="1" x14ac:dyDescent="0.35">
      <c r="A196" s="98">
        <f>A195+1</f>
        <v>1002</v>
      </c>
      <c r="B196" s="98"/>
      <c r="C196" s="40" t="s">
        <v>171</v>
      </c>
      <c r="D196" s="40">
        <f>(128.92)*10.764</f>
        <v>1387.6948799999998</v>
      </c>
      <c r="E196" s="40">
        <v>0</v>
      </c>
      <c r="F196" s="40">
        <f t="shared" si="15"/>
        <v>2150.9270639999995</v>
      </c>
      <c r="G196" s="85"/>
      <c r="H196" s="86"/>
      <c r="I196" s="34"/>
      <c r="N196" s="34"/>
    </row>
    <row r="197" spans="1:16" s="35" customFormat="1" ht="15.75" customHeight="1" x14ac:dyDescent="0.35">
      <c r="A197" s="98">
        <f>A196+1</f>
        <v>1003</v>
      </c>
      <c r="B197" s="98"/>
      <c r="C197" s="89" t="s">
        <v>175</v>
      </c>
      <c r="D197" s="119"/>
      <c r="E197" s="119"/>
      <c r="F197" s="90"/>
      <c r="G197" s="85"/>
      <c r="H197" s="86"/>
      <c r="I197" s="34"/>
      <c r="N197" s="34"/>
    </row>
    <row r="198" spans="1:16" s="35" customFormat="1" ht="15.75" customHeight="1" x14ac:dyDescent="0.35">
      <c r="A198" s="98">
        <f>A197+1</f>
        <v>1004</v>
      </c>
      <c r="B198" s="98"/>
      <c r="C198" s="40" t="s">
        <v>171</v>
      </c>
      <c r="D198" s="40">
        <f>(85.63)*10.764</f>
        <v>921.72131999999988</v>
      </c>
      <c r="E198" s="40">
        <v>0</v>
      </c>
      <c r="F198" s="40">
        <f>D198*(($F$160)+1)+(IF(E198&lt;101,E198,IF(E198&lt;201,E198/2,IF(E198&lt;=301,E198/3,E198/4))))</f>
        <v>1428.6680459999998</v>
      </c>
      <c r="G198" s="85"/>
      <c r="H198" s="86"/>
      <c r="I198" s="34"/>
      <c r="N198" s="34"/>
    </row>
    <row r="199" spans="1:16" s="35" customFormat="1" ht="15.75" customHeight="1" x14ac:dyDescent="0.35">
      <c r="A199" s="98">
        <f>A198+1</f>
        <v>1005</v>
      </c>
      <c r="B199" s="98"/>
      <c r="C199" s="40" t="s">
        <v>171</v>
      </c>
      <c r="D199" s="40">
        <f>(85.63)*10.764</f>
        <v>921.72131999999988</v>
      </c>
      <c r="E199" s="40">
        <v>0</v>
      </c>
      <c r="F199" s="40">
        <f>D199*(($F$160)+1)+(IF(E199&lt;101,E199,IF(E199&lt;201,E199/2,IF(E199&lt;=301,E199/3,E199/4))))</f>
        <v>1428.6680459999998</v>
      </c>
      <c r="G199" s="85"/>
      <c r="H199" s="86"/>
      <c r="I199" s="34"/>
      <c r="N199" s="34"/>
    </row>
    <row r="200" spans="1:16" s="35" customFormat="1" ht="15.75" customHeight="1" x14ac:dyDescent="0.35">
      <c r="A200" s="98">
        <f>A199+1</f>
        <v>1006</v>
      </c>
      <c r="B200" s="98"/>
      <c r="C200" s="89" t="s">
        <v>175</v>
      </c>
      <c r="D200" s="119"/>
      <c r="E200" s="119"/>
      <c r="F200" s="90"/>
      <c r="G200" s="87"/>
      <c r="H200" s="88"/>
      <c r="I200" s="34"/>
      <c r="N200" s="34"/>
    </row>
    <row r="201" spans="1:16" x14ac:dyDescent="0.35">
      <c r="A201" s="80" t="s">
        <v>221</v>
      </c>
      <c r="B201" s="80"/>
      <c r="C201" s="80"/>
      <c r="D201" s="80"/>
      <c r="E201" s="80"/>
      <c r="F201" s="80"/>
      <c r="G201" s="80"/>
      <c r="H201" s="80"/>
    </row>
    <row r="202" spans="1:16" s="35" customFormat="1" x14ac:dyDescent="0.35">
      <c r="A202" s="99" t="s">
        <v>170</v>
      </c>
      <c r="B202" s="100"/>
      <c r="C202" s="100"/>
      <c r="D202" s="100"/>
      <c r="E202" s="100"/>
      <c r="F202" s="100"/>
      <c r="G202" s="100"/>
      <c r="H202" s="101"/>
      <c r="J202" s="34"/>
    </row>
    <row r="203" spans="1:16" s="35" customFormat="1" x14ac:dyDescent="0.35">
      <c r="A203" s="89">
        <v>106</v>
      </c>
      <c r="B203" s="90"/>
      <c r="C203" s="40" t="s">
        <v>171</v>
      </c>
      <c r="D203" s="40">
        <f>(85.35)*10.764</f>
        <v>918.70739999999989</v>
      </c>
      <c r="E203" s="40">
        <v>0</v>
      </c>
      <c r="F203" s="40">
        <f>D203*(($F$160)+1)+(IF(E203&lt;101,E203,IF(E203&lt;201,E203/2,IF(E203&lt;=301,E203/3,E203/4))))</f>
        <v>1423.9964699999998</v>
      </c>
      <c r="G203" s="89" t="str">
        <f>A202</f>
        <v>1st Floor for Residential</v>
      </c>
      <c r="H203" s="90"/>
      <c r="I203" s="34"/>
      <c r="L203" s="118"/>
      <c r="M203" s="118"/>
      <c r="N203" s="34"/>
    </row>
    <row r="204" spans="1:16" s="35" customFormat="1" x14ac:dyDescent="0.35">
      <c r="A204" s="97" t="s">
        <v>120</v>
      </c>
      <c r="B204" s="97"/>
      <c r="C204" s="97"/>
      <c r="D204" s="97"/>
      <c r="E204" s="97"/>
      <c r="F204" s="97"/>
      <c r="G204" s="97"/>
      <c r="H204" s="97"/>
      <c r="I204" s="34"/>
      <c r="L204" s="118"/>
      <c r="M204" s="118"/>
    </row>
    <row r="205" spans="1:16" s="35" customFormat="1" x14ac:dyDescent="0.35">
      <c r="A205" s="98">
        <f>LEFT(A204,SUM(LEN(A204)-LEN(SUBSTITUTE(A204,{"0","1","2","3","4","5","6","7","8","9"},""))))*100+1</f>
        <v>201</v>
      </c>
      <c r="B205" s="98"/>
      <c r="C205" s="40" t="s">
        <v>171</v>
      </c>
      <c r="D205" s="40">
        <f>(107.01)*10.764</f>
        <v>1151.85564</v>
      </c>
      <c r="E205" s="40">
        <v>0</v>
      </c>
      <c r="F205" s="40">
        <f t="shared" ref="F205:F206" si="16">D205*(($F$160)+1)+(IF(E205&lt;101,E205,IF(E205&lt;201,E205/2,IF(E205&lt;=301,E205/3,E205/4))))</f>
        <v>1785.376242</v>
      </c>
      <c r="G205" s="83" t="str">
        <f>A204</f>
        <v>2nd Floor</v>
      </c>
      <c r="H205" s="84"/>
      <c r="I205" s="34"/>
      <c r="N205" s="34"/>
    </row>
    <row r="206" spans="1:16" s="35" customFormat="1" x14ac:dyDescent="0.35">
      <c r="A206" s="98">
        <f>A205+1</f>
        <v>202</v>
      </c>
      <c r="B206" s="98"/>
      <c r="C206" s="40" t="s">
        <v>171</v>
      </c>
      <c r="D206" s="40">
        <f>(106.76)*10.764</f>
        <v>1149.16464</v>
      </c>
      <c r="E206" s="40">
        <v>0</v>
      </c>
      <c r="F206" s="40">
        <f t="shared" si="16"/>
        <v>1781.2051919999999</v>
      </c>
      <c r="G206" s="85"/>
      <c r="H206" s="86"/>
      <c r="I206" s="34"/>
      <c r="N206" s="34"/>
    </row>
    <row r="207" spans="1:16" s="35" customFormat="1" x14ac:dyDescent="0.35">
      <c r="A207" s="98">
        <f>A206+1</f>
        <v>203</v>
      </c>
      <c r="B207" s="98"/>
      <c r="C207" s="40" t="s">
        <v>171</v>
      </c>
      <c r="D207" s="40">
        <f>(83.7)*10.764</f>
        <v>900.94679999999994</v>
      </c>
      <c r="E207" s="40">
        <f>(8.7*1.2+3.5*2.2)*10.764</f>
        <v>195.25896</v>
      </c>
      <c r="F207" s="40">
        <f>D207*(($F$160)+1)+(IF(E207&lt;101,E207,IF(E207&lt;201,E207/2,IF(E207&lt;=301,E207/3,E207/4))))</f>
        <v>1494.0970199999999</v>
      </c>
      <c r="G207" s="85"/>
      <c r="H207" s="86"/>
      <c r="I207" s="34"/>
      <c r="N207" s="34"/>
    </row>
    <row r="208" spans="1:16" s="35" customFormat="1" x14ac:dyDescent="0.35">
      <c r="A208" s="98">
        <f>A207+1</f>
        <v>204</v>
      </c>
      <c r="B208" s="98"/>
      <c r="C208" s="40" t="s">
        <v>171</v>
      </c>
      <c r="D208" s="40">
        <f>(85.65)*10.764</f>
        <v>921.9366</v>
      </c>
      <c r="E208" s="40">
        <f>(8.7*1.2+3.5*2)*10.764</f>
        <v>187.72415999999996</v>
      </c>
      <c r="F208" s="40">
        <f>D208*(($F$160)+1)+(IF(E208&lt;101,E208,IF(E208&lt;201,E208/2,IF(E208&lt;=301,E208/3,E208/4))))</f>
        <v>1522.8638099999998</v>
      </c>
      <c r="G208" s="85"/>
      <c r="H208" s="86"/>
      <c r="I208" s="34"/>
      <c r="N208" s="34"/>
    </row>
    <row r="209" spans="1:16" s="35" customFormat="1" x14ac:dyDescent="0.35">
      <c r="A209" s="98">
        <f>A208+1</f>
        <v>205</v>
      </c>
      <c r="B209" s="98"/>
      <c r="C209" s="40" t="s">
        <v>171</v>
      </c>
      <c r="D209" s="40">
        <f>(85.65)*10.764</f>
        <v>921.9366</v>
      </c>
      <c r="E209" s="40">
        <f>(8.5*1.2)*10.764</f>
        <v>109.79279999999999</v>
      </c>
      <c r="F209" s="40">
        <f>D209*(($F$160)+1)+(IF(E209&lt;101,E209,IF(E209&lt;201,E209/2,IF(E209&lt;=301,E209/3,E209/4))))</f>
        <v>1483.89813</v>
      </c>
      <c r="G209" s="85"/>
      <c r="H209" s="86"/>
      <c r="I209" s="34"/>
      <c r="N209" s="34"/>
    </row>
    <row r="210" spans="1:16" s="35" customFormat="1" x14ac:dyDescent="0.35">
      <c r="A210" s="98">
        <f>A209+1</f>
        <v>206</v>
      </c>
      <c r="B210" s="98"/>
      <c r="C210" s="40" t="s">
        <v>171</v>
      </c>
      <c r="D210" s="40">
        <f>(85.59)*10.764</f>
        <v>921.29075999999998</v>
      </c>
      <c r="E210" s="40">
        <v>0</v>
      </c>
      <c r="F210" s="40">
        <f>D210*(($F$160)+1)+(IF(E210&lt;101,E210,IF(E210&lt;201,E210/2,IF(E210&lt;=301,E210/3,E210/4))))</f>
        <v>1428.0006780000001</v>
      </c>
      <c r="G210" s="87"/>
      <c r="H210" s="88"/>
      <c r="I210" s="34"/>
      <c r="N210" s="34"/>
    </row>
    <row r="211" spans="1:16" s="35" customFormat="1" ht="15.75" customHeight="1" x14ac:dyDescent="0.35">
      <c r="A211" s="99" t="s">
        <v>172</v>
      </c>
      <c r="B211" s="100"/>
      <c r="C211" s="100"/>
      <c r="D211" s="100"/>
      <c r="E211" s="100"/>
      <c r="F211" s="100"/>
      <c r="G211" s="100"/>
      <c r="H211" s="101"/>
      <c r="I211" s="34"/>
    </row>
    <row r="212" spans="1:16" s="35" customFormat="1" ht="15.75" customHeight="1" x14ac:dyDescent="0.35">
      <c r="A212" s="89" t="str">
        <f>P212</f>
        <v>301,…,901</v>
      </c>
      <c r="B212" s="90"/>
      <c r="C212" s="40" t="s">
        <v>171</v>
      </c>
      <c r="D212" s="40">
        <f>(107.01)*10.764</f>
        <v>1151.85564</v>
      </c>
      <c r="E212" s="40">
        <v>0</v>
      </c>
      <c r="F212" s="40">
        <f t="shared" ref="F212:F217" si="17">D212*(($F$160)+1)+(IF(E212&lt;101,E212,IF(E212&lt;201,E212/2,IF(E212&lt;=301,E212/3,E212/4))))</f>
        <v>1785.376242</v>
      </c>
      <c r="G212" s="83" t="str">
        <f>A211</f>
        <v>3rd, 5th, 9th Floor</v>
      </c>
      <c r="H212" s="84"/>
      <c r="I212" s="34"/>
      <c r="M212" s="35">
        <v>301</v>
      </c>
      <c r="N212" s="35">
        <v>901</v>
      </c>
      <c r="P212" s="35" t="str">
        <f>M212&amp;""&amp;",…,"&amp;""&amp;N212</f>
        <v>301,…,901</v>
      </c>
    </row>
    <row r="213" spans="1:16" s="35" customFormat="1" ht="15.75" customHeight="1" x14ac:dyDescent="0.35">
      <c r="A213" s="89" t="str">
        <f t="shared" ref="A213:A217" si="18">P213</f>
        <v>302,…,902</v>
      </c>
      <c r="B213" s="90"/>
      <c r="C213" s="40" t="s">
        <v>171</v>
      </c>
      <c r="D213" s="40">
        <f>(106.76)*10.764</f>
        <v>1149.16464</v>
      </c>
      <c r="E213" s="40">
        <v>0</v>
      </c>
      <c r="F213" s="40">
        <f t="shared" si="17"/>
        <v>1781.2051919999999</v>
      </c>
      <c r="G213" s="85"/>
      <c r="H213" s="86"/>
      <c r="I213" s="34"/>
      <c r="M213" s="35">
        <v>302</v>
      </c>
      <c r="N213" s="35">
        <v>902</v>
      </c>
      <c r="P213" s="35" t="str">
        <f t="shared" ref="P213:P217" si="19">M213&amp;""&amp;",…,"&amp;""&amp;N213</f>
        <v>302,…,902</v>
      </c>
    </row>
    <row r="214" spans="1:16" s="35" customFormat="1" ht="15.75" customHeight="1" x14ac:dyDescent="0.35">
      <c r="A214" s="89" t="str">
        <f t="shared" si="18"/>
        <v>303,…,903</v>
      </c>
      <c r="B214" s="90"/>
      <c r="C214" s="40" t="s">
        <v>171</v>
      </c>
      <c r="D214" s="40">
        <f>(83.7)*10.764</f>
        <v>900.94679999999994</v>
      </c>
      <c r="E214" s="40">
        <v>0</v>
      </c>
      <c r="F214" s="40">
        <f t="shared" si="17"/>
        <v>1396.4675399999999</v>
      </c>
      <c r="G214" s="85"/>
      <c r="H214" s="86"/>
      <c r="I214" s="34"/>
      <c r="M214" s="35">
        <v>303</v>
      </c>
      <c r="N214" s="35">
        <v>903</v>
      </c>
      <c r="P214" s="35" t="str">
        <f t="shared" si="19"/>
        <v>303,…,903</v>
      </c>
    </row>
    <row r="215" spans="1:16" s="35" customFormat="1" ht="15.75" customHeight="1" x14ac:dyDescent="0.35">
      <c r="A215" s="89" t="str">
        <f t="shared" si="18"/>
        <v>304,…,904</v>
      </c>
      <c r="B215" s="90"/>
      <c r="C215" s="40" t="s">
        <v>171</v>
      </c>
      <c r="D215" s="40">
        <f>(85.65)*10.764</f>
        <v>921.9366</v>
      </c>
      <c r="E215" s="40">
        <v>0</v>
      </c>
      <c r="F215" s="40">
        <f t="shared" si="17"/>
        <v>1429.00173</v>
      </c>
      <c r="G215" s="85"/>
      <c r="H215" s="86"/>
      <c r="I215" s="34">
        <f>29713979/F215</f>
        <v>20793.522062426055</v>
      </c>
      <c r="M215" s="35">
        <v>304</v>
      </c>
      <c r="N215" s="35">
        <v>904</v>
      </c>
      <c r="P215" s="35" t="str">
        <f t="shared" si="19"/>
        <v>304,…,904</v>
      </c>
    </row>
    <row r="216" spans="1:16" s="35" customFormat="1" ht="15.75" customHeight="1" x14ac:dyDescent="0.35">
      <c r="A216" s="89" t="str">
        <f t="shared" si="18"/>
        <v>305,…,905</v>
      </c>
      <c r="B216" s="90"/>
      <c r="C216" s="40" t="s">
        <v>171</v>
      </c>
      <c r="D216" s="40">
        <f>(85.65)*10.764</f>
        <v>921.9366</v>
      </c>
      <c r="E216" s="40">
        <v>0</v>
      </c>
      <c r="F216" s="40">
        <f t="shared" si="17"/>
        <v>1429.00173</v>
      </c>
      <c r="G216" s="85"/>
      <c r="H216" s="86"/>
      <c r="I216" s="34"/>
      <c r="M216" s="35">
        <v>305</v>
      </c>
      <c r="N216" s="35">
        <v>905</v>
      </c>
      <c r="P216" s="35" t="str">
        <f t="shared" si="19"/>
        <v>305,…,905</v>
      </c>
    </row>
    <row r="217" spans="1:16" s="35" customFormat="1" ht="15.75" customHeight="1" x14ac:dyDescent="0.35">
      <c r="A217" s="89" t="str">
        <f t="shared" si="18"/>
        <v>306,…,906</v>
      </c>
      <c r="B217" s="90"/>
      <c r="C217" s="40" t="s">
        <v>171</v>
      </c>
      <c r="D217" s="40">
        <f>(85.59)*10.764</f>
        <v>921.29075999999998</v>
      </c>
      <c r="E217" s="40">
        <v>0</v>
      </c>
      <c r="F217" s="40">
        <f t="shared" si="17"/>
        <v>1428.0006780000001</v>
      </c>
      <c r="G217" s="87"/>
      <c r="H217" s="88"/>
      <c r="I217" s="34"/>
      <c r="M217" s="35">
        <v>306</v>
      </c>
      <c r="N217" s="35">
        <v>906</v>
      </c>
      <c r="P217" s="35" t="str">
        <f t="shared" si="19"/>
        <v>306,…,906</v>
      </c>
    </row>
    <row r="218" spans="1:16" s="35" customFormat="1" x14ac:dyDescent="0.35">
      <c r="A218" s="97" t="s">
        <v>177</v>
      </c>
      <c r="B218" s="97"/>
      <c r="C218" s="97"/>
      <c r="D218" s="97"/>
      <c r="E218" s="97"/>
      <c r="F218" s="97"/>
      <c r="G218" s="97"/>
      <c r="H218" s="97"/>
      <c r="I218" s="34"/>
      <c r="L218" s="118"/>
      <c r="M218" s="118"/>
    </row>
    <row r="219" spans="1:16" s="35" customFormat="1" ht="15.75" customHeight="1" x14ac:dyDescent="0.35">
      <c r="A219" s="98">
        <f>LEFT(A218,SUM(LEN(A218)-LEN(SUBSTITUTE(A218,{"0","1","2","3","4","5","6","7","8","9"},""))))*100+1</f>
        <v>701</v>
      </c>
      <c r="B219" s="98"/>
      <c r="C219" s="40" t="s">
        <v>171</v>
      </c>
      <c r="D219" s="40">
        <f>(107)*10.764</f>
        <v>1151.7479999999998</v>
      </c>
      <c r="E219" s="40">
        <v>0</v>
      </c>
      <c r="F219" s="40">
        <f t="shared" ref="F219:F220" si="20">D219*(($F$160)+1)+(IF(E219&lt;101,E219,IF(E219&lt;201,E219/2,IF(E219&lt;=301,E219/3,E219/4))))</f>
        <v>1785.2093999999997</v>
      </c>
      <c r="G219" s="83" t="str">
        <f>A218</f>
        <v>7th Floor (Part Refuge Area)</v>
      </c>
      <c r="H219" s="84"/>
      <c r="I219" s="34"/>
      <c r="N219" s="34"/>
    </row>
    <row r="220" spans="1:16" s="35" customFormat="1" ht="15.75" customHeight="1" x14ac:dyDescent="0.35">
      <c r="A220" s="98">
        <f>A219+1</f>
        <v>702</v>
      </c>
      <c r="B220" s="98"/>
      <c r="C220" s="40" t="s">
        <v>171</v>
      </c>
      <c r="D220" s="40">
        <f>(106.75)*10.764</f>
        <v>1149.057</v>
      </c>
      <c r="E220" s="40">
        <v>0</v>
      </c>
      <c r="F220" s="40">
        <f t="shared" si="20"/>
        <v>1781.03835</v>
      </c>
      <c r="G220" s="85"/>
      <c r="H220" s="86"/>
      <c r="I220" s="34"/>
      <c r="N220" s="34"/>
    </row>
    <row r="221" spans="1:16" s="35" customFormat="1" ht="15.75" customHeight="1" x14ac:dyDescent="0.35">
      <c r="A221" s="98">
        <f>A220+1</f>
        <v>703</v>
      </c>
      <c r="B221" s="98"/>
      <c r="C221" s="40" t="s">
        <v>171</v>
      </c>
      <c r="D221" s="40">
        <f>(83.7)*10.764</f>
        <v>900.94679999999994</v>
      </c>
      <c r="E221" s="40">
        <v>0</v>
      </c>
      <c r="F221" s="40">
        <f>D221*(($F$160)+1)+(IF(E221&lt;101,E221,IF(E221&lt;201,E221/2,IF(E221&lt;=301,E221/3,E221/4))))</f>
        <v>1396.4675399999999</v>
      </c>
      <c r="G221" s="85"/>
      <c r="H221" s="86"/>
      <c r="I221" s="34"/>
      <c r="N221" s="34"/>
    </row>
    <row r="222" spans="1:16" s="35" customFormat="1" ht="15.75" customHeight="1" x14ac:dyDescent="0.35">
      <c r="A222" s="98">
        <f>A221+1</f>
        <v>704</v>
      </c>
      <c r="B222" s="98"/>
      <c r="C222" s="40" t="s">
        <v>171</v>
      </c>
      <c r="D222" s="40">
        <f>(85.65)*10.764</f>
        <v>921.9366</v>
      </c>
      <c r="E222" s="40"/>
      <c r="F222" s="40">
        <f>D222*(($F$160)+1)+(IF(E222&lt;101,E222,IF(E222&lt;201,E222/2,IF(E222&lt;=301,E222/3,E222/4))))</f>
        <v>1429.00173</v>
      </c>
      <c r="G222" s="85"/>
      <c r="H222" s="86"/>
      <c r="I222" s="34"/>
      <c r="N222" s="34"/>
    </row>
    <row r="223" spans="1:16" s="35" customFormat="1" ht="15.75" customHeight="1" x14ac:dyDescent="0.35">
      <c r="A223" s="98">
        <f>A222+1</f>
        <v>705</v>
      </c>
      <c r="B223" s="98"/>
      <c r="C223" s="89" t="s">
        <v>178</v>
      </c>
      <c r="D223" s="119"/>
      <c r="E223" s="119"/>
      <c r="F223" s="90"/>
      <c r="G223" s="85"/>
      <c r="H223" s="86"/>
      <c r="I223" s="34"/>
      <c r="N223" s="34"/>
    </row>
    <row r="224" spans="1:16" s="35" customFormat="1" ht="15.75" customHeight="1" x14ac:dyDescent="0.35">
      <c r="A224" s="98">
        <f>A223+1</f>
        <v>706</v>
      </c>
      <c r="B224" s="98"/>
      <c r="C224" s="40" t="s">
        <v>171</v>
      </c>
      <c r="D224" s="40">
        <f>(85.58)*10.764</f>
        <v>921.18311999999992</v>
      </c>
      <c r="E224" s="40">
        <v>0</v>
      </c>
      <c r="F224" s="40">
        <f>D224*(($F$160)+1)+(IF(E224&lt;101,E224,IF(E224&lt;201,E224/2,IF(E224&lt;=301,E224/3,E224/4))))</f>
        <v>1427.833836</v>
      </c>
      <c r="G224" s="87"/>
      <c r="H224" s="88"/>
      <c r="I224" s="34"/>
      <c r="N224" s="34"/>
    </row>
    <row r="225" spans="1:16" s="35" customFormat="1" ht="15.75" customHeight="1" x14ac:dyDescent="0.35">
      <c r="A225" s="99" t="s">
        <v>173</v>
      </c>
      <c r="B225" s="100"/>
      <c r="C225" s="100"/>
      <c r="D225" s="100"/>
      <c r="E225" s="100"/>
      <c r="F225" s="100"/>
      <c r="G225" s="100"/>
      <c r="H225" s="101"/>
      <c r="I225" s="34"/>
    </row>
    <row r="226" spans="1:16" s="35" customFormat="1" ht="15.75" customHeight="1" x14ac:dyDescent="0.35">
      <c r="A226" s="89" t="str">
        <f>P226</f>
        <v>401,…,801</v>
      </c>
      <c r="B226" s="90"/>
      <c r="C226" s="40" t="s">
        <v>171</v>
      </c>
      <c r="D226" s="40">
        <f>(107.01)*10.764</f>
        <v>1151.85564</v>
      </c>
      <c r="E226" s="40">
        <v>0</v>
      </c>
      <c r="F226" s="40">
        <f t="shared" ref="F226:F231" si="21">D226*(($F$160)+1)+(IF(E226&lt;101,E226,IF(E226&lt;201,E226/2,IF(E226&lt;=301,E226/3,E226/4))))</f>
        <v>1785.376242</v>
      </c>
      <c r="G226" s="83" t="str">
        <f>A225</f>
        <v>4th, 6th, 8th Floor</v>
      </c>
      <c r="H226" s="84"/>
      <c r="I226" s="34"/>
      <c r="M226" s="35">
        <v>401</v>
      </c>
      <c r="N226" s="35">
        <v>801</v>
      </c>
      <c r="P226" s="35" t="str">
        <f>M226&amp;""&amp;",…,"&amp;""&amp;N226</f>
        <v>401,…,801</v>
      </c>
    </row>
    <row r="227" spans="1:16" s="35" customFormat="1" ht="15.75" customHeight="1" x14ac:dyDescent="0.35">
      <c r="A227" s="89" t="str">
        <f t="shared" ref="A227:A231" si="22">P227</f>
        <v>402,…,802</v>
      </c>
      <c r="B227" s="90"/>
      <c r="C227" s="40" t="s">
        <v>171</v>
      </c>
      <c r="D227" s="40">
        <f>(106.76)*10.764</f>
        <v>1149.16464</v>
      </c>
      <c r="E227" s="40">
        <v>0</v>
      </c>
      <c r="F227" s="40">
        <f t="shared" si="21"/>
        <v>1781.2051919999999</v>
      </c>
      <c r="G227" s="85"/>
      <c r="H227" s="86"/>
      <c r="I227" s="34"/>
      <c r="M227" s="35">
        <v>402</v>
      </c>
      <c r="N227" s="35">
        <v>802</v>
      </c>
      <c r="P227" s="35" t="str">
        <f t="shared" ref="P227:P231" si="23">M227&amp;""&amp;",…,"&amp;""&amp;N227</f>
        <v>402,…,802</v>
      </c>
    </row>
    <row r="228" spans="1:16" s="35" customFormat="1" ht="15.75" customHeight="1" x14ac:dyDescent="0.35">
      <c r="A228" s="89" t="str">
        <f t="shared" si="22"/>
        <v>403,…,803</v>
      </c>
      <c r="B228" s="90"/>
      <c r="C228" s="40" t="s">
        <v>171</v>
      </c>
      <c r="D228" s="40">
        <f>(83.7)*10.764</f>
        <v>900.94679999999994</v>
      </c>
      <c r="E228" s="40">
        <v>0</v>
      </c>
      <c r="F228" s="40">
        <f t="shared" si="21"/>
        <v>1396.4675399999999</v>
      </c>
      <c r="G228" s="85"/>
      <c r="H228" s="86"/>
      <c r="I228" s="34"/>
      <c r="M228" s="35">
        <v>403</v>
      </c>
      <c r="N228" s="35">
        <v>803</v>
      </c>
      <c r="P228" s="35" t="str">
        <f t="shared" si="23"/>
        <v>403,…,803</v>
      </c>
    </row>
    <row r="229" spans="1:16" s="35" customFormat="1" ht="15.75" customHeight="1" x14ac:dyDescent="0.35">
      <c r="A229" s="89" t="str">
        <f t="shared" si="22"/>
        <v>404,…,804</v>
      </c>
      <c r="B229" s="90"/>
      <c r="C229" s="40" t="s">
        <v>171</v>
      </c>
      <c r="D229" s="40">
        <f>(85.65)*10.764</f>
        <v>921.9366</v>
      </c>
      <c r="E229" s="40">
        <v>0</v>
      </c>
      <c r="F229" s="40">
        <f t="shared" si="21"/>
        <v>1429.00173</v>
      </c>
      <c r="G229" s="85"/>
      <c r="H229" s="86"/>
      <c r="I229" s="34"/>
      <c r="M229" s="35">
        <v>404</v>
      </c>
      <c r="N229" s="35">
        <v>804</v>
      </c>
      <c r="P229" s="35" t="str">
        <f t="shared" si="23"/>
        <v>404,…,804</v>
      </c>
    </row>
    <row r="230" spans="1:16" s="35" customFormat="1" ht="15.75" customHeight="1" x14ac:dyDescent="0.35">
      <c r="A230" s="89" t="str">
        <f t="shared" si="22"/>
        <v>405,…,805</v>
      </c>
      <c r="B230" s="90"/>
      <c r="C230" s="40" t="s">
        <v>171</v>
      </c>
      <c r="D230" s="40">
        <f>(85.65)*10.764</f>
        <v>921.9366</v>
      </c>
      <c r="E230" s="40">
        <v>0</v>
      </c>
      <c r="F230" s="40">
        <f t="shared" si="21"/>
        <v>1429.00173</v>
      </c>
      <c r="G230" s="85"/>
      <c r="H230" s="86"/>
      <c r="I230" s="34"/>
      <c r="M230" s="35">
        <v>405</v>
      </c>
      <c r="N230" s="35">
        <v>805</v>
      </c>
      <c r="P230" s="35" t="str">
        <f t="shared" si="23"/>
        <v>405,…,805</v>
      </c>
    </row>
    <row r="231" spans="1:16" s="35" customFormat="1" ht="15.75" customHeight="1" x14ac:dyDescent="0.35">
      <c r="A231" s="89" t="str">
        <f t="shared" si="22"/>
        <v>406,…,806</v>
      </c>
      <c r="B231" s="90"/>
      <c r="C231" s="40" t="s">
        <v>171</v>
      </c>
      <c r="D231" s="40">
        <f>(85.59)*10.764</f>
        <v>921.29075999999998</v>
      </c>
      <c r="E231" s="40">
        <v>0</v>
      </c>
      <c r="F231" s="40">
        <f t="shared" si="21"/>
        <v>1428.0006780000001</v>
      </c>
      <c r="G231" s="87"/>
      <c r="H231" s="88"/>
      <c r="I231" s="34"/>
      <c r="M231" s="35">
        <v>406</v>
      </c>
      <c r="N231" s="35">
        <v>806</v>
      </c>
      <c r="P231" s="35" t="str">
        <f t="shared" si="23"/>
        <v>406,…,806</v>
      </c>
    </row>
    <row r="232" spans="1:16" x14ac:dyDescent="0.35">
      <c r="A232" s="80" t="s">
        <v>179</v>
      </c>
      <c r="B232" s="80"/>
      <c r="C232" s="80"/>
      <c r="D232" s="80"/>
      <c r="E232" s="80"/>
      <c r="F232" s="80"/>
      <c r="G232" s="80"/>
      <c r="H232" s="80"/>
    </row>
    <row r="233" spans="1:16" x14ac:dyDescent="0.35">
      <c r="A233" s="80" t="s">
        <v>222</v>
      </c>
      <c r="B233" s="80"/>
      <c r="C233" s="80"/>
      <c r="D233" s="80"/>
      <c r="E233" s="80"/>
      <c r="F233" s="80"/>
      <c r="G233" s="80"/>
      <c r="H233" s="80"/>
    </row>
    <row r="234" spans="1:16" x14ac:dyDescent="0.35">
      <c r="A234" s="80" t="s">
        <v>180</v>
      </c>
      <c r="B234" s="80"/>
      <c r="C234" s="80"/>
      <c r="D234" s="80"/>
      <c r="E234" s="80"/>
      <c r="F234" s="80"/>
      <c r="G234" s="80"/>
      <c r="H234" s="80"/>
    </row>
    <row r="235" spans="1:16" x14ac:dyDescent="0.35">
      <c r="A235" s="80" t="s">
        <v>181</v>
      </c>
      <c r="B235" s="80"/>
      <c r="C235" s="80"/>
      <c r="D235" s="80"/>
      <c r="E235" s="80"/>
      <c r="F235" s="80"/>
      <c r="G235" s="80"/>
      <c r="H235" s="80"/>
    </row>
    <row r="236" spans="1:16" s="35" customFormat="1" x14ac:dyDescent="0.35">
      <c r="A236" s="99" t="s">
        <v>170</v>
      </c>
      <c r="B236" s="100"/>
      <c r="C236" s="100"/>
      <c r="D236" s="100"/>
      <c r="E236" s="100"/>
      <c r="F236" s="100"/>
      <c r="G236" s="100"/>
      <c r="H236" s="101"/>
      <c r="J236" s="34"/>
    </row>
    <row r="237" spans="1:16" s="35" customFormat="1" ht="15.75" customHeight="1" x14ac:dyDescent="0.35">
      <c r="A237" s="89">
        <v>1</v>
      </c>
      <c r="B237" s="90"/>
      <c r="C237" s="40" t="s">
        <v>182</v>
      </c>
      <c r="D237" s="40">
        <f>(22.46)*10.764</f>
        <v>241.75943999999998</v>
      </c>
      <c r="E237" s="40">
        <v>0</v>
      </c>
      <c r="F237" s="40">
        <f>D237*(($F$160)+1)+(IF(E237&lt;101,E237,IF(E237&lt;201,E237/2,IF(E237&lt;=301,E237/3,E237/4))))</f>
        <v>374.72713199999998</v>
      </c>
      <c r="G237" s="83" t="str">
        <f>A236</f>
        <v>1st Floor for Residential</v>
      </c>
      <c r="H237" s="84"/>
      <c r="I237" s="34"/>
      <c r="L237" s="118"/>
      <c r="M237" s="118"/>
      <c r="N237" s="34"/>
    </row>
    <row r="238" spans="1:16" s="35" customFormat="1" ht="15.75" customHeight="1" x14ac:dyDescent="0.35">
      <c r="A238" s="89">
        <v>101</v>
      </c>
      <c r="B238" s="90"/>
      <c r="C238" s="40" t="s">
        <v>171</v>
      </c>
      <c r="D238" s="40">
        <f>(139.04)*10.764</f>
        <v>1496.6265599999999</v>
      </c>
      <c r="E238" s="40">
        <v>0</v>
      </c>
      <c r="F238" s="40">
        <f>D238*(($F$160)+1)+(IF(E238&lt;101,E238,IF(E238&lt;201,E238/2,IF(E238&lt;=301,E238/3,E238/4))))</f>
        <v>2319.7711679999998</v>
      </c>
      <c r="G238" s="85"/>
      <c r="H238" s="86"/>
      <c r="I238" s="34"/>
      <c r="L238" s="118"/>
      <c r="M238" s="118"/>
      <c r="N238" s="34"/>
    </row>
    <row r="239" spans="1:16" s="35" customFormat="1" ht="15.75" customHeight="1" x14ac:dyDescent="0.35">
      <c r="A239" s="89">
        <v>103</v>
      </c>
      <c r="B239" s="90"/>
      <c r="C239" s="40" t="s">
        <v>171</v>
      </c>
      <c r="D239" s="40">
        <f>(108.26)*10.764</f>
        <v>1165.3106399999999</v>
      </c>
      <c r="E239" s="40">
        <v>0</v>
      </c>
      <c r="F239" s="40">
        <f>D239*(($F$160)+1)+(IF(E239&lt;101,E239,IF(E239&lt;201,E239/2,IF(E239&lt;=301,E239/3,E239/4))))</f>
        <v>1806.2314919999999</v>
      </c>
      <c r="G239" s="85"/>
      <c r="H239" s="86"/>
      <c r="I239" s="34"/>
      <c r="L239" s="118"/>
      <c r="M239" s="118"/>
      <c r="N239" s="34"/>
    </row>
    <row r="240" spans="1:16" s="35" customFormat="1" ht="15.75" customHeight="1" x14ac:dyDescent="0.35">
      <c r="A240" s="89">
        <v>104</v>
      </c>
      <c r="B240" s="90"/>
      <c r="C240" s="40" t="s">
        <v>171</v>
      </c>
      <c r="D240" s="40">
        <f>(108.46)*10.764</f>
        <v>1167.4634399999998</v>
      </c>
      <c r="E240" s="40">
        <v>0</v>
      </c>
      <c r="F240" s="40">
        <f>D240*(($F$160)+1)+(IF(E240&lt;101,E240,IF(E240&lt;201,E240/2,IF(E240&lt;=301,E240/3,E240/4))))</f>
        <v>1809.5683319999996</v>
      </c>
      <c r="G240" s="87"/>
      <c r="H240" s="88"/>
      <c r="I240" s="34"/>
      <c r="L240" s="118"/>
      <c r="M240" s="118"/>
      <c r="N240" s="34"/>
    </row>
    <row r="241" spans="1:16" s="35" customFormat="1" x14ac:dyDescent="0.35">
      <c r="A241" s="99" t="s">
        <v>120</v>
      </c>
      <c r="B241" s="100"/>
      <c r="C241" s="100"/>
      <c r="D241" s="100"/>
      <c r="E241" s="100"/>
      <c r="F241" s="100"/>
      <c r="G241" s="100"/>
      <c r="H241" s="101"/>
      <c r="J241" s="34"/>
    </row>
    <row r="242" spans="1:16" s="35" customFormat="1" x14ac:dyDescent="0.35">
      <c r="A242" s="89">
        <v>201</v>
      </c>
      <c r="B242" s="90"/>
      <c r="C242" s="40" t="s">
        <v>171</v>
      </c>
      <c r="D242" s="40">
        <f>(139.09)*10.764</f>
        <v>1497.1647599999999</v>
      </c>
      <c r="E242" s="40">
        <v>0</v>
      </c>
      <c r="F242" s="40">
        <f>D242*(($F$160)+1)+(IF(E242&lt;101,E242,IF(E242&lt;201,E242/2,IF(E242&lt;=301,E242/3,E242/4))))</f>
        <v>2320.6053779999997</v>
      </c>
      <c r="G242" s="83" t="str">
        <f>A241</f>
        <v>2nd Floor</v>
      </c>
      <c r="H242" s="84"/>
      <c r="I242" s="34">
        <f>(60000000-1350000)/F242</f>
        <v>25273.577556967986</v>
      </c>
      <c r="L242" s="118"/>
      <c r="M242" s="118"/>
      <c r="N242" s="34"/>
    </row>
    <row r="243" spans="1:16" s="35" customFormat="1" x14ac:dyDescent="0.35">
      <c r="A243" s="89">
        <v>202</v>
      </c>
      <c r="B243" s="90"/>
      <c r="C243" s="40" t="s">
        <v>171</v>
      </c>
      <c r="D243" s="40">
        <f>(111.16)*10.764</f>
        <v>1196.5262399999999</v>
      </c>
      <c r="E243" s="40">
        <v>0</v>
      </c>
      <c r="F243" s="40">
        <f>D243*(($F$160)+1)+(IF(E243&lt;101,E243,IF(E243&lt;201,E243/2,IF(E243&lt;=301,E243/3,E243/4))))</f>
        <v>1854.6156719999999</v>
      </c>
      <c r="G243" s="85"/>
      <c r="H243" s="86"/>
      <c r="I243" s="34"/>
      <c r="L243" s="118"/>
      <c r="M243" s="118"/>
      <c r="N243" s="34"/>
    </row>
    <row r="244" spans="1:16" s="35" customFormat="1" x14ac:dyDescent="0.35">
      <c r="A244" s="89">
        <v>203</v>
      </c>
      <c r="B244" s="90"/>
      <c r="C244" s="40" t="s">
        <v>171</v>
      </c>
      <c r="D244" s="40">
        <f>(108.26)*10.764</f>
        <v>1165.3106399999999</v>
      </c>
      <c r="E244" s="40">
        <v>0</v>
      </c>
      <c r="F244" s="40">
        <f>D244*(($F$160)+1)+(IF(E244&lt;101,E244,IF(E244&lt;201,E244/2,IF(E244&lt;=301,E244/3,E244/4))))</f>
        <v>1806.2314919999999</v>
      </c>
      <c r="G244" s="85"/>
      <c r="H244" s="86"/>
      <c r="I244" s="34"/>
      <c r="L244" s="118"/>
      <c r="M244" s="118"/>
      <c r="N244" s="34"/>
    </row>
    <row r="245" spans="1:16" s="35" customFormat="1" x14ac:dyDescent="0.35">
      <c r="A245" s="89">
        <v>204</v>
      </c>
      <c r="B245" s="90"/>
      <c r="C245" s="40" t="s">
        <v>171</v>
      </c>
      <c r="D245" s="40">
        <f>(108.47)*10.764</f>
        <v>1167.5710799999999</v>
      </c>
      <c r="E245" s="40">
        <v>0</v>
      </c>
      <c r="F245" s="40">
        <f>D245*(($F$160)+1)+(IF(E245&lt;101,E245,IF(E245&lt;201,E245/2,IF(E245&lt;=301,E245/3,E245/4))))</f>
        <v>1809.7351739999999</v>
      </c>
      <c r="G245" s="87"/>
      <c r="H245" s="88"/>
      <c r="I245" s="34"/>
      <c r="L245" s="118"/>
      <c r="M245" s="118"/>
      <c r="N245" s="34"/>
    </row>
    <row r="246" spans="1:16" s="35" customFormat="1" ht="15.75" customHeight="1" x14ac:dyDescent="0.35">
      <c r="A246" s="99" t="s">
        <v>183</v>
      </c>
      <c r="B246" s="100"/>
      <c r="C246" s="100"/>
      <c r="D246" s="100"/>
      <c r="E246" s="100"/>
      <c r="F246" s="100"/>
      <c r="G246" s="100"/>
      <c r="H246" s="101"/>
      <c r="I246" s="34"/>
    </row>
    <row r="247" spans="1:16" s="35" customFormat="1" ht="15.75" customHeight="1" x14ac:dyDescent="0.35">
      <c r="A247" s="89" t="str">
        <f>P247</f>
        <v>301,…,901</v>
      </c>
      <c r="B247" s="90"/>
      <c r="C247" s="40" t="s">
        <v>171</v>
      </c>
      <c r="D247" s="40">
        <f>(139)*10.764</f>
        <v>1496.1959999999999</v>
      </c>
      <c r="E247" s="40">
        <v>0</v>
      </c>
      <c r="F247" s="40">
        <f>D247*(($F$160)+1)+(IF(E247&lt;101,E247,IF(E247&lt;201,E247/2,IF(E247&lt;=301,E247/3,E247/4))))</f>
        <v>2319.1037999999999</v>
      </c>
      <c r="G247" s="83" t="str">
        <f>A246</f>
        <v>3rd, 5th, 7th, 9th Floor</v>
      </c>
      <c r="H247" s="84"/>
      <c r="I247" s="34"/>
      <c r="M247" s="35">
        <v>301</v>
      </c>
      <c r="N247" s="35">
        <v>901</v>
      </c>
      <c r="P247" s="35" t="str">
        <f>M247&amp;""&amp;",…,"&amp;""&amp;N247</f>
        <v>301,…,901</v>
      </c>
    </row>
    <row r="248" spans="1:16" s="35" customFormat="1" ht="15.75" customHeight="1" x14ac:dyDescent="0.35">
      <c r="A248" s="89" t="str">
        <f t="shared" ref="A248:A250" si="24">P248</f>
        <v>302,…,902</v>
      </c>
      <c r="B248" s="90"/>
      <c r="C248" s="40" t="s">
        <v>171</v>
      </c>
      <c r="D248" s="40">
        <f>(110.94)*10.764</f>
        <v>1194.15816</v>
      </c>
      <c r="E248" s="40">
        <v>0</v>
      </c>
      <c r="F248" s="40">
        <f>D248*(($F$160)+1)+(IF(E248&lt;101,E248,IF(E248&lt;201,E248/2,IF(E248&lt;=301,E248/3,E248/4))))</f>
        <v>1850.945148</v>
      </c>
      <c r="G248" s="85"/>
      <c r="H248" s="86"/>
      <c r="I248" s="34"/>
      <c r="M248" s="35">
        <v>302</v>
      </c>
      <c r="N248" s="35">
        <v>902</v>
      </c>
      <c r="P248" s="35" t="str">
        <f t="shared" ref="P248:P250" si="25">M248&amp;""&amp;",…,"&amp;""&amp;N248</f>
        <v>302,…,902</v>
      </c>
    </row>
    <row r="249" spans="1:16" s="35" customFormat="1" ht="15.75" customHeight="1" x14ac:dyDescent="0.35">
      <c r="A249" s="89" t="str">
        <f t="shared" si="24"/>
        <v>303,…,903</v>
      </c>
      <c r="B249" s="90"/>
      <c r="C249" s="40" t="s">
        <v>171</v>
      </c>
      <c r="D249" s="40">
        <f>(108.26)*10.764</f>
        <v>1165.3106399999999</v>
      </c>
      <c r="E249" s="40">
        <v>0</v>
      </c>
      <c r="F249" s="40">
        <f>D249*(($F$160)+1)+(IF(E249&lt;101,E249,IF(E249&lt;201,E249/2,IF(E249&lt;=301,E249/3,E249/4))))</f>
        <v>1806.2314919999999</v>
      </c>
      <c r="G249" s="85"/>
      <c r="H249" s="86"/>
      <c r="I249" s="34"/>
      <c r="M249" s="35">
        <v>303</v>
      </c>
      <c r="N249" s="35">
        <v>903</v>
      </c>
      <c r="P249" s="35" t="str">
        <f t="shared" si="25"/>
        <v>303,…,903</v>
      </c>
    </row>
    <row r="250" spans="1:16" s="35" customFormat="1" ht="15.75" customHeight="1" x14ac:dyDescent="0.35">
      <c r="A250" s="89" t="str">
        <f t="shared" si="24"/>
        <v>304,…,904</v>
      </c>
      <c r="B250" s="90"/>
      <c r="C250" s="40" t="s">
        <v>171</v>
      </c>
      <c r="D250" s="40">
        <f>(108.25)*10.764</f>
        <v>1165.203</v>
      </c>
      <c r="E250" s="40">
        <v>0</v>
      </c>
      <c r="F250" s="40">
        <f>D250*(($F$160)+1)+(IF(E250&lt;101,E250,IF(E250&lt;201,E250/2,IF(E250&lt;=301,E250/3,E250/4))))</f>
        <v>1806.06465</v>
      </c>
      <c r="G250" s="87"/>
      <c r="H250" s="88"/>
      <c r="I250" s="34"/>
      <c r="M250" s="35">
        <v>304</v>
      </c>
      <c r="N250" s="35">
        <v>904</v>
      </c>
      <c r="P250" s="35" t="str">
        <f t="shared" si="25"/>
        <v>304,…,904</v>
      </c>
    </row>
    <row r="251" spans="1:16" s="35" customFormat="1" ht="15.75" customHeight="1" x14ac:dyDescent="0.35">
      <c r="A251" s="99" t="s">
        <v>173</v>
      </c>
      <c r="B251" s="100"/>
      <c r="C251" s="100"/>
      <c r="D251" s="100"/>
      <c r="E251" s="100"/>
      <c r="F251" s="100"/>
      <c r="G251" s="100"/>
      <c r="H251" s="101"/>
      <c r="I251" s="34"/>
    </row>
    <row r="252" spans="1:16" s="35" customFormat="1" ht="15.75" customHeight="1" x14ac:dyDescent="0.35">
      <c r="A252" s="89" t="str">
        <f>P252</f>
        <v>401,…,801</v>
      </c>
      <c r="B252" s="90"/>
      <c r="C252" s="40" t="s">
        <v>171</v>
      </c>
      <c r="D252" s="40">
        <f>(139)*10.764</f>
        <v>1496.1959999999999</v>
      </c>
      <c r="E252" s="40">
        <v>0</v>
      </c>
      <c r="F252" s="40">
        <f>D252*(($F$160)+1)+(IF(E252&lt;101,E252,IF(E252&lt;201,E252/2,IF(E252&lt;=301,E252/3,E252/4))))</f>
        <v>2319.1037999999999</v>
      </c>
      <c r="G252" s="83" t="str">
        <f>A251</f>
        <v>4th, 6th, 8th Floor</v>
      </c>
      <c r="H252" s="84"/>
      <c r="I252" s="34"/>
      <c r="M252" s="35">
        <v>401</v>
      </c>
      <c r="N252" s="35">
        <v>801</v>
      </c>
      <c r="P252" s="35" t="str">
        <f>M252&amp;""&amp;",…,"&amp;""&amp;N252</f>
        <v>401,…,801</v>
      </c>
    </row>
    <row r="253" spans="1:16" s="35" customFormat="1" ht="15.75" customHeight="1" x14ac:dyDescent="0.35">
      <c r="A253" s="89" t="str">
        <f t="shared" ref="A253:A255" si="26">P253</f>
        <v>402,…,802</v>
      </c>
      <c r="B253" s="90"/>
      <c r="C253" s="40" t="s">
        <v>171</v>
      </c>
      <c r="D253" s="40">
        <f>(111.16)*10.764</f>
        <v>1196.5262399999999</v>
      </c>
      <c r="E253" s="40">
        <v>0</v>
      </c>
      <c r="F253" s="40">
        <f>D253*(($F$160)+1)+(IF(E253&lt;101,E253,IF(E253&lt;201,E253/2,IF(E253&lt;=301,E253/3,E253/4))))</f>
        <v>1854.6156719999999</v>
      </c>
      <c r="G253" s="85"/>
      <c r="H253" s="86"/>
      <c r="I253" s="34"/>
      <c r="M253" s="35">
        <v>402</v>
      </c>
      <c r="N253" s="35">
        <v>802</v>
      </c>
      <c r="P253" s="35" t="str">
        <f t="shared" ref="P253:P255" si="27">M253&amp;""&amp;",…,"&amp;""&amp;N253</f>
        <v>402,…,802</v>
      </c>
    </row>
    <row r="254" spans="1:16" s="35" customFormat="1" ht="15.75" customHeight="1" x14ac:dyDescent="0.35">
      <c r="A254" s="89" t="str">
        <f t="shared" si="26"/>
        <v>403,…,803</v>
      </c>
      <c r="B254" s="90"/>
      <c r="C254" s="40" t="s">
        <v>171</v>
      </c>
      <c r="D254" s="40">
        <f>(108.26)*10.764</f>
        <v>1165.3106399999999</v>
      </c>
      <c r="E254" s="40">
        <v>0</v>
      </c>
      <c r="F254" s="40">
        <f>D254*(($F$160)+1)+(IF(E254&lt;101,E254,IF(E254&lt;201,E254/2,IF(E254&lt;=301,E254/3,E254/4))))</f>
        <v>1806.2314919999999</v>
      </c>
      <c r="G254" s="85"/>
      <c r="H254" s="86"/>
      <c r="I254" s="34"/>
      <c r="M254" s="35">
        <v>403</v>
      </c>
      <c r="N254" s="35">
        <v>803</v>
      </c>
      <c r="P254" s="35" t="str">
        <f t="shared" si="27"/>
        <v>403,…,803</v>
      </c>
    </row>
    <row r="255" spans="1:16" s="35" customFormat="1" ht="15.75" customHeight="1" x14ac:dyDescent="0.35">
      <c r="A255" s="89" t="str">
        <f t="shared" si="26"/>
        <v>404,…,804</v>
      </c>
      <c r="B255" s="90"/>
      <c r="C255" s="40" t="s">
        <v>171</v>
      </c>
      <c r="D255" s="40">
        <f>(108.47)*10.764</f>
        <v>1167.5710799999999</v>
      </c>
      <c r="E255" s="40">
        <v>0</v>
      </c>
      <c r="F255" s="40">
        <f>D255*(($F$160)+1)+(IF(E255&lt;101,E255,IF(E255&lt;201,E255/2,IF(E255&lt;=301,E255/3,E255/4))))</f>
        <v>1809.7351739999999</v>
      </c>
      <c r="G255" s="87"/>
      <c r="H255" s="88"/>
      <c r="I255" s="34"/>
      <c r="M255" s="35">
        <v>404</v>
      </c>
      <c r="N255" s="35">
        <v>804</v>
      </c>
      <c r="P255" s="35" t="str">
        <f t="shared" si="27"/>
        <v>404,…,804</v>
      </c>
    </row>
    <row r="256" spans="1:16" s="35" customFormat="1" x14ac:dyDescent="0.35">
      <c r="A256" s="99" t="s">
        <v>174</v>
      </c>
      <c r="B256" s="100"/>
      <c r="C256" s="100"/>
      <c r="D256" s="100"/>
      <c r="E256" s="100"/>
      <c r="F256" s="100"/>
      <c r="G256" s="100"/>
      <c r="H256" s="101"/>
      <c r="J256" s="34"/>
    </row>
    <row r="257" spans="1:14" s="35" customFormat="1" x14ac:dyDescent="0.35">
      <c r="A257" s="89">
        <v>201</v>
      </c>
      <c r="B257" s="90"/>
      <c r="C257" s="40" t="s">
        <v>171</v>
      </c>
      <c r="D257" s="40">
        <f>(139.09)*10.764</f>
        <v>1497.1647599999999</v>
      </c>
      <c r="E257" s="40">
        <v>0</v>
      </c>
      <c r="F257" s="40">
        <f>D257*(($F$160)+1)+(IF(E257&lt;101,E257,IF(E257&lt;201,E257/2,IF(E257&lt;=301,E257/3,E257/4))))</f>
        <v>2320.6053779999997</v>
      </c>
      <c r="G257" s="83" t="str">
        <f>A256</f>
        <v>10th Floor</v>
      </c>
      <c r="H257" s="84"/>
      <c r="I257" s="34"/>
      <c r="L257" s="118"/>
      <c r="M257" s="118"/>
      <c r="N257" s="34"/>
    </row>
    <row r="258" spans="1:14" s="35" customFormat="1" x14ac:dyDescent="0.35">
      <c r="A258" s="89">
        <v>202</v>
      </c>
      <c r="B258" s="90"/>
      <c r="C258" s="40" t="s">
        <v>171</v>
      </c>
      <c r="D258" s="40">
        <f>(111.16)*10.764</f>
        <v>1196.5262399999999</v>
      </c>
      <c r="E258" s="40">
        <v>0</v>
      </c>
      <c r="F258" s="40">
        <f>D258*(($F$160)+1)+(IF(E258&lt;101,E258,IF(E258&lt;201,E258/2,IF(E258&lt;=301,E258/3,E258/4))))</f>
        <v>1854.6156719999999</v>
      </c>
      <c r="G258" s="85"/>
      <c r="H258" s="86"/>
      <c r="I258" s="34">
        <f>22000000/F258</f>
        <v>11862.29596360275</v>
      </c>
      <c r="L258" s="118"/>
      <c r="M258" s="118"/>
      <c r="N258" s="34"/>
    </row>
    <row r="259" spans="1:14" s="35" customFormat="1" x14ac:dyDescent="0.35">
      <c r="A259" s="89">
        <v>203</v>
      </c>
      <c r="B259" s="90"/>
      <c r="C259" s="40" t="s">
        <v>171</v>
      </c>
      <c r="D259" s="40">
        <f>(108.26)*10.764</f>
        <v>1165.3106399999999</v>
      </c>
      <c r="E259" s="40">
        <v>0</v>
      </c>
      <c r="F259" s="40">
        <f>D259*(($F$160)+1)+(IF(E259&lt;101,E259,IF(E259&lt;201,E259/2,IF(E259&lt;=301,E259/3,E259/4))))</f>
        <v>1806.2314919999999</v>
      </c>
      <c r="G259" s="85"/>
      <c r="H259" s="86"/>
      <c r="I259" s="34"/>
      <c r="L259" s="118"/>
      <c r="M259" s="118"/>
      <c r="N259" s="34"/>
    </row>
    <row r="260" spans="1:14" s="35" customFormat="1" x14ac:dyDescent="0.35">
      <c r="A260" s="89">
        <v>204</v>
      </c>
      <c r="B260" s="90"/>
      <c r="C260" s="40" t="s">
        <v>171</v>
      </c>
      <c r="D260" s="40">
        <f>(108.47)*10.764</f>
        <v>1167.5710799999999</v>
      </c>
      <c r="E260" s="40">
        <v>0</v>
      </c>
      <c r="F260" s="40">
        <f>D260*(($F$160)+1)+(IF(E260&lt;101,E260,IF(E260&lt;201,E260/2,IF(E260&lt;=301,E260/3,E260/4))))</f>
        <v>1809.7351739999999</v>
      </c>
      <c r="G260" s="87"/>
      <c r="H260" s="88"/>
      <c r="I260" s="34"/>
      <c r="L260" s="118"/>
      <c r="M260" s="118"/>
      <c r="N260" s="34"/>
    </row>
    <row r="261" spans="1:14" s="35" customFormat="1" x14ac:dyDescent="0.35">
      <c r="A261" s="99" t="s">
        <v>184</v>
      </c>
      <c r="B261" s="100"/>
      <c r="C261" s="100"/>
      <c r="D261" s="100"/>
      <c r="E261" s="100"/>
      <c r="F261" s="100"/>
      <c r="G261" s="100"/>
      <c r="H261" s="101"/>
      <c r="J261" s="34"/>
    </row>
    <row r="262" spans="1:14" s="35" customFormat="1" x14ac:dyDescent="0.35">
      <c r="A262" s="89">
        <v>201</v>
      </c>
      <c r="B262" s="90"/>
      <c r="C262" s="40" t="s">
        <v>171</v>
      </c>
      <c r="D262" s="40">
        <f>(139.09)*10.764</f>
        <v>1497.1647599999999</v>
      </c>
      <c r="E262" s="40">
        <v>0</v>
      </c>
      <c r="F262" s="40">
        <f>D262*(($F$160)+1)+(IF(E262&lt;101,E262,IF(E262&lt;201,E262/2,IF(E262&lt;=301,E262/3,E262/4))))</f>
        <v>2320.6053779999997</v>
      </c>
      <c r="G262" s="83" t="str">
        <f>A261</f>
        <v>11th Floor</v>
      </c>
      <c r="H262" s="84"/>
      <c r="I262" s="34">
        <f>50000000/F262</f>
        <v>21546.101924098879</v>
      </c>
      <c r="J262" s="35" t="s">
        <v>215</v>
      </c>
      <c r="L262" s="118"/>
      <c r="M262" s="118"/>
      <c r="N262" s="34"/>
    </row>
    <row r="263" spans="1:14" s="35" customFormat="1" x14ac:dyDescent="0.35">
      <c r="A263" s="89">
        <v>202</v>
      </c>
      <c r="B263" s="90"/>
      <c r="C263" s="40" t="s">
        <v>171</v>
      </c>
      <c r="D263" s="40">
        <f>(110.94)*10.764</f>
        <v>1194.15816</v>
      </c>
      <c r="E263" s="40">
        <v>0</v>
      </c>
      <c r="F263" s="40">
        <f>D263*(($F$160)+1)+(IF(E263&lt;101,E263,IF(E263&lt;201,E263/2,IF(E263&lt;=301,E263/3,E263/4))))</f>
        <v>1850.945148</v>
      </c>
      <c r="G263" s="85"/>
      <c r="H263" s="86"/>
      <c r="I263" s="34"/>
      <c r="L263" s="118"/>
      <c r="M263" s="118"/>
      <c r="N263" s="34"/>
    </row>
    <row r="264" spans="1:14" s="35" customFormat="1" x14ac:dyDescent="0.35">
      <c r="A264" s="89">
        <v>203</v>
      </c>
      <c r="B264" s="90"/>
      <c r="C264" s="40" t="s">
        <v>171</v>
      </c>
      <c r="D264" s="40">
        <f>(108.26)*10.764</f>
        <v>1165.3106399999999</v>
      </c>
      <c r="E264" s="40">
        <v>0</v>
      </c>
      <c r="F264" s="40">
        <f>D264*(($F$160)+1)+(IF(E264&lt;101,E264,IF(E264&lt;201,E264/2,IF(E264&lt;=301,E264/3,E264/4))))</f>
        <v>1806.2314919999999</v>
      </c>
      <c r="G264" s="85"/>
      <c r="H264" s="86"/>
      <c r="I264" s="34"/>
      <c r="L264" s="118"/>
      <c r="M264" s="118"/>
      <c r="N264" s="34"/>
    </row>
    <row r="265" spans="1:14" s="35" customFormat="1" x14ac:dyDescent="0.35">
      <c r="A265" s="89">
        <v>204</v>
      </c>
      <c r="B265" s="90"/>
      <c r="C265" s="40" t="s">
        <v>171</v>
      </c>
      <c r="D265" s="40">
        <f>(108.25)*10.764</f>
        <v>1165.203</v>
      </c>
      <c r="E265" s="40">
        <v>0</v>
      </c>
      <c r="F265" s="40">
        <f>D265*(($F$160)+1)+(IF(E265&lt;101,E265,IF(E265&lt;201,E265/2,IF(E265&lt;=301,E265/3,E265/4))))</f>
        <v>1806.06465</v>
      </c>
      <c r="G265" s="87"/>
      <c r="H265" s="88"/>
      <c r="I265" s="34"/>
      <c r="L265" s="118"/>
      <c r="M265" s="118"/>
      <c r="N265" s="34"/>
    </row>
    <row r="266" spans="1:14" s="35" customFormat="1" x14ac:dyDescent="0.35">
      <c r="A266" s="99" t="s">
        <v>185</v>
      </c>
      <c r="B266" s="100"/>
      <c r="C266" s="100"/>
      <c r="D266" s="100"/>
      <c r="E266" s="100"/>
      <c r="F266" s="100"/>
      <c r="G266" s="100"/>
      <c r="H266" s="101"/>
      <c r="J266" s="34"/>
    </row>
    <row r="267" spans="1:14" s="35" customFormat="1" ht="64.25" customHeight="1" x14ac:dyDescent="0.35">
      <c r="A267" s="89">
        <v>1201</v>
      </c>
      <c r="B267" s="90"/>
      <c r="C267" s="40" t="s">
        <v>186</v>
      </c>
      <c r="D267" s="40">
        <f>(142.66+130.24)*10.764</f>
        <v>2937.4955999999997</v>
      </c>
      <c r="E267" s="40">
        <v>0</v>
      </c>
      <c r="F267" s="40">
        <f>D267*(($F$160)+1)+(IF(E267&lt;101,E267,IF(E267&lt;201,E267/2,IF(E267&lt;=301,E267/3,E267/4))))</f>
        <v>4553.1181799999995</v>
      </c>
      <c r="G267" s="83" t="str">
        <f>A266</f>
        <v>12th Floor</v>
      </c>
      <c r="H267" s="84"/>
      <c r="I267" s="34"/>
      <c r="L267" s="118"/>
      <c r="M267" s="118"/>
      <c r="N267" s="34"/>
    </row>
    <row r="268" spans="1:14" s="35" customFormat="1" ht="67.75" customHeight="1" x14ac:dyDescent="0.35">
      <c r="A268" s="89">
        <v>1202</v>
      </c>
      <c r="B268" s="90"/>
      <c r="C268" s="40" t="s">
        <v>186</v>
      </c>
      <c r="D268" s="40">
        <f>(110.02+102.45)*10.764</f>
        <v>2287.0270799999998</v>
      </c>
      <c r="E268" s="40">
        <v>0</v>
      </c>
      <c r="F268" s="40">
        <f>D268*(($F$160)+1)+(IF(E268&lt;101,E268,IF(E268&lt;201,E268/2,IF(E268&lt;=301,E268/3,E268/4))))</f>
        <v>3544.8919739999997</v>
      </c>
      <c r="G268" s="85"/>
      <c r="H268" s="86"/>
      <c r="I268" s="34"/>
      <c r="L268" s="118"/>
      <c r="M268" s="118"/>
      <c r="N268" s="34"/>
    </row>
    <row r="269" spans="1:14" s="35" customFormat="1" x14ac:dyDescent="0.35">
      <c r="A269" s="89">
        <v>1203</v>
      </c>
      <c r="B269" s="90"/>
      <c r="C269" s="40" t="s">
        <v>171</v>
      </c>
      <c r="D269" s="40">
        <f>(108.26)*10.764</f>
        <v>1165.3106399999999</v>
      </c>
      <c r="E269" s="40">
        <v>0</v>
      </c>
      <c r="F269" s="40">
        <f>D269*(($F$160)+1)+(IF(E269&lt;101,E269,IF(E269&lt;201,E269/2,IF(E269&lt;=301,E269/3,E269/4))))</f>
        <v>1806.2314919999999</v>
      </c>
      <c r="G269" s="85"/>
      <c r="H269" s="86"/>
      <c r="I269" s="34"/>
      <c r="L269" s="118"/>
      <c r="M269" s="118"/>
      <c r="N269" s="34"/>
    </row>
    <row r="270" spans="1:14" s="35" customFormat="1" x14ac:dyDescent="0.35">
      <c r="A270" s="89">
        <v>1204</v>
      </c>
      <c r="B270" s="90"/>
      <c r="C270" s="40" t="s">
        <v>171</v>
      </c>
      <c r="D270" s="40">
        <f>(108.25)*10.764</f>
        <v>1165.203</v>
      </c>
      <c r="E270" s="40">
        <v>0</v>
      </c>
      <c r="F270" s="40">
        <f>D270*(($F$160)+1)+(IF(E270&lt;101,E270,IF(E270&lt;201,E270/2,IF(E270&lt;=301,E270/3,E270/4))))</f>
        <v>1806.06465</v>
      </c>
      <c r="G270" s="87"/>
      <c r="H270" s="88"/>
      <c r="I270" s="34">
        <f>(2.85*1.2+2.1*0.6+7.5*3.8+2.75*3.8+2.45*1.5+3.95*3.65+3.65*3.35+4.8*3.65+1.8*2.45+0.65*1.75+1.05*1.55+1.05*1.9+1.8*2.7)*10.764</f>
        <v>1135.6019999999999</v>
      </c>
      <c r="L270" s="118"/>
      <c r="M270" s="118"/>
      <c r="N270" s="34"/>
    </row>
    <row r="271" spans="1:14" s="35" customFormat="1" x14ac:dyDescent="0.35">
      <c r="A271" s="99" t="s">
        <v>187</v>
      </c>
      <c r="B271" s="100"/>
      <c r="C271" s="100"/>
      <c r="D271" s="100"/>
      <c r="E271" s="100"/>
      <c r="F271" s="100"/>
      <c r="G271" s="100"/>
      <c r="H271" s="101"/>
      <c r="J271" s="34"/>
    </row>
    <row r="272" spans="1:14" s="35" customFormat="1" x14ac:dyDescent="0.35">
      <c r="A272" s="89">
        <v>1301</v>
      </c>
      <c r="B272" s="90"/>
      <c r="C272" s="89" t="s">
        <v>188</v>
      </c>
      <c r="D272" s="119"/>
      <c r="E272" s="119"/>
      <c r="F272" s="90"/>
      <c r="G272" s="83" t="str">
        <f>A271</f>
        <v>13th Floor</v>
      </c>
      <c r="H272" s="84"/>
      <c r="I272" s="34"/>
      <c r="L272" s="118"/>
      <c r="M272" s="118"/>
      <c r="N272" s="34"/>
    </row>
    <row r="273" spans="1:14" s="35" customFormat="1" x14ac:dyDescent="0.35">
      <c r="A273" s="89">
        <v>1302</v>
      </c>
      <c r="B273" s="90"/>
      <c r="C273" s="89" t="s">
        <v>188</v>
      </c>
      <c r="D273" s="119"/>
      <c r="E273" s="119"/>
      <c r="F273" s="90"/>
      <c r="G273" s="85"/>
      <c r="H273" s="86"/>
      <c r="I273" s="34"/>
      <c r="L273" s="118"/>
      <c r="M273" s="118"/>
      <c r="N273" s="34"/>
    </row>
    <row r="274" spans="1:14" s="35" customFormat="1" x14ac:dyDescent="0.35">
      <c r="A274" s="89">
        <v>1303</v>
      </c>
      <c r="B274" s="90"/>
      <c r="C274" s="83" t="s">
        <v>175</v>
      </c>
      <c r="D274" s="184"/>
      <c r="E274" s="184"/>
      <c r="F274" s="84"/>
      <c r="G274" s="85"/>
      <c r="H274" s="86"/>
      <c r="I274" s="34"/>
      <c r="L274" s="118"/>
      <c r="M274" s="118"/>
      <c r="N274" s="34"/>
    </row>
    <row r="275" spans="1:14" s="35" customFormat="1" x14ac:dyDescent="0.35">
      <c r="A275" s="89">
        <v>1304</v>
      </c>
      <c r="B275" s="90"/>
      <c r="C275" s="87"/>
      <c r="D275" s="185"/>
      <c r="E275" s="185"/>
      <c r="F275" s="88"/>
      <c r="G275" s="87"/>
      <c r="H275" s="88"/>
      <c r="I275" s="34"/>
      <c r="L275" s="118"/>
      <c r="M275" s="118"/>
      <c r="N275" s="34"/>
    </row>
    <row r="276" spans="1:14" x14ac:dyDescent="0.35">
      <c r="A276" s="80" t="s">
        <v>237</v>
      </c>
      <c r="B276" s="80"/>
      <c r="C276" s="80"/>
      <c r="D276" s="80"/>
      <c r="E276" s="80"/>
      <c r="F276" s="80"/>
      <c r="G276" s="80"/>
      <c r="H276" s="80"/>
    </row>
    <row r="277" spans="1:14" x14ac:dyDescent="0.35">
      <c r="A277" s="80" t="s">
        <v>180</v>
      </c>
      <c r="B277" s="80"/>
      <c r="C277" s="80"/>
      <c r="D277" s="80"/>
      <c r="E277" s="80"/>
      <c r="F277" s="80"/>
      <c r="G277" s="80"/>
      <c r="H277" s="80"/>
    </row>
    <row r="278" spans="1:14" x14ac:dyDescent="0.35">
      <c r="A278" s="80" t="s">
        <v>181</v>
      </c>
      <c r="B278" s="80"/>
      <c r="C278" s="80"/>
      <c r="D278" s="80"/>
      <c r="E278" s="80"/>
      <c r="F278" s="80"/>
      <c r="G278" s="80"/>
      <c r="H278" s="80"/>
    </row>
    <row r="279" spans="1:14" s="61" customFormat="1" x14ac:dyDescent="0.35">
      <c r="A279" s="99" t="s">
        <v>170</v>
      </c>
      <c r="B279" s="100"/>
      <c r="C279" s="100"/>
      <c r="D279" s="100"/>
      <c r="E279" s="100"/>
      <c r="F279" s="100"/>
      <c r="G279" s="100"/>
      <c r="H279" s="101"/>
      <c r="J279" s="34"/>
    </row>
    <row r="280" spans="1:14" s="61" customFormat="1" ht="15.75" customHeight="1" x14ac:dyDescent="0.35">
      <c r="A280" s="89">
        <v>1</v>
      </c>
      <c r="B280" s="90"/>
      <c r="C280" s="62" t="s">
        <v>182</v>
      </c>
      <c r="D280" s="62">
        <f>(22.46)*10.764</f>
        <v>241.75943999999998</v>
      </c>
      <c r="E280" s="62">
        <v>0</v>
      </c>
      <c r="F280" s="62">
        <f>D280*(($F$160)+1)+(IF(E280&lt;101,E280,IF(E280&lt;201,E280/2,IF(E280&lt;=301,E280/3,E280/4))))</f>
        <v>374.72713199999998</v>
      </c>
      <c r="G280" s="83" t="str">
        <f>A279</f>
        <v>1st Floor for Residential</v>
      </c>
      <c r="H280" s="84"/>
      <c r="I280" s="34"/>
      <c r="L280" s="118"/>
      <c r="M280" s="118"/>
      <c r="N280" s="34"/>
    </row>
    <row r="281" spans="1:14" s="61" customFormat="1" ht="15.75" customHeight="1" x14ac:dyDescent="0.35">
      <c r="A281" s="89">
        <v>101</v>
      </c>
      <c r="B281" s="90"/>
      <c r="C281" s="62" t="s">
        <v>171</v>
      </c>
      <c r="D281" s="62">
        <f>(139.04)*10.764</f>
        <v>1496.6265599999999</v>
      </c>
      <c r="E281" s="62">
        <v>0</v>
      </c>
      <c r="F281" s="62">
        <f>D281*(($F$160)+1)+(IF(E281&lt;101,E281,IF(E281&lt;201,E281/2,IF(E281&lt;=301,E281/3,E281/4))))</f>
        <v>2319.7711679999998</v>
      </c>
      <c r="G281" s="85"/>
      <c r="H281" s="86"/>
      <c r="I281" s="34"/>
      <c r="L281" s="118"/>
      <c r="M281" s="118"/>
      <c r="N281" s="34"/>
    </row>
    <row r="282" spans="1:14" s="61" customFormat="1" ht="15.75" customHeight="1" x14ac:dyDescent="0.35">
      <c r="A282" s="89">
        <v>103</v>
      </c>
      <c r="B282" s="90"/>
      <c r="C282" s="62" t="s">
        <v>171</v>
      </c>
      <c r="D282" s="62">
        <f>(108.26)*10.764</f>
        <v>1165.3106399999999</v>
      </c>
      <c r="E282" s="62">
        <v>0</v>
      </c>
      <c r="F282" s="62">
        <f>D282*(($F$160)+1)+(IF(E282&lt;101,E282,IF(E282&lt;201,E282/2,IF(E282&lt;=301,E282/3,E282/4))))</f>
        <v>1806.2314919999999</v>
      </c>
      <c r="G282" s="85"/>
      <c r="H282" s="86"/>
      <c r="I282" s="34"/>
      <c r="L282" s="118"/>
      <c r="M282" s="118"/>
      <c r="N282" s="34"/>
    </row>
    <row r="283" spans="1:14" s="61" customFormat="1" ht="15.75" customHeight="1" x14ac:dyDescent="0.35">
      <c r="A283" s="89">
        <v>104</v>
      </c>
      <c r="B283" s="90"/>
      <c r="C283" s="62" t="s">
        <v>171</v>
      </c>
      <c r="D283" s="62">
        <f>(108.46)*10.764</f>
        <v>1167.4634399999998</v>
      </c>
      <c r="E283" s="62">
        <v>0</v>
      </c>
      <c r="F283" s="62">
        <f>D283*(($F$160)+1)+(IF(E283&lt;101,E283,IF(E283&lt;201,E283/2,IF(E283&lt;=301,E283/3,E283/4))))</f>
        <v>1809.5683319999996</v>
      </c>
      <c r="G283" s="87"/>
      <c r="H283" s="88"/>
      <c r="I283" s="34"/>
      <c r="L283" s="118"/>
      <c r="M283" s="118"/>
      <c r="N283" s="34"/>
    </row>
    <row r="284" spans="1:14" s="61" customFormat="1" x14ac:dyDescent="0.35">
      <c r="A284" s="99" t="s">
        <v>120</v>
      </c>
      <c r="B284" s="100"/>
      <c r="C284" s="100"/>
      <c r="D284" s="100"/>
      <c r="E284" s="100"/>
      <c r="F284" s="100"/>
      <c r="G284" s="100"/>
      <c r="H284" s="101"/>
      <c r="J284" s="34"/>
    </row>
    <row r="285" spans="1:14" s="61" customFormat="1" x14ac:dyDescent="0.35">
      <c r="A285" s="89">
        <v>201</v>
      </c>
      <c r="B285" s="90"/>
      <c r="C285" s="62" t="s">
        <v>171</v>
      </c>
      <c r="D285" s="62">
        <f>(139.09)*10.764</f>
        <v>1497.1647599999999</v>
      </c>
      <c r="E285" s="62">
        <v>0</v>
      </c>
      <c r="F285" s="62">
        <f>D285*(($F$160)+1)+(IF(E285&lt;101,E285,IF(E285&lt;201,E285/2,IF(E285&lt;=301,E285/3,E285/4))))</f>
        <v>2320.6053779999997</v>
      </c>
      <c r="G285" s="83" t="str">
        <f>A284</f>
        <v>2nd Floor</v>
      </c>
      <c r="H285" s="84"/>
      <c r="I285" s="34">
        <f>(60000000-1350000)/F285</f>
        <v>25273.577556967986</v>
      </c>
      <c r="L285" s="118"/>
      <c r="M285" s="118"/>
      <c r="N285" s="34"/>
    </row>
    <row r="286" spans="1:14" s="61" customFormat="1" x14ac:dyDescent="0.35">
      <c r="A286" s="89">
        <v>202</v>
      </c>
      <c r="B286" s="90"/>
      <c r="C286" s="62" t="s">
        <v>171</v>
      </c>
      <c r="D286" s="62">
        <f>(111.16)*10.764</f>
        <v>1196.5262399999999</v>
      </c>
      <c r="E286" s="62">
        <v>0</v>
      </c>
      <c r="F286" s="62">
        <f>D286*(($F$160)+1)+(IF(E286&lt;101,E286,IF(E286&lt;201,E286/2,IF(E286&lt;=301,E286/3,E286/4))))</f>
        <v>1854.6156719999999</v>
      </c>
      <c r="G286" s="85"/>
      <c r="H286" s="86"/>
      <c r="I286" s="34"/>
      <c r="L286" s="118"/>
      <c r="M286" s="118"/>
      <c r="N286" s="34"/>
    </row>
    <row r="287" spans="1:14" s="61" customFormat="1" x14ac:dyDescent="0.35">
      <c r="A287" s="89">
        <v>203</v>
      </c>
      <c r="B287" s="90"/>
      <c r="C287" s="62" t="s">
        <v>171</v>
      </c>
      <c r="D287" s="62">
        <f>(108.26)*10.764</f>
        <v>1165.3106399999999</v>
      </c>
      <c r="E287" s="62">
        <v>0</v>
      </c>
      <c r="F287" s="62">
        <f>D287*(($F$160)+1)+(IF(E287&lt;101,E287,IF(E287&lt;201,E287/2,IF(E287&lt;=301,E287/3,E287/4))))</f>
        <v>1806.2314919999999</v>
      </c>
      <c r="G287" s="85"/>
      <c r="H287" s="86"/>
      <c r="I287" s="34"/>
      <c r="L287" s="118"/>
      <c r="M287" s="118"/>
      <c r="N287" s="34"/>
    </row>
    <row r="288" spans="1:14" s="61" customFormat="1" x14ac:dyDescent="0.35">
      <c r="A288" s="89">
        <v>204</v>
      </c>
      <c r="B288" s="90"/>
      <c r="C288" s="62" t="s">
        <v>171</v>
      </c>
      <c r="D288" s="62">
        <f>(108.47)*10.764</f>
        <v>1167.5710799999999</v>
      </c>
      <c r="E288" s="62">
        <v>0</v>
      </c>
      <c r="F288" s="62">
        <f>D288*(($F$160)+1)+(IF(E288&lt;101,E288,IF(E288&lt;201,E288/2,IF(E288&lt;=301,E288/3,E288/4))))</f>
        <v>1809.7351739999999</v>
      </c>
      <c r="G288" s="87"/>
      <c r="H288" s="88"/>
      <c r="I288" s="34"/>
      <c r="L288" s="118"/>
      <c r="M288" s="118"/>
      <c r="N288" s="34"/>
    </row>
    <row r="289" spans="1:16" s="61" customFormat="1" ht="15.75" customHeight="1" x14ac:dyDescent="0.35">
      <c r="A289" s="99" t="s">
        <v>183</v>
      </c>
      <c r="B289" s="100"/>
      <c r="C289" s="100"/>
      <c r="D289" s="100"/>
      <c r="E289" s="100"/>
      <c r="F289" s="100"/>
      <c r="G289" s="100"/>
      <c r="H289" s="101"/>
      <c r="I289" s="34"/>
    </row>
    <row r="290" spans="1:16" s="61" customFormat="1" ht="15.75" customHeight="1" x14ac:dyDescent="0.35">
      <c r="A290" s="89" t="str">
        <f>P290</f>
        <v>301,…,901</v>
      </c>
      <c r="B290" s="90"/>
      <c r="C290" s="62" t="s">
        <v>171</v>
      </c>
      <c r="D290" s="62">
        <f>(139.1)*10.764</f>
        <v>1497.2723999999998</v>
      </c>
      <c r="E290" s="62">
        <v>0</v>
      </c>
      <c r="F290" s="62">
        <f>D290*(($F$160)+1)+(IF(E290&lt;101,E290,IF(E290&lt;201,E290/2,IF(E290&lt;=301,E290/3,E290/4))))</f>
        <v>2320.7722199999998</v>
      </c>
      <c r="G290" s="83" t="str">
        <f>A289</f>
        <v>3rd, 5th, 7th, 9th Floor</v>
      </c>
      <c r="H290" s="84"/>
      <c r="I290" s="34"/>
      <c r="M290" s="61">
        <v>301</v>
      </c>
      <c r="N290" s="61">
        <v>901</v>
      </c>
      <c r="P290" s="61" t="str">
        <f>M290&amp;""&amp;",…,"&amp;""&amp;N290</f>
        <v>301,…,901</v>
      </c>
    </row>
    <row r="291" spans="1:16" s="61" customFormat="1" ht="15.75" customHeight="1" x14ac:dyDescent="0.35">
      <c r="A291" s="89" t="str">
        <f t="shared" ref="A291:A293" si="28">P291</f>
        <v>302,…,902</v>
      </c>
      <c r="B291" s="90"/>
      <c r="C291" s="62" t="s">
        <v>171</v>
      </c>
      <c r="D291" s="62">
        <f>(110.94)*10.764</f>
        <v>1194.15816</v>
      </c>
      <c r="E291" s="62">
        <v>0</v>
      </c>
      <c r="F291" s="62">
        <f>D291*(($F$160)+1)+(IF(E291&lt;101,E291,IF(E291&lt;201,E291/2,IF(E291&lt;=301,E291/3,E291/4))))</f>
        <v>1850.945148</v>
      </c>
      <c r="G291" s="85"/>
      <c r="H291" s="86"/>
      <c r="I291" s="34"/>
      <c r="M291" s="61">
        <v>302</v>
      </c>
      <c r="N291" s="61">
        <v>902</v>
      </c>
      <c r="P291" s="61" t="str">
        <f t="shared" ref="P291:P293" si="29">M291&amp;""&amp;",…,"&amp;""&amp;N291</f>
        <v>302,…,902</v>
      </c>
    </row>
    <row r="292" spans="1:16" s="61" customFormat="1" ht="15.75" customHeight="1" x14ac:dyDescent="0.35">
      <c r="A292" s="89" t="str">
        <f t="shared" si="28"/>
        <v>303,…,903</v>
      </c>
      <c r="B292" s="90"/>
      <c r="C292" s="62" t="s">
        <v>171</v>
      </c>
      <c r="D292" s="62">
        <f>(108.26)*10.764</f>
        <v>1165.3106399999999</v>
      </c>
      <c r="E292" s="62">
        <v>0</v>
      </c>
      <c r="F292" s="62">
        <f>D292*(($F$160)+1)+(IF(E292&lt;101,E292,IF(E292&lt;201,E292/2,IF(E292&lt;=301,E292/3,E292/4))))</f>
        <v>1806.2314919999999</v>
      </c>
      <c r="G292" s="85"/>
      <c r="H292" s="86"/>
      <c r="I292" s="34"/>
      <c r="M292" s="61">
        <v>303</v>
      </c>
      <c r="N292" s="61">
        <v>903</v>
      </c>
      <c r="P292" s="61" t="str">
        <f t="shared" si="29"/>
        <v>303,…,903</v>
      </c>
    </row>
    <row r="293" spans="1:16" s="61" customFormat="1" ht="15.75" customHeight="1" x14ac:dyDescent="0.35">
      <c r="A293" s="89" t="str">
        <f t="shared" si="28"/>
        <v>304,…,904</v>
      </c>
      <c r="B293" s="90"/>
      <c r="C293" s="62" t="s">
        <v>171</v>
      </c>
      <c r="D293" s="62">
        <f>(108.25)*10.764</f>
        <v>1165.203</v>
      </c>
      <c r="E293" s="62">
        <v>0</v>
      </c>
      <c r="F293" s="62">
        <f>D293*(($F$160)+1)+(IF(E293&lt;101,E293,IF(E293&lt;201,E293/2,IF(E293&lt;=301,E293/3,E293/4))))</f>
        <v>1806.06465</v>
      </c>
      <c r="G293" s="87"/>
      <c r="H293" s="88"/>
      <c r="I293" s="34"/>
      <c r="M293" s="61">
        <v>304</v>
      </c>
      <c r="N293" s="61">
        <v>904</v>
      </c>
      <c r="P293" s="61" t="str">
        <f t="shared" si="29"/>
        <v>304,…,904</v>
      </c>
    </row>
    <row r="294" spans="1:16" s="61" customFormat="1" ht="15.75" customHeight="1" x14ac:dyDescent="0.35">
      <c r="A294" s="99" t="s">
        <v>173</v>
      </c>
      <c r="B294" s="100"/>
      <c r="C294" s="100"/>
      <c r="D294" s="100"/>
      <c r="E294" s="100"/>
      <c r="F294" s="100"/>
      <c r="G294" s="100"/>
      <c r="H294" s="101"/>
      <c r="I294" s="34"/>
    </row>
    <row r="295" spans="1:16" s="61" customFormat="1" ht="15.75" customHeight="1" x14ac:dyDescent="0.35">
      <c r="A295" s="89" t="str">
        <f>P295</f>
        <v>401,…,801</v>
      </c>
      <c r="B295" s="90"/>
      <c r="C295" s="62" t="s">
        <v>171</v>
      </c>
      <c r="D295" s="62">
        <f>(139.1)*10.764</f>
        <v>1497.2723999999998</v>
      </c>
      <c r="E295" s="62">
        <v>0</v>
      </c>
      <c r="F295" s="62">
        <f>D295*(($F$160)+1)+(IF(E295&lt;101,E295,IF(E295&lt;201,E295/2,IF(E295&lt;=301,E295/3,E295/4))))</f>
        <v>2320.7722199999998</v>
      </c>
      <c r="G295" s="83" t="str">
        <f>A294</f>
        <v>4th, 6th, 8th Floor</v>
      </c>
      <c r="H295" s="84"/>
      <c r="I295" s="34"/>
      <c r="M295" s="61">
        <v>401</v>
      </c>
      <c r="N295" s="61">
        <v>801</v>
      </c>
      <c r="P295" s="61" t="str">
        <f>M295&amp;""&amp;",…,"&amp;""&amp;N295</f>
        <v>401,…,801</v>
      </c>
    </row>
    <row r="296" spans="1:16" s="61" customFormat="1" ht="15.75" customHeight="1" x14ac:dyDescent="0.35">
      <c r="A296" s="89" t="str">
        <f t="shared" ref="A296:A298" si="30">P296</f>
        <v>402,…,802</v>
      </c>
      <c r="B296" s="90"/>
      <c r="C296" s="62" t="s">
        <v>171</v>
      </c>
      <c r="D296" s="62">
        <f>(111.16)*10.764</f>
        <v>1196.5262399999999</v>
      </c>
      <c r="E296" s="62">
        <v>0</v>
      </c>
      <c r="F296" s="62">
        <f>D296*(($F$160)+1)+(IF(E296&lt;101,E296,IF(E296&lt;201,E296/2,IF(E296&lt;=301,E296/3,E296/4))))</f>
        <v>1854.6156719999999</v>
      </c>
      <c r="G296" s="85"/>
      <c r="H296" s="86"/>
      <c r="I296" s="34"/>
      <c r="M296" s="61">
        <v>402</v>
      </c>
      <c r="N296" s="61">
        <v>802</v>
      </c>
      <c r="P296" s="61" t="str">
        <f t="shared" ref="P296:P298" si="31">M296&amp;""&amp;",…,"&amp;""&amp;N296</f>
        <v>402,…,802</v>
      </c>
    </row>
    <row r="297" spans="1:16" s="61" customFormat="1" ht="15.75" customHeight="1" x14ac:dyDescent="0.35">
      <c r="A297" s="89" t="str">
        <f t="shared" si="30"/>
        <v>403,…,803</v>
      </c>
      <c r="B297" s="90"/>
      <c r="C297" s="62" t="s">
        <v>171</v>
      </c>
      <c r="D297" s="62">
        <f>(108.26)*10.764</f>
        <v>1165.3106399999999</v>
      </c>
      <c r="E297" s="62">
        <v>0</v>
      </c>
      <c r="F297" s="62">
        <f>D297*(($F$160)+1)+(IF(E297&lt;101,E297,IF(E297&lt;201,E297/2,IF(E297&lt;=301,E297/3,E297/4))))</f>
        <v>1806.2314919999999</v>
      </c>
      <c r="G297" s="85"/>
      <c r="H297" s="86"/>
      <c r="I297" s="34"/>
      <c r="M297" s="61">
        <v>403</v>
      </c>
      <c r="N297" s="61">
        <v>803</v>
      </c>
      <c r="P297" s="61" t="str">
        <f t="shared" si="31"/>
        <v>403,…,803</v>
      </c>
    </row>
    <row r="298" spans="1:16" s="61" customFormat="1" ht="15.75" customHeight="1" x14ac:dyDescent="0.35">
      <c r="A298" s="89" t="str">
        <f t="shared" si="30"/>
        <v>404,…,804</v>
      </c>
      <c r="B298" s="90"/>
      <c r="C298" s="62" t="s">
        <v>171</v>
      </c>
      <c r="D298" s="62">
        <f>(108.25)*10.764</f>
        <v>1165.203</v>
      </c>
      <c r="E298" s="62">
        <v>0</v>
      </c>
      <c r="F298" s="62">
        <f>D298*(($F$160)+1)+(IF(E298&lt;101,E298,IF(E298&lt;201,E298/2,IF(E298&lt;=301,E298/3,E298/4))))</f>
        <v>1806.06465</v>
      </c>
      <c r="G298" s="87"/>
      <c r="H298" s="88"/>
      <c r="I298" s="34"/>
      <c r="M298" s="61">
        <v>404</v>
      </c>
      <c r="N298" s="61">
        <v>804</v>
      </c>
      <c r="P298" s="61" t="str">
        <f t="shared" si="31"/>
        <v>404,…,804</v>
      </c>
    </row>
    <row r="299" spans="1:16" s="61" customFormat="1" x14ac:dyDescent="0.35">
      <c r="A299" s="99" t="s">
        <v>174</v>
      </c>
      <c r="B299" s="100"/>
      <c r="C299" s="100"/>
      <c r="D299" s="100"/>
      <c r="E299" s="100"/>
      <c r="F299" s="100"/>
      <c r="G299" s="100"/>
      <c r="H299" s="101"/>
      <c r="J299" s="34"/>
    </row>
    <row r="300" spans="1:16" s="61" customFormat="1" x14ac:dyDescent="0.35">
      <c r="A300" s="89">
        <v>1001</v>
      </c>
      <c r="B300" s="90"/>
      <c r="C300" s="62" t="s">
        <v>171</v>
      </c>
      <c r="D300" s="62">
        <f>(139.09)*10.764</f>
        <v>1497.1647599999999</v>
      </c>
      <c r="E300" s="62">
        <v>0</v>
      </c>
      <c r="F300" s="62">
        <f>D300*(($F$160)+1)+(IF(E300&lt;101,E300,IF(E300&lt;201,E300/2,IF(E300&lt;=301,E300/3,E300/4))))</f>
        <v>2320.6053779999997</v>
      </c>
      <c r="G300" s="83" t="str">
        <f>A299</f>
        <v>10th Floor</v>
      </c>
      <c r="H300" s="84"/>
      <c r="I300" s="34"/>
      <c r="L300" s="118"/>
      <c r="M300" s="118"/>
      <c r="N300" s="34"/>
    </row>
    <row r="301" spans="1:16" s="61" customFormat="1" x14ac:dyDescent="0.35">
      <c r="A301" s="89">
        <v>1002</v>
      </c>
      <c r="B301" s="90"/>
      <c r="C301" s="62" t="s">
        <v>171</v>
      </c>
      <c r="D301" s="62">
        <f>(111.16)*10.764</f>
        <v>1196.5262399999999</v>
      </c>
      <c r="E301" s="62">
        <v>0</v>
      </c>
      <c r="F301" s="62">
        <f>D301*(($F$160)+1)+(IF(E301&lt;101,E301,IF(E301&lt;201,E301/2,IF(E301&lt;=301,E301/3,E301/4))))</f>
        <v>1854.6156719999999</v>
      </c>
      <c r="G301" s="85"/>
      <c r="H301" s="86"/>
      <c r="I301" s="34">
        <f>22000000/F301</f>
        <v>11862.29596360275</v>
      </c>
      <c r="L301" s="118"/>
      <c r="M301" s="118"/>
      <c r="N301" s="34"/>
    </row>
    <row r="302" spans="1:16" s="61" customFormat="1" x14ac:dyDescent="0.35">
      <c r="A302" s="89">
        <v>1003</v>
      </c>
      <c r="B302" s="90"/>
      <c r="C302" s="62" t="s">
        <v>171</v>
      </c>
      <c r="D302" s="62">
        <f>(108.26)*10.764</f>
        <v>1165.3106399999999</v>
      </c>
      <c r="E302" s="62">
        <v>0</v>
      </c>
      <c r="F302" s="62">
        <f>D302*(($F$160)+1)+(IF(E302&lt;101,E302,IF(E302&lt;201,E302/2,IF(E302&lt;=301,E302/3,E302/4))))</f>
        <v>1806.2314919999999</v>
      </c>
      <c r="G302" s="85"/>
      <c r="H302" s="86"/>
      <c r="I302" s="34"/>
      <c r="L302" s="118"/>
      <c r="M302" s="118"/>
      <c r="N302" s="34"/>
    </row>
    <row r="303" spans="1:16" s="61" customFormat="1" x14ac:dyDescent="0.35">
      <c r="A303" s="89">
        <v>1004</v>
      </c>
      <c r="B303" s="90"/>
      <c r="C303" s="62" t="s">
        <v>171</v>
      </c>
      <c r="D303" s="62">
        <f>(108.47)*10.764</f>
        <v>1167.5710799999999</v>
      </c>
      <c r="E303" s="62">
        <v>0</v>
      </c>
      <c r="F303" s="62">
        <f>D303*(($F$160)+1)+(IF(E303&lt;101,E303,IF(E303&lt;201,E303/2,IF(E303&lt;=301,E303/3,E303/4))))</f>
        <v>1809.7351739999999</v>
      </c>
      <c r="G303" s="87"/>
      <c r="H303" s="88"/>
      <c r="I303" s="34"/>
      <c r="L303" s="118"/>
      <c r="M303" s="118"/>
      <c r="N303" s="34"/>
    </row>
    <row r="304" spans="1:16" s="61" customFormat="1" x14ac:dyDescent="0.35">
      <c r="A304" s="99" t="s">
        <v>184</v>
      </c>
      <c r="B304" s="100"/>
      <c r="C304" s="100"/>
      <c r="D304" s="100"/>
      <c r="E304" s="100"/>
      <c r="F304" s="100"/>
      <c r="G304" s="100"/>
      <c r="H304" s="101"/>
      <c r="J304" s="34"/>
    </row>
    <row r="305" spans="1:14" s="61" customFormat="1" x14ac:dyDescent="0.35">
      <c r="A305" s="89">
        <v>1101</v>
      </c>
      <c r="B305" s="90"/>
      <c r="C305" s="62" t="s">
        <v>171</v>
      </c>
      <c r="D305" s="62">
        <f>(139.09)*10.764</f>
        <v>1497.1647599999999</v>
      </c>
      <c r="E305" s="62">
        <v>0</v>
      </c>
      <c r="F305" s="62">
        <f>D305*(($F$160)+1)+(IF(E305&lt;101,E305,IF(E305&lt;201,E305/2,IF(E305&lt;=301,E305/3,E305/4))))</f>
        <v>2320.6053779999997</v>
      </c>
      <c r="G305" s="83" t="str">
        <f>A304</f>
        <v>11th Floor</v>
      </c>
      <c r="H305" s="84"/>
      <c r="I305" s="34">
        <f>50000000/F305</f>
        <v>21546.101924098879</v>
      </c>
      <c r="J305" s="61" t="s">
        <v>215</v>
      </c>
      <c r="L305" s="118"/>
      <c r="M305" s="118"/>
      <c r="N305" s="34"/>
    </row>
    <row r="306" spans="1:14" s="61" customFormat="1" x14ac:dyDescent="0.35">
      <c r="A306" s="89">
        <v>1102</v>
      </c>
      <c r="B306" s="90"/>
      <c r="C306" s="62" t="s">
        <v>171</v>
      </c>
      <c r="D306" s="62">
        <f>(110.94)*10.764</f>
        <v>1194.15816</v>
      </c>
      <c r="E306" s="62">
        <v>0</v>
      </c>
      <c r="F306" s="62">
        <f>D306*(($F$160)+1)+(IF(E306&lt;101,E306,IF(E306&lt;201,E306/2,IF(E306&lt;=301,E306/3,E306/4))))</f>
        <v>1850.945148</v>
      </c>
      <c r="G306" s="85"/>
      <c r="H306" s="86"/>
      <c r="I306" s="34"/>
      <c r="L306" s="118"/>
      <c r="M306" s="118"/>
      <c r="N306" s="34"/>
    </row>
    <row r="307" spans="1:14" s="61" customFormat="1" x14ac:dyDescent="0.35">
      <c r="A307" s="89">
        <v>1103</v>
      </c>
      <c r="B307" s="90"/>
      <c r="C307" s="62" t="s">
        <v>171</v>
      </c>
      <c r="D307" s="62">
        <f>(108.26)*10.764</f>
        <v>1165.3106399999999</v>
      </c>
      <c r="E307" s="62">
        <v>0</v>
      </c>
      <c r="F307" s="62">
        <f>D307*(($F$160)+1)+(IF(E307&lt;101,E307,IF(E307&lt;201,E307/2,IF(E307&lt;=301,E307/3,E307/4))))</f>
        <v>1806.2314919999999</v>
      </c>
      <c r="G307" s="85"/>
      <c r="H307" s="86"/>
      <c r="I307" s="34"/>
      <c r="L307" s="118"/>
      <c r="M307" s="118"/>
      <c r="N307" s="34"/>
    </row>
    <row r="308" spans="1:14" s="61" customFormat="1" x14ac:dyDescent="0.35">
      <c r="A308" s="89">
        <v>1104</v>
      </c>
      <c r="B308" s="90"/>
      <c r="C308" s="62" t="s">
        <v>171</v>
      </c>
      <c r="D308" s="62">
        <f>(108.25)*10.764</f>
        <v>1165.203</v>
      </c>
      <c r="E308" s="62">
        <v>0</v>
      </c>
      <c r="F308" s="62">
        <f>D308*(($F$160)+1)+(IF(E308&lt;101,E308,IF(E308&lt;201,E308/2,IF(E308&lt;=301,E308/3,E308/4))))</f>
        <v>1806.06465</v>
      </c>
      <c r="G308" s="87"/>
      <c r="H308" s="88"/>
      <c r="I308" s="34"/>
      <c r="L308" s="118"/>
      <c r="M308" s="118"/>
      <c r="N308" s="34"/>
    </row>
    <row r="309" spans="1:14" s="61" customFormat="1" x14ac:dyDescent="0.35">
      <c r="A309" s="99" t="s">
        <v>185</v>
      </c>
      <c r="B309" s="100"/>
      <c r="C309" s="100"/>
      <c r="D309" s="100"/>
      <c r="E309" s="100"/>
      <c r="F309" s="100"/>
      <c r="G309" s="100"/>
      <c r="H309" s="101"/>
      <c r="J309" s="34"/>
    </row>
    <row r="310" spans="1:14" s="61" customFormat="1" ht="69" customHeight="1" x14ac:dyDescent="0.35">
      <c r="A310" s="89">
        <v>1201</v>
      </c>
      <c r="B310" s="90"/>
      <c r="C310" s="62" t="s">
        <v>186</v>
      </c>
      <c r="D310" s="62">
        <f>(142.66+130.24)*10.764</f>
        <v>2937.4955999999997</v>
      </c>
      <c r="E310" s="62">
        <v>0</v>
      </c>
      <c r="F310" s="62">
        <f>D310*(($F$160)+1)+(IF(E310&lt;101,E310,IF(E310&lt;201,E310/2,IF(E310&lt;=301,E310/3,E310/4))))</f>
        <v>4553.1181799999995</v>
      </c>
      <c r="G310" s="83" t="str">
        <f>A309</f>
        <v>12th Floor</v>
      </c>
      <c r="H310" s="84"/>
      <c r="I310" s="34"/>
      <c r="L310" s="118"/>
      <c r="M310" s="118"/>
      <c r="N310" s="34"/>
    </row>
    <row r="311" spans="1:14" s="61" customFormat="1" ht="66.650000000000006" customHeight="1" x14ac:dyDescent="0.35">
      <c r="A311" s="89">
        <v>1202</v>
      </c>
      <c r="B311" s="90"/>
      <c r="C311" s="62" t="s">
        <v>186</v>
      </c>
      <c r="D311" s="62">
        <f>(110.02+102.45)*10.764</f>
        <v>2287.0270799999998</v>
      </c>
      <c r="E311" s="62">
        <v>0</v>
      </c>
      <c r="F311" s="62">
        <f>D311*(($F$160)+1)+(IF(E311&lt;101,E311,IF(E311&lt;201,E311/2,IF(E311&lt;=301,E311/3,E311/4))))</f>
        <v>3544.8919739999997</v>
      </c>
      <c r="G311" s="85"/>
      <c r="H311" s="86"/>
      <c r="I311" s="34"/>
      <c r="L311" s="118"/>
      <c r="M311" s="118"/>
      <c r="N311" s="34"/>
    </row>
    <row r="312" spans="1:14" s="61" customFormat="1" x14ac:dyDescent="0.35">
      <c r="A312" s="89">
        <v>1203</v>
      </c>
      <c r="B312" s="90"/>
      <c r="C312" s="62" t="s">
        <v>171</v>
      </c>
      <c r="D312" s="62">
        <f>(108.26)*10.764</f>
        <v>1165.3106399999999</v>
      </c>
      <c r="E312" s="62">
        <v>0</v>
      </c>
      <c r="F312" s="62">
        <f>D312*(($F$160)+1)+(IF(E312&lt;101,E312,IF(E312&lt;201,E312/2,IF(E312&lt;=301,E312/3,E312/4))))</f>
        <v>1806.2314919999999</v>
      </c>
      <c r="G312" s="85"/>
      <c r="H312" s="86"/>
      <c r="I312" s="34"/>
      <c r="L312" s="118"/>
      <c r="M312" s="118"/>
      <c r="N312" s="34"/>
    </row>
    <row r="313" spans="1:14" s="61" customFormat="1" x14ac:dyDescent="0.35">
      <c r="A313" s="89">
        <v>1204</v>
      </c>
      <c r="B313" s="90"/>
      <c r="C313" s="62" t="s">
        <v>171</v>
      </c>
      <c r="D313" s="62">
        <f>(108.25)*10.764</f>
        <v>1165.203</v>
      </c>
      <c r="E313" s="62">
        <v>0</v>
      </c>
      <c r="F313" s="62">
        <f>D313*(($F$160)+1)+(IF(E313&lt;101,E313,IF(E313&lt;201,E313/2,IF(E313&lt;=301,E313/3,E313/4))))</f>
        <v>1806.06465</v>
      </c>
      <c r="G313" s="87"/>
      <c r="H313" s="88"/>
      <c r="I313" s="34">
        <f>(2.85*1.2+2.1*0.6+7.5*3.8+2.75*3.8+2.45*1.5+3.95*3.65+3.65*3.35+4.8*3.65+1.8*2.45+0.65*1.75+1.05*1.55+1.05*1.9+1.8*2.7)*10.764</f>
        <v>1135.6019999999999</v>
      </c>
      <c r="L313" s="118"/>
      <c r="M313" s="118"/>
      <c r="N313" s="34"/>
    </row>
    <row r="314" spans="1:14" s="61" customFormat="1" x14ac:dyDescent="0.35">
      <c r="A314" s="99" t="s">
        <v>187</v>
      </c>
      <c r="B314" s="100"/>
      <c r="C314" s="100"/>
      <c r="D314" s="100"/>
      <c r="E314" s="100"/>
      <c r="F314" s="100"/>
      <c r="G314" s="100"/>
      <c r="H314" s="101"/>
      <c r="J314" s="34"/>
    </row>
    <row r="315" spans="1:14" s="61" customFormat="1" x14ac:dyDescent="0.35">
      <c r="A315" s="89">
        <v>1301</v>
      </c>
      <c r="B315" s="90"/>
      <c r="C315" s="89" t="s">
        <v>188</v>
      </c>
      <c r="D315" s="119"/>
      <c r="E315" s="119"/>
      <c r="F315" s="90"/>
      <c r="G315" s="83" t="str">
        <f>A314</f>
        <v>13th Floor</v>
      </c>
      <c r="H315" s="84"/>
      <c r="I315" s="34"/>
      <c r="L315" s="118"/>
      <c r="M315" s="118"/>
      <c r="N315" s="34"/>
    </row>
    <row r="316" spans="1:14" s="61" customFormat="1" x14ac:dyDescent="0.35">
      <c r="A316" s="89">
        <v>1302</v>
      </c>
      <c r="B316" s="90"/>
      <c r="C316" s="89" t="s">
        <v>188</v>
      </c>
      <c r="D316" s="119"/>
      <c r="E316" s="119"/>
      <c r="F316" s="90"/>
      <c r="G316" s="85"/>
      <c r="H316" s="86"/>
      <c r="I316" s="34"/>
      <c r="L316" s="118"/>
      <c r="M316" s="118"/>
      <c r="N316" s="34"/>
    </row>
    <row r="317" spans="1:14" s="61" customFormat="1" x14ac:dyDescent="0.35">
      <c r="A317" s="89">
        <v>1303</v>
      </c>
      <c r="B317" s="90"/>
      <c r="C317" s="83" t="s">
        <v>175</v>
      </c>
      <c r="D317" s="184"/>
      <c r="E317" s="184"/>
      <c r="F317" s="84"/>
      <c r="G317" s="85"/>
      <c r="H317" s="86"/>
      <c r="I317" s="34"/>
      <c r="L317" s="118"/>
      <c r="M317" s="118"/>
      <c r="N317" s="34"/>
    </row>
    <row r="318" spans="1:14" s="61" customFormat="1" x14ac:dyDescent="0.35">
      <c r="A318" s="89">
        <v>1304</v>
      </c>
      <c r="B318" s="90"/>
      <c r="C318" s="87"/>
      <c r="D318" s="185"/>
      <c r="E318" s="185"/>
      <c r="F318" s="88"/>
      <c r="G318" s="87"/>
      <c r="H318" s="88"/>
      <c r="I318" s="34"/>
      <c r="L318" s="118"/>
      <c r="M318" s="118"/>
      <c r="N318" s="34"/>
    </row>
    <row r="319" spans="1:14" s="33" customFormat="1" x14ac:dyDescent="0.35">
      <c r="A319" s="174" t="s">
        <v>71</v>
      </c>
      <c r="B319" s="174"/>
      <c r="C319" s="174"/>
      <c r="D319" s="174"/>
      <c r="E319" s="174"/>
      <c r="F319" s="174"/>
      <c r="G319" s="174"/>
      <c r="H319" s="174"/>
    </row>
    <row r="320" spans="1:14" s="33" customFormat="1" ht="33" customHeight="1" x14ac:dyDescent="0.35">
      <c r="A320" s="54" t="s">
        <v>157</v>
      </c>
      <c r="B320" s="102" t="s">
        <v>243</v>
      </c>
      <c r="C320" s="103"/>
      <c r="D320" s="103"/>
      <c r="E320" s="103"/>
      <c r="F320" s="103"/>
      <c r="G320" s="103"/>
      <c r="H320" s="104"/>
    </row>
    <row r="321" spans="1:8" s="33" customFormat="1" x14ac:dyDescent="0.35">
      <c r="A321" s="54" t="s">
        <v>157</v>
      </c>
      <c r="B321" s="102" t="str">
        <f>(IF(F159="Saleable area Loading :","We have considered Saleable area of Flats as per our Calculation.","We considered Saleable area of Flat as per Builder area Sheet."))</f>
        <v>We have considered Saleable area of Flats as per our Calculation.</v>
      </c>
      <c r="C321" s="103"/>
      <c r="D321" s="103"/>
      <c r="E321" s="103"/>
      <c r="F321" s="103"/>
      <c r="G321" s="103"/>
      <c r="H321" s="104"/>
    </row>
    <row r="322" spans="1:8" s="33" customFormat="1" x14ac:dyDescent="0.35">
      <c r="A322" s="54" t="s">
        <v>157</v>
      </c>
      <c r="B322" s="102" t="str">
        <f>(IF(F148="Saleable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22" s="103"/>
      <c r="D322" s="103"/>
      <c r="E322" s="103"/>
      <c r="F322" s="103"/>
      <c r="G322" s="103"/>
      <c r="H322" s="104"/>
    </row>
    <row r="323" spans="1:8" s="33" customFormat="1" x14ac:dyDescent="0.35">
      <c r="A323" s="54" t="s">
        <v>157</v>
      </c>
      <c r="B323" s="102" t="s">
        <v>127</v>
      </c>
      <c r="C323" s="103"/>
      <c r="D323" s="103"/>
      <c r="E323" s="103"/>
      <c r="F323" s="103"/>
      <c r="G323" s="103"/>
      <c r="H323" s="104"/>
    </row>
    <row r="324" spans="1:8" s="33" customFormat="1" x14ac:dyDescent="0.35">
      <c r="A324" s="54" t="s">
        <v>157</v>
      </c>
      <c r="B324" s="102" t="s">
        <v>200</v>
      </c>
      <c r="C324" s="103"/>
      <c r="D324" s="103"/>
      <c r="E324" s="103"/>
      <c r="F324" s="103"/>
      <c r="G324" s="103"/>
      <c r="H324" s="104"/>
    </row>
    <row r="325" spans="1:8" s="33" customFormat="1" x14ac:dyDescent="0.35">
      <c r="A325" s="43" t="s">
        <v>157</v>
      </c>
      <c r="B325" s="107" t="s">
        <v>156</v>
      </c>
      <c r="C325" s="108"/>
      <c r="D325" s="108"/>
      <c r="E325" s="108"/>
      <c r="F325" s="108"/>
      <c r="G325" s="108"/>
      <c r="H325" s="109"/>
    </row>
    <row r="326" spans="1:8" s="33" customFormat="1" x14ac:dyDescent="0.35">
      <c r="A326" s="43" t="s">
        <v>157</v>
      </c>
      <c r="B326" s="107" t="s">
        <v>128</v>
      </c>
      <c r="C326" s="108"/>
      <c r="D326" s="108"/>
      <c r="E326" s="108"/>
      <c r="F326" s="108"/>
      <c r="G326" s="108"/>
      <c r="H326" s="109"/>
    </row>
    <row r="327" spans="1:8" s="33" customFormat="1" ht="34.5" customHeight="1" x14ac:dyDescent="0.35">
      <c r="A327" s="43" t="s">
        <v>157</v>
      </c>
      <c r="B327" s="107" t="s">
        <v>158</v>
      </c>
      <c r="C327" s="108"/>
      <c r="D327" s="108"/>
      <c r="E327" s="108"/>
      <c r="F327" s="108"/>
      <c r="G327" s="108"/>
      <c r="H327" s="109"/>
    </row>
    <row r="328" spans="1:8" s="33" customFormat="1" x14ac:dyDescent="0.35">
      <c r="A328" s="43" t="s">
        <v>157</v>
      </c>
      <c r="B328" s="107" t="s">
        <v>129</v>
      </c>
      <c r="C328" s="108"/>
      <c r="D328" s="108"/>
      <c r="E328" s="108"/>
      <c r="F328" s="108"/>
      <c r="G328" s="108"/>
      <c r="H328" s="109"/>
    </row>
    <row r="329" spans="1:8" s="33" customFormat="1" x14ac:dyDescent="0.35">
      <c r="A329" s="54" t="s">
        <v>157</v>
      </c>
      <c r="B329" s="102" t="s">
        <v>244</v>
      </c>
      <c r="C329" s="103"/>
      <c r="D329" s="103"/>
      <c r="E329" s="103"/>
      <c r="F329" s="103"/>
      <c r="G329" s="103"/>
      <c r="H329" s="104"/>
    </row>
    <row r="330" spans="1:8" s="33" customFormat="1" x14ac:dyDescent="0.35">
      <c r="A330" s="43" t="s">
        <v>157</v>
      </c>
      <c r="B330" s="102" t="s">
        <v>216</v>
      </c>
      <c r="C330" s="103"/>
      <c r="D330" s="103"/>
      <c r="E330" s="103"/>
      <c r="F330" s="103"/>
      <c r="G330" s="103"/>
      <c r="H330" s="104"/>
    </row>
    <row r="331" spans="1:8" s="33" customFormat="1" x14ac:dyDescent="0.35">
      <c r="A331" s="63" t="s">
        <v>157</v>
      </c>
      <c r="B331" s="102" t="s">
        <v>238</v>
      </c>
      <c r="C331" s="103"/>
      <c r="D331" s="103"/>
      <c r="E331" s="103"/>
      <c r="F331" s="103"/>
      <c r="G331" s="103"/>
      <c r="H331" s="104"/>
    </row>
    <row r="332" spans="1:8" x14ac:dyDescent="0.35">
      <c r="A332" s="181" t="s">
        <v>64</v>
      </c>
      <c r="B332" s="181"/>
      <c r="C332" s="181"/>
      <c r="D332" s="181"/>
      <c r="E332" s="181"/>
      <c r="F332" s="181"/>
      <c r="G332" s="181"/>
      <c r="H332" s="181"/>
    </row>
    <row r="333" spans="1:8" x14ac:dyDescent="0.35">
      <c r="A333" s="91" t="s">
        <v>65</v>
      </c>
      <c r="B333" s="91"/>
      <c r="C333" s="91"/>
      <c r="D333" s="91"/>
      <c r="E333" s="91"/>
      <c r="F333" s="91"/>
      <c r="G333" s="91"/>
      <c r="H333" s="91"/>
    </row>
    <row r="334" spans="1:8" ht="15.75" customHeight="1" x14ac:dyDescent="0.35">
      <c r="A334" s="182" t="s">
        <v>66</v>
      </c>
      <c r="B334" s="182"/>
      <c r="C334" s="182"/>
      <c r="D334" s="182"/>
      <c r="E334" s="182"/>
      <c r="F334" s="182"/>
      <c r="G334" s="182"/>
      <c r="H334" s="182"/>
    </row>
    <row r="335" spans="1:8" x14ac:dyDescent="0.35">
      <c r="A335" s="91" t="s">
        <v>67</v>
      </c>
      <c r="B335" s="91"/>
      <c r="C335" s="91"/>
      <c r="D335" s="91"/>
      <c r="E335" s="91"/>
      <c r="F335" s="91"/>
      <c r="G335" s="91"/>
      <c r="H335" s="91"/>
    </row>
    <row r="336" spans="1:8" x14ac:dyDescent="0.35">
      <c r="A336" s="91" t="s">
        <v>68</v>
      </c>
      <c r="B336" s="91"/>
      <c r="C336" s="91"/>
      <c r="D336" s="91"/>
      <c r="E336" s="91"/>
      <c r="F336" s="91"/>
      <c r="G336" s="91"/>
      <c r="H336" s="91"/>
    </row>
    <row r="337" spans="1:8" x14ac:dyDescent="0.35">
      <c r="A337" s="91" t="s">
        <v>130</v>
      </c>
      <c r="B337" s="91"/>
      <c r="C337" s="91"/>
      <c r="D337" s="91"/>
      <c r="E337" s="91"/>
      <c r="F337" s="91"/>
      <c r="G337" s="91"/>
      <c r="H337" s="91"/>
    </row>
    <row r="338" spans="1:8" ht="17.25" customHeight="1" x14ac:dyDescent="0.35">
      <c r="A338" s="146" t="s">
        <v>131</v>
      </c>
      <c r="B338" s="146"/>
      <c r="C338" s="146"/>
      <c r="D338" s="146"/>
      <c r="E338" s="146"/>
      <c r="F338" s="146"/>
      <c r="G338" s="146"/>
      <c r="H338" s="146"/>
    </row>
    <row r="339" spans="1:8" x14ac:dyDescent="0.35">
      <c r="A339" s="173" t="s">
        <v>81</v>
      </c>
      <c r="B339" s="173"/>
      <c r="C339" s="173" t="s">
        <v>245</v>
      </c>
      <c r="D339" s="173"/>
      <c r="E339" s="173" t="s">
        <v>107</v>
      </c>
      <c r="F339" s="173"/>
      <c r="G339" s="173" t="s">
        <v>242</v>
      </c>
      <c r="H339" s="173"/>
    </row>
    <row r="340" spans="1:8" x14ac:dyDescent="0.35">
      <c r="A340" s="172" t="s">
        <v>83</v>
      </c>
      <c r="B340" s="172"/>
      <c r="C340" s="172"/>
      <c r="D340" s="172"/>
      <c r="E340" s="172"/>
      <c r="F340" s="172"/>
      <c r="G340" s="172"/>
      <c r="H340" s="172"/>
    </row>
    <row r="341" spans="1:8" x14ac:dyDescent="0.35">
      <c r="A341" s="172"/>
      <c r="B341" s="172"/>
      <c r="C341" s="172"/>
      <c r="D341" s="172"/>
      <c r="E341" s="172"/>
      <c r="F341" s="172"/>
      <c r="G341" s="172"/>
      <c r="H341" s="172"/>
    </row>
    <row r="342" spans="1:8" x14ac:dyDescent="0.35">
      <c r="A342" s="172"/>
      <c r="B342" s="172"/>
      <c r="C342" s="172"/>
      <c r="D342" s="172"/>
      <c r="E342" s="172"/>
      <c r="F342" s="172"/>
      <c r="G342" s="172"/>
      <c r="H342" s="172"/>
    </row>
    <row r="343" spans="1:8" x14ac:dyDescent="0.35">
      <c r="A343" s="172"/>
      <c r="B343" s="172"/>
      <c r="C343" s="172"/>
      <c r="D343" s="172"/>
      <c r="E343" s="172"/>
      <c r="F343" s="172"/>
      <c r="G343" s="172"/>
      <c r="H343" s="172"/>
    </row>
    <row r="344" spans="1:8" x14ac:dyDescent="0.35">
      <c r="A344" s="36" t="s">
        <v>69</v>
      </c>
      <c r="B344" s="37"/>
      <c r="C344" s="37"/>
      <c r="D344" s="36" t="str">
        <f>E8</f>
        <v>9PBR</v>
      </c>
      <c r="F344" s="37"/>
      <c r="G344" s="37"/>
      <c r="H344" s="37"/>
    </row>
    <row r="345" spans="1:8" x14ac:dyDescent="0.35">
      <c r="A345" s="37"/>
      <c r="B345" s="37"/>
      <c r="C345" s="37"/>
      <c r="D345" s="37"/>
      <c r="E345" s="37"/>
      <c r="F345" s="37"/>
      <c r="G345" s="37"/>
      <c r="H345" s="37"/>
    </row>
    <row r="346" spans="1:8" x14ac:dyDescent="0.35">
      <c r="A346" s="37"/>
      <c r="B346" s="37"/>
      <c r="C346" s="37"/>
      <c r="D346" s="37"/>
      <c r="E346" s="37"/>
      <c r="F346" s="37"/>
      <c r="G346" s="37"/>
      <c r="H346" s="37"/>
    </row>
    <row r="347" spans="1:8" ht="15" customHeight="1" x14ac:dyDescent="0.35"/>
    <row r="388" spans="1:1" x14ac:dyDescent="0.35">
      <c r="A388" s="39" t="s">
        <v>240</v>
      </c>
    </row>
    <row r="430" spans="1:1" x14ac:dyDescent="0.35">
      <c r="A430" s="39" t="s">
        <v>70</v>
      </c>
    </row>
  </sheetData>
  <mergeCells count="585">
    <mergeCell ref="B331:H331"/>
    <mergeCell ref="A144:B144"/>
    <mergeCell ref="C144:D144"/>
    <mergeCell ref="E144:F144"/>
    <mergeCell ref="G144:H144"/>
    <mergeCell ref="A314:H314"/>
    <mergeCell ref="A315:B315"/>
    <mergeCell ref="C315:F315"/>
    <mergeCell ref="G315:H318"/>
    <mergeCell ref="A309:H309"/>
    <mergeCell ref="A310:B310"/>
    <mergeCell ref="G310:H313"/>
    <mergeCell ref="A299:H299"/>
    <mergeCell ref="A300:B300"/>
    <mergeCell ref="G300:H303"/>
    <mergeCell ref="A284:H284"/>
    <mergeCell ref="A285:B285"/>
    <mergeCell ref="G285:H288"/>
    <mergeCell ref="A275:B275"/>
    <mergeCell ref="A261:H261"/>
    <mergeCell ref="A262:B262"/>
    <mergeCell ref="A256:H256"/>
    <mergeCell ref="A257:B257"/>
    <mergeCell ref="A251:H251"/>
    <mergeCell ref="L315:M315"/>
    <mergeCell ref="A316:B316"/>
    <mergeCell ref="C316:F316"/>
    <mergeCell ref="L316:M316"/>
    <mergeCell ref="A317:B317"/>
    <mergeCell ref="C317:F318"/>
    <mergeCell ref="L317:M317"/>
    <mergeCell ref="A318:B318"/>
    <mergeCell ref="L318:M318"/>
    <mergeCell ref="L310:M310"/>
    <mergeCell ref="A311:B311"/>
    <mergeCell ref="L311:M311"/>
    <mergeCell ref="A312:B312"/>
    <mergeCell ref="L312:M312"/>
    <mergeCell ref="A313:B313"/>
    <mergeCell ref="L313:M313"/>
    <mergeCell ref="A304:H304"/>
    <mergeCell ref="A305:B305"/>
    <mergeCell ref="G305:H308"/>
    <mergeCell ref="L305:M305"/>
    <mergeCell ref="A306:B306"/>
    <mergeCell ref="L306:M306"/>
    <mergeCell ref="A307:B307"/>
    <mergeCell ref="L307:M307"/>
    <mergeCell ref="A308:B308"/>
    <mergeCell ref="L308:M308"/>
    <mergeCell ref="L300:M300"/>
    <mergeCell ref="A301:B301"/>
    <mergeCell ref="L301:M301"/>
    <mergeCell ref="A302:B302"/>
    <mergeCell ref="L302:M302"/>
    <mergeCell ref="A303:B303"/>
    <mergeCell ref="L303:M303"/>
    <mergeCell ref="A289:H289"/>
    <mergeCell ref="A290:B290"/>
    <mergeCell ref="G290:H293"/>
    <mergeCell ref="A291:B291"/>
    <mergeCell ref="A292:B292"/>
    <mergeCell ref="A293:B293"/>
    <mergeCell ref="A294:H294"/>
    <mergeCell ref="A295:B295"/>
    <mergeCell ref="G295:H298"/>
    <mergeCell ref="A296:B296"/>
    <mergeCell ref="A297:B297"/>
    <mergeCell ref="A298:B298"/>
    <mergeCell ref="L285:M285"/>
    <mergeCell ref="A286:B286"/>
    <mergeCell ref="L286:M286"/>
    <mergeCell ref="A287:B287"/>
    <mergeCell ref="L287:M287"/>
    <mergeCell ref="A288:B288"/>
    <mergeCell ref="L288:M288"/>
    <mergeCell ref="D58:H58"/>
    <mergeCell ref="A55:C58"/>
    <mergeCell ref="A276:H276"/>
    <mergeCell ref="A277:H277"/>
    <mergeCell ref="A278:H278"/>
    <mergeCell ref="A279:H279"/>
    <mergeCell ref="A280:B280"/>
    <mergeCell ref="G280:H283"/>
    <mergeCell ref="L280:M280"/>
    <mergeCell ref="A281:B281"/>
    <mergeCell ref="L281:M281"/>
    <mergeCell ref="A282:B282"/>
    <mergeCell ref="L282:M282"/>
    <mergeCell ref="A283:B283"/>
    <mergeCell ref="L283:M283"/>
    <mergeCell ref="A274:B274"/>
    <mergeCell ref="L274:M274"/>
    <mergeCell ref="L275:M275"/>
    <mergeCell ref="C272:F272"/>
    <mergeCell ref="C273:F273"/>
    <mergeCell ref="C274:F275"/>
    <mergeCell ref="A270:B270"/>
    <mergeCell ref="L270:M270"/>
    <mergeCell ref="A271:H271"/>
    <mergeCell ref="A272:B272"/>
    <mergeCell ref="L272:M272"/>
    <mergeCell ref="A273:B273"/>
    <mergeCell ref="L273:M273"/>
    <mergeCell ref="G272:H275"/>
    <mergeCell ref="L262:M262"/>
    <mergeCell ref="G262:H265"/>
    <mergeCell ref="L267:M267"/>
    <mergeCell ref="A268:B268"/>
    <mergeCell ref="L268:M268"/>
    <mergeCell ref="A269:B269"/>
    <mergeCell ref="L269:M269"/>
    <mergeCell ref="A263:B263"/>
    <mergeCell ref="L263:M263"/>
    <mergeCell ref="A264:B264"/>
    <mergeCell ref="L264:M264"/>
    <mergeCell ref="A265:B265"/>
    <mergeCell ref="L265:M265"/>
    <mergeCell ref="G267:H270"/>
    <mergeCell ref="A266:H266"/>
    <mergeCell ref="A267:B267"/>
    <mergeCell ref="L257:M257"/>
    <mergeCell ref="A258:B258"/>
    <mergeCell ref="L258:M258"/>
    <mergeCell ref="G257:H260"/>
    <mergeCell ref="A259:B259"/>
    <mergeCell ref="L259:M259"/>
    <mergeCell ref="A260:B260"/>
    <mergeCell ref="L260:M260"/>
    <mergeCell ref="A252:B252"/>
    <mergeCell ref="A253:B253"/>
    <mergeCell ref="A254:B254"/>
    <mergeCell ref="A246:H246"/>
    <mergeCell ref="A247:B247"/>
    <mergeCell ref="A248:B248"/>
    <mergeCell ref="A249:B249"/>
    <mergeCell ref="A250:B250"/>
    <mergeCell ref="G247:H250"/>
    <mergeCell ref="G252:H255"/>
    <mergeCell ref="A255:B255"/>
    <mergeCell ref="A239:B239"/>
    <mergeCell ref="A240:B240"/>
    <mergeCell ref="L240:M240"/>
    <mergeCell ref="A241:H241"/>
    <mergeCell ref="A242:B242"/>
    <mergeCell ref="L242:M242"/>
    <mergeCell ref="G237:H240"/>
    <mergeCell ref="G242:H245"/>
    <mergeCell ref="A243:B243"/>
    <mergeCell ref="L243:M243"/>
    <mergeCell ref="A244:B244"/>
    <mergeCell ref="L244:M244"/>
    <mergeCell ref="A245:B245"/>
    <mergeCell ref="L245:M245"/>
    <mergeCell ref="A238:B238"/>
    <mergeCell ref="L238:M238"/>
    <mergeCell ref="A237:B237"/>
    <mergeCell ref="A231:B231"/>
    <mergeCell ref="A225:H225"/>
    <mergeCell ref="A226:B226"/>
    <mergeCell ref="A227:B227"/>
    <mergeCell ref="A228:B228"/>
    <mergeCell ref="A229:B229"/>
    <mergeCell ref="A224:B224"/>
    <mergeCell ref="G226:H231"/>
    <mergeCell ref="L239:M239"/>
    <mergeCell ref="L157:M157"/>
    <mergeCell ref="A232:H232"/>
    <mergeCell ref="A151:H151"/>
    <mergeCell ref="A233:H233"/>
    <mergeCell ref="A234:H234"/>
    <mergeCell ref="A235:H235"/>
    <mergeCell ref="A236:H236"/>
    <mergeCell ref="L237:M237"/>
    <mergeCell ref="A216:B216"/>
    <mergeCell ref="A217:B217"/>
    <mergeCell ref="A218:H218"/>
    <mergeCell ref="L218:M218"/>
    <mergeCell ref="A219:B219"/>
    <mergeCell ref="A220:B220"/>
    <mergeCell ref="A221:B221"/>
    <mergeCell ref="A222:B222"/>
    <mergeCell ref="A223:B223"/>
    <mergeCell ref="C223:F223"/>
    <mergeCell ref="L203:M203"/>
    <mergeCell ref="A204:H204"/>
    <mergeCell ref="L204:M204"/>
    <mergeCell ref="A198:B198"/>
    <mergeCell ref="A199:B199"/>
    <mergeCell ref="A205:B205"/>
    <mergeCell ref="L180:M180"/>
    <mergeCell ref="A181:B181"/>
    <mergeCell ref="A182:B182"/>
    <mergeCell ref="A183:B183"/>
    <mergeCell ref="A184:B184"/>
    <mergeCell ref="A185:B185"/>
    <mergeCell ref="A186:B186"/>
    <mergeCell ref="C185:F185"/>
    <mergeCell ref="A195:B195"/>
    <mergeCell ref="C49:H49"/>
    <mergeCell ref="E39:H39"/>
    <mergeCell ref="A39:D39"/>
    <mergeCell ref="A337:H337"/>
    <mergeCell ref="A334:H334"/>
    <mergeCell ref="A167:B167"/>
    <mergeCell ref="A140:B140"/>
    <mergeCell ref="D159:D160"/>
    <mergeCell ref="E159:E160"/>
    <mergeCell ref="G159:H160"/>
    <mergeCell ref="A88:B88"/>
    <mergeCell ref="A89:B89"/>
    <mergeCell ref="A90:B90"/>
    <mergeCell ref="A80:B80"/>
    <mergeCell ref="C80:H80"/>
    <mergeCell ref="A104:B104"/>
    <mergeCell ref="A75:B75"/>
    <mergeCell ref="F123:H123"/>
    <mergeCell ref="G138:H138"/>
    <mergeCell ref="A107:B107"/>
    <mergeCell ref="A46:B46"/>
    <mergeCell ref="D56:H56"/>
    <mergeCell ref="C47:E47"/>
    <mergeCell ref="A230:B230"/>
    <mergeCell ref="C50:E50"/>
    <mergeCell ref="A47:B47"/>
    <mergeCell ref="A51:H51"/>
    <mergeCell ref="A52:C52"/>
    <mergeCell ref="A53:C53"/>
    <mergeCell ref="D53:H53"/>
    <mergeCell ref="G50:H50"/>
    <mergeCell ref="A332:H332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D57:H57"/>
    <mergeCell ref="A333:H333"/>
    <mergeCell ref="E140:F140"/>
    <mergeCell ref="E137:F137"/>
    <mergeCell ref="A146:H146"/>
    <mergeCell ref="A137:B137"/>
    <mergeCell ref="F130:H130"/>
    <mergeCell ref="C137:D137"/>
    <mergeCell ref="F133:H133"/>
    <mergeCell ref="F131:H131"/>
    <mergeCell ref="A175:B175"/>
    <mergeCell ref="A147:H147"/>
    <mergeCell ref="G137:H137"/>
    <mergeCell ref="A132:E132"/>
    <mergeCell ref="C138:D138"/>
    <mergeCell ref="E138:F138"/>
    <mergeCell ref="B148:B149"/>
    <mergeCell ref="A148:A149"/>
    <mergeCell ref="C159:C160"/>
    <mergeCell ref="B328:H328"/>
    <mergeCell ref="B329:H329"/>
    <mergeCell ref="A174:B174"/>
    <mergeCell ref="G155:H155"/>
    <mergeCell ref="G153:H153"/>
    <mergeCell ref="G154:H154"/>
    <mergeCell ref="A340:H343"/>
    <mergeCell ref="A339:B339"/>
    <mergeCell ref="E339:F339"/>
    <mergeCell ref="C339:D339"/>
    <mergeCell ref="G339:H339"/>
    <mergeCell ref="A136:H136"/>
    <mergeCell ref="A134:E134"/>
    <mergeCell ref="F134:H134"/>
    <mergeCell ref="A135:E135"/>
    <mergeCell ref="F135:H135"/>
    <mergeCell ref="A166:H166"/>
    <mergeCell ref="A141:B141"/>
    <mergeCell ref="A176:B176"/>
    <mergeCell ref="A138:B138"/>
    <mergeCell ref="A335:H335"/>
    <mergeCell ref="A139:H139"/>
    <mergeCell ref="A338:H338"/>
    <mergeCell ref="A336:H336"/>
    <mergeCell ref="A319:H319"/>
    <mergeCell ref="C148:C149"/>
    <mergeCell ref="B159:B160"/>
    <mergeCell ref="A173:H173"/>
    <mergeCell ref="A178:B178"/>
    <mergeCell ref="A177:B177"/>
    <mergeCell ref="A70:B70"/>
    <mergeCell ref="G69:H69"/>
    <mergeCell ref="E70:F79"/>
    <mergeCell ref="G70:H79"/>
    <mergeCell ref="A78:B78"/>
    <mergeCell ref="A79:B79"/>
    <mergeCell ref="A76:B76"/>
    <mergeCell ref="A69:B69"/>
    <mergeCell ref="A72:B72"/>
    <mergeCell ref="D60:H60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59:C59"/>
    <mergeCell ref="A60:C60"/>
    <mergeCell ref="D59:H59"/>
    <mergeCell ref="G48:H48"/>
    <mergeCell ref="D52:H52"/>
    <mergeCell ref="C48:E48"/>
    <mergeCell ref="D55:H55"/>
    <mergeCell ref="C46:E46"/>
    <mergeCell ref="G46:H46"/>
    <mergeCell ref="A50:B50"/>
    <mergeCell ref="A68:B68"/>
    <mergeCell ref="A66:B66"/>
    <mergeCell ref="C66:H6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192:B192"/>
    <mergeCell ref="A77:B77"/>
    <mergeCell ref="C141:D141"/>
    <mergeCell ref="E141:F141"/>
    <mergeCell ref="G141:H141"/>
    <mergeCell ref="F129:H129"/>
    <mergeCell ref="A123:E123"/>
    <mergeCell ref="A94:B94"/>
    <mergeCell ref="C94:H94"/>
    <mergeCell ref="A152:H152"/>
    <mergeCell ref="E148:E149"/>
    <mergeCell ref="G148:H149"/>
    <mergeCell ref="A84:B84"/>
    <mergeCell ref="E84:F93"/>
    <mergeCell ref="A91:B91"/>
    <mergeCell ref="A92:B92"/>
    <mergeCell ref="A93:B93"/>
    <mergeCell ref="G157:H157"/>
    <mergeCell ref="A96:B96"/>
    <mergeCell ref="A162:H162"/>
    <mergeCell ref="A163:B163"/>
    <mergeCell ref="A32:B32"/>
    <mergeCell ref="C32:E32"/>
    <mergeCell ref="C96:H96"/>
    <mergeCell ref="A97:B97"/>
    <mergeCell ref="F126:H126"/>
    <mergeCell ref="G97:H97"/>
    <mergeCell ref="A193:B193"/>
    <mergeCell ref="L166:M166"/>
    <mergeCell ref="A158:H158"/>
    <mergeCell ref="A159:A160"/>
    <mergeCell ref="A171:B171"/>
    <mergeCell ref="A168:B168"/>
    <mergeCell ref="A169:B169"/>
    <mergeCell ref="A170:B170"/>
    <mergeCell ref="L163:M163"/>
    <mergeCell ref="A164:B164"/>
    <mergeCell ref="L164:M164"/>
    <mergeCell ref="A165:B165"/>
    <mergeCell ref="L155:M155"/>
    <mergeCell ref="L154:M154"/>
    <mergeCell ref="L153:M153"/>
    <mergeCell ref="G156:H156"/>
    <mergeCell ref="A154:B154"/>
    <mergeCell ref="A157:B157"/>
    <mergeCell ref="A82:B82"/>
    <mergeCell ref="C82:H82"/>
    <mergeCell ref="A83:B83"/>
    <mergeCell ref="E83:F83"/>
    <mergeCell ref="G83:H83"/>
    <mergeCell ref="A128:E128"/>
    <mergeCell ref="F128:H128"/>
    <mergeCell ref="A129:E129"/>
    <mergeCell ref="A131:E131"/>
    <mergeCell ref="F125:H125"/>
    <mergeCell ref="A130:E130"/>
    <mergeCell ref="A101:B101"/>
    <mergeCell ref="A102:B102"/>
    <mergeCell ref="A103:B103"/>
    <mergeCell ref="A105:B105"/>
    <mergeCell ref="A106:B106"/>
    <mergeCell ref="A108:B108"/>
    <mergeCell ref="C108:H108"/>
    <mergeCell ref="A110:B110"/>
    <mergeCell ref="C110:H110"/>
    <mergeCell ref="A111:B111"/>
    <mergeCell ref="E111:F111"/>
    <mergeCell ref="G111:H111"/>
    <mergeCell ref="A112:B112"/>
    <mergeCell ref="C140:D140"/>
    <mergeCell ref="G140:H140"/>
    <mergeCell ref="A145:B145"/>
    <mergeCell ref="E145:F145"/>
    <mergeCell ref="C145:D145"/>
    <mergeCell ref="L194:M194"/>
    <mergeCell ref="B326:H326"/>
    <mergeCell ref="B322:H322"/>
    <mergeCell ref="B320:H320"/>
    <mergeCell ref="B321:H321"/>
    <mergeCell ref="B323:H323"/>
    <mergeCell ref="B324:H324"/>
    <mergeCell ref="A155:B155"/>
    <mergeCell ref="A208:B208"/>
    <mergeCell ref="L156:M156"/>
    <mergeCell ref="A187:H187"/>
    <mergeCell ref="A188:B188"/>
    <mergeCell ref="L165:M165"/>
    <mergeCell ref="A189:B189"/>
    <mergeCell ref="A190:B190"/>
    <mergeCell ref="A191:B191"/>
    <mergeCell ref="A200:B200"/>
    <mergeCell ref="C197:F197"/>
    <mergeCell ref="C200:F200"/>
    <mergeCell ref="B330:H330"/>
    <mergeCell ref="E97:F97"/>
    <mergeCell ref="A125:E125"/>
    <mergeCell ref="A122:E122"/>
    <mergeCell ref="F122:H122"/>
    <mergeCell ref="F127:H127"/>
    <mergeCell ref="B327:H327"/>
    <mergeCell ref="A45:B45"/>
    <mergeCell ref="C45:H45"/>
    <mergeCell ref="B325:H325"/>
    <mergeCell ref="A99:B99"/>
    <mergeCell ref="A100:B100"/>
    <mergeCell ref="G84:H93"/>
    <mergeCell ref="A85:B85"/>
    <mergeCell ref="A86:B86"/>
    <mergeCell ref="A87:B87"/>
    <mergeCell ref="F124:H124"/>
    <mergeCell ref="A124:E124"/>
    <mergeCell ref="D148:D149"/>
    <mergeCell ref="A126:E126"/>
    <mergeCell ref="A153:B153"/>
    <mergeCell ref="A98:B98"/>
    <mergeCell ref="E98:F107"/>
    <mergeCell ref="A133:E133"/>
    <mergeCell ref="G212:H217"/>
    <mergeCell ref="G219:H224"/>
    <mergeCell ref="A194:H194"/>
    <mergeCell ref="A172:B172"/>
    <mergeCell ref="A179:B179"/>
    <mergeCell ref="A201:H201"/>
    <mergeCell ref="A202:H202"/>
    <mergeCell ref="A203:B203"/>
    <mergeCell ref="G203:H203"/>
    <mergeCell ref="A209:B209"/>
    <mergeCell ref="A210:B210"/>
    <mergeCell ref="A211:H211"/>
    <mergeCell ref="A212:B212"/>
    <mergeCell ref="A213:B213"/>
    <mergeCell ref="A214:B214"/>
    <mergeCell ref="A215:B215"/>
    <mergeCell ref="A207:B207"/>
    <mergeCell ref="A180:H180"/>
    <mergeCell ref="A196:B196"/>
    <mergeCell ref="A197:B197"/>
    <mergeCell ref="A206:B206"/>
    <mergeCell ref="A36:B36"/>
    <mergeCell ref="C36:H36"/>
    <mergeCell ref="G163:H165"/>
    <mergeCell ref="G167:H172"/>
    <mergeCell ref="G174:H179"/>
    <mergeCell ref="G181:H186"/>
    <mergeCell ref="G188:H193"/>
    <mergeCell ref="G195:H200"/>
    <mergeCell ref="G205:H210"/>
    <mergeCell ref="A156:B156"/>
    <mergeCell ref="A127:E127"/>
    <mergeCell ref="F132:H132"/>
    <mergeCell ref="G98:H107"/>
    <mergeCell ref="A143:B143"/>
    <mergeCell ref="A150:H150"/>
    <mergeCell ref="A161:H161"/>
    <mergeCell ref="C143:D143"/>
    <mergeCell ref="E143:F143"/>
    <mergeCell ref="G143:H143"/>
    <mergeCell ref="G145:H145"/>
    <mergeCell ref="A142:B142"/>
    <mergeCell ref="C142:D142"/>
    <mergeCell ref="E142:F142"/>
    <mergeCell ref="G142:H142"/>
    <mergeCell ref="E112:F121"/>
    <mergeCell ref="G112:H121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</mergeCells>
  <phoneticPr fontId="26" type="noConversion"/>
  <hyperlinks>
    <hyperlink ref="C36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07" max="16383" man="1"/>
    <brk id="343" max="16383" man="1"/>
    <brk id="387" max="16383" man="1"/>
    <brk id="42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9" zoomScale="85" zoomScaleNormal="85" workbookViewId="0">
      <selection activeCell="I23" sqref="I23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6" t="s">
        <v>108</v>
      </c>
      <c r="C3" s="186"/>
      <c r="D3" s="186"/>
      <c r="E3" s="186"/>
      <c r="F3" s="186"/>
      <c r="G3" s="186"/>
      <c r="H3" s="186"/>
    </row>
    <row r="4" spans="1:9" x14ac:dyDescent="0.35">
      <c r="A4" s="2"/>
      <c r="B4" s="3" t="s">
        <v>109</v>
      </c>
      <c r="C4" s="3" t="s">
        <v>110</v>
      </c>
      <c r="D4" s="3" t="s">
        <v>72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2025-03-21T10:27:09Z</cp:lastPrinted>
  <dcterms:created xsi:type="dcterms:W3CDTF">2019-07-16T09:29:46Z</dcterms:created>
  <dcterms:modified xsi:type="dcterms:W3CDTF">2025-09-19T04:47:36Z</dcterms:modified>
</cp:coreProperties>
</file>