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1" l="1"/>
  <c r="I117" i="1"/>
  <c r="I121" i="1"/>
  <c r="I118" i="1"/>
  <c r="I119" i="1"/>
  <c r="I120" i="1"/>
  <c r="J117" i="1"/>
  <c r="K117" i="1"/>
  <c r="J126" i="1"/>
  <c r="K126" i="1"/>
  <c r="D114" i="1"/>
  <c r="D120" i="1"/>
  <c r="D126" i="1"/>
  <c r="D123" i="1"/>
  <c r="D117" i="1"/>
  <c r="D111" i="1"/>
  <c r="D107" i="1"/>
  <c r="I107" i="1" s="1"/>
  <c r="L107" i="1"/>
  <c r="J107" i="1"/>
  <c r="D124" i="1" l="1"/>
  <c r="E115" i="1" l="1"/>
  <c r="D115" i="1"/>
  <c r="E114" i="1"/>
  <c r="D113" i="1"/>
  <c r="D112" i="1"/>
  <c r="G111" i="1"/>
  <c r="D119" i="1"/>
  <c r="D118" i="1"/>
  <c r="D109" i="1" l="1"/>
  <c r="D108" i="1"/>
  <c r="D103" i="1"/>
  <c r="D121" i="1" l="1"/>
  <c r="G117" i="1"/>
  <c r="D127" i="1"/>
  <c r="D125" i="1"/>
  <c r="E93" i="1" l="1"/>
  <c r="D101" i="1"/>
  <c r="D100" i="1"/>
  <c r="D99" i="1"/>
  <c r="G103" i="1"/>
  <c r="I99" i="1"/>
  <c r="I100" i="1"/>
  <c r="I101" i="1"/>
  <c r="F103" i="1" l="1"/>
  <c r="G89" i="1" s="1"/>
  <c r="C89" i="1"/>
  <c r="E89" i="1"/>
  <c r="C88" i="1"/>
  <c r="E88" i="1"/>
  <c r="C93" i="1"/>
  <c r="E42" i="1"/>
  <c r="E43" i="1" s="1"/>
  <c r="C90" i="1" l="1"/>
  <c r="E90" i="1"/>
  <c r="C14" i="1"/>
  <c r="E29" i="1" l="1"/>
  <c r="A108" i="1" l="1"/>
  <c r="A109" i="1" s="1"/>
  <c r="G107" i="1"/>
  <c r="F85" i="1" l="1"/>
  <c r="F100" i="1" l="1"/>
  <c r="F101" i="1"/>
  <c r="F99" i="1"/>
  <c r="G88" i="1" l="1"/>
  <c r="G90" i="1" s="1"/>
  <c r="B131" i="1"/>
  <c r="G93" i="1" l="1"/>
  <c r="B1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2" i="1"/>
  <c r="G123" i="1"/>
  <c r="A124" i="1"/>
  <c r="A125" i="1" s="1"/>
  <c r="A126" i="1" s="1"/>
  <c r="A127" i="1" s="1"/>
  <c r="A100" i="1"/>
  <c r="A101" i="1" s="1"/>
  <c r="G99" i="1"/>
  <c r="J76" i="1"/>
  <c r="J75" i="1"/>
  <c r="J74" i="1"/>
  <c r="J73" i="1"/>
  <c r="C65" i="1"/>
  <c r="D54" i="1"/>
  <c r="G49" i="1"/>
  <c r="G50" i="1" s="1"/>
  <c r="C49" i="1"/>
  <c r="C50" i="1" s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C70" i="1" s="1"/>
  <c r="E69" i="1" s="1"/>
  <c r="D71" i="1"/>
  <c r="J67" i="1"/>
  <c r="D69" i="1"/>
  <c r="G69" i="1" l="1"/>
  <c r="D63" i="1" s="1"/>
  <c r="D64" i="1" s="1"/>
  <c r="D70" i="1"/>
  <c r="I66" i="1" s="1"/>
  <c r="J66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<sst xmlns="http://schemas.openxmlformats.org/spreadsheetml/2006/main" count="276" uniqueCount="217">
  <si>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</si>
  <si>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</si>
  <si>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</si>
  <si>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</si>
  <si>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</si>
  <si>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</si>
  <si>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</si>
  <si>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</si>
  <si>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</si>
  <si>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</si>
  <si>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</si>
  <si>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</si>
  <si>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</si>
  <si>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</si>
  <si>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</si>
  <si>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</si>
  <si>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</si>
  <si>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</si>
  <si>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</si>
  <si>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</si>
  <si>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</si>
  <si>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</si>
  <si>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</si>
  <si>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</si>
  <si>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</si>
  <si>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</si>
  <si>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</si>
  <si>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</si>
  <si>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</si>
  <si>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</si>
  <si>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</si>
  <si>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</si>
  <si>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</si>
  <si>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</si>
  <si>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</si>
  <si>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</si>
  <si>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</si>
  <si>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</si>
  <si>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</si>
  <si>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</si>
  <si>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</si>
  <si>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</si>
  <si>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</si>
  <si>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</si>
  <si>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</si>
  <si>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</si>
  <si>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</si>
  <si>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</si>
  <si>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</si>
  <si>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</si>
  <si>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</si>
  <si>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</si>
  <si>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</si>
  <si>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</si>
  <si>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</si>
  <si>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</si>
  <si>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</si>
  <si>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</si>
  <si>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</si>
  <si>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</si>
  <si>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</si>
  <si>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</si>
  <si>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</si>
  <si>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</si>
  <si>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</si>
  <si>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</si>
  <si>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</si>
  <si>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</si>
  <si>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</si>
  <si>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</si>
  <si>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</si>
  <si>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</si>
  <si>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</si>
  <si>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</si>
  <si>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</si>
  <si>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</si>
  <si>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</si>
  <si>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</si>
  <si>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</si>
  <si>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</si>
  <si>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</si>
  <si>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</si>
  <si>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</si>
  <si>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</si>
  <si>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</si>
  <si>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</si>
  <si>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</si>
  <si>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</si>
  <si>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</si>
  <si>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</si>
  <si>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</si>
  <si>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</si>
  <si>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</si>
  <si>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</si>
  <si>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</si>
  <si>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</si>
  <si>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</si>
  <si>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</si>
  <si>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</si>
  <si>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</si>
  <si>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</si>
  <si>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</si>
  <si>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</si>
  <si>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</si>
  <si>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</si>
  <si>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</si>
  <si>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</si>
  <si>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</si>
  <si>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</si>
  <si>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</si>
  <si>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</si>
  <si>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</si>
  <si>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</si>
  <si>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</si>
  <si>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</si>
  <si>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</si>
  <si>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</si>
  <si>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</si>
  <si>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</si>
  <si>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</si>
  <si>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</si>
  <si>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</si>
  <si>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</si>
  <si>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</si>
  <si>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</si>
  <si>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</si>
  <si>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</si>
  <si>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</si>
  <si>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</si>
  <si>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</si>
  <si>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</si>
  <si>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</si>
  <si>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</si>
  <si>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</si>
  <si>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</si>
  <si>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</si>
  <si>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</si>
  <si>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</si>
  <si>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</si>
  <si>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</si>
  <si>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</si>
  <si>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</si>
  <si>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</si>
  <si>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</si>
  <si>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</si>
  <si>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</si>
  <si>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</si>
  <si>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</si>
  <si>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</si>
  <si>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</si>
  <si>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</si>
  <si>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</si>
  <si>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</si>
  <si>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</si>
  <si>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</si>
  <si>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</si>
  <si>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</si>
  <si>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</si>
  <si>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</si>
  <si>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</si>
  <si>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</si>
  <si>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</si>
  <si>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</si>
  <si>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</si>
  <si>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</si>
  <si>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</si>
  <si>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</si>
  <si>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</si>
  <si>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</si>
  <si>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Balaji Vishant</t>
  </si>
  <si>
    <t>Sairaj Builders</t>
  </si>
  <si>
    <t>P51700047811</t>
  </si>
  <si>
    <t>1 Building</t>
  </si>
  <si>
    <t>Approved Plans, CC, Cost Sheet</t>
  </si>
  <si>
    <t>Plot Bearing No</t>
  </si>
  <si>
    <t>Kanchangaon</t>
  </si>
  <si>
    <t>Kalyan</t>
  </si>
  <si>
    <t>Thane</t>
  </si>
  <si>
    <t>KDMC/TPD/BP/DOM/2022-23/38/281</t>
  </si>
  <si>
    <t>Kalyan Dombivli Municipal Corporation (KDMC)</t>
  </si>
  <si>
    <t>As per RERA - 31/12/2026</t>
  </si>
  <si>
    <t>Fitness Center</t>
  </si>
  <si>
    <t>Ground Floor For Commercial &amp; Parking</t>
  </si>
  <si>
    <t>Shop</t>
  </si>
  <si>
    <t>1st Floor For Part Commercial</t>
  </si>
  <si>
    <t>1st Floor For Part Residential</t>
  </si>
  <si>
    <t>Office</t>
  </si>
  <si>
    <t>1BHK</t>
  </si>
  <si>
    <t>2BHK</t>
  </si>
  <si>
    <t>6th to 18th Floor</t>
  </si>
  <si>
    <t>Flats</t>
  </si>
  <si>
    <t>Flats - 88, Shops - 3, Offices - 1</t>
  </si>
  <si>
    <t>Terrace Floor For Fitness Center &amp; Society Office</t>
  </si>
  <si>
    <t>We considered Gross carpet area = Net carpet + Enclose balcony.</t>
  </si>
  <si>
    <t>https://goo.gl/maps/vTA3dkYTLe2pDAmm9</t>
  </si>
  <si>
    <t>Internal Road</t>
  </si>
  <si>
    <t>Shankheshwar Heights CHS Ltd</t>
  </si>
  <si>
    <t>Open Plot</t>
  </si>
  <si>
    <t>Shankeshwar Shrushti</t>
  </si>
  <si>
    <t>Balaji Nagar</t>
  </si>
  <si>
    <t>Thakurli</t>
  </si>
  <si>
    <t>950M from Thakurli Railway Station</t>
  </si>
  <si>
    <t>Mr. Ajay Tiwari (7715802247)</t>
  </si>
  <si>
    <t>Old 88, New 100 H.No.9 A &amp; B</t>
  </si>
  <si>
    <t>Shankeshwar Shrushti Building</t>
  </si>
  <si>
    <t>2nd Floor For Residential</t>
  </si>
  <si>
    <t>3rd to 5th Floor For Residential</t>
  </si>
  <si>
    <t xml:space="preserve">Builder Saleable area 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</si>
  <si>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</si>
  <si>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Recommended rate of the Office Per Sq. Ft.</t>
  </si>
  <si>
    <t>Mr. Suraj : 8356002318</t>
  </si>
  <si>
    <t>Pooja Kawale</t>
  </si>
  <si>
    <t>Mangesh Laxman Bapardekar</t>
  </si>
  <si>
    <t>KDMCC/FO/2025/APL/00172
Approved upto : Gr/St + 1st to 18th + 19th Floor (for Society office/Fitness Center)</t>
  </si>
  <si>
    <t>G + 1st to 18th Floor + Terrace Floor (Society Office &amp; Fitness Center)</t>
  </si>
  <si>
    <t>All work Completed. OC Received.</t>
  </si>
  <si>
    <t>We have updated OC (On 25/09/2025).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</si>
</sst>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/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4" fontId="8" fillId="0" borderId="4" xfId="1" applyNumberFormat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197</xdr:row>
      <xdr:rowOff>19050</xdr:rowOff>
    </xdr:from>
    <xdr:to>
      <xdr:col>3</xdr:col>
      <xdr:colOff>641625</xdr:colOff>
      <xdr:row>218</xdr:row>
      <xdr:rowOff>169602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7" t="23693" r="5419" b="44230"/>
        <a:stretch/>
      </xdr:blipFill>
      <xdr:spPr>
        <a:xfrm rot="16200000">
          <a:off x="-383114" y="45150614"/>
          <a:ext cx="435107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782956</xdr:colOff>
      <xdr:row>197</xdr:row>
      <xdr:rowOff>19364</xdr:rowOff>
    </xdr:from>
    <xdr:to>
      <xdr:col>7</xdr:col>
      <xdr:colOff>523007</xdr:colOff>
      <xdr:row>218</xdr:row>
      <xdr:rowOff>171238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5" t="22654" r="2545" b="37884"/>
        <a:stretch/>
      </xdr:blipFill>
      <xdr:spPr>
        <a:xfrm rot="16200000">
          <a:off x="2829707" y="44959438"/>
          <a:ext cx="4352400" cy="326430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233</xdr:row>
      <xdr:rowOff>85725</xdr:rowOff>
    </xdr:from>
    <xdr:to>
      <xdr:col>6</xdr:col>
      <xdr:colOff>467470</xdr:colOff>
      <xdr:row>249</xdr:row>
      <xdr:rowOff>125325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51882675"/>
          <a:ext cx="4734670" cy="324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250</xdr:row>
      <xdr:rowOff>67031</xdr:rowOff>
    </xdr:from>
    <xdr:to>
      <xdr:col>6</xdr:col>
      <xdr:colOff>481077</xdr:colOff>
      <xdr:row>266</xdr:row>
      <xdr:rowOff>106631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55264406"/>
          <a:ext cx="4748277" cy="324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876300</xdr:colOff>
      <xdr:row>257</xdr:row>
      <xdr:rowOff>0</xdr:rowOff>
    </xdr:from>
    <xdr:to>
      <xdr:col>4</xdr:col>
      <xdr:colOff>523875</xdr:colOff>
      <xdr:row>260</xdr:row>
      <xdr:rowOff>66675</xdr:rowOff>
    </xdr:to>
    <xdr:sp macro="" textlink="">
      <xdr:nvSpPr>
        <xdr:cNvPr id="2" name="Rectangle 1"/>
        <xdr:cNvSpPr/>
      </xdr:nvSpPr>
      <xdr:spPr>
        <a:xfrm>
          <a:off x="3467100" y="56597550"/>
          <a:ext cx="657225" cy="66675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57150</xdr:colOff>
      <xdr:row>152</xdr:row>
      <xdr:rowOff>95250</xdr:rowOff>
    </xdr:from>
    <xdr:to>
      <xdr:col>7</xdr:col>
      <xdr:colOff>608284</xdr:colOff>
      <xdr:row>191</xdr:row>
      <xdr:rowOff>177040</xdr:rowOff>
    </xdr:to>
    <xdr:grpSp>
      <xdr:nvGrpSpPr>
        <xdr:cNvPr id="3" name="Group 2"/>
        <xdr:cNvGrpSpPr/>
      </xdr:nvGrpSpPr>
      <xdr:grpSpPr>
        <a:xfrm>
          <a:off x="57150" y="33369250"/>
          <a:ext cx="6526484" cy="7752590"/>
          <a:chOff x="57150" y="32785050"/>
          <a:chExt cx="6526484" cy="7752590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46237" y="384856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254" y="3278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0179" y="384856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3208" y="384856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0528" y="3278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3802" y="356353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3802" y="3278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254" y="356353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0527" y="356353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3848564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700980</xdr:colOff>
      <xdr:row>14</xdr:row>
      <xdr:rowOff>0</xdr:rowOff>
    </xdr:from>
    <xdr:to>
      <xdr:col>16</xdr:col>
      <xdr:colOff>465657</xdr:colOff>
      <xdr:row>34</xdr:row>
      <xdr:rowOff>45742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245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2</xdr:col>
      <xdr:colOff>1449492</xdr:colOff>
      <xdr:row>35</xdr:row>
      <xdr:rowOff>148540</xdr:rowOff>
    </xdr:from>
    <xdr:to>
      <xdr:col>9</xdr:col>
      <xdr:colOff>373727</xdr:colOff>
      <xdr:row>56</xdr:row>
      <xdr:rowOff>3782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374" y="682724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TA3dkYTLe2pDAmm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31"/>
  <sheetViews>
    <sheetView tabSelected="1" view="pageBreakPreview" zoomScaleNormal="100" zoomScaleSheetLayoutView="100" workbookViewId="0">
      <selection activeCell="D57" sqref="D57:H57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9.72656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44" t="s">
        <v>208</v>
      </c>
      <c r="B1" s="144"/>
      <c r="C1" s="144"/>
      <c r="D1" s="144"/>
      <c r="E1" s="144"/>
      <c r="F1" s="144"/>
      <c r="G1" s="144"/>
      <c r="H1" s="144"/>
    </row>
    <row r="2" spans="1:8" ht="16.5" customHeight="1" x14ac:dyDescent="0.35">
      <c r="A2" s="69" t="s">
        <v>0</v>
      </c>
      <c r="B2" s="69"/>
      <c r="C2" s="69"/>
      <c r="D2" s="69"/>
      <c r="E2" s="69"/>
      <c r="F2" s="69"/>
      <c r="G2" s="69"/>
      <c r="H2" s="69"/>
    </row>
    <row r="3" spans="1:8" x14ac:dyDescent="0.35">
      <c r="A3" s="120" t="s">
        <v>1</v>
      </c>
      <c r="B3" s="120"/>
      <c r="C3" s="120"/>
      <c r="D3" s="120"/>
      <c r="E3" s="120" t="str">
        <f ca="1">TEXT(TODAY(),"DD/MM/YYYY")</f>
        <v>25/09/2025</v>
      </c>
      <c r="F3" s="120"/>
      <c r="G3" s="120"/>
      <c r="H3" s="120"/>
    </row>
    <row r="4" spans="1:8" ht="15" customHeight="1" x14ac:dyDescent="0.35">
      <c r="A4" s="120" t="s">
        <v>2</v>
      </c>
      <c r="B4" s="120"/>
      <c r="C4" s="120"/>
      <c r="D4" s="120"/>
      <c r="E4" s="120" t="s">
        <v>168</v>
      </c>
      <c r="F4" s="120"/>
      <c r="G4" s="120"/>
      <c r="H4" s="120"/>
    </row>
    <row r="5" spans="1:8" x14ac:dyDescent="0.35">
      <c r="A5" s="120" t="s">
        <v>3</v>
      </c>
      <c r="B5" s="120"/>
      <c r="C5" s="120"/>
      <c r="D5" s="120"/>
      <c r="E5" s="143">
        <v>45906</v>
      </c>
      <c r="F5" s="120"/>
      <c r="G5" s="120"/>
      <c r="H5" s="120"/>
    </row>
    <row r="6" spans="1:8" ht="16.5" customHeight="1" x14ac:dyDescent="0.35">
      <c r="A6" s="120" t="s">
        <v>4</v>
      </c>
      <c r="B6" s="120"/>
      <c r="C6" s="120"/>
      <c r="D6" s="120"/>
      <c r="E6" s="120" t="s">
        <v>170</v>
      </c>
      <c r="F6" s="120"/>
      <c r="G6" s="120"/>
      <c r="H6" s="120"/>
    </row>
    <row r="7" spans="1:8" ht="15" customHeight="1" x14ac:dyDescent="0.35">
      <c r="A7" s="120" t="s">
        <v>5</v>
      </c>
      <c r="B7" s="120"/>
      <c r="C7" s="120"/>
      <c r="D7" s="120"/>
      <c r="E7" s="120" t="str">
        <f>E6</f>
        <v>Sairaj Builders</v>
      </c>
      <c r="F7" s="120"/>
      <c r="G7" s="120"/>
      <c r="H7" s="120"/>
    </row>
    <row r="8" spans="1:8" x14ac:dyDescent="0.35">
      <c r="A8" s="120" t="s">
        <v>6</v>
      </c>
      <c r="B8" s="120"/>
      <c r="C8" s="120"/>
      <c r="D8" s="120"/>
      <c r="E8" s="121" t="s">
        <v>169</v>
      </c>
      <c r="F8" s="121"/>
      <c r="G8" s="121"/>
      <c r="H8" s="121"/>
    </row>
    <row r="9" spans="1:8" x14ac:dyDescent="0.35">
      <c r="A9" s="120" t="s">
        <v>165</v>
      </c>
      <c r="B9" s="120"/>
      <c r="C9" s="120"/>
      <c r="D9" s="120"/>
      <c r="E9" s="120" t="s">
        <v>202</v>
      </c>
      <c r="F9" s="120"/>
      <c r="G9" s="120"/>
      <c r="H9" s="120"/>
    </row>
    <row r="10" spans="1:8" x14ac:dyDescent="0.35">
      <c r="A10" s="120" t="s">
        <v>166</v>
      </c>
      <c r="B10" s="120"/>
      <c r="C10" s="120"/>
      <c r="D10" s="120"/>
      <c r="E10" s="120" t="s">
        <v>210</v>
      </c>
      <c r="F10" s="120"/>
      <c r="G10" s="120"/>
      <c r="H10" s="120"/>
    </row>
    <row r="11" spans="1:8" x14ac:dyDescent="0.35">
      <c r="A11" s="120" t="s">
        <v>7</v>
      </c>
      <c r="B11" s="120"/>
      <c r="C11" s="120"/>
      <c r="D11" s="120"/>
      <c r="E11" s="120" t="s">
        <v>172</v>
      </c>
      <c r="F11" s="120"/>
      <c r="G11" s="120"/>
      <c r="H11" s="120"/>
    </row>
    <row r="12" spans="1:8" x14ac:dyDescent="0.35">
      <c r="A12" s="81" t="s">
        <v>8</v>
      </c>
      <c r="B12" s="81"/>
      <c r="C12" s="81"/>
      <c r="D12" s="81"/>
      <c r="E12" s="71" t="s">
        <v>173</v>
      </c>
      <c r="F12" s="71"/>
      <c r="G12" s="71"/>
      <c r="H12" s="71"/>
    </row>
    <row r="13" spans="1:8" x14ac:dyDescent="0.35">
      <c r="A13" s="81" t="s">
        <v>9</v>
      </c>
      <c r="B13" s="81"/>
      <c r="C13" s="81"/>
      <c r="D13" s="81"/>
      <c r="E13" s="71" t="s">
        <v>171</v>
      </c>
      <c r="F13" s="120"/>
      <c r="G13" s="120"/>
      <c r="H13" s="120"/>
    </row>
    <row r="14" spans="1:8" ht="48.75" customHeight="1" x14ac:dyDescent="0.3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Balaji Vishant, Plot Bearing No.Old 88, New 100 H.No.9 A &amp; B, near Shankeshwar Shrushti, Internal Road, Balaji Nagar, Kanchangaon, Thakurli, Kalyan, Thane - 421201.</v>
      </c>
      <c r="D14" s="115"/>
      <c r="E14" s="115"/>
      <c r="F14" s="115"/>
      <c r="G14" s="115"/>
      <c r="H14" s="115"/>
    </row>
    <row r="15" spans="1:8" x14ac:dyDescent="0.35">
      <c r="A15" s="71" t="s">
        <v>174</v>
      </c>
      <c r="B15" s="71"/>
      <c r="C15" s="71" t="s">
        <v>203</v>
      </c>
      <c r="D15" s="71"/>
      <c r="E15" s="71"/>
      <c r="F15" s="71"/>
      <c r="G15" s="71"/>
      <c r="H15" s="71"/>
    </row>
    <row r="16" spans="1:8" ht="15.75" customHeight="1" x14ac:dyDescent="0.35">
      <c r="A16" s="71" t="s">
        <v>164</v>
      </c>
      <c r="B16" s="71"/>
      <c r="C16" s="71" t="s">
        <v>199</v>
      </c>
      <c r="D16" s="71"/>
      <c r="E16" s="71"/>
      <c r="F16" s="71"/>
      <c r="G16" s="71"/>
      <c r="H16" s="71"/>
    </row>
    <row r="17" spans="1:8" ht="15.75" customHeight="1" x14ac:dyDescent="0.35">
      <c r="A17" s="115" t="s">
        <v>11</v>
      </c>
      <c r="B17" s="115"/>
      <c r="C17" s="120" t="s">
        <v>195</v>
      </c>
      <c r="D17" s="120"/>
      <c r="E17" s="115" t="s">
        <v>77</v>
      </c>
      <c r="F17" s="115"/>
      <c r="G17" s="71" t="s">
        <v>175</v>
      </c>
      <c r="H17" s="71"/>
    </row>
    <row r="18" spans="1:8" x14ac:dyDescent="0.35">
      <c r="A18" s="81" t="s">
        <v>13</v>
      </c>
      <c r="B18" s="81"/>
      <c r="C18" s="71" t="s">
        <v>200</v>
      </c>
      <c r="D18" s="71"/>
      <c r="E18" s="115" t="s">
        <v>12</v>
      </c>
      <c r="F18" s="115"/>
      <c r="G18" s="142" t="s">
        <v>177</v>
      </c>
      <c r="H18" s="142"/>
    </row>
    <row r="19" spans="1:8" x14ac:dyDescent="0.35">
      <c r="A19" s="81" t="s">
        <v>78</v>
      </c>
      <c r="B19" s="81"/>
      <c r="C19" s="71" t="s">
        <v>176</v>
      </c>
      <c r="D19" s="71"/>
      <c r="E19" s="115" t="s">
        <v>14</v>
      </c>
      <c r="F19" s="115"/>
      <c r="G19" s="71">
        <v>421201</v>
      </c>
      <c r="H19" s="71"/>
    </row>
    <row r="20" spans="1:8" ht="32.25" customHeight="1" x14ac:dyDescent="0.35">
      <c r="A20" s="81" t="s">
        <v>124</v>
      </c>
      <c r="B20" s="81"/>
      <c r="C20" s="71" t="s">
        <v>198</v>
      </c>
      <c r="D20" s="71"/>
      <c r="E20" s="115" t="s">
        <v>15</v>
      </c>
      <c r="F20" s="115"/>
      <c r="G20" s="71" t="s">
        <v>201</v>
      </c>
      <c r="H20" s="71"/>
    </row>
    <row r="21" spans="1:8" ht="15" customHeight="1" x14ac:dyDescent="0.35">
      <c r="A21" s="115" t="s">
        <v>81</v>
      </c>
      <c r="B21" s="115"/>
      <c r="C21" s="115"/>
      <c r="D21" s="115"/>
      <c r="E21" s="120" t="s">
        <v>16</v>
      </c>
      <c r="F21" s="120"/>
      <c r="G21" s="120"/>
      <c r="H21" s="120"/>
    </row>
    <row r="22" spans="1:8" ht="18.75" customHeight="1" x14ac:dyDescent="0.35">
      <c r="A22" s="115"/>
      <c r="B22" s="115"/>
      <c r="C22" s="115"/>
      <c r="D22" s="115"/>
      <c r="E22" s="120"/>
      <c r="F22" s="120"/>
      <c r="G22" s="120"/>
      <c r="H22" s="120"/>
    </row>
    <row r="23" spans="1:8" ht="15" customHeight="1" x14ac:dyDescent="0.35">
      <c r="A23" s="115" t="s">
        <v>17</v>
      </c>
      <c r="B23" s="115"/>
      <c r="C23" s="115"/>
      <c r="D23" s="115"/>
      <c r="E23" s="71" t="s">
        <v>18</v>
      </c>
      <c r="F23" s="71"/>
      <c r="G23" s="71"/>
      <c r="H23" s="71"/>
    </row>
    <row r="24" spans="1:8" ht="15" customHeight="1" x14ac:dyDescent="0.35">
      <c r="A24" s="81" t="s">
        <v>19</v>
      </c>
      <c r="B24" s="81"/>
      <c r="C24" s="81"/>
      <c r="D24" s="81"/>
      <c r="E24" s="71" t="str">
        <f>IF(AND(G18="Mumbai"),"Upper Class","Middle Class")</f>
        <v>Middle Class</v>
      </c>
      <c r="F24" s="71"/>
      <c r="G24" s="71"/>
      <c r="H24" s="71"/>
    </row>
    <row r="25" spans="1:8" x14ac:dyDescent="0.35">
      <c r="A25" s="81" t="s">
        <v>20</v>
      </c>
      <c r="B25" s="81"/>
      <c r="C25" s="81"/>
      <c r="D25" s="81"/>
      <c r="E25" s="71" t="s">
        <v>21</v>
      </c>
      <c r="F25" s="71"/>
      <c r="G25" s="71"/>
      <c r="H25" s="71"/>
    </row>
    <row r="26" spans="1:8" ht="15.75" customHeight="1" x14ac:dyDescent="0.35">
      <c r="A26" s="81" t="s">
        <v>22</v>
      </c>
      <c r="B26" s="81"/>
      <c r="C26" s="81"/>
      <c r="D26" s="81"/>
      <c r="E26" s="71" t="str">
        <f>IF(AND(G18="Mumbai"),"Developed","Developing")</f>
        <v>Developing</v>
      </c>
      <c r="F26" s="71"/>
      <c r="G26" s="71"/>
      <c r="H26" s="71"/>
    </row>
    <row r="27" spans="1:8" x14ac:dyDescent="0.35">
      <c r="A27" s="81" t="s">
        <v>23</v>
      </c>
      <c r="B27" s="81"/>
      <c r="C27" s="81"/>
      <c r="D27" s="81"/>
      <c r="E27" s="71" t="s">
        <v>24</v>
      </c>
      <c r="F27" s="71"/>
      <c r="G27" s="71"/>
      <c r="H27" s="71"/>
    </row>
    <row r="28" spans="1:8" ht="15.75" customHeight="1" x14ac:dyDescent="0.35">
      <c r="A28" s="81" t="s">
        <v>86</v>
      </c>
      <c r="B28" s="81"/>
      <c r="C28" s="81"/>
      <c r="D28" s="81"/>
      <c r="E28" s="71" t="s">
        <v>87</v>
      </c>
      <c r="F28" s="71"/>
      <c r="G28" s="71"/>
      <c r="H28" s="71"/>
    </row>
    <row r="29" spans="1:8" ht="15" customHeight="1" x14ac:dyDescent="0.35">
      <c r="A29" s="81" t="s">
        <v>35</v>
      </c>
      <c r="B29" s="81"/>
      <c r="C29" s="81"/>
      <c r="D29" s="81"/>
      <c r="E29" s="7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1"/>
      <c r="G29" s="71"/>
      <c r="H29" s="71"/>
    </row>
    <row r="30" spans="1:8" ht="15.75" customHeight="1" x14ac:dyDescent="0.35">
      <c r="A30" s="81" t="s">
        <v>98</v>
      </c>
      <c r="B30" s="81"/>
      <c r="C30" s="81"/>
      <c r="D30" s="81"/>
      <c r="E30" s="71" t="s">
        <v>36</v>
      </c>
      <c r="F30" s="71"/>
      <c r="G30" s="71"/>
      <c r="H30" s="71"/>
    </row>
    <row r="31" spans="1:8" s="19" customFormat="1" x14ac:dyDescent="0.35">
      <c r="A31" s="141" t="s">
        <v>99</v>
      </c>
      <c r="B31" s="141"/>
      <c r="C31" s="140" t="s">
        <v>29</v>
      </c>
      <c r="D31" s="140"/>
      <c r="E31" s="140"/>
      <c r="F31" s="140" t="s">
        <v>31</v>
      </c>
      <c r="G31" s="140"/>
      <c r="H31" s="140"/>
    </row>
    <row r="32" spans="1:8" s="19" customFormat="1" x14ac:dyDescent="0.35">
      <c r="A32" s="124" t="s">
        <v>25</v>
      </c>
      <c r="B32" s="124" t="s">
        <v>30</v>
      </c>
      <c r="C32" s="125" t="s">
        <v>30</v>
      </c>
      <c r="D32" s="125"/>
      <c r="E32" s="125"/>
      <c r="F32" s="125" t="s">
        <v>195</v>
      </c>
      <c r="G32" s="125"/>
      <c r="H32" s="125"/>
    </row>
    <row r="33" spans="1:8" x14ac:dyDescent="0.35">
      <c r="A33" s="124" t="s">
        <v>26</v>
      </c>
      <c r="B33" s="124" t="s">
        <v>30</v>
      </c>
      <c r="C33" s="125" t="s">
        <v>30</v>
      </c>
      <c r="D33" s="125"/>
      <c r="E33" s="125"/>
      <c r="F33" s="125" t="s">
        <v>196</v>
      </c>
      <c r="G33" s="125"/>
      <c r="H33" s="125"/>
    </row>
    <row r="34" spans="1:8" s="19" customFormat="1" x14ac:dyDescent="0.35">
      <c r="A34" s="124" t="s">
        <v>28</v>
      </c>
      <c r="B34" s="124" t="s">
        <v>30</v>
      </c>
      <c r="C34" s="125" t="s">
        <v>30</v>
      </c>
      <c r="D34" s="125"/>
      <c r="E34" s="125"/>
      <c r="F34" s="125" t="s">
        <v>197</v>
      </c>
      <c r="G34" s="125"/>
      <c r="H34" s="125"/>
    </row>
    <row r="35" spans="1:8" x14ac:dyDescent="0.35">
      <c r="A35" s="124" t="s">
        <v>27</v>
      </c>
      <c r="B35" s="124" t="s">
        <v>30</v>
      </c>
      <c r="C35" s="125" t="s">
        <v>30</v>
      </c>
      <c r="D35" s="125"/>
      <c r="E35" s="125"/>
      <c r="F35" s="125" t="s">
        <v>204</v>
      </c>
      <c r="G35" s="125"/>
      <c r="H35" s="125"/>
    </row>
    <row r="36" spans="1:8" x14ac:dyDescent="0.35">
      <c r="A36" s="81" t="s">
        <v>32</v>
      </c>
      <c r="B36" s="81"/>
      <c r="C36" s="81"/>
      <c r="D36" s="81"/>
      <c r="E36" s="81"/>
      <c r="F36" s="81"/>
      <c r="G36" s="81"/>
      <c r="H36" s="81"/>
    </row>
    <row r="37" spans="1:8" ht="15.75" customHeight="1" x14ac:dyDescent="0.35">
      <c r="A37" s="69" t="s">
        <v>33</v>
      </c>
      <c r="B37" s="69"/>
      <c r="C37" s="127">
        <v>19.226192099999999</v>
      </c>
      <c r="D37" s="127"/>
      <c r="E37" s="69" t="s">
        <v>34</v>
      </c>
      <c r="F37" s="69"/>
      <c r="G37" s="128">
        <v>73.104763399999996</v>
      </c>
      <c r="H37" s="128"/>
    </row>
    <row r="38" spans="1:8" x14ac:dyDescent="0.35">
      <c r="A38" s="69" t="s">
        <v>163</v>
      </c>
      <c r="B38" s="69"/>
      <c r="C38" s="70" t="s">
        <v>194</v>
      </c>
      <c r="D38" s="71"/>
      <c r="E38" s="71"/>
      <c r="F38" s="71"/>
      <c r="G38" s="71"/>
      <c r="H38" s="71"/>
    </row>
    <row r="39" spans="1:8" x14ac:dyDescent="0.35">
      <c r="A39" s="108" t="s">
        <v>37</v>
      </c>
      <c r="B39" s="108"/>
      <c r="C39" s="108"/>
      <c r="D39" s="108"/>
      <c r="E39" s="108"/>
      <c r="F39" s="108"/>
      <c r="G39" s="108"/>
      <c r="H39" s="108"/>
    </row>
    <row r="40" spans="1:8" x14ac:dyDescent="0.35">
      <c r="A40" s="81" t="s">
        <v>38</v>
      </c>
      <c r="B40" s="81"/>
      <c r="C40" s="81"/>
      <c r="D40" s="81"/>
      <c r="E40" s="126">
        <v>1125.5</v>
      </c>
      <c r="F40" s="126"/>
      <c r="G40" s="126"/>
      <c r="H40" s="126"/>
    </row>
    <row r="41" spans="1:8" x14ac:dyDescent="0.35">
      <c r="A41" s="81" t="s">
        <v>39</v>
      </c>
      <c r="B41" s="81"/>
      <c r="C41" s="81"/>
      <c r="D41" s="81"/>
      <c r="E41" s="118">
        <v>1.1000000000000001</v>
      </c>
      <c r="F41" s="118"/>
      <c r="G41" s="118"/>
      <c r="H41" s="118"/>
    </row>
    <row r="42" spans="1:8" x14ac:dyDescent="0.35">
      <c r="A42" s="81" t="s">
        <v>40</v>
      </c>
      <c r="B42" s="81"/>
      <c r="C42" s="81"/>
      <c r="D42" s="81"/>
      <c r="E42" s="118">
        <f>E44/E40-E41</f>
        <v>4.2877387827632152</v>
      </c>
      <c r="F42" s="118"/>
      <c r="G42" s="118"/>
      <c r="H42" s="118"/>
    </row>
    <row r="43" spans="1:8" x14ac:dyDescent="0.35">
      <c r="A43" s="81" t="s">
        <v>41</v>
      </c>
      <c r="B43" s="81"/>
      <c r="C43" s="81"/>
      <c r="D43" s="81"/>
      <c r="E43" s="118">
        <f>E41+E42</f>
        <v>5.3877387827632148</v>
      </c>
      <c r="F43" s="118"/>
      <c r="G43" s="118"/>
      <c r="H43" s="118"/>
    </row>
    <row r="44" spans="1:8" x14ac:dyDescent="0.35">
      <c r="A44" s="81" t="s">
        <v>97</v>
      </c>
      <c r="B44" s="81"/>
      <c r="C44" s="81"/>
      <c r="D44" s="81"/>
      <c r="E44" s="119">
        <v>6063.9</v>
      </c>
      <c r="F44" s="119"/>
      <c r="G44" s="119"/>
      <c r="H44" s="119"/>
    </row>
    <row r="45" spans="1:8" x14ac:dyDescent="0.35">
      <c r="A45" s="120" t="s">
        <v>42</v>
      </c>
      <c r="B45" s="120"/>
      <c r="C45" s="120"/>
      <c r="D45" s="120"/>
      <c r="E45" s="120" t="s">
        <v>123</v>
      </c>
      <c r="F45" s="120"/>
      <c r="G45" s="120"/>
      <c r="H45" s="120"/>
    </row>
    <row r="46" spans="1:8" x14ac:dyDescent="0.35">
      <c r="A46" s="108" t="s">
        <v>43</v>
      </c>
      <c r="B46" s="108"/>
      <c r="C46" s="108"/>
      <c r="D46" s="108"/>
      <c r="E46" s="108"/>
      <c r="F46" s="108"/>
      <c r="G46" s="108"/>
      <c r="H46" s="108"/>
    </row>
    <row r="47" spans="1:8" ht="33.75" customHeight="1" x14ac:dyDescent="0.35">
      <c r="A47" s="75" t="s">
        <v>153</v>
      </c>
      <c r="B47" s="76"/>
      <c r="C47" s="77" t="s">
        <v>179</v>
      </c>
      <c r="D47" s="78"/>
      <c r="E47" s="78"/>
      <c r="F47" s="78"/>
      <c r="G47" s="78"/>
      <c r="H47" s="79"/>
    </row>
    <row r="48" spans="1:8" ht="15.75" customHeight="1" x14ac:dyDescent="0.35">
      <c r="A48" s="75" t="s">
        <v>44</v>
      </c>
      <c r="B48" s="76"/>
      <c r="C48" s="75" t="s">
        <v>178</v>
      </c>
      <c r="D48" s="156"/>
      <c r="E48" s="76"/>
      <c r="F48" s="16" t="s">
        <v>45</v>
      </c>
      <c r="G48" s="134">
        <v>44834</v>
      </c>
      <c r="H48" s="76"/>
    </row>
    <row r="49" spans="1:14" x14ac:dyDescent="0.35">
      <c r="A49" s="75" t="s">
        <v>46</v>
      </c>
      <c r="B49" s="76"/>
      <c r="C49" s="75" t="str">
        <f>C48</f>
        <v>KDMC/TPD/BP/DOM/2022-23/38/281</v>
      </c>
      <c r="D49" s="156"/>
      <c r="E49" s="76"/>
      <c r="F49" s="16" t="s">
        <v>45</v>
      </c>
      <c r="G49" s="134">
        <f>G48</f>
        <v>44834</v>
      </c>
      <c r="H49" s="135"/>
    </row>
    <row r="50" spans="1:14" s="20" customFormat="1" ht="15.75" customHeight="1" x14ac:dyDescent="0.35">
      <c r="A50" s="136" t="s">
        <v>157</v>
      </c>
      <c r="B50" s="137"/>
      <c r="C50" s="75" t="str">
        <f>C49</f>
        <v>KDMC/TPD/BP/DOM/2022-23/38/281</v>
      </c>
      <c r="D50" s="156"/>
      <c r="E50" s="76"/>
      <c r="F50" s="16" t="s">
        <v>45</v>
      </c>
      <c r="G50" s="134">
        <f>G49</f>
        <v>44834</v>
      </c>
      <c r="H50" s="135"/>
    </row>
    <row r="51" spans="1:14" s="20" customFormat="1" x14ac:dyDescent="0.35">
      <c r="A51" s="138"/>
      <c r="B51" s="139"/>
      <c r="C51" s="75" t="s">
        <v>214</v>
      </c>
      <c r="D51" s="156"/>
      <c r="E51" s="156"/>
      <c r="F51" s="156"/>
      <c r="G51" s="156"/>
      <c r="H51" s="76"/>
    </row>
    <row r="52" spans="1:14" ht="62" customHeight="1" x14ac:dyDescent="0.35">
      <c r="A52" s="157" t="s">
        <v>47</v>
      </c>
      <c r="B52" s="158"/>
      <c r="C52" s="157" t="s">
        <v>213</v>
      </c>
      <c r="D52" s="159"/>
      <c r="E52" s="158"/>
      <c r="F52" s="41" t="s">
        <v>45</v>
      </c>
      <c r="G52" s="162">
        <v>45875</v>
      </c>
      <c r="H52" s="160"/>
    </row>
    <row r="53" spans="1:14" x14ac:dyDescent="0.35">
      <c r="A53" s="153" t="s">
        <v>49</v>
      </c>
      <c r="B53" s="153"/>
      <c r="C53" s="153"/>
      <c r="D53" s="153"/>
      <c r="E53" s="153"/>
      <c r="F53" s="153"/>
      <c r="G53" s="153"/>
      <c r="H53" s="153"/>
    </row>
    <row r="54" spans="1:14" x14ac:dyDescent="0.35">
      <c r="A54" s="115" t="s">
        <v>96</v>
      </c>
      <c r="B54" s="115"/>
      <c r="C54" s="115"/>
      <c r="D54" s="81">
        <f>E44</f>
        <v>6063.9</v>
      </c>
      <c r="E54" s="81"/>
      <c r="F54" s="81"/>
      <c r="G54" s="81"/>
      <c r="H54" s="81"/>
    </row>
    <row r="55" spans="1:14" x14ac:dyDescent="0.35">
      <c r="A55" s="71" t="s">
        <v>50</v>
      </c>
      <c r="B55" s="120"/>
      <c r="C55" s="120"/>
      <c r="D55" s="120" t="s">
        <v>191</v>
      </c>
      <c r="E55" s="120"/>
      <c r="F55" s="120"/>
      <c r="G55" s="120"/>
      <c r="H55" s="120"/>
      <c r="I55" s="21"/>
    </row>
    <row r="56" spans="1:14" x14ac:dyDescent="0.35">
      <c r="A56" s="131" t="s">
        <v>51</v>
      </c>
      <c r="B56" s="132"/>
      <c r="C56" s="133"/>
      <c r="D56" s="129" t="s">
        <v>214</v>
      </c>
      <c r="E56" s="130"/>
      <c r="F56" s="130"/>
      <c r="G56" s="130"/>
      <c r="H56" s="130"/>
    </row>
    <row r="57" spans="1:14" ht="32.5" customHeight="1" x14ac:dyDescent="0.35">
      <c r="A57" s="131" t="s">
        <v>94</v>
      </c>
      <c r="B57" s="132"/>
      <c r="C57" s="132"/>
      <c r="D57" s="129" t="s">
        <v>214</v>
      </c>
      <c r="E57" s="130"/>
      <c r="F57" s="130"/>
      <c r="G57" s="130"/>
      <c r="H57" s="130"/>
    </row>
    <row r="58" spans="1:14" ht="15.75" customHeight="1" x14ac:dyDescent="0.35">
      <c r="A58" s="81" t="s">
        <v>48</v>
      </c>
      <c r="B58" s="81"/>
      <c r="C58" s="81"/>
      <c r="D58" s="115" t="s">
        <v>180</v>
      </c>
      <c r="E58" s="115"/>
      <c r="F58" s="115"/>
      <c r="G58" s="115"/>
      <c r="H58" s="115"/>
      <c r="J58" s="22"/>
      <c r="K58" s="21"/>
      <c r="N58" s="21"/>
    </row>
    <row r="59" spans="1:14" ht="15.75" customHeight="1" x14ac:dyDescent="0.35">
      <c r="A59" s="81" t="s">
        <v>92</v>
      </c>
      <c r="B59" s="81"/>
      <c r="C59" s="81"/>
      <c r="D59" s="117" t="str">
        <f ca="1">(IF(G52="NA","60 Years After Completion",IF(G52&lt;&gt;"NA",""&amp;60-ROUNDDOWN((E3-G52)/360,0)&amp;" Years"," ")))</f>
        <v>60 Years</v>
      </c>
      <c r="E59" s="117"/>
      <c r="F59" s="117"/>
      <c r="G59" s="117"/>
      <c r="H59" s="117"/>
      <c r="N59" s="21"/>
    </row>
    <row r="60" spans="1:14" ht="15.75" customHeight="1" x14ac:dyDescent="0.35">
      <c r="A60" s="81" t="s">
        <v>93</v>
      </c>
      <c r="B60" s="81"/>
      <c r="C60" s="81"/>
      <c r="D60" s="115" t="s">
        <v>24</v>
      </c>
      <c r="E60" s="115"/>
      <c r="F60" s="115"/>
      <c r="G60" s="115"/>
      <c r="H60" s="115"/>
      <c r="J60" s="23"/>
      <c r="K60" s="23"/>
    </row>
    <row r="61" spans="1:14" x14ac:dyDescent="0.35">
      <c r="A61" s="81" t="s">
        <v>79</v>
      </c>
      <c r="B61" s="81"/>
      <c r="C61" s="81"/>
      <c r="D61" s="71" t="s">
        <v>181</v>
      </c>
      <c r="E61" s="115"/>
      <c r="F61" s="115"/>
      <c r="G61" s="115"/>
      <c r="H61" s="115"/>
    </row>
    <row r="62" spans="1:14" x14ac:dyDescent="0.35">
      <c r="A62" s="115" t="s">
        <v>150</v>
      </c>
      <c r="B62" s="115"/>
      <c r="C62" s="115"/>
      <c r="D62" s="115" t="s">
        <v>30</v>
      </c>
      <c r="E62" s="115"/>
      <c r="F62" s="115"/>
      <c r="G62" s="115"/>
      <c r="H62" s="115"/>
      <c r="I62" s="24"/>
      <c r="J62" s="24"/>
      <c r="K62" s="24"/>
      <c r="L62" s="24"/>
      <c r="M62" s="24"/>
      <c r="N62" s="24"/>
    </row>
    <row r="63" spans="1:14" ht="15.75" customHeight="1" x14ac:dyDescent="0.35">
      <c r="A63" s="146" t="s">
        <v>91</v>
      </c>
      <c r="B63" s="146"/>
      <c r="C63" s="146"/>
      <c r="D63" s="129" t="str">
        <f ca="1">(IF(G69&gt;95%,"Nothing",IF(G69&gt;0%,"Cement, Aggregate, Steel, etc",IF(G69=0%,"Work not yet Started"))))</f>
        <v>Nothing</v>
      </c>
      <c r="E63" s="129"/>
      <c r="F63" s="129"/>
      <c r="G63" s="129"/>
      <c r="H63" s="129"/>
      <c r="J63" s="23"/>
    </row>
    <row r="64" spans="1:14" ht="33.75" customHeight="1" thickBot="1" x14ac:dyDescent="0.4">
      <c r="A64" s="145" t="s">
        <v>118</v>
      </c>
      <c r="B64" s="145"/>
      <c r="C64" s="145"/>
      <c r="D64" s="129" t="str">
        <f ca="1">(IF(D63="Nothing","Yes",IF(D63="Cement, Aggregate, Steel, etc","Under Construction",IF(D63="Work not yet Started","Work not yet Started"))))</f>
        <v>Yes</v>
      </c>
      <c r="E64" s="129"/>
      <c r="F64" s="129" t="str">
        <f ca="1">(IF(D63="Nothing","Yes",IF(D63="Cement, Aggregate, Steel, etc","Under Construction",IF(D63="Work not yet Started","Work not yet Started"))))</f>
        <v>Yes</v>
      </c>
      <c r="G64" s="129"/>
      <c r="H64" s="129"/>
    </row>
    <row r="65" spans="1:10" ht="15.75" customHeight="1" x14ac:dyDescent="0.35">
      <c r="A65" s="122" t="s">
        <v>142</v>
      </c>
      <c r="B65" s="122"/>
      <c r="C65" s="122" t="str">
        <f>D57</f>
        <v>G + 1st to 18th Floor + Terrace Floor (Society Office &amp; Fitness Center)</v>
      </c>
      <c r="D65" s="122"/>
      <c r="E65" s="122"/>
      <c r="F65" s="122"/>
      <c r="G65" s="122"/>
      <c r="H65" s="122"/>
      <c r="I65" s="66" t="str">
        <f ca="1">IF(D78=100%,"All work Completed. Possession granted to the Building.",IF(D77=100%,"All work Completed, Waiting for OC",I66&amp;""&amp;I67&amp;""&amp;J66&amp;""&amp;J65&amp;" "&amp;J67))</f>
        <v>All work Completed. Possession granted to the Building.</v>
      </c>
      <c r="J65" s="43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35">
      <c r="A66" s="63" t="s">
        <v>144</v>
      </c>
      <c r="B66" s="63">
        <v>0</v>
      </c>
      <c r="C66" s="63" t="s">
        <v>76</v>
      </c>
      <c r="D66" s="63">
        <v>1</v>
      </c>
      <c r="E66" s="63" t="s">
        <v>75</v>
      </c>
      <c r="F66" s="63">
        <v>0</v>
      </c>
      <c r="G66" s="63" t="s">
        <v>85</v>
      </c>
      <c r="H66" s="63">
        <f ca="1">--TRIM(RIGHT(SUBSTITUTE(LEFT(C65,_xlfn.AGGREGATE(16,6,FIND({0,1,2,3,4,5,6,7,8,9},C65,ROW(INDIRECT("1:"&amp;LEN(C65)))),1))," ",REPT(" ",LEN(C65))),LEN(C65)))</f>
        <v>18</v>
      </c>
      <c r="I66" s="6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Painting, Building common Amenities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5">
      <c r="A67" s="121" t="s">
        <v>95</v>
      </c>
      <c r="B67" s="121"/>
      <c r="C67" s="123" t="str">
        <f ca="1">I65</f>
        <v>All work Completed. Possession granted to the Building.</v>
      </c>
      <c r="D67" s="123"/>
      <c r="E67" s="123"/>
      <c r="F67" s="123"/>
      <c r="G67" s="123"/>
      <c r="H67" s="123"/>
      <c r="I67" s="60" t="str">
        <f ca="1">IF(I66&lt;&gt;""," Completed","")</f>
        <v xml:space="preserve"> Completed</v>
      </c>
      <c r="J67" s="44" t="str">
        <f ca="1">IF(J65&lt;&gt;"","Completed","")</f>
        <v/>
      </c>
    </row>
    <row r="68" spans="1:10" ht="15.75" customHeight="1" x14ac:dyDescent="0.35">
      <c r="A68" s="95" t="s">
        <v>52</v>
      </c>
      <c r="B68" s="95"/>
      <c r="C68" s="62" t="s">
        <v>141</v>
      </c>
      <c r="D68" s="62" t="s">
        <v>88</v>
      </c>
      <c r="E68" s="95" t="s">
        <v>90</v>
      </c>
      <c r="F68" s="95"/>
      <c r="G68" s="95" t="s">
        <v>89</v>
      </c>
      <c r="H68" s="95"/>
      <c r="I68" s="14" t="s">
        <v>143</v>
      </c>
      <c r="J68" s="25">
        <f ca="1">H66*25%</f>
        <v>4.5</v>
      </c>
    </row>
    <row r="69" spans="1:10" x14ac:dyDescent="0.35">
      <c r="A69" s="95" t="s">
        <v>130</v>
      </c>
      <c r="B69" s="95"/>
      <c r="C69" s="62">
        <f ca="1">J70</f>
        <v>18</v>
      </c>
      <c r="D69" s="17">
        <f ca="1">((100/H66)*C69)/100</f>
        <v>1</v>
      </c>
      <c r="E69" s="116">
        <f ca="1">(((C70/H66*10)+(40/(D66+F66+H66)*C71)+(7.5/(H66)*C72)+(7.5/(H66)*C73)+(10/H66*C74)+(10/H66*C75)+(5/H66*C76)+(5/H66*C77)+(5/H66*C78))/100)</f>
        <v>1</v>
      </c>
      <c r="F69" s="116"/>
      <c r="G69" s="116">
        <f ca="1">((((C69/H66)*20)+((C70/H66)*25)+(30/(H66+F66+D66)*C71)+(5/H66*C72)+(5/H66*C73)+(5/H66*C74)+(5/H66*C75)+(0/H66*C76)+(0/H66*C77)+(5/H66*C78))/100)</f>
        <v>1</v>
      </c>
      <c r="H69" s="116"/>
      <c r="I69" s="14" t="s">
        <v>101</v>
      </c>
      <c r="J69" s="26">
        <f ca="1">H66*50%</f>
        <v>9</v>
      </c>
    </row>
    <row r="70" spans="1:10" x14ac:dyDescent="0.35">
      <c r="A70" s="95" t="s">
        <v>53</v>
      </c>
      <c r="B70" s="95"/>
      <c r="C70" s="58">
        <f ca="1">J78</f>
        <v>18</v>
      </c>
      <c r="D70" s="17">
        <f ca="1">((100/H66)*C70)/100</f>
        <v>1</v>
      </c>
      <c r="E70" s="116"/>
      <c r="F70" s="116"/>
      <c r="G70" s="116"/>
      <c r="H70" s="116"/>
      <c r="I70" s="14" t="s">
        <v>102</v>
      </c>
      <c r="J70" s="26">
        <f ca="1">H66</f>
        <v>18</v>
      </c>
    </row>
    <row r="71" spans="1:10" ht="15.75" customHeight="1" x14ac:dyDescent="0.35">
      <c r="A71" s="95" t="s">
        <v>131</v>
      </c>
      <c r="B71" s="95"/>
      <c r="C71" s="62">
        <v>19</v>
      </c>
      <c r="D71" s="17">
        <f ca="1">((100/(D66+F66+H66))*C71)/100</f>
        <v>1</v>
      </c>
      <c r="E71" s="116"/>
      <c r="F71" s="116"/>
      <c r="G71" s="116"/>
      <c r="H71" s="116"/>
      <c r="I71" s="14" t="s">
        <v>103</v>
      </c>
      <c r="J71" s="27">
        <f ca="1">(IF(B66&gt;1,(H66/(B66+2)),H66/4))</f>
        <v>4.5</v>
      </c>
    </row>
    <row r="72" spans="1:10" ht="15.75" customHeight="1" x14ac:dyDescent="0.35">
      <c r="A72" s="95" t="s">
        <v>138</v>
      </c>
      <c r="B72" s="95" t="s">
        <v>132</v>
      </c>
      <c r="C72" s="62">
        <v>18</v>
      </c>
      <c r="D72" s="17">
        <f ca="1">((100/H66)*C72)/100</f>
        <v>1</v>
      </c>
      <c r="E72" s="116"/>
      <c r="F72" s="116"/>
      <c r="G72" s="116"/>
      <c r="H72" s="116"/>
      <c r="I72" s="14" t="s">
        <v>104</v>
      </c>
      <c r="J72" s="27">
        <f ca="1">(IF(B66&gt;1,(H66/(B66+2)+J71),H66/4+J71))</f>
        <v>9</v>
      </c>
    </row>
    <row r="73" spans="1:10" ht="15.75" customHeight="1" x14ac:dyDescent="0.35">
      <c r="A73" s="95" t="s">
        <v>139</v>
      </c>
      <c r="B73" s="95" t="s">
        <v>132</v>
      </c>
      <c r="C73" s="64">
        <v>18</v>
      </c>
      <c r="D73" s="17">
        <f ca="1">((100/H66)*C73)/100</f>
        <v>1</v>
      </c>
      <c r="E73" s="116"/>
      <c r="F73" s="116"/>
      <c r="G73" s="116"/>
      <c r="H73" s="116"/>
      <c r="I73" s="14" t="s">
        <v>148</v>
      </c>
      <c r="J73" s="27">
        <f>(IF(B66&gt;1,(H66/(B66+2)+J72),0))</f>
        <v>0</v>
      </c>
    </row>
    <row r="74" spans="1:10" ht="15" customHeight="1" x14ac:dyDescent="0.35">
      <c r="A74" s="95" t="s">
        <v>137</v>
      </c>
      <c r="B74" s="95" t="s">
        <v>134</v>
      </c>
      <c r="C74" s="64">
        <v>18</v>
      </c>
      <c r="D74" s="17">
        <f ca="1">((100/(H66))*C74)/100</f>
        <v>1</v>
      </c>
      <c r="E74" s="116"/>
      <c r="F74" s="116"/>
      <c r="G74" s="116"/>
      <c r="H74" s="116"/>
      <c r="I74" s="14" t="s">
        <v>145</v>
      </c>
      <c r="J74" s="27">
        <f>(IF(B66&gt;2,(H66/(B66+2)+J73),0))</f>
        <v>0</v>
      </c>
    </row>
    <row r="75" spans="1:10" ht="15.75" customHeight="1" x14ac:dyDescent="0.35">
      <c r="A75" s="95" t="s">
        <v>133</v>
      </c>
      <c r="B75" s="95" t="s">
        <v>133</v>
      </c>
      <c r="C75" s="64">
        <v>18</v>
      </c>
      <c r="D75" s="17">
        <f ca="1">((100/H66)*C75)/100</f>
        <v>1</v>
      </c>
      <c r="E75" s="116"/>
      <c r="F75" s="116"/>
      <c r="G75" s="116"/>
      <c r="H75" s="116"/>
      <c r="I75" s="14" t="s">
        <v>146</v>
      </c>
      <c r="J75" s="28">
        <f>(IF(B66&gt;3,(H66/(B66+2)+J74),0))</f>
        <v>0</v>
      </c>
    </row>
    <row r="76" spans="1:10" ht="15.75" customHeight="1" x14ac:dyDescent="0.35">
      <c r="A76" s="95" t="s">
        <v>140</v>
      </c>
      <c r="B76" s="95"/>
      <c r="C76" s="64">
        <v>18</v>
      </c>
      <c r="D76" s="17">
        <f ca="1">((100/H66)*C76)/100</f>
        <v>1</v>
      </c>
      <c r="E76" s="116"/>
      <c r="F76" s="116"/>
      <c r="G76" s="116"/>
      <c r="H76" s="116"/>
      <c r="I76" s="14" t="s">
        <v>147</v>
      </c>
      <c r="J76" s="27">
        <f>(IF(B66&gt;4,(H66/(B66+2)+J75),0))</f>
        <v>0</v>
      </c>
    </row>
    <row r="77" spans="1:10" ht="15.75" customHeight="1" x14ac:dyDescent="0.35">
      <c r="A77" s="95" t="s">
        <v>135</v>
      </c>
      <c r="B77" s="95" t="s">
        <v>135</v>
      </c>
      <c r="C77" s="64">
        <v>18</v>
      </c>
      <c r="D77" s="17">
        <f ca="1">((100/(H66))*C77)/100</f>
        <v>1</v>
      </c>
      <c r="E77" s="116"/>
      <c r="F77" s="116"/>
      <c r="G77" s="116"/>
      <c r="H77" s="116"/>
      <c r="I77" s="14" t="s">
        <v>149</v>
      </c>
      <c r="J77" s="27">
        <f ca="1">(IF(B66=1,(H66/(B66+3)+J72),IF(B66=0,(H66/4+J72),IF(B66&gt;1,0))))</f>
        <v>13.5</v>
      </c>
    </row>
    <row r="78" spans="1:10" ht="16" thickBot="1" x14ac:dyDescent="0.4">
      <c r="A78" s="95" t="s">
        <v>136</v>
      </c>
      <c r="B78" s="95"/>
      <c r="C78" s="62">
        <v>18</v>
      </c>
      <c r="D78" s="17">
        <f ca="1">((100/(H66))*C78)/100</f>
        <v>1</v>
      </c>
      <c r="E78" s="116"/>
      <c r="F78" s="116"/>
      <c r="G78" s="116"/>
      <c r="H78" s="116"/>
      <c r="I78" s="15" t="s">
        <v>105</v>
      </c>
      <c r="J78" s="29">
        <f ca="1">(IF(B66&gt;1.5,(H66/(B66+2)+J72+MAX(0,J73-J72)+MAX(0,J74-J73)+MAX(0,J75-J74)+MAX(0,J76-J75)+MAX(0,J77-J76)),IF(B66=1,(H66/(B66+3)+J77),IF(B66=0,H66/4+J77))))</f>
        <v>18</v>
      </c>
    </row>
    <row r="79" spans="1:10" x14ac:dyDescent="0.35">
      <c r="A79" s="108" t="s">
        <v>159</v>
      </c>
      <c r="B79" s="108"/>
      <c r="C79" s="108"/>
      <c r="D79" s="108"/>
      <c r="E79" s="108"/>
      <c r="F79" s="69" t="s">
        <v>162</v>
      </c>
      <c r="G79" s="69"/>
      <c r="H79" s="69"/>
    </row>
    <row r="80" spans="1:10" x14ac:dyDescent="0.35">
      <c r="A80" s="81" t="s">
        <v>161</v>
      </c>
      <c r="B80" s="81"/>
      <c r="C80" s="81"/>
      <c r="D80" s="81"/>
      <c r="E80" s="81"/>
      <c r="F80" s="80">
        <v>7000</v>
      </c>
      <c r="G80" s="80"/>
      <c r="H80" s="80"/>
    </row>
    <row r="81" spans="1:8" x14ac:dyDescent="0.35">
      <c r="A81" s="81" t="s">
        <v>160</v>
      </c>
      <c r="B81" s="81"/>
      <c r="C81" s="81"/>
      <c r="D81" s="81"/>
      <c r="E81" s="81"/>
      <c r="F81" s="80">
        <v>12500</v>
      </c>
      <c r="G81" s="80"/>
      <c r="H81" s="80"/>
    </row>
    <row r="82" spans="1:8" x14ac:dyDescent="0.35">
      <c r="A82" s="81" t="s">
        <v>209</v>
      </c>
      <c r="B82" s="81"/>
      <c r="C82" s="81"/>
      <c r="D82" s="81"/>
      <c r="E82" s="81"/>
      <c r="F82" s="80">
        <v>10500</v>
      </c>
      <c r="G82" s="80"/>
      <c r="H82" s="80"/>
    </row>
    <row r="83" spans="1:8" s="30" customFormat="1" x14ac:dyDescent="0.3">
      <c r="A83" s="81" t="s">
        <v>100</v>
      </c>
      <c r="B83" s="81"/>
      <c r="C83" s="81"/>
      <c r="D83" s="81"/>
      <c r="E83" s="81"/>
      <c r="F83" s="80">
        <v>120000</v>
      </c>
      <c r="G83" s="80"/>
      <c r="H83" s="80"/>
    </row>
    <row r="84" spans="1:8" x14ac:dyDescent="0.35">
      <c r="A84" s="81" t="s">
        <v>54</v>
      </c>
      <c r="B84" s="81"/>
      <c r="C84" s="81"/>
      <c r="D84" s="81"/>
      <c r="E84" s="81"/>
      <c r="F84" s="80">
        <v>200000</v>
      </c>
      <c r="G84" s="80"/>
      <c r="H84" s="80"/>
    </row>
    <row r="85" spans="1:8" s="31" customFormat="1" x14ac:dyDescent="0.35">
      <c r="A85" s="108" t="s">
        <v>55</v>
      </c>
      <c r="B85" s="108"/>
      <c r="C85" s="108"/>
      <c r="D85" s="108"/>
      <c r="E85" s="108"/>
      <c r="F85" s="80">
        <f>F80*0.8</f>
        <v>5600</v>
      </c>
      <c r="G85" s="80"/>
      <c r="H85" s="80"/>
    </row>
    <row r="86" spans="1:8" s="32" customFormat="1" ht="15.75" customHeight="1" x14ac:dyDescent="0.35">
      <c r="A86" s="91" t="s">
        <v>80</v>
      </c>
      <c r="B86" s="91"/>
      <c r="C86" s="91"/>
      <c r="D86" s="91"/>
      <c r="E86" s="91"/>
      <c r="F86" s="91"/>
      <c r="G86" s="91"/>
      <c r="H86" s="91"/>
    </row>
    <row r="87" spans="1:8" s="32" customFormat="1" ht="15.75" customHeight="1" x14ac:dyDescent="0.35">
      <c r="A87" s="106" t="s">
        <v>56</v>
      </c>
      <c r="B87" s="106"/>
      <c r="C87" s="93" t="s">
        <v>83</v>
      </c>
      <c r="D87" s="93"/>
      <c r="E87" s="105" t="s">
        <v>57</v>
      </c>
      <c r="F87" s="105"/>
      <c r="G87" s="106" t="s">
        <v>58</v>
      </c>
      <c r="H87" s="106"/>
    </row>
    <row r="88" spans="1:8" s="32" customFormat="1" x14ac:dyDescent="0.35">
      <c r="A88" s="107" t="s">
        <v>183</v>
      </c>
      <c r="B88" s="107"/>
      <c r="C88" s="87">
        <f>COUNT(D99:D101)</f>
        <v>3</v>
      </c>
      <c r="D88" s="88"/>
      <c r="E88" s="89">
        <f>SUM(D99:D101)</f>
        <v>424.85507999999993</v>
      </c>
      <c r="F88" s="90"/>
      <c r="G88" s="89">
        <f>SUM(F99:F101)</f>
        <v>679.76812799999993</v>
      </c>
      <c r="H88" s="90"/>
    </row>
    <row r="89" spans="1:8" s="32" customFormat="1" x14ac:dyDescent="0.35">
      <c r="A89" s="107" t="s">
        <v>186</v>
      </c>
      <c r="B89" s="107"/>
      <c r="C89" s="87">
        <f>COUNT(D103)</f>
        <v>1</v>
      </c>
      <c r="D89" s="88"/>
      <c r="E89" s="89">
        <f>SUM(D103)</f>
        <v>1351.6957583999999</v>
      </c>
      <c r="F89" s="90"/>
      <c r="G89" s="89">
        <f>SUM(F103)</f>
        <v>2162.7132134399999</v>
      </c>
      <c r="H89" s="90"/>
    </row>
    <row r="90" spans="1:8" s="32" customFormat="1" x14ac:dyDescent="0.35">
      <c r="A90" s="91" t="s">
        <v>152</v>
      </c>
      <c r="B90" s="91"/>
      <c r="C90" s="92">
        <f>SUM(C88:C89)</f>
        <v>4</v>
      </c>
      <c r="D90" s="93"/>
      <c r="E90" s="92">
        <f t="shared" ref="E90" si="0">SUM(E88:E89)</f>
        <v>1776.5508384</v>
      </c>
      <c r="F90" s="93"/>
      <c r="G90" s="92">
        <f t="shared" ref="G90" si="1">SUM(G88:G89)</f>
        <v>2842.4813414399996</v>
      </c>
      <c r="H90" s="93"/>
    </row>
    <row r="91" spans="1:8" s="32" customFormat="1" x14ac:dyDescent="0.35">
      <c r="A91" s="91" t="s">
        <v>74</v>
      </c>
      <c r="B91" s="91"/>
      <c r="C91" s="91"/>
      <c r="D91" s="91"/>
      <c r="E91" s="91"/>
      <c r="F91" s="91"/>
      <c r="G91" s="91"/>
      <c r="H91" s="91"/>
    </row>
    <row r="92" spans="1:8" s="32" customFormat="1" ht="15.75" customHeight="1" x14ac:dyDescent="0.35">
      <c r="A92" s="106" t="s">
        <v>56</v>
      </c>
      <c r="B92" s="106"/>
      <c r="C92" s="93" t="s">
        <v>83</v>
      </c>
      <c r="D92" s="93"/>
      <c r="E92" s="105" t="s">
        <v>57</v>
      </c>
      <c r="F92" s="105"/>
      <c r="G92" s="106" t="s">
        <v>58</v>
      </c>
      <c r="H92" s="106"/>
    </row>
    <row r="93" spans="1:8" s="32" customFormat="1" x14ac:dyDescent="0.35">
      <c r="A93" s="107" t="s">
        <v>190</v>
      </c>
      <c r="B93" s="107"/>
      <c r="C93" s="87">
        <f>COUNT(D107:D109)+COUNT(D117:D121)*4+COUNT(D123:D127)*13</f>
        <v>88</v>
      </c>
      <c r="D93" s="87"/>
      <c r="E93" s="89">
        <f>SUM(D107:D109)+SUM(D111:D115)+SUM(D117:D121)*3+SUM(D123:D127)*13</f>
        <v>41584.663457999995</v>
      </c>
      <c r="F93" s="89"/>
      <c r="G93" s="89">
        <f>SUM(F107:F109)+SUM(F111:F115)+SUM(F117:F121)*3+SUM(F123:F127)*13</f>
        <v>68275</v>
      </c>
      <c r="H93" s="89"/>
    </row>
    <row r="94" spans="1:8" s="31" customFormat="1" x14ac:dyDescent="0.35">
      <c r="A94" s="69" t="s">
        <v>59</v>
      </c>
      <c r="B94" s="69"/>
      <c r="C94" s="69"/>
      <c r="D94" s="69"/>
      <c r="E94" s="69"/>
      <c r="F94" s="69"/>
      <c r="G94" s="69"/>
      <c r="H94" s="69"/>
    </row>
    <row r="95" spans="1:8" x14ac:dyDescent="0.35">
      <c r="A95" s="69" t="s">
        <v>60</v>
      </c>
      <c r="B95" s="69"/>
      <c r="C95" s="69"/>
      <c r="D95" s="69"/>
      <c r="E95" s="69"/>
      <c r="F95" s="69"/>
      <c r="G95" s="69"/>
      <c r="H95" s="69"/>
    </row>
    <row r="96" spans="1:8" ht="47.25" customHeight="1" x14ac:dyDescent="0.35">
      <c r="A96" s="82" t="s">
        <v>120</v>
      </c>
      <c r="B96" s="82" t="s">
        <v>119</v>
      </c>
      <c r="C96" s="82" t="s">
        <v>61</v>
      </c>
      <c r="D96" s="82" t="s">
        <v>62</v>
      </c>
      <c r="E96" s="99" t="s">
        <v>158</v>
      </c>
      <c r="F96" s="40" t="s">
        <v>151</v>
      </c>
      <c r="G96" s="101" t="s">
        <v>64</v>
      </c>
      <c r="H96" s="102"/>
    </row>
    <row r="97" spans="1:14" s="34" customFormat="1" x14ac:dyDescent="0.35">
      <c r="A97" s="83"/>
      <c r="B97" s="83"/>
      <c r="C97" s="83"/>
      <c r="D97" s="83"/>
      <c r="E97" s="100"/>
      <c r="F97" s="13">
        <v>0.6</v>
      </c>
      <c r="G97" s="103"/>
      <c r="H97" s="104"/>
    </row>
    <row r="98" spans="1:14" s="34" customFormat="1" x14ac:dyDescent="0.35">
      <c r="A98" s="96" t="s">
        <v>182</v>
      </c>
      <c r="B98" s="97"/>
      <c r="C98" s="97"/>
      <c r="D98" s="97"/>
      <c r="E98" s="97"/>
      <c r="F98" s="97"/>
      <c r="G98" s="97"/>
      <c r="H98" s="98"/>
      <c r="J98" s="33"/>
    </row>
    <row r="99" spans="1:14" s="34" customFormat="1" ht="15.75" customHeight="1" x14ac:dyDescent="0.35">
      <c r="A99" s="84">
        <v>1</v>
      </c>
      <c r="B99" s="85"/>
      <c r="C99" s="39" t="s">
        <v>183</v>
      </c>
      <c r="D99" s="50">
        <f>(13.75)*(10.764)</f>
        <v>148.005</v>
      </c>
      <c r="E99" s="39">
        <v>0</v>
      </c>
      <c r="F99" s="39">
        <f>(D99+E99)*(($F$97)+1)</f>
        <v>236.80799999999999</v>
      </c>
      <c r="G99" s="109" t="str">
        <f>A98</f>
        <v>Ground Floor For Commercial &amp; Parking</v>
      </c>
      <c r="H99" s="110"/>
      <c r="I99" s="49">
        <f>2.75*5</f>
        <v>13.75</v>
      </c>
      <c r="L99" s="68"/>
      <c r="M99" s="68"/>
      <c r="N99" s="33"/>
    </row>
    <row r="100" spans="1:14" s="34" customFormat="1" ht="15.75" customHeight="1" x14ac:dyDescent="0.35">
      <c r="A100" s="84">
        <f t="shared" ref="A100:A101" si="2">A99+1</f>
        <v>2</v>
      </c>
      <c r="B100" s="85"/>
      <c r="C100" s="45" t="s">
        <v>183</v>
      </c>
      <c r="D100" s="50">
        <f>(10.12)*(10.764)</f>
        <v>108.93167999999999</v>
      </c>
      <c r="E100" s="39">
        <v>0</v>
      </c>
      <c r="F100" s="39">
        <f t="shared" ref="F100:F101" si="3">(D100+E100)*(($F$97)+1)</f>
        <v>174.29068799999999</v>
      </c>
      <c r="G100" s="111"/>
      <c r="H100" s="112"/>
      <c r="I100" s="49">
        <f>2.3*4.4</f>
        <v>10.119999999999999</v>
      </c>
      <c r="L100" s="68"/>
      <c r="M100" s="68"/>
      <c r="N100" s="33"/>
    </row>
    <row r="101" spans="1:14" s="34" customFormat="1" ht="15.75" customHeight="1" x14ac:dyDescent="0.35">
      <c r="A101" s="84">
        <f t="shared" si="2"/>
        <v>3</v>
      </c>
      <c r="B101" s="85"/>
      <c r="C101" s="45" t="s">
        <v>183</v>
      </c>
      <c r="D101" s="50">
        <f>(15.6)*(10.764)</f>
        <v>167.91839999999999</v>
      </c>
      <c r="E101" s="39">
        <v>0</v>
      </c>
      <c r="F101" s="39">
        <f t="shared" si="3"/>
        <v>268.66944000000001</v>
      </c>
      <c r="G101" s="113"/>
      <c r="H101" s="114"/>
      <c r="I101" s="49">
        <f>2.9*5.36</f>
        <v>15.544</v>
      </c>
      <c r="L101" s="68"/>
      <c r="M101" s="68"/>
      <c r="N101" s="33"/>
    </row>
    <row r="102" spans="1:14" s="46" customFormat="1" x14ac:dyDescent="0.35">
      <c r="A102" s="96" t="s">
        <v>184</v>
      </c>
      <c r="B102" s="97"/>
      <c r="C102" s="97"/>
      <c r="D102" s="97"/>
      <c r="E102" s="97"/>
      <c r="F102" s="97"/>
      <c r="G102" s="97"/>
      <c r="H102" s="98"/>
      <c r="J102" s="33"/>
    </row>
    <row r="103" spans="1:14" s="46" customFormat="1" ht="15.75" customHeight="1" x14ac:dyDescent="0.35">
      <c r="A103" s="84">
        <v>1</v>
      </c>
      <c r="B103" s="85"/>
      <c r="C103" s="45" t="s">
        <v>186</v>
      </c>
      <c r="D103" s="50">
        <f>(14.43*6.13+2.68*5.15+2.75*6.05+2.54*2.63)*10.764</f>
        <v>1351.6957583999999</v>
      </c>
      <c r="E103" s="45">
        <v>0</v>
      </c>
      <c r="F103" s="45">
        <f>(D103+E103)*(($F$97)+1)</f>
        <v>2162.7132134399999</v>
      </c>
      <c r="G103" s="109" t="str">
        <f>A102</f>
        <v>1st Floor For Part Commercial</v>
      </c>
      <c r="H103" s="155"/>
      <c r="I103" s="51"/>
      <c r="L103" s="68"/>
      <c r="M103" s="68"/>
      <c r="N103" s="33"/>
    </row>
    <row r="104" spans="1:14" s="34" customFormat="1" x14ac:dyDescent="0.35">
      <c r="A104" s="84"/>
      <c r="B104" s="94"/>
      <c r="C104" s="94"/>
      <c r="D104" s="94"/>
      <c r="E104" s="94"/>
      <c r="F104" s="94"/>
      <c r="G104" s="94"/>
      <c r="H104" s="85"/>
      <c r="I104" s="33"/>
      <c r="N104" s="33"/>
    </row>
    <row r="105" spans="1:14" ht="47.25" customHeight="1" x14ac:dyDescent="0.35">
      <c r="A105" s="55" t="s">
        <v>121</v>
      </c>
      <c r="B105" s="55" t="s">
        <v>122</v>
      </c>
      <c r="C105" s="54" t="s">
        <v>61</v>
      </c>
      <c r="D105" s="54" t="s">
        <v>62</v>
      </c>
      <c r="E105" s="57" t="s">
        <v>63</v>
      </c>
      <c r="F105" s="40" t="s">
        <v>207</v>
      </c>
      <c r="G105" s="101" t="s">
        <v>64</v>
      </c>
      <c r="H105" s="102"/>
      <c r="I105" s="33"/>
    </row>
    <row r="106" spans="1:14" s="34" customFormat="1" x14ac:dyDescent="0.35">
      <c r="A106" s="67" t="s">
        <v>185</v>
      </c>
      <c r="B106" s="67"/>
      <c r="C106" s="67"/>
      <c r="D106" s="67"/>
      <c r="E106" s="67"/>
      <c r="F106" s="67"/>
      <c r="G106" s="67"/>
      <c r="H106" s="67"/>
      <c r="J106" s="33"/>
    </row>
    <row r="107" spans="1:14" s="34" customFormat="1" ht="15.75" customHeight="1" x14ac:dyDescent="0.35">
      <c r="A107" s="86">
        <v>1</v>
      </c>
      <c r="B107" s="86"/>
      <c r="C107" s="59" t="s">
        <v>187</v>
      </c>
      <c r="D107" s="50">
        <f>(4.25*2.75+2.3*3.65+1.2*1.8+2.9*3.35+1.93*1.2+0.9*2.75+0.9*1.3)*(10.764)</f>
        <v>408.15473400000002</v>
      </c>
      <c r="E107" s="59">
        <v>0</v>
      </c>
      <c r="F107" s="59">
        <v>660</v>
      </c>
      <c r="G107" s="86" t="str">
        <f>A106</f>
        <v>1st Floor For Part Residential</v>
      </c>
      <c r="H107" s="86"/>
      <c r="I107" s="49">
        <f>660/D107</f>
        <v>1.6170337987553514</v>
      </c>
      <c r="J107" s="34">
        <f>4820000/660</f>
        <v>7303.030303030303</v>
      </c>
      <c r="K107" s="34">
        <f>490000/F107</f>
        <v>742.42424242424238</v>
      </c>
      <c r="L107" s="68">
        <f>5*24*F107</f>
        <v>79200</v>
      </c>
      <c r="M107" s="68"/>
      <c r="N107" s="33"/>
    </row>
    <row r="108" spans="1:14" s="34" customFormat="1" ht="15.75" customHeight="1" x14ac:dyDescent="0.35">
      <c r="A108" s="86">
        <f t="shared" ref="A108:A109" si="4">A107+1</f>
        <v>2</v>
      </c>
      <c r="B108" s="86"/>
      <c r="C108" s="59" t="s">
        <v>187</v>
      </c>
      <c r="D108" s="50">
        <f>(2.75*4.27+2.15*3.6+2.75*3.35+1.8*1.2+1.83*1.2+1.3*1+2.75*0.9)*(10.764)</f>
        <v>396.39506399999999</v>
      </c>
      <c r="E108" s="59">
        <v>0</v>
      </c>
      <c r="F108" s="59">
        <v>650</v>
      </c>
      <c r="G108" s="86"/>
      <c r="H108" s="86"/>
      <c r="I108" s="33"/>
      <c r="L108" s="68"/>
      <c r="M108" s="68"/>
      <c r="N108" s="33"/>
    </row>
    <row r="109" spans="1:14" s="34" customFormat="1" ht="15.75" customHeight="1" x14ac:dyDescent="0.35">
      <c r="A109" s="86">
        <f t="shared" si="4"/>
        <v>3</v>
      </c>
      <c r="B109" s="86"/>
      <c r="C109" s="59" t="s">
        <v>187</v>
      </c>
      <c r="D109" s="50">
        <f>(2.7*4.27+3*2.15+2.75*3.35+1.85*1.2+1.2*1.85+2.75*0.9+1.2*1+0.9*1.5)*(10.764)</f>
        <v>394.57056599999999</v>
      </c>
      <c r="E109" s="59">
        <v>0</v>
      </c>
      <c r="F109" s="59">
        <v>650</v>
      </c>
      <c r="G109" s="86"/>
      <c r="H109" s="86"/>
      <c r="I109" s="33"/>
      <c r="L109" s="68"/>
      <c r="M109" s="68"/>
      <c r="N109" s="33"/>
    </row>
    <row r="110" spans="1:14" s="52" customFormat="1" ht="15.75" customHeight="1" x14ac:dyDescent="0.35">
      <c r="A110" s="67" t="s">
        <v>205</v>
      </c>
      <c r="B110" s="67"/>
      <c r="C110" s="67"/>
      <c r="D110" s="67"/>
      <c r="E110" s="67"/>
      <c r="F110" s="67"/>
      <c r="G110" s="67"/>
      <c r="H110" s="67"/>
      <c r="I110" s="33"/>
    </row>
    <row r="111" spans="1:14" s="52" customFormat="1" ht="15.75" customHeight="1" x14ac:dyDescent="0.35">
      <c r="A111" s="86">
        <v>1</v>
      </c>
      <c r="B111" s="86"/>
      <c r="C111" s="61" t="s">
        <v>187</v>
      </c>
      <c r="D111" s="61">
        <f>(4.25*2.75+2.3*3.65+1.2*1.8+2.9*3.35+1.93*1.2+0.9*2.75+0.9*1.3)*(10.764)</f>
        <v>408.15473400000002</v>
      </c>
      <c r="E111" s="61">
        <v>0</v>
      </c>
      <c r="F111" s="61">
        <v>660</v>
      </c>
      <c r="G111" s="86" t="str">
        <f>A110</f>
        <v>2nd Floor For Residential</v>
      </c>
      <c r="H111" s="86"/>
      <c r="I111" s="33"/>
    </row>
    <row r="112" spans="1:14" s="52" customFormat="1" ht="15.75" customHeight="1" x14ac:dyDescent="0.35">
      <c r="A112" s="86">
        <v>2</v>
      </c>
      <c r="B112" s="86"/>
      <c r="C112" s="61" t="s">
        <v>187</v>
      </c>
      <c r="D112" s="61">
        <f>(2.75*4.27+2.15*3.6+2.75*3.35+1.8*1.2+1.83*1.2+1.3*1+2.75*0.9)*(10.764)</f>
        <v>396.39506399999999</v>
      </c>
      <c r="E112" s="61">
        <v>0</v>
      </c>
      <c r="F112" s="61">
        <v>650</v>
      </c>
      <c r="G112" s="86"/>
      <c r="H112" s="86"/>
      <c r="I112" s="33"/>
      <c r="K112" s="53"/>
    </row>
    <row r="113" spans="1:14" s="52" customFormat="1" ht="15.75" customHeight="1" x14ac:dyDescent="0.35">
      <c r="A113" s="86">
        <v>3</v>
      </c>
      <c r="B113" s="86"/>
      <c r="C113" s="61" t="s">
        <v>187</v>
      </c>
      <c r="D113" s="61">
        <f>(2.7*4.27+3*2.15+2.75*3.35+1.85*1.2+1.2*1.85+2.75*0.9+1.2*1+0.9*1.5)*(10.764)</f>
        <v>394.57056599999999</v>
      </c>
      <c r="E113" s="61">
        <v>0</v>
      </c>
      <c r="F113" s="61">
        <v>650</v>
      </c>
      <c r="G113" s="86"/>
      <c r="H113" s="86"/>
      <c r="I113" s="33"/>
      <c r="K113" s="53"/>
    </row>
    <row r="114" spans="1:14" s="52" customFormat="1" ht="15.75" customHeight="1" x14ac:dyDescent="0.35">
      <c r="A114" s="86">
        <v>4</v>
      </c>
      <c r="B114" s="86"/>
      <c r="C114" s="61" t="s">
        <v>188</v>
      </c>
      <c r="D114" s="61">
        <f>(2.9*4.25+2.3*5.15+2.75*2.8+2.9*3.73+1.85*1.2+2.15*1.2+2.9*0.9+1.5*1.2+2.5*0.9+1.2*1.2+0.5*0.4)*(10.764)</f>
        <v>600.49126799999988</v>
      </c>
      <c r="E114" s="61">
        <f>(8.3*1)*(10.764)</f>
        <v>89.341200000000001</v>
      </c>
      <c r="F114" s="61">
        <v>1080</v>
      </c>
      <c r="G114" s="86"/>
      <c r="H114" s="86"/>
      <c r="I114" s="33"/>
      <c r="K114" s="53"/>
    </row>
    <row r="115" spans="1:14" s="52" customFormat="1" ht="15.75" customHeight="1" x14ac:dyDescent="0.35">
      <c r="A115" s="86">
        <v>5</v>
      </c>
      <c r="B115" s="86"/>
      <c r="C115" s="61" t="s">
        <v>188</v>
      </c>
      <c r="D115" s="61">
        <f>(2.9*4.25+2.3*3.8+2.75*3.65+1.2*2.25+2.3*1.2+3.05*3+2.9*0.9+1.5*1+1.5*1.5+1.2*1.2)*(10.764)</f>
        <v>576.0085499999999</v>
      </c>
      <c r="E115" s="61">
        <f>(2.9*1)*(10.764)</f>
        <v>31.215599999999998</v>
      </c>
      <c r="F115" s="61">
        <v>1035</v>
      </c>
      <c r="G115" s="86"/>
      <c r="H115" s="86"/>
      <c r="I115" s="33"/>
      <c r="K115" s="53"/>
    </row>
    <row r="116" spans="1:14" s="48" customFormat="1" ht="15.75" customHeight="1" x14ac:dyDescent="0.35">
      <c r="A116" s="67" t="s">
        <v>206</v>
      </c>
      <c r="B116" s="67"/>
      <c r="C116" s="67"/>
      <c r="D116" s="67"/>
      <c r="E116" s="67"/>
      <c r="F116" s="67"/>
      <c r="G116" s="67"/>
      <c r="H116" s="67"/>
      <c r="I116" s="33"/>
    </row>
    <row r="117" spans="1:14" s="48" customFormat="1" ht="15.75" customHeight="1" x14ac:dyDescent="0.35">
      <c r="A117" s="86">
        <v>1</v>
      </c>
      <c r="B117" s="86"/>
      <c r="C117" s="61" t="s">
        <v>187</v>
      </c>
      <c r="D117" s="61">
        <f>(4.25*2.75+2.3*3.65+1.2*1.8+2.9*3.35+1.93*1.2+0.9*2.75+0.9*1.3)*(10.764)</f>
        <v>408.15473400000002</v>
      </c>
      <c r="E117" s="61">
        <v>0</v>
      </c>
      <c r="F117" s="61">
        <v>660</v>
      </c>
      <c r="G117" s="86" t="str">
        <f>A116</f>
        <v>3rd to 5th Floor For Residential</v>
      </c>
      <c r="H117" s="86"/>
      <c r="I117" s="33">
        <f>7100*F117</f>
        <v>4686000</v>
      </c>
      <c r="J117" s="48">
        <f>4500000/F117</f>
        <v>6818.181818181818</v>
      </c>
      <c r="K117" s="48">
        <f>5000000/F117</f>
        <v>7575.757575757576</v>
      </c>
    </row>
    <row r="118" spans="1:14" s="48" customFormat="1" ht="15.75" customHeight="1" x14ac:dyDescent="0.35">
      <c r="A118" s="86">
        <v>2</v>
      </c>
      <c r="B118" s="86"/>
      <c r="C118" s="61" t="s">
        <v>187</v>
      </c>
      <c r="D118" s="61">
        <f>(2.75*4.27+2.15*3.6+2.75*3.35+1.8*1.2+1.83*1.2+1.3*1+2.75*0.9)*(10.764)</f>
        <v>396.39506399999999</v>
      </c>
      <c r="E118" s="61">
        <v>0</v>
      </c>
      <c r="F118" s="61">
        <v>650</v>
      </c>
      <c r="G118" s="86"/>
      <c r="H118" s="86"/>
      <c r="I118" s="33">
        <f t="shared" ref="I118:I121" si="5">7100*F118</f>
        <v>4615000</v>
      </c>
    </row>
    <row r="119" spans="1:14" s="48" customFormat="1" ht="15.75" customHeight="1" x14ac:dyDescent="0.35">
      <c r="A119" s="86">
        <v>3</v>
      </c>
      <c r="B119" s="86"/>
      <c r="C119" s="61" t="s">
        <v>187</v>
      </c>
      <c r="D119" s="61">
        <f>(2.7*4.27+3*2.15+2.75*3.35+1.85*1.2+1.2*1.85+2.75*0.9+1.2*1+0.9*1.5)*(10.764)</f>
        <v>394.57056599999999</v>
      </c>
      <c r="E119" s="61">
        <v>0</v>
      </c>
      <c r="F119" s="61">
        <v>650</v>
      </c>
      <c r="G119" s="86"/>
      <c r="H119" s="86"/>
      <c r="I119" s="33">
        <f t="shared" si="5"/>
        <v>4615000</v>
      </c>
    </row>
    <row r="120" spans="1:14" s="48" customFormat="1" ht="15.75" customHeight="1" x14ac:dyDescent="0.35">
      <c r="A120" s="86">
        <v>4</v>
      </c>
      <c r="B120" s="86"/>
      <c r="C120" s="61" t="s">
        <v>188</v>
      </c>
      <c r="D120" s="61">
        <f>(2.9*4.25+2.3*5.15+2.75*2.8+2.9*3.73+1.85*1.2+2.15*1.2+2.9*0.9+1.5*1.2+2.5*0.9+1.2*1.2+0.5*0.4)*(10.764)</f>
        <v>600.49126799999988</v>
      </c>
      <c r="E120" s="61">
        <v>0</v>
      </c>
      <c r="F120" s="61">
        <v>985</v>
      </c>
      <c r="G120" s="86"/>
      <c r="H120" s="86"/>
      <c r="I120" s="33">
        <f t="shared" si="5"/>
        <v>6993500</v>
      </c>
    </row>
    <row r="121" spans="1:14" s="48" customFormat="1" ht="15.75" customHeight="1" x14ac:dyDescent="0.35">
      <c r="A121" s="86">
        <v>5</v>
      </c>
      <c r="B121" s="86"/>
      <c r="C121" s="61" t="s">
        <v>188</v>
      </c>
      <c r="D121" s="61">
        <f>(2.9*4.25+2.3*3.8+2.75*3.65+1.2*2.25+2.3*1.2+3.05*3+2.9*0.9+1.5*1+1.5*1.5+1.2*1.2)*(10.764)</f>
        <v>576.0085499999999</v>
      </c>
      <c r="E121" s="61">
        <v>0</v>
      </c>
      <c r="F121" s="61">
        <v>945</v>
      </c>
      <c r="G121" s="86"/>
      <c r="H121" s="86"/>
      <c r="I121" s="33">
        <f t="shared" si="5"/>
        <v>6709500</v>
      </c>
    </row>
    <row r="122" spans="1:14" s="34" customFormat="1" x14ac:dyDescent="0.35">
      <c r="A122" s="67" t="s">
        <v>189</v>
      </c>
      <c r="B122" s="67"/>
      <c r="C122" s="67"/>
      <c r="D122" s="67"/>
      <c r="E122" s="67"/>
      <c r="F122" s="67"/>
      <c r="G122" s="67"/>
      <c r="H122" s="67"/>
      <c r="I122" s="33"/>
      <c r="L122" s="68"/>
      <c r="M122" s="68"/>
    </row>
    <row r="123" spans="1:14" s="34" customFormat="1" ht="15.75" customHeight="1" x14ac:dyDescent="0.35">
      <c r="A123" s="86">
        <v>1</v>
      </c>
      <c r="B123" s="86"/>
      <c r="C123" s="45" t="s">
        <v>187</v>
      </c>
      <c r="D123" s="47">
        <f>(4.25*2.75+2.3*3.65+1.2*1.8+2.9*3.35+1.93*1.2+0.9*2.75+0.9*1.3)*(10.764)</f>
        <v>408.15473400000002</v>
      </c>
      <c r="E123" s="39">
        <v>0</v>
      </c>
      <c r="F123" s="56">
        <v>660</v>
      </c>
      <c r="G123" s="109" t="str">
        <f>A122</f>
        <v>6th to 18th Floor</v>
      </c>
      <c r="H123" s="110"/>
      <c r="I123" s="33"/>
      <c r="N123" s="33"/>
    </row>
    <row r="124" spans="1:14" s="34" customFormat="1" ht="15.75" customHeight="1" x14ac:dyDescent="0.35">
      <c r="A124" s="86">
        <f>A123+1</f>
        <v>2</v>
      </c>
      <c r="B124" s="86"/>
      <c r="C124" s="45" t="s">
        <v>187</v>
      </c>
      <c r="D124" s="39">
        <f>(2.75*4.27+2.15*3.6+2.75*3.35+1.8*1.2+1.83*1.2+1.3*1+2.75*0.9)*(10.764)</f>
        <v>396.39506399999999</v>
      </c>
      <c r="E124" s="39">
        <v>0</v>
      </c>
      <c r="F124" s="56">
        <v>650</v>
      </c>
      <c r="G124" s="111"/>
      <c r="H124" s="112"/>
      <c r="I124" s="33"/>
      <c r="N124" s="33"/>
    </row>
    <row r="125" spans="1:14" s="34" customFormat="1" ht="15.75" customHeight="1" x14ac:dyDescent="0.35">
      <c r="A125" s="86">
        <f>A124+1</f>
        <v>3</v>
      </c>
      <c r="B125" s="86"/>
      <c r="C125" s="45" t="s">
        <v>187</v>
      </c>
      <c r="D125" s="39">
        <f>(2.7*4.27+3*2.15+2.75*3.35+1.85*1.2+1.2*1.85+2.75*0.9+1.2*1+0.9*1.5)*(10.764)</f>
        <v>394.57056599999999</v>
      </c>
      <c r="E125" s="39">
        <v>0</v>
      </c>
      <c r="F125" s="56">
        <v>650</v>
      </c>
      <c r="G125" s="111"/>
      <c r="H125" s="112"/>
      <c r="I125" s="33"/>
      <c r="N125" s="33"/>
    </row>
    <row r="126" spans="1:14" s="34" customFormat="1" ht="15.75" customHeight="1" x14ac:dyDescent="0.35">
      <c r="A126" s="86">
        <f>A125+1</f>
        <v>4</v>
      </c>
      <c r="B126" s="86"/>
      <c r="C126" s="45" t="s">
        <v>188</v>
      </c>
      <c r="D126" s="39">
        <f>(2.9*4.25+2.3*5.15+2.75*2.8+2.9*3.73+1.85*1.2+2.15*1.2+2.9*0.9+1.5*1.2+2.5*0.9+1.2*1.2+0.5*0.4)*(10.764)</f>
        <v>600.49126799999988</v>
      </c>
      <c r="E126" s="39">
        <v>0</v>
      </c>
      <c r="F126" s="56">
        <v>985</v>
      </c>
      <c r="G126" s="111"/>
      <c r="H126" s="112"/>
      <c r="I126" s="33"/>
      <c r="J126" s="34">
        <f>6900000/F126</f>
        <v>7005.0761421319794</v>
      </c>
      <c r="K126" s="34">
        <f>5*24*985</f>
        <v>118200</v>
      </c>
      <c r="N126" s="33"/>
    </row>
    <row r="127" spans="1:14" s="34" customFormat="1" ht="15.75" customHeight="1" x14ac:dyDescent="0.35">
      <c r="A127" s="86">
        <f>A126+1</f>
        <v>5</v>
      </c>
      <c r="B127" s="86"/>
      <c r="C127" s="45" t="s">
        <v>188</v>
      </c>
      <c r="D127" s="39">
        <f>(2.9*4.25+2.3*3.8+2.75*3.65+1.2*2.25+2.3*1.2+3.05*3+2.9*0.9+1.5*1+1.5*1.5+1.2*1.2)*(10.764)</f>
        <v>576.0085499999999</v>
      </c>
      <c r="E127" s="39">
        <v>0</v>
      </c>
      <c r="F127" s="56">
        <v>945</v>
      </c>
      <c r="G127" s="113"/>
      <c r="H127" s="114"/>
      <c r="I127" s="33"/>
      <c r="N127" s="33"/>
    </row>
    <row r="128" spans="1:14" s="48" customFormat="1" x14ac:dyDescent="0.35">
      <c r="A128" s="67" t="s">
        <v>192</v>
      </c>
      <c r="B128" s="67"/>
      <c r="C128" s="67"/>
      <c r="D128" s="67"/>
      <c r="E128" s="67"/>
      <c r="F128" s="67"/>
      <c r="G128" s="67"/>
      <c r="H128" s="67"/>
      <c r="I128" s="33"/>
      <c r="L128" s="68"/>
      <c r="M128" s="68"/>
    </row>
    <row r="129" spans="1:8" s="32" customFormat="1" x14ac:dyDescent="0.35">
      <c r="A129" s="154" t="s">
        <v>72</v>
      </c>
      <c r="B129" s="154"/>
      <c r="C129" s="154"/>
      <c r="D129" s="154"/>
      <c r="E129" s="154"/>
      <c r="F129" s="154"/>
      <c r="G129" s="154"/>
      <c r="H129" s="154"/>
    </row>
    <row r="130" spans="1:8" s="32" customFormat="1" x14ac:dyDescent="0.35">
      <c r="A130" s="42" t="s">
        <v>155</v>
      </c>
      <c r="B130" s="149" t="s">
        <v>215</v>
      </c>
      <c r="C130" s="150"/>
      <c r="D130" s="150"/>
      <c r="E130" s="150"/>
      <c r="F130" s="150"/>
      <c r="G130" s="150"/>
      <c r="H130" s="151"/>
    </row>
    <row r="131" spans="1:8" s="32" customFormat="1" x14ac:dyDescent="0.35">
      <c r="A131" s="42" t="s">
        <v>155</v>
      </c>
      <c r="B131" s="149" t="str">
        <f>(IF(F105="Saleable area Loading :","We have considered Saleable area of Flats as per our Calculation.","We considered Saleable area of Flat as per Builder area Sheet."))</f>
        <v>We considered Saleable area of Flat as per Builder area Sheet.</v>
      </c>
      <c r="C131" s="150"/>
      <c r="D131" s="150"/>
      <c r="E131" s="150"/>
      <c r="F131" s="150"/>
      <c r="G131" s="150"/>
      <c r="H131" s="151"/>
    </row>
    <row r="132" spans="1:8" s="32" customFormat="1" x14ac:dyDescent="0.35">
      <c r="A132" s="42" t="s">
        <v>155</v>
      </c>
      <c r="B132" s="149" t="str">
        <f>(IF(F96="Saleable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2" s="150"/>
      <c r="D132" s="150"/>
      <c r="E132" s="150"/>
      <c r="F132" s="150"/>
      <c r="G132" s="150"/>
      <c r="H132" s="151"/>
    </row>
    <row r="133" spans="1:8" s="32" customFormat="1" x14ac:dyDescent="0.35">
      <c r="A133" s="42" t="s">
        <v>155</v>
      </c>
      <c r="B133" s="72" t="s">
        <v>125</v>
      </c>
      <c r="C133" s="73"/>
      <c r="D133" s="73"/>
      <c r="E133" s="73"/>
      <c r="F133" s="73"/>
      <c r="G133" s="73"/>
      <c r="H133" s="74"/>
    </row>
    <row r="134" spans="1:8" s="32" customFormat="1" x14ac:dyDescent="0.35">
      <c r="A134" s="42" t="s">
        <v>155</v>
      </c>
      <c r="B134" s="72" t="s">
        <v>193</v>
      </c>
      <c r="C134" s="73"/>
      <c r="D134" s="73"/>
      <c r="E134" s="73"/>
      <c r="F134" s="73"/>
      <c r="G134" s="73"/>
      <c r="H134" s="74"/>
    </row>
    <row r="135" spans="1:8" s="32" customFormat="1" x14ac:dyDescent="0.35">
      <c r="A135" s="42" t="s">
        <v>155</v>
      </c>
      <c r="B135" s="72" t="s">
        <v>154</v>
      </c>
      <c r="C135" s="73"/>
      <c r="D135" s="73"/>
      <c r="E135" s="73"/>
      <c r="F135" s="73"/>
      <c r="G135" s="73"/>
      <c r="H135" s="74"/>
    </row>
    <row r="136" spans="1:8" s="32" customFormat="1" x14ac:dyDescent="0.35">
      <c r="A136" s="42" t="s">
        <v>155</v>
      </c>
      <c r="B136" s="72" t="s">
        <v>126</v>
      </c>
      <c r="C136" s="73"/>
      <c r="D136" s="73"/>
      <c r="E136" s="73"/>
      <c r="F136" s="73"/>
      <c r="G136" s="73"/>
      <c r="H136" s="74"/>
    </row>
    <row r="137" spans="1:8" s="32" customFormat="1" ht="34.5" customHeight="1" x14ac:dyDescent="0.35">
      <c r="A137" s="42" t="s">
        <v>155</v>
      </c>
      <c r="B137" s="72" t="s">
        <v>156</v>
      </c>
      <c r="C137" s="73"/>
      <c r="D137" s="73"/>
      <c r="E137" s="73"/>
      <c r="F137" s="73"/>
      <c r="G137" s="73"/>
      <c r="H137" s="74"/>
    </row>
    <row r="138" spans="1:8" s="32" customFormat="1" x14ac:dyDescent="0.35">
      <c r="A138" s="42" t="s">
        <v>155</v>
      </c>
      <c r="B138" s="72" t="s">
        <v>127</v>
      </c>
      <c r="C138" s="73"/>
      <c r="D138" s="73"/>
      <c r="E138" s="73"/>
      <c r="F138" s="73"/>
      <c r="G138" s="73"/>
      <c r="H138" s="74"/>
    </row>
    <row r="139" spans="1:8" s="32" customFormat="1" x14ac:dyDescent="0.35">
      <c r="A139" s="65" t="s">
        <v>155</v>
      </c>
      <c r="B139" s="72" t="s">
        <v>216</v>
      </c>
      <c r="C139" s="73"/>
      <c r="D139" s="73"/>
      <c r="E139" s="73"/>
      <c r="F139" s="73"/>
      <c r="G139" s="73"/>
      <c r="H139" s="74"/>
    </row>
    <row r="140" spans="1:8" x14ac:dyDescent="0.35">
      <c r="A140" s="153" t="s">
        <v>65</v>
      </c>
      <c r="B140" s="153"/>
      <c r="C140" s="153"/>
      <c r="D140" s="153"/>
      <c r="E140" s="153"/>
      <c r="F140" s="153"/>
      <c r="G140" s="153"/>
      <c r="H140" s="153"/>
    </row>
    <row r="141" spans="1:8" x14ac:dyDescent="0.35">
      <c r="A141" s="81" t="s">
        <v>66</v>
      </c>
      <c r="B141" s="81"/>
      <c r="C141" s="81"/>
      <c r="D141" s="81"/>
      <c r="E141" s="81"/>
      <c r="F141" s="81"/>
      <c r="G141" s="81"/>
      <c r="H141" s="81"/>
    </row>
    <row r="142" spans="1:8" ht="15.75" customHeight="1" x14ac:dyDescent="0.35">
      <c r="A142" s="152" t="s">
        <v>67</v>
      </c>
      <c r="B142" s="152"/>
      <c r="C142" s="152"/>
      <c r="D142" s="152"/>
      <c r="E142" s="152"/>
      <c r="F142" s="152"/>
      <c r="G142" s="152"/>
      <c r="H142" s="152"/>
    </row>
    <row r="143" spans="1:8" x14ac:dyDescent="0.35">
      <c r="A143" s="81" t="s">
        <v>68</v>
      </c>
      <c r="B143" s="81"/>
      <c r="C143" s="81"/>
      <c r="D143" s="81"/>
      <c r="E143" s="81"/>
      <c r="F143" s="81"/>
      <c r="G143" s="81"/>
      <c r="H143" s="81"/>
    </row>
    <row r="144" spans="1:8" x14ac:dyDescent="0.35">
      <c r="A144" s="81" t="s">
        <v>69</v>
      </c>
      <c r="B144" s="81"/>
      <c r="C144" s="81"/>
      <c r="D144" s="81"/>
      <c r="E144" s="81"/>
      <c r="F144" s="81"/>
      <c r="G144" s="81"/>
      <c r="H144" s="81"/>
    </row>
    <row r="145" spans="1:8" x14ac:dyDescent="0.35">
      <c r="A145" s="81" t="s">
        <v>128</v>
      </c>
      <c r="B145" s="81"/>
      <c r="C145" s="81"/>
      <c r="D145" s="81"/>
      <c r="E145" s="81"/>
      <c r="F145" s="81"/>
      <c r="G145" s="81"/>
      <c r="H145" s="81"/>
    </row>
    <row r="146" spans="1:8" x14ac:dyDescent="0.35">
      <c r="A146" s="115" t="s">
        <v>129</v>
      </c>
      <c r="B146" s="115"/>
      <c r="C146" s="115"/>
      <c r="D146" s="115"/>
      <c r="E146" s="115"/>
      <c r="F146" s="115"/>
      <c r="G146" s="115"/>
      <c r="H146" s="115"/>
    </row>
    <row r="147" spans="1:8" x14ac:dyDescent="0.35">
      <c r="A147" s="148" t="s">
        <v>82</v>
      </c>
      <c r="B147" s="148"/>
      <c r="C147" s="148" t="s">
        <v>212</v>
      </c>
      <c r="D147" s="148"/>
      <c r="E147" s="148" t="s">
        <v>106</v>
      </c>
      <c r="F147" s="148"/>
      <c r="G147" s="148" t="s">
        <v>211</v>
      </c>
      <c r="H147" s="148"/>
    </row>
    <row r="148" spans="1:8" x14ac:dyDescent="0.35">
      <c r="A148" s="147" t="s">
        <v>84</v>
      </c>
      <c r="B148" s="147"/>
      <c r="C148" s="147"/>
      <c r="D148" s="147"/>
      <c r="E148" s="147"/>
      <c r="F148" s="147"/>
      <c r="G148" s="147"/>
      <c r="H148" s="147"/>
    </row>
    <row r="149" spans="1:8" x14ac:dyDescent="0.35">
      <c r="A149" s="147"/>
      <c r="B149" s="147"/>
      <c r="C149" s="147"/>
      <c r="D149" s="147"/>
      <c r="E149" s="147"/>
      <c r="F149" s="147"/>
      <c r="G149" s="147"/>
      <c r="H149" s="147"/>
    </row>
    <row r="150" spans="1:8" x14ac:dyDescent="0.35">
      <c r="A150" s="147"/>
      <c r="B150" s="147"/>
      <c r="C150" s="147"/>
      <c r="D150" s="147"/>
      <c r="E150" s="147"/>
      <c r="F150" s="147"/>
      <c r="G150" s="147"/>
      <c r="H150" s="147"/>
    </row>
    <row r="151" spans="1:8" x14ac:dyDescent="0.35">
      <c r="A151" s="147"/>
      <c r="B151" s="147"/>
      <c r="C151" s="147"/>
      <c r="D151" s="147"/>
      <c r="E151" s="147"/>
      <c r="F151" s="147"/>
      <c r="G151" s="147"/>
      <c r="H151" s="147"/>
    </row>
    <row r="152" spans="1:8" x14ac:dyDescent="0.35">
      <c r="A152" s="35" t="s">
        <v>70</v>
      </c>
      <c r="B152" s="36"/>
      <c r="C152" s="36"/>
      <c r="D152" s="35" t="str">
        <f>E8</f>
        <v>Balaji Vishant</v>
      </c>
      <c r="F152" s="36"/>
      <c r="G152" s="36"/>
      <c r="H152" s="36"/>
    </row>
    <row r="153" spans="1:8" x14ac:dyDescent="0.35">
      <c r="A153" s="36"/>
      <c r="B153" s="36"/>
      <c r="C153" s="36"/>
      <c r="D153" s="36"/>
      <c r="E153" s="36"/>
      <c r="F153" s="36"/>
      <c r="G153" s="36"/>
      <c r="H153" s="36"/>
    </row>
    <row r="154" spans="1:8" x14ac:dyDescent="0.35">
      <c r="A154" s="36"/>
      <c r="B154" s="36"/>
      <c r="C154" s="36"/>
      <c r="D154" s="36"/>
      <c r="E154" s="36"/>
      <c r="F154" s="36"/>
      <c r="G154" s="36"/>
      <c r="H154" s="36"/>
    </row>
    <row r="155" spans="1:8" ht="15" customHeight="1" x14ac:dyDescent="0.35"/>
    <row r="196" spans="1:1" x14ac:dyDescent="0.35">
      <c r="A196" s="38" t="s">
        <v>167</v>
      </c>
    </row>
    <row r="231" spans="1:1" x14ac:dyDescent="0.35">
      <c r="A231" s="38" t="s">
        <v>71</v>
      </c>
    </row>
  </sheetData>
  <mergeCells count="274">
    <mergeCell ref="B139:H139"/>
    <mergeCell ref="L103:M103"/>
    <mergeCell ref="A16:B16"/>
    <mergeCell ref="C16:H16"/>
    <mergeCell ref="E41:H41"/>
    <mergeCell ref="A41:D41"/>
    <mergeCell ref="A74:B74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42:H142"/>
    <mergeCell ref="A123:B123"/>
    <mergeCell ref="A92:B92"/>
    <mergeCell ref="G105:H105"/>
    <mergeCell ref="F80:H80"/>
    <mergeCell ref="G88:H88"/>
    <mergeCell ref="C87:D87"/>
    <mergeCell ref="A95:H95"/>
    <mergeCell ref="G87:H87"/>
    <mergeCell ref="A83:E83"/>
    <mergeCell ref="G123:H127"/>
    <mergeCell ref="G107:H109"/>
    <mergeCell ref="A140:H140"/>
    <mergeCell ref="A141:H141"/>
    <mergeCell ref="E92:F92"/>
    <mergeCell ref="B138:H138"/>
    <mergeCell ref="B136:H136"/>
    <mergeCell ref="B132:H132"/>
    <mergeCell ref="B134:H134"/>
    <mergeCell ref="A129:H129"/>
    <mergeCell ref="A102:H102"/>
    <mergeCell ref="A103:B103"/>
    <mergeCell ref="G103:H103"/>
    <mergeCell ref="A120:B120"/>
    <mergeCell ref="A148:H151"/>
    <mergeCell ref="A147:B147"/>
    <mergeCell ref="E147:F147"/>
    <mergeCell ref="C147:D147"/>
    <mergeCell ref="G147:H147"/>
    <mergeCell ref="A86:H86"/>
    <mergeCell ref="A84:E84"/>
    <mergeCell ref="F84:H84"/>
    <mergeCell ref="A85:E85"/>
    <mergeCell ref="F85:H85"/>
    <mergeCell ref="A122:H122"/>
    <mergeCell ref="A93:B93"/>
    <mergeCell ref="A88:B88"/>
    <mergeCell ref="A143:H143"/>
    <mergeCell ref="A91:H91"/>
    <mergeCell ref="A146:H146"/>
    <mergeCell ref="A144:H144"/>
    <mergeCell ref="A94:H94"/>
    <mergeCell ref="B130:H130"/>
    <mergeCell ref="B131:H131"/>
    <mergeCell ref="B133:H133"/>
    <mergeCell ref="B96:B97"/>
    <mergeCell ref="A96:A97"/>
    <mergeCell ref="A145:H145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E37:F37"/>
    <mergeCell ref="C37:D37"/>
    <mergeCell ref="G37:H37"/>
    <mergeCell ref="A44:D44"/>
    <mergeCell ref="A45:D45"/>
    <mergeCell ref="A46:H46"/>
    <mergeCell ref="D56:H56"/>
    <mergeCell ref="A56:C56"/>
    <mergeCell ref="G49:H49"/>
    <mergeCell ref="A50:B51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L101:M101"/>
    <mergeCell ref="L100:M100"/>
    <mergeCell ref="L99:M99"/>
    <mergeCell ref="A76:B76"/>
    <mergeCell ref="C93:D93"/>
    <mergeCell ref="E93:F93"/>
    <mergeCell ref="A80:E80"/>
    <mergeCell ref="A98:H98"/>
    <mergeCell ref="E96:E97"/>
    <mergeCell ref="G96:H97"/>
    <mergeCell ref="F79:H79"/>
    <mergeCell ref="E87:F87"/>
    <mergeCell ref="A87:B87"/>
    <mergeCell ref="A89:B89"/>
    <mergeCell ref="C88:D88"/>
    <mergeCell ref="E88:F88"/>
    <mergeCell ref="F82:H82"/>
    <mergeCell ref="A82:E82"/>
    <mergeCell ref="A79:E79"/>
    <mergeCell ref="C90:D90"/>
    <mergeCell ref="F83:H83"/>
    <mergeCell ref="C96:C97"/>
    <mergeCell ref="G99:H101"/>
    <mergeCell ref="G92:H92"/>
    <mergeCell ref="L122:M122"/>
    <mergeCell ref="A104:H104"/>
    <mergeCell ref="A127:B127"/>
    <mergeCell ref="A124:B124"/>
    <mergeCell ref="A125:B125"/>
    <mergeCell ref="A126:B126"/>
    <mergeCell ref="L107:M107"/>
    <mergeCell ref="A108:B108"/>
    <mergeCell ref="L108:M108"/>
    <mergeCell ref="A109:B109"/>
    <mergeCell ref="L109:M109"/>
    <mergeCell ref="A121:B121"/>
    <mergeCell ref="A106:H106"/>
    <mergeCell ref="A110:H110"/>
    <mergeCell ref="A111:B111"/>
    <mergeCell ref="G111:H115"/>
    <mergeCell ref="A112:B112"/>
    <mergeCell ref="A113:B113"/>
    <mergeCell ref="A114:B114"/>
    <mergeCell ref="A115:B115"/>
    <mergeCell ref="A107:B107"/>
    <mergeCell ref="G117:H121"/>
    <mergeCell ref="A118:B118"/>
    <mergeCell ref="A119:B119"/>
    <mergeCell ref="A128:H128"/>
    <mergeCell ref="L128:M128"/>
    <mergeCell ref="A38:B38"/>
    <mergeCell ref="C38:H38"/>
    <mergeCell ref="B137:H137"/>
    <mergeCell ref="A47:B47"/>
    <mergeCell ref="C47:H47"/>
    <mergeCell ref="B135:H135"/>
    <mergeCell ref="F81:H81"/>
    <mergeCell ref="A81:E81"/>
    <mergeCell ref="D96:D97"/>
    <mergeCell ref="A99:B99"/>
    <mergeCell ref="A100:B100"/>
    <mergeCell ref="A101:B101"/>
    <mergeCell ref="A116:H116"/>
    <mergeCell ref="A117:B117"/>
    <mergeCell ref="C89:D89"/>
    <mergeCell ref="E89:F89"/>
    <mergeCell ref="G89:H89"/>
    <mergeCell ref="A90:B90"/>
    <mergeCell ref="E90:F90"/>
    <mergeCell ref="G90:H90"/>
    <mergeCell ref="G93:H93"/>
    <mergeCell ref="C92:D9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51" max="16383" man="1"/>
    <brk id="194" max="16383" man="1"/>
    <brk id="2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1" t="s">
        <v>107</v>
      </c>
      <c r="C3" s="161"/>
      <c r="D3" s="161"/>
      <c r="E3" s="161"/>
      <c r="F3" s="161"/>
      <c r="G3" s="161"/>
      <c r="H3" s="161"/>
    </row>
    <row r="4" spans="1:9" x14ac:dyDescent="0.35">
      <c r="A4" s="2"/>
      <c r="B4" s="3" t="s">
        <v>108</v>
      </c>
      <c r="C4" s="3" t="s">
        <v>109</v>
      </c>
      <c r="D4" s="3" t="s">
        <v>73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2025-06-06T06:46:25Z</cp:lastPrinted>
  <dcterms:created xsi:type="dcterms:W3CDTF">2019-07-16T09:29:46Z</dcterms:created>
  <dcterms:modified xsi:type="dcterms:W3CDTF">2025-09-25T09:16:39Z</dcterms:modified>
</cp:coreProperties>
</file>