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09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7" i="1" l="1"/>
  <c r="E158" i="1"/>
  <c r="E159" i="1"/>
  <c r="E156" i="1"/>
  <c r="D157" i="1"/>
  <c r="D158" i="1"/>
  <c r="D159" i="1"/>
  <c r="D156" i="1"/>
  <c r="F156" i="1" l="1"/>
  <c r="D220" i="1"/>
  <c r="D213" i="1"/>
  <c r="D210" i="1"/>
  <c r="D204" i="1"/>
  <c r="D197" i="1"/>
  <c r="D194" i="1"/>
  <c r="D190" i="1"/>
  <c r="D187" i="1"/>
  <c r="D183" i="1"/>
  <c r="D180" i="1"/>
  <c r="D176" i="1"/>
  <c r="D173" i="1"/>
  <c r="C112" i="1" l="1"/>
  <c r="D202" i="1" l="1"/>
  <c r="F202" i="1" s="1"/>
  <c r="D218" i="1"/>
  <c r="F218" i="1" s="1"/>
  <c r="D233" i="1"/>
  <c r="F233" i="1" s="1"/>
  <c r="D232" i="1"/>
  <c r="F232" i="1" s="1"/>
  <c r="D231" i="1"/>
  <c r="D230" i="1"/>
  <c r="D229" i="1"/>
  <c r="D228" i="1"/>
  <c r="D227" i="1"/>
  <c r="D226" i="1"/>
  <c r="D225" i="1"/>
  <c r="D224" i="1"/>
  <c r="J229" i="1"/>
  <c r="I224" i="1"/>
  <c r="G224" i="1"/>
  <c r="I207" i="1"/>
  <c r="F220" i="1"/>
  <c r="J219" i="1"/>
  <c r="D219" i="1"/>
  <c r="F219" i="1" s="1"/>
  <c r="K218" i="1"/>
  <c r="K217" i="1"/>
  <c r="J217" i="1"/>
  <c r="K216" i="1"/>
  <c r="D216" i="1"/>
  <c r="F216" i="1" s="1"/>
  <c r="K215" i="1"/>
  <c r="J215" i="1"/>
  <c r="I215" i="1"/>
  <c r="G215" i="1"/>
  <c r="D215" i="1"/>
  <c r="F215" i="1" s="1"/>
  <c r="K214" i="1"/>
  <c r="J214" i="1"/>
  <c r="D212" i="1"/>
  <c r="D211" i="1"/>
  <c r="D209" i="1"/>
  <c r="D208" i="1"/>
  <c r="L205" i="1"/>
  <c r="F204" i="1"/>
  <c r="J203" i="1"/>
  <c r="D203" i="1"/>
  <c r="F203" i="1" s="1"/>
  <c r="K202" i="1"/>
  <c r="K201" i="1"/>
  <c r="J201" i="1"/>
  <c r="K200" i="1"/>
  <c r="D200" i="1"/>
  <c r="F200" i="1" s="1"/>
  <c r="K199" i="1"/>
  <c r="J199" i="1"/>
  <c r="I199" i="1"/>
  <c r="G199" i="1"/>
  <c r="D199" i="1"/>
  <c r="F199" i="1" s="1"/>
  <c r="K198" i="1"/>
  <c r="J198" i="1"/>
  <c r="I191" i="1"/>
  <c r="F197" i="1"/>
  <c r="J196" i="1"/>
  <c r="D196" i="1"/>
  <c r="F196" i="1" s="1"/>
  <c r="K195" i="1"/>
  <c r="D195" i="1"/>
  <c r="F195" i="1" s="1"/>
  <c r="K194" i="1"/>
  <c r="J194" i="1"/>
  <c r="F194" i="1"/>
  <c r="K193" i="1"/>
  <c r="D193" i="1"/>
  <c r="F193" i="1" s="1"/>
  <c r="K192" i="1"/>
  <c r="J192" i="1"/>
  <c r="I192" i="1"/>
  <c r="G192" i="1"/>
  <c r="D192" i="1"/>
  <c r="F192" i="1" s="1"/>
  <c r="K191" i="1"/>
  <c r="J191" i="1"/>
  <c r="F190" i="1"/>
  <c r="J189" i="1"/>
  <c r="D189" i="1"/>
  <c r="F189" i="1" s="1"/>
  <c r="K188" i="1"/>
  <c r="D188" i="1"/>
  <c r="F188" i="1" s="1"/>
  <c r="K187" i="1"/>
  <c r="J187" i="1"/>
  <c r="F187" i="1"/>
  <c r="K186" i="1"/>
  <c r="D186" i="1"/>
  <c r="F186" i="1" s="1"/>
  <c r="K185" i="1"/>
  <c r="J185" i="1"/>
  <c r="I185" i="1"/>
  <c r="G185" i="1"/>
  <c r="D185" i="1"/>
  <c r="F185" i="1" s="1"/>
  <c r="K184" i="1"/>
  <c r="J184" i="1"/>
  <c r="F183" i="1"/>
  <c r="J182" i="1"/>
  <c r="D182" i="1"/>
  <c r="F182" i="1" s="1"/>
  <c r="K181" i="1"/>
  <c r="D181" i="1"/>
  <c r="F181" i="1" s="1"/>
  <c r="K180" i="1"/>
  <c r="J180" i="1"/>
  <c r="F180" i="1"/>
  <c r="K179" i="1"/>
  <c r="D179" i="1"/>
  <c r="F179" i="1" s="1"/>
  <c r="K178" i="1"/>
  <c r="J178" i="1"/>
  <c r="I178" i="1"/>
  <c r="G178" i="1"/>
  <c r="D178" i="1"/>
  <c r="F178" i="1" s="1"/>
  <c r="K177" i="1"/>
  <c r="J177" i="1"/>
  <c r="I171" i="1"/>
  <c r="F176" i="1"/>
  <c r="D175" i="1"/>
  <c r="F175" i="1" s="1"/>
  <c r="D174" i="1"/>
  <c r="D172" i="1"/>
  <c r="D171" i="1"/>
  <c r="K174" i="1"/>
  <c r="K173" i="1"/>
  <c r="K172" i="1"/>
  <c r="K171" i="1"/>
  <c r="K170" i="1"/>
  <c r="K169" i="1"/>
  <c r="G171" i="1"/>
  <c r="J175" i="1"/>
  <c r="J173" i="1"/>
  <c r="I156" i="1"/>
  <c r="D164" i="1"/>
  <c r="D163" i="1"/>
  <c r="D162" i="1"/>
  <c r="D161" i="1"/>
  <c r="G161" i="1"/>
  <c r="E146" i="1" l="1"/>
  <c r="C147" i="1"/>
  <c r="E148" i="1"/>
  <c r="E147" i="1"/>
  <c r="C148" i="1"/>
  <c r="C146" i="1"/>
  <c r="C142" i="1"/>
  <c r="C143" i="1" s="1"/>
  <c r="E142" i="1"/>
  <c r="E143" i="1" s="1"/>
  <c r="F174" i="1"/>
  <c r="F173" i="1"/>
  <c r="E149" i="1" l="1"/>
  <c r="C149" i="1"/>
  <c r="E41" i="1"/>
  <c r="J123" i="1" l="1"/>
  <c r="J122" i="1"/>
  <c r="J121" i="1"/>
  <c r="J120" i="1"/>
  <c r="J113" i="1"/>
  <c r="F157" i="1" l="1"/>
  <c r="F231" i="1"/>
  <c r="F230" i="1"/>
  <c r="F229" i="1"/>
  <c r="F228" i="1"/>
  <c r="F227" i="1"/>
  <c r="F226" i="1"/>
  <c r="J226" i="1" s="1"/>
  <c r="F225" i="1"/>
  <c r="I225" i="1" s="1"/>
  <c r="F213" i="1"/>
  <c r="F212" i="1"/>
  <c r="F211" i="1"/>
  <c r="F210" i="1"/>
  <c r="F209" i="1"/>
  <c r="F171" i="1"/>
  <c r="J170" i="1"/>
  <c r="F224" i="1"/>
  <c r="A225" i="1"/>
  <c r="A226" i="1" s="1"/>
  <c r="A227" i="1" s="1"/>
  <c r="A228" i="1" s="1"/>
  <c r="A229" i="1" s="1"/>
  <c r="A230" i="1" s="1"/>
  <c r="A231" i="1" s="1"/>
  <c r="A232" i="1" s="1"/>
  <c r="A233" i="1" s="1"/>
  <c r="A209" i="1"/>
  <c r="A210" i="1" s="1"/>
  <c r="A211" i="1" s="1"/>
  <c r="A212" i="1" s="1"/>
  <c r="A213" i="1" s="1"/>
  <c r="G208" i="1"/>
  <c r="G209" i="1" s="1"/>
  <c r="G210" i="1" s="1"/>
  <c r="G211" i="1" s="1"/>
  <c r="G212" i="1" s="1"/>
  <c r="G213" i="1" s="1"/>
  <c r="F158" i="1"/>
  <c r="F159" i="1"/>
  <c r="J171" i="1"/>
  <c r="A157" i="1"/>
  <c r="A158" i="1" s="1"/>
  <c r="A159" i="1" s="1"/>
  <c r="G156" i="1"/>
  <c r="G148" i="1" l="1"/>
  <c r="F172" i="1"/>
  <c r="G146" i="1" s="1"/>
  <c r="F208" i="1"/>
  <c r="G147" i="1" s="1"/>
  <c r="E42" i="1"/>
  <c r="E43" i="1" s="1"/>
  <c r="G149" i="1" l="1"/>
  <c r="K145" i="1"/>
  <c r="C14" i="1"/>
  <c r="E29" i="1" l="1"/>
  <c r="F236" i="1" l="1"/>
  <c r="F237" i="1"/>
  <c r="F238" i="1"/>
  <c r="F235" i="1"/>
  <c r="A236" i="1"/>
  <c r="A237" i="1" s="1"/>
  <c r="A238" i="1" s="1"/>
  <c r="G235" i="1"/>
  <c r="G236" i="1" s="1"/>
  <c r="G237" i="1" s="1"/>
  <c r="G238" i="1" s="1"/>
  <c r="F139" i="1" l="1"/>
  <c r="F162" i="1" l="1"/>
  <c r="F163" i="1"/>
  <c r="F164" i="1"/>
  <c r="F161" i="1"/>
  <c r="G142" i="1" s="1"/>
  <c r="G143" i="1" l="1"/>
  <c r="J145" i="1"/>
  <c r="B265" i="1"/>
  <c r="A252" i="1"/>
  <c r="A246" i="1"/>
  <c r="A258" i="1"/>
  <c r="F262" i="1" l="1"/>
  <c r="F261" i="1"/>
  <c r="F260" i="1"/>
  <c r="F259" i="1"/>
  <c r="F258" i="1"/>
  <c r="F256" i="1"/>
  <c r="F255" i="1"/>
  <c r="F254" i="1"/>
  <c r="F253" i="1"/>
  <c r="F252" i="1"/>
  <c r="F250" i="1"/>
  <c r="F249" i="1"/>
  <c r="F248" i="1"/>
  <c r="F247" i="1"/>
  <c r="F246" i="1"/>
  <c r="F244" i="1"/>
  <c r="F243" i="1"/>
  <c r="F241" i="1"/>
  <c r="F240" i="1"/>
  <c r="F242" i="1"/>
  <c r="A259" i="1"/>
  <c r="A253" i="1"/>
  <c r="A247" i="1"/>
  <c r="B266" i="1" l="1"/>
  <c r="A248" i="1"/>
  <c r="A254" i="1"/>
  <c r="A260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89" i="1"/>
  <c r="G258" i="1"/>
  <c r="G259" i="1" s="1"/>
  <c r="G260" i="1" s="1"/>
  <c r="G261" i="1" s="1"/>
  <c r="G262" i="1" s="1"/>
  <c r="G252" i="1"/>
  <c r="G253" i="1" s="1"/>
  <c r="G254" i="1" s="1"/>
  <c r="G255" i="1" s="1"/>
  <c r="G256" i="1" s="1"/>
  <c r="G246" i="1"/>
  <c r="G247" i="1" s="1"/>
  <c r="G248" i="1" s="1"/>
  <c r="G249" i="1" s="1"/>
  <c r="G250" i="1" s="1"/>
  <c r="G240" i="1"/>
  <c r="G241" i="1" s="1"/>
  <c r="G242" i="1" s="1"/>
  <c r="G243" i="1" s="1"/>
  <c r="G244" i="1" s="1"/>
  <c r="A240" i="1"/>
  <c r="A241" i="1" s="1"/>
  <c r="A242" i="1" s="1"/>
  <c r="A243" i="1" s="1"/>
  <c r="A244" i="1" s="1"/>
  <c r="A162" i="1"/>
  <c r="A163" i="1" s="1"/>
  <c r="A164" i="1" s="1"/>
  <c r="J109" i="1"/>
  <c r="J108" i="1"/>
  <c r="J107" i="1"/>
  <c r="J106" i="1"/>
  <c r="J95" i="1"/>
  <c r="J94" i="1"/>
  <c r="J93" i="1"/>
  <c r="J92" i="1"/>
  <c r="C84" i="1"/>
  <c r="J81" i="1"/>
  <c r="J80" i="1"/>
  <c r="J79" i="1"/>
  <c r="J78" i="1"/>
  <c r="C70" i="1"/>
  <c r="D56" i="1"/>
  <c r="G49" i="1"/>
  <c r="G50" i="1" s="1"/>
  <c r="C49" i="1"/>
  <c r="C50" i="1" s="1"/>
  <c r="E26" i="1"/>
  <c r="E24" i="1"/>
  <c r="E7" i="1"/>
  <c r="E3" i="1"/>
  <c r="A249" i="1"/>
  <c r="H99" i="1"/>
  <c r="H71" i="1"/>
  <c r="H85" i="1"/>
  <c r="A255" i="1"/>
  <c r="A261" i="1"/>
  <c r="D64" i="1" l="1"/>
  <c r="D95" i="1"/>
  <c r="D96" i="1"/>
  <c r="D97" i="1"/>
  <c r="D91" i="1"/>
  <c r="D92" i="1"/>
  <c r="D93" i="1"/>
  <c r="D94" i="1"/>
  <c r="J84" i="1"/>
  <c r="J86" i="1" s="1"/>
  <c r="D83" i="1"/>
  <c r="D81" i="1"/>
  <c r="D80" i="1"/>
  <c r="D79" i="1"/>
  <c r="D77" i="1"/>
  <c r="J70" i="1"/>
  <c r="D82" i="1"/>
  <c r="D78" i="1"/>
  <c r="J74" i="1"/>
  <c r="J75" i="1"/>
  <c r="C74" i="1" s="1"/>
  <c r="J73" i="1"/>
  <c r="J76" i="1"/>
  <c r="J77" i="1" s="1"/>
  <c r="J82" i="1" s="1"/>
  <c r="J83" i="1" s="1"/>
  <c r="C75" i="1" s="1"/>
  <c r="J98" i="1"/>
  <c r="J100" i="1" s="1"/>
  <c r="J102" i="1"/>
  <c r="D111" i="1"/>
  <c r="D109" i="1"/>
  <c r="D107" i="1"/>
  <c r="D105" i="1"/>
  <c r="J103" i="1"/>
  <c r="C102" i="1" s="1"/>
  <c r="J101" i="1"/>
  <c r="J104" i="1"/>
  <c r="J105" i="1" s="1"/>
  <c r="J110" i="1" s="1"/>
  <c r="J111" i="1" s="1"/>
  <c r="C103" i="1" s="1"/>
  <c r="D110" i="1"/>
  <c r="D108" i="1"/>
  <c r="D106" i="1"/>
  <c r="J90" i="1"/>
  <c r="J91" i="1" s="1"/>
  <c r="J96" i="1" s="1"/>
  <c r="J88" i="1"/>
  <c r="J89" i="1"/>
  <c r="C88" i="1" s="1"/>
  <c r="J87" i="1"/>
  <c r="A256" i="1"/>
  <c r="A250" i="1"/>
  <c r="A262" i="1"/>
  <c r="J97" i="1" l="1"/>
  <c r="C89" i="1" s="1"/>
  <c r="E88" i="1" s="1"/>
  <c r="D104" i="1"/>
  <c r="D102" i="1"/>
  <c r="D90" i="1"/>
  <c r="D76" i="1"/>
  <c r="J72" i="1"/>
  <c r="E74" i="1"/>
  <c r="D75" i="1"/>
  <c r="G74" i="1"/>
  <c r="D68" i="1" s="1"/>
  <c r="D69" i="1" s="1"/>
  <c r="D74" i="1"/>
  <c r="D88" i="1"/>
  <c r="E102" i="1"/>
  <c r="D103" i="1"/>
  <c r="G102" i="1"/>
  <c r="H113" i="1"/>
  <c r="D125" i="1" l="1"/>
  <c r="D121" i="1"/>
  <c r="D117" i="1"/>
  <c r="J116" i="1"/>
  <c r="D124" i="1"/>
  <c r="D120" i="1"/>
  <c r="G116" i="1"/>
  <c r="E116" i="1"/>
  <c r="D123" i="1"/>
  <c r="D119" i="1"/>
  <c r="D116" i="1"/>
  <c r="J112" i="1"/>
  <c r="J114" i="1" s="1"/>
  <c r="J118" i="1"/>
  <c r="J119" i="1" s="1"/>
  <c r="J124" i="1" s="1"/>
  <c r="J125" i="1" s="1"/>
  <c r="J115" i="1"/>
  <c r="D122" i="1"/>
  <c r="D118" i="1"/>
  <c r="J117" i="1"/>
  <c r="G88" i="1"/>
  <c r="J85" i="1"/>
  <c r="D89" i="1"/>
  <c r="I85" i="1" s="1"/>
  <c r="I71" i="1"/>
  <c r="J71" i="1"/>
  <c r="I99" i="1"/>
  <c r="J99" i="1"/>
  <c r="F69" i="1"/>
  <c r="I113" i="1" l="1"/>
  <c r="I114" i="1" s="1"/>
  <c r="I72" i="1"/>
  <c r="I70" i="1" s="1"/>
  <c r="C72" i="1" s="1"/>
  <c r="I100" i="1"/>
  <c r="I98" i="1" s="1"/>
  <c r="C100" i="1" s="1"/>
  <c r="I86" i="1"/>
  <c r="I84" i="1" s="1"/>
  <c r="C86" i="1" s="1"/>
  <c r="I112" i="1" l="1"/>
  <c r="C114" i="1" s="1"/>
</calcChain>
</file>

<file path=xl/sharedStrings.xml><?xml version="1.0" encoding="utf-8"?>
<sst xmlns="http://schemas.openxmlformats.org/spreadsheetml/2006/main" count="474" uniqueCount="264">
  <si>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</si>
  <si>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</si>
  <si>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</si>
  <si>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</si>
  <si>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</si>
  <si>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</si>
  <si>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</si>
  <si>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</si>
  <si>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</si>
  <si>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</si>
  <si>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</si>
  <si>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</si>
  <si>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</si>
  <si>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</si>
  <si>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</si>
  <si>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</si>
  <si>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</si>
  <si>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</si>
  <si>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</si>
  <si>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</si>
  <si>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</si>
  <si>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</si>
  <si>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</si>
  <si>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</si>
  <si>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</si>
  <si>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</si>
  <si>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</si>
  <si>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</si>
  <si>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</si>
  <si>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</si>
  <si>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</si>
  <si>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</si>
  <si>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</si>
  <si>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</si>
  <si>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</si>
  <si>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</si>
  <si>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</si>
  <si>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</si>
  <si>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</si>
  <si>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</si>
  <si>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</si>
  <si>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</si>
  <si>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</si>
  <si>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</si>
  <si>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</si>
  <si>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</si>
  <si>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</si>
  <si>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</si>
  <si>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</si>
  <si>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</si>
  <si>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</si>
  <si>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</si>
  <si>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</si>
  <si>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</si>
  <si>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</si>
  <si>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</si>
  <si>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</si>
  <si>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</si>
  <si>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</si>
  <si>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</si>
  <si>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</si>
  <si>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</si>
  <si>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</si>
  <si>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</si>
  <si>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</si>
  <si>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</si>
  <si>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</si>
  <si>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</si>
  <si>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</si>
  <si>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</si>
  <si>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</si>
  <si>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</si>
  <si>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</si>
  <si>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</si>
  <si>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</si>
  <si>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</si>
  <si>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</si>
  <si>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</si>
  <si>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</si>
  <si>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</si>
  <si>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</si>
  <si>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</si>
  <si>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</si>
  <si>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</si>
  <si>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</si>
  <si>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</si>
  <si>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</si>
  <si>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</si>
  <si>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</si>
  <si>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</si>
  <si>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</si>
  <si>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</si>
  <si>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</si>
  <si>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</si>
  <si>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</si>
  <si>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</si>
  <si>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</si>
  <si>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</si>
  <si>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</si>
  <si>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</si>
  <si>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</si>
  <si>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</si>
  <si>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</si>
  <si>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</si>
  <si>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</si>
  <si>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</si>
  <si>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</si>
  <si>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</si>
  <si>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</si>
  <si>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</si>
  <si>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</si>
  <si>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</si>
  <si>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</si>
  <si>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</si>
  <si>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</si>
  <si>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</si>
  <si>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</si>
  <si>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</si>
  <si>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</si>
  <si>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</si>
  <si>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</si>
  <si>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</si>
  <si>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</si>
  <si>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</si>
  <si>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</si>
  <si>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</si>
  <si>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</si>
  <si>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</si>
  <si>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</si>
  <si>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</si>
  <si>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</si>
  <si>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</si>
  <si>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</si>
  <si>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</si>
  <si>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</si>
  <si>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</si>
  <si>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</si>
  <si>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</si>
  <si>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</si>
  <si>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</si>
  <si>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</si>
  <si>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</si>
  <si>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</si>
  <si>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</si>
  <si>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</si>
  <si>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</si>
  <si>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</si>
  <si>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</si>
  <si>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</si>
  <si>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</si>
  <si>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</si>
  <si>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</si>
  <si>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</si>
  <si>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</si>
  <si>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</si>
  <si>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</si>
  <si>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</si>
  <si>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</si>
  <si>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</si>
  <si>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</si>
  <si>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</si>
  <si>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</si>
  <si>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</si>
  <si>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</si>
  <si>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</si>
  <si>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</si>
  <si>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Flat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</si>
  <si>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</si>
  <si>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</si>
  <si>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</si>
  <si>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</si>
  <si>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</si>
  <si>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</si>
  <si>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</si>
  <si>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 xml:space="preserve">1. Vitrified tiles flooring 2. Granite Kitchen Platform 3. Decorative
Enternace etc.
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</si>
  <si>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</si>
  <si>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Axis Badlapur</t>
  </si>
  <si>
    <t>Riddhi Siddhi Enterprises</t>
  </si>
  <si>
    <t>Atlantic</t>
  </si>
  <si>
    <t>P51700034411</t>
  </si>
  <si>
    <t>Survey No</t>
  </si>
  <si>
    <t>Kon</t>
  </si>
  <si>
    <t>Thane</t>
  </si>
  <si>
    <t>Bhiwandi</t>
  </si>
  <si>
    <t>Kalyan Bhiwandi Road</t>
  </si>
  <si>
    <t>03 Building - 4 Wings</t>
  </si>
  <si>
    <t>Mumbai Metropolitan Region Development Authority</t>
  </si>
  <si>
    <t>SROT/BSNA/2501/BP/KON-57/CC/460/2021</t>
  </si>
  <si>
    <t>1st Floor For Residential</t>
  </si>
  <si>
    <t>Refuge Area</t>
  </si>
  <si>
    <t>2BHK</t>
  </si>
  <si>
    <t>Stilt Floor For Parking</t>
  </si>
  <si>
    <t>1BHK</t>
  </si>
  <si>
    <t>Type B</t>
  </si>
  <si>
    <t>Type C</t>
  </si>
  <si>
    <t>We considered Gross carpet area = Net carpet + F.B Area.</t>
  </si>
  <si>
    <t>Mangesh</t>
  </si>
  <si>
    <t>Type A - Wing A = G + 1st to 7th Floor
Type A - Wing B = G + 1st to 12th Floor
Type B &amp; C = G + 1st to 12th Floor</t>
  </si>
  <si>
    <t>https://goo.gl/maps/9XLXTp93iU3NWHo66</t>
  </si>
  <si>
    <t>As per RERA - 31/03/2027</t>
  </si>
  <si>
    <t>Chawl</t>
  </si>
  <si>
    <t>Kon Gaon Police Station</t>
  </si>
  <si>
    <t>Open Plot</t>
  </si>
  <si>
    <t>3.3KM from Kalyan Railway Station</t>
  </si>
  <si>
    <t>Kalyan West</t>
  </si>
  <si>
    <t>Kon Gaon Police Station / Chamunda apartment</t>
  </si>
  <si>
    <t>Jambhulwadi</t>
  </si>
  <si>
    <t>visitor</t>
  </si>
  <si>
    <t>online</t>
  </si>
  <si>
    <t>Mr. Karan : 8412992233 &amp; Mr. Ashish : 9571851172</t>
  </si>
  <si>
    <t>Type B = G + 1st to 17th Floor</t>
  </si>
  <si>
    <t>Since Type C have received CC on 10/05/2021, but as of construction work is not started.</t>
  </si>
  <si>
    <t>SROT/BSNA/2501/BP/KON-57/Amended CC/307/2023</t>
  </si>
  <si>
    <t>Poposed Built up Area = 13080.19 sq.m</t>
  </si>
  <si>
    <t>As per Layout</t>
  </si>
  <si>
    <t>Bhiwandi Kalyan Road</t>
  </si>
  <si>
    <t>Plot No. 260/262</t>
  </si>
  <si>
    <t>Plot No. 266</t>
  </si>
  <si>
    <t>Plot No.254</t>
  </si>
  <si>
    <t xml:space="preserve">Fire Noc Details
Valid Up to: </t>
  </si>
  <si>
    <t xml:space="preserve">MFS/51/2022/379
</t>
  </si>
  <si>
    <t>251 H.No.3(Pt), 4(Pt) S.No.252 H.No.2(Pt) &amp; S.No.261 H.No.1(Pt)</t>
  </si>
  <si>
    <t>Store</t>
  </si>
  <si>
    <t>Fire Noc</t>
  </si>
  <si>
    <t>Stilt Floor For Driver's Room, Society Office, Electrical Car With Charging Point &amp; Parking</t>
  </si>
  <si>
    <t>3rd Floor</t>
  </si>
  <si>
    <t>4th to 7th, 9th to 12th &amp; 14th to 17th Floor</t>
  </si>
  <si>
    <t>8th, 13th &amp; 18th Floor (Part Refuge Area)</t>
  </si>
  <si>
    <t>1st to 7th &amp; 9th to 12th &amp; 14th to 17th Floor For Residential</t>
  </si>
  <si>
    <t>8th &amp; 13th Floor (Part Refuge Area)</t>
  </si>
  <si>
    <t>1st to 4th Floor For Residential</t>
  </si>
  <si>
    <t>Type A -Wing A</t>
  </si>
  <si>
    <t>Type A- Wing B</t>
  </si>
  <si>
    <t>Houses</t>
  </si>
  <si>
    <t>Latitude &amp; Longitude</t>
  </si>
  <si>
    <t>19.246239,73.109895</t>
  </si>
  <si>
    <t>Building Type A (Wing A &amp; B)
Building Type B
Building Type C</t>
  </si>
  <si>
    <t>Building Type A - Wing B = Gr/St + 1st to 18th Floor</t>
  </si>
  <si>
    <t>Building Type B = Gr/St + 1st to 17th Floor</t>
  </si>
  <si>
    <t>Building Type C = Gr/St. + 1st to 4th Floor</t>
  </si>
  <si>
    <t>Building Type A (Wing A)</t>
  </si>
  <si>
    <t>Building Type A (Wing B)</t>
  </si>
  <si>
    <t xml:space="preserve">Building Type B </t>
  </si>
  <si>
    <t>Building Type C</t>
  </si>
  <si>
    <t>Mr. Karan – 8412992233</t>
  </si>
  <si>
    <t>Bldg Type A - Wing A = Gr/Mezzanine + 1st  Floor (Height - 11.17m)
Bldg Type A - Wing B = Gr/St. + 1st to 18th Floor (Height - 58.20m)
Bldg Type B &amp; C = Gr/St + 1st to 17th Floor (Height - 53.70m)</t>
  </si>
  <si>
    <t>As per the revised approved plan dated 24/02/2023, the approved structure of Type A (Wing A) is reduced to Gr/Mezzanine + 1st Floor (earlier it was Gr + 1st to 7th Floor) &amp;
approved structure of Type C is reduced to Gr/St. + 1st to 4th Floor (earlier it was G + 1st to 12th Floor)</t>
  </si>
  <si>
    <t>Flats - 245, Store - 8</t>
  </si>
  <si>
    <t>Commercial Area Details :(Store)</t>
  </si>
  <si>
    <t>Approved Plans, CC &amp; Fire Noc</t>
  </si>
  <si>
    <t>We have updated revised approved plans, CC &amp; Fire Noc on 31/03/2025</t>
  </si>
  <si>
    <t>Attached Mezzanine area</t>
  </si>
  <si>
    <t>Ground (3.85m height) + Mezzanine Floor (3.55m height) For Commercial &amp; Parking</t>
  </si>
  <si>
    <t>1st Floor (4.3mtr height)  For Commercial</t>
  </si>
  <si>
    <t>Recommended rate of the Ground + Mezzanine Floor Store Per Sq. Ft.</t>
  </si>
  <si>
    <t>Recommended rate of the 1st Floor Store Per Sq. Ft.</t>
  </si>
  <si>
    <t>Elevation Plan of Type A (Wing A) is attached below.</t>
  </si>
  <si>
    <t>Elevation Plan of Type A (Wing A)</t>
  </si>
  <si>
    <t>Building Type A - Wing A = Gr + Mezzanine + 1st Floor
Building Type A - Wing B = Gr/St. + 1st to 18th Floor
Building Type B = Gr/St. + 1st to 17th Floor
Building Type C = Gr/St. + 1st to 4th Floor</t>
  </si>
  <si>
    <t>Building Type A - Wing A = Gr + Mezzanine + 1st Floor</t>
  </si>
  <si>
    <t>We considered Gross carpet area = Net carpet +Attached Mezzanine + Encl Balcony + OP Area.</t>
  </si>
  <si>
    <t>Type A (Wing A) = Work is same as last visit (dtd.08/06/2025) but work is in process.
Type A (Wing B) &amp; Type B = Construction work is in process at the time of Visit.
Type C = Work not yet Started.</t>
  </si>
  <si>
    <t>Pooja Kawale</t>
  </si>
  <si>
    <t>Since Building Type C have received CC on 24/02/2023, but as of construction work is not
started.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</si>
</sst>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Fill="1" applyBorder="1" applyAlignment="1" applyProtection="1">
      <alignment horizontal="center" vertical="top" wrapText="1"/>
      <protection locked="0"/>
    </xf>
    <xf numFmtId="0" fontId="24" fillId="2" borderId="14" xfId="0" applyFont="1" applyFill="1" applyBorder="1"/>
    <xf numFmtId="0" fontId="25" fillId="0" borderId="8" xfId="0" applyFont="1" applyBorder="1"/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7" fillId="0" borderId="0" xfId="0" applyNumberFormat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16" fillId="0" borderId="1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1" fontId="16" fillId="0" borderId="0" xfId="0" applyNumberFormat="1" applyFont="1" applyFill="1" applyBorder="1" applyAlignment="1">
      <alignment horizontal="center" vertical="center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0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0" fontId="7" fillId="0" borderId="1" xfId="1" applyFont="1" applyBorder="1" applyAlignment="1" applyProtection="1">
      <alignment horizontal="left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181839</xdr:colOff>
      <xdr:row>409</xdr:row>
      <xdr:rowOff>0</xdr:rowOff>
    </xdr:from>
    <xdr:to>
      <xdr:col>7</xdr:col>
      <xdr:colOff>620660</xdr:colOff>
      <xdr:row>425</xdr:row>
      <xdr:rowOff>50841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1839" y="68398159"/>
          <a:ext cx="6120000" cy="321049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10</xdr:col>
      <xdr:colOff>679808</xdr:colOff>
      <xdr:row>292</xdr:row>
      <xdr:rowOff>162214</xdr:rowOff>
    </xdr:from>
    <xdr:ext cx="112114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544408" y="52416364"/>
          <a:ext cx="1121141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Type A (Wing B)</a:t>
          </a:r>
        </a:p>
      </xdr:txBody>
    </xdr:sp>
    <xdr:clientData/>
  </xdr:oneCellAnchor>
  <xdr:twoCellAnchor>
    <xdr:from>
      <xdr:col>8</xdr:col>
      <xdr:colOff>428622</xdr:colOff>
      <xdr:row>426</xdr:row>
      <xdr:rowOff>39275</xdr:rowOff>
    </xdr:from>
    <xdr:to>
      <xdr:col>16</xdr:col>
      <xdr:colOff>154749</xdr:colOff>
      <xdr:row>449</xdr:row>
      <xdr:rowOff>69850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273922" y="83694175"/>
          <a:ext cx="6425377" cy="4558125"/>
          <a:chOff x="190497" y="75934475"/>
          <a:chExt cx="6126927" cy="4631150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90497" y="75934475"/>
            <a:ext cx="6126927" cy="46311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 rot="873208">
            <a:off x="2350404" y="76707985"/>
            <a:ext cx="810020" cy="2720149"/>
          </a:xfrm>
          <a:prstGeom prst="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 editAs="oneCell">
    <xdr:from>
      <xdr:col>9</xdr:col>
      <xdr:colOff>314325</xdr:colOff>
      <xdr:row>37</xdr:row>
      <xdr:rowOff>0</xdr:rowOff>
    </xdr:from>
    <xdr:to>
      <xdr:col>12</xdr:col>
      <xdr:colOff>265869</xdr:colOff>
      <xdr:row>45</xdr:row>
      <xdr:rowOff>99173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1000" y="9048750"/>
          <a:ext cx="2121003" cy="1685925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762000</xdr:colOff>
      <xdr:row>55</xdr:row>
      <xdr:rowOff>0</xdr:rowOff>
    </xdr:from>
    <xdr:to>
      <xdr:col>12</xdr:col>
      <xdr:colOff>548528</xdr:colOff>
      <xdr:row>57</xdr:row>
      <xdr:rowOff>163650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86625" y="13515975"/>
          <a:ext cx="3114675" cy="560339"/>
        </a:xfrm>
        <a:prstGeom prst="rect">
          <a:avLst/>
        </a:prstGeom>
      </xdr:spPr>
    </xdr:pic>
    <xdr:clientData/>
  </xdr:twoCellAnchor>
  <xdr:twoCellAnchor editAs="oneCell">
    <xdr:from>
      <xdr:col>8</xdr:col>
      <xdr:colOff>428625</xdr:colOff>
      <xdr:row>13</xdr:row>
      <xdr:rowOff>600075</xdr:rowOff>
    </xdr:from>
    <xdr:to>
      <xdr:col>14</xdr:col>
      <xdr:colOff>164701</xdr:colOff>
      <xdr:row>17</xdr:row>
      <xdr:rowOff>175268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53250" y="4010025"/>
          <a:ext cx="4685714" cy="8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1038225</xdr:colOff>
      <xdr:row>168</xdr:row>
      <xdr:rowOff>66675</xdr:rowOff>
    </xdr:from>
    <xdr:to>
      <xdr:col>12</xdr:col>
      <xdr:colOff>776745</xdr:colOff>
      <xdr:row>171</xdr:row>
      <xdr:rowOff>71642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62850" y="36804600"/>
          <a:ext cx="3066667" cy="600000"/>
        </a:xfrm>
        <a:prstGeom prst="rect">
          <a:avLst/>
        </a:prstGeom>
      </xdr:spPr>
    </xdr:pic>
    <xdr:clientData/>
  </xdr:twoCellAnchor>
  <xdr:oneCellAnchor>
    <xdr:from>
      <xdr:col>8</xdr:col>
      <xdr:colOff>1038225</xdr:colOff>
      <xdr:row>175</xdr:row>
      <xdr:rowOff>66675</xdr:rowOff>
    </xdr:from>
    <xdr:ext cx="3066667" cy="600000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62850" y="36804600"/>
          <a:ext cx="3066667" cy="600000"/>
        </a:xfrm>
        <a:prstGeom prst="rect">
          <a:avLst/>
        </a:prstGeom>
      </xdr:spPr>
    </xdr:pic>
    <xdr:clientData/>
  </xdr:oneCellAnchor>
  <xdr:oneCellAnchor>
    <xdr:from>
      <xdr:col>8</xdr:col>
      <xdr:colOff>1038225</xdr:colOff>
      <xdr:row>182</xdr:row>
      <xdr:rowOff>66675</xdr:rowOff>
    </xdr:from>
    <xdr:ext cx="3066667" cy="600000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62850" y="38204775"/>
          <a:ext cx="3066667" cy="600000"/>
        </a:xfrm>
        <a:prstGeom prst="rect">
          <a:avLst/>
        </a:prstGeom>
      </xdr:spPr>
    </xdr:pic>
    <xdr:clientData/>
  </xdr:oneCellAnchor>
  <xdr:twoCellAnchor editAs="oneCell">
    <xdr:from>
      <xdr:col>8</xdr:col>
      <xdr:colOff>1104900</xdr:colOff>
      <xdr:row>219</xdr:row>
      <xdr:rowOff>95250</xdr:rowOff>
    </xdr:from>
    <xdr:to>
      <xdr:col>18</xdr:col>
      <xdr:colOff>172296</xdr:colOff>
      <xdr:row>226</xdr:row>
      <xdr:rowOff>97316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29525" y="47034450"/>
          <a:ext cx="6676190" cy="13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447675</xdr:colOff>
      <xdr:row>206</xdr:row>
      <xdr:rowOff>57150</xdr:rowOff>
    </xdr:from>
    <xdr:to>
      <xdr:col>13</xdr:col>
      <xdr:colOff>810186</xdr:colOff>
      <xdr:row>213</xdr:row>
      <xdr:rowOff>21123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972300" y="44396025"/>
          <a:ext cx="4476190" cy="1352381"/>
        </a:xfrm>
        <a:prstGeom prst="rect">
          <a:avLst/>
        </a:prstGeom>
      </xdr:spPr>
    </xdr:pic>
    <xdr:clientData/>
  </xdr:twoCellAnchor>
  <xdr:twoCellAnchor>
    <xdr:from>
      <xdr:col>0</xdr:col>
      <xdr:colOff>342901</xdr:colOff>
      <xdr:row>425</xdr:row>
      <xdr:rowOff>123825</xdr:rowOff>
    </xdr:from>
    <xdr:to>
      <xdr:col>7</xdr:col>
      <xdr:colOff>414619</xdr:colOff>
      <xdr:row>447</xdr:row>
      <xdr:rowOff>44823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342901" y="83581875"/>
          <a:ext cx="6047068" cy="4251698"/>
          <a:chOff x="342900" y="75923775"/>
          <a:chExt cx="5866667" cy="4819048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342900" y="75923775"/>
            <a:ext cx="5866667" cy="481904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 rot="676175">
            <a:off x="2533315" y="76173713"/>
            <a:ext cx="771887" cy="3618245"/>
          </a:xfrm>
          <a:prstGeom prst="rect">
            <a:avLst/>
          </a:pr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0</xdr:col>
      <xdr:colOff>171450</xdr:colOff>
      <xdr:row>333</xdr:row>
      <xdr:rowOff>25976</xdr:rowOff>
    </xdr:from>
    <xdr:to>
      <xdr:col>7</xdr:col>
      <xdr:colOff>395289</xdr:colOff>
      <xdr:row>362</xdr:row>
      <xdr:rowOff>148010</xdr:rowOff>
    </xdr:to>
    <xdr:grpSp>
      <xdr:nvGrpSpPr>
        <xdr:cNvPr id="50" name="Group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/>
      </xdr:nvGrpSpPr>
      <xdr:grpSpPr>
        <a:xfrm>
          <a:off x="171450" y="65373826"/>
          <a:ext cx="6199189" cy="5830684"/>
          <a:chOff x="171450" y="64024451"/>
          <a:chExt cx="5919789" cy="5922759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07623" y="64511093"/>
            <a:ext cx="3983616" cy="397731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49" name="Group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GrpSpPr/>
        </xdr:nvGrpSpPr>
        <xdr:grpSpPr>
          <a:xfrm>
            <a:off x="171450" y="64024451"/>
            <a:ext cx="1618381" cy="5922759"/>
            <a:chOff x="171450" y="64024451"/>
            <a:chExt cx="1618381" cy="5922759"/>
          </a:xfrm>
        </xdr:grpSpPr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6367" y="64024451"/>
              <a:ext cx="1443464" cy="5922759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28" name="Rectangle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/>
          </xdr:nvSpPr>
          <xdr:spPr>
            <a:xfrm>
              <a:off x="752475" y="68246625"/>
              <a:ext cx="609600" cy="419100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42" name="Rectangle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/>
          </xdr:nvSpPr>
          <xdr:spPr>
            <a:xfrm>
              <a:off x="866774" y="67513200"/>
              <a:ext cx="466725" cy="704849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43" name="Rectangle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/>
          </xdr:nvSpPr>
          <xdr:spPr>
            <a:xfrm>
              <a:off x="857249" y="66617850"/>
              <a:ext cx="466725" cy="790575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44" name="Rectangle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/>
          </xdr:nvSpPr>
          <xdr:spPr>
            <a:xfrm>
              <a:off x="828674" y="65589150"/>
              <a:ext cx="466725" cy="952500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45" name="TextBox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 txBox="1"/>
          </xdr:nvSpPr>
          <xdr:spPr>
            <a:xfrm>
              <a:off x="171450" y="68684775"/>
              <a:ext cx="1600200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400" b="1"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Type A</a:t>
              </a:r>
              <a:r>
                <a:rPr lang="en-IN" sz="1400" b="1" baseline="0"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-Wing A</a:t>
              </a:r>
              <a:endParaRPr lang="en-IN" sz="14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46" name="TextBox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 txBox="1"/>
          </xdr:nvSpPr>
          <xdr:spPr>
            <a:xfrm rot="16200000">
              <a:off x="-133348" y="67770377"/>
              <a:ext cx="1600200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600" b="1"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Type </a:t>
              </a:r>
              <a:r>
                <a:rPr lang="en-IN" sz="1400" b="1">
                  <a:solidFill>
                    <a:srgbClr val="FF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A-Wing</a:t>
              </a:r>
              <a:r>
                <a:rPr lang="en-IN" sz="1600" b="1" baseline="0"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 B</a:t>
              </a:r>
              <a:endParaRPr lang="en-IN" sz="16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47" name="TextBox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 txBox="1"/>
          </xdr:nvSpPr>
          <xdr:spPr>
            <a:xfrm rot="16200000">
              <a:off x="1103895" y="66730561"/>
              <a:ext cx="838200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indent="0"/>
              <a:r>
                <a:rPr lang="en-IN" sz="1400" b="1">
                  <a:solidFill>
                    <a:srgbClr val="FF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Type B</a:t>
              </a:r>
            </a:p>
          </xdr:txBody>
        </xdr:sp>
        <xdr:sp macro="" textlink="">
          <xdr:nvSpPr>
            <xdr:cNvPr id="48" name="TextBox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 txBox="1"/>
          </xdr:nvSpPr>
          <xdr:spPr>
            <a:xfrm rot="16200000">
              <a:off x="323852" y="65893951"/>
              <a:ext cx="847725" cy="381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400" b="1"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Type C</a:t>
              </a:r>
            </a:p>
          </xdr:txBody>
        </xdr:sp>
      </xdr:grpSp>
    </xdr:grpSp>
    <xdr:clientData/>
  </xdr:twoCellAnchor>
  <xdr:twoCellAnchor>
    <xdr:from>
      <xdr:col>0</xdr:col>
      <xdr:colOff>280147</xdr:colOff>
      <xdr:row>373</xdr:row>
      <xdr:rowOff>156883</xdr:rowOff>
    </xdr:from>
    <xdr:to>
      <xdr:col>7</xdr:col>
      <xdr:colOff>515471</xdr:colOff>
      <xdr:row>393</xdr:row>
      <xdr:rowOff>123265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280147" y="73378733"/>
          <a:ext cx="6210674" cy="3903382"/>
          <a:chOff x="336176" y="77264559"/>
          <a:chExt cx="5557894" cy="3600000"/>
        </a:xfrm>
      </xdr:grpSpPr>
      <xdr:pic>
        <xdr:nvPicPr>
          <xdr:cNvPr id="51" name="Picture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36176" y="77264559"/>
            <a:ext cx="5557894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3899647" y="79909147"/>
            <a:ext cx="103124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1"/>
              <a:t>Ground Floor</a:t>
            </a:r>
          </a:p>
        </xdr:txBody>
      </xdr:sp>
      <xdr:sp macro="" textlink="">
        <xdr:nvSpPr>
          <xdr:cNvPr id="52" name="TextBox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 txBox="1"/>
        </xdr:nvSpPr>
        <xdr:spPr>
          <a:xfrm>
            <a:off x="3552264" y="79270412"/>
            <a:ext cx="1238737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1"/>
              <a:t>Mezzanine Floor</a:t>
            </a:r>
          </a:p>
        </xdr:txBody>
      </xdr:sp>
      <xdr:sp macro="" textlink="">
        <xdr:nvSpPr>
          <xdr:cNvPr id="53" name="TextBox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 txBox="1"/>
        </xdr:nvSpPr>
        <xdr:spPr>
          <a:xfrm>
            <a:off x="3574676" y="78441177"/>
            <a:ext cx="740716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1"/>
              <a:t>1st Floor</a:t>
            </a:r>
          </a:p>
        </xdr:txBody>
      </xdr:sp>
    </xdr:grpSp>
    <xdr:clientData/>
  </xdr:twoCellAnchor>
  <xdr:twoCellAnchor>
    <xdr:from>
      <xdr:col>9</xdr:col>
      <xdr:colOff>70598</xdr:colOff>
      <xdr:row>287</xdr:row>
      <xdr:rowOff>153519</xdr:rowOff>
    </xdr:from>
    <xdr:to>
      <xdr:col>16</xdr:col>
      <xdr:colOff>370916</xdr:colOff>
      <xdr:row>327</xdr:row>
      <xdr:rowOff>47625</xdr:rowOff>
    </xdr:to>
    <xdr:grpSp>
      <xdr:nvGrpSpPr>
        <xdr:cNvPr id="54" name="Group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/>
      </xdr:nvGrpSpPr>
      <xdr:grpSpPr>
        <a:xfrm>
          <a:off x="8135098" y="56452619"/>
          <a:ext cx="5780368" cy="7761756"/>
          <a:chOff x="1083636" y="547161"/>
          <a:chExt cx="4731824" cy="8255022"/>
        </a:xfrm>
      </xdr:grpSpPr>
      <xdr:grpSp>
        <xdr:nvGrpSpPr>
          <xdr:cNvPr id="55" name="Group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GrpSpPr/>
        </xdr:nvGrpSpPr>
        <xdr:grpSpPr>
          <a:xfrm>
            <a:off x="1083636" y="547161"/>
            <a:ext cx="4731824" cy="8255022"/>
            <a:chOff x="1083636" y="547161"/>
            <a:chExt cx="4731824" cy="8255022"/>
          </a:xfrm>
        </xdr:grpSpPr>
        <xdr:pic>
          <xdr:nvPicPr>
            <xdr:cNvPr id="65" name="Picture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083636" y="547162"/>
              <a:ext cx="2292609" cy="30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6" name="Picture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3500223" y="547161"/>
              <a:ext cx="2292609" cy="3060001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7" name="Picture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99665" y="3725858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8" name="Picture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096052" y="3735831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9" name="Picture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26964" y="3735831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0" name="Picture 69">
              <a:extLst>
                <a:ext uri="{FF2B5EF4-FFF2-40B4-BE49-F238E27FC236}">
                  <a16:creationId xmlns:a16="http://schemas.microsoft.com/office/drawing/2014/main" id="{00000000-0008-0000-0000-00004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57174" y="5844500"/>
              <a:ext cx="2158286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1" name="Picture 70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79505" y="7524000"/>
              <a:ext cx="944016" cy="12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2" name="Picture 71">
              <a:extLst>
                <a:ext uri="{FF2B5EF4-FFF2-40B4-BE49-F238E27FC236}">
                  <a16:creationId xmlns:a16="http://schemas.microsoft.com/office/drawing/2014/main" id="{00000000-0008-0000-0000-000048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3640900" y="7524000"/>
              <a:ext cx="944016" cy="127818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3" name="Picture 72">
              <a:extLst>
                <a:ext uri="{FF2B5EF4-FFF2-40B4-BE49-F238E27FC236}">
                  <a16:creationId xmlns:a16="http://schemas.microsoft.com/office/drawing/2014/main" id="{00000000-0008-0000-0000-000049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364029" y="5844500"/>
              <a:ext cx="2158286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cxnSp macro="">
        <xdr:nvCxnSpPr>
          <xdr:cNvPr id="56" name="Straight Arrow Connector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CxnSpPr>
            <a:cxnSpLocks/>
          </xdr:cNvCxnSpPr>
        </xdr:nvCxnSpPr>
        <xdr:spPr>
          <a:xfrm flipH="1">
            <a:off x="2699666" y="1679500"/>
            <a:ext cx="119735" cy="197607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7" name="TextBox 12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 txBox="1"/>
        </xdr:nvSpPr>
        <xdr:spPr>
          <a:xfrm>
            <a:off x="2646341" y="1200304"/>
            <a:ext cx="683200" cy="461665"/>
          </a:xfrm>
          <a:prstGeom prst="rect">
            <a:avLst/>
          </a:prstGeom>
          <a:solidFill>
            <a:schemeClr val="bg2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Type A</a:t>
            </a:r>
          </a:p>
          <a:p>
            <a:r>
              <a:rPr lang="en-US" sz="1200" b="1"/>
              <a:t>A Wing </a:t>
            </a:r>
            <a:endParaRPr lang="en-IN" sz="1200" b="1"/>
          </a:p>
        </xdr:txBody>
      </xdr:sp>
      <xdr:cxnSp macro="">
        <xdr:nvCxnSpPr>
          <xdr:cNvPr id="58" name="Straight Arrow Connector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CxnSpPr>
            <a:cxnSpLocks/>
          </xdr:cNvCxnSpPr>
        </xdr:nvCxnSpPr>
        <xdr:spPr>
          <a:xfrm flipH="1">
            <a:off x="2336801" y="774930"/>
            <a:ext cx="262837" cy="66209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9" name="TextBox 127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 txBox="1"/>
        </xdr:nvSpPr>
        <xdr:spPr>
          <a:xfrm>
            <a:off x="2685735" y="601320"/>
            <a:ext cx="676788" cy="461665"/>
          </a:xfrm>
          <a:prstGeom prst="rect">
            <a:avLst/>
          </a:prstGeom>
          <a:solidFill>
            <a:schemeClr val="bg2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Type A</a:t>
            </a:r>
          </a:p>
          <a:p>
            <a:r>
              <a:rPr lang="en-US" sz="1200" b="1"/>
              <a:t>B Wing </a:t>
            </a:r>
            <a:endParaRPr lang="en-IN" sz="1200" b="1"/>
          </a:p>
        </xdr:txBody>
      </xdr:sp>
      <xdr:sp macro="" textlink="">
        <xdr:nvSpPr>
          <xdr:cNvPr id="60" name="TextBox 130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/>
        </xdr:nvSpPr>
        <xdr:spPr>
          <a:xfrm>
            <a:off x="5099717" y="879469"/>
            <a:ext cx="676788" cy="461665"/>
          </a:xfrm>
          <a:prstGeom prst="rect">
            <a:avLst/>
          </a:prstGeom>
          <a:solidFill>
            <a:schemeClr val="bg2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Type A</a:t>
            </a:r>
          </a:p>
          <a:p>
            <a:r>
              <a:rPr lang="en-US" sz="1200" b="1"/>
              <a:t>B Wing </a:t>
            </a:r>
            <a:endParaRPr lang="en-IN" sz="1200" b="1"/>
          </a:p>
        </xdr:txBody>
      </xdr:sp>
      <xdr:sp macro="" textlink="">
        <xdr:nvSpPr>
          <xdr:cNvPr id="61" name="TextBox 131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/>
        </xdr:nvSpPr>
        <xdr:spPr>
          <a:xfrm>
            <a:off x="3528832" y="3735831"/>
            <a:ext cx="611065" cy="276999"/>
          </a:xfrm>
          <a:prstGeom prst="rect">
            <a:avLst/>
          </a:prstGeom>
          <a:solidFill>
            <a:schemeClr val="bg2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Type B</a:t>
            </a:r>
          </a:p>
        </xdr:txBody>
      </xdr:sp>
      <xdr:sp macro="" textlink="">
        <xdr:nvSpPr>
          <xdr:cNvPr id="62" name="TextBox 132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 txBox="1"/>
        </xdr:nvSpPr>
        <xdr:spPr>
          <a:xfrm>
            <a:off x="1945998" y="3797386"/>
            <a:ext cx="633507" cy="43088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 b="1"/>
              <a:t>Type A</a:t>
            </a:r>
          </a:p>
          <a:p>
            <a:r>
              <a:rPr lang="en-US" sz="1050" b="1"/>
              <a:t>B Wing </a:t>
            </a:r>
            <a:endParaRPr lang="en-IN" sz="1050" b="1"/>
          </a:p>
        </xdr:txBody>
      </xdr:sp>
      <xdr:sp macro="" textlink="">
        <xdr:nvSpPr>
          <xdr:cNvPr id="63" name="TextBox 133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 txBox="1"/>
        </xdr:nvSpPr>
        <xdr:spPr>
          <a:xfrm>
            <a:off x="5199352" y="3745804"/>
            <a:ext cx="611065" cy="276999"/>
          </a:xfrm>
          <a:prstGeom prst="rect">
            <a:avLst/>
          </a:prstGeom>
          <a:solidFill>
            <a:schemeClr val="bg2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Type B</a:t>
            </a:r>
          </a:p>
        </xdr:txBody>
      </xdr:sp>
      <xdr:sp macro="" textlink="">
        <xdr:nvSpPr>
          <xdr:cNvPr id="64" name="TextBox 134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 txBox="1"/>
        </xdr:nvSpPr>
        <xdr:spPr>
          <a:xfrm>
            <a:off x="2911250" y="5844500"/>
            <a:ext cx="606256" cy="276999"/>
          </a:xfrm>
          <a:prstGeom prst="rect">
            <a:avLst/>
          </a:prstGeom>
          <a:solidFill>
            <a:schemeClr val="bg2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Type C</a:t>
            </a:r>
          </a:p>
        </xdr:txBody>
      </xdr:sp>
    </xdr:grpSp>
    <xdr:clientData/>
  </xdr:twoCellAnchor>
  <xdr:twoCellAnchor>
    <xdr:from>
      <xdr:col>10</xdr:col>
      <xdr:colOff>0</xdr:colOff>
      <xdr:row>282</xdr:row>
      <xdr:rowOff>1</xdr:rowOff>
    </xdr:from>
    <xdr:to>
      <xdr:col>11</xdr:col>
      <xdr:colOff>425450</xdr:colOff>
      <xdr:row>283</xdr:row>
      <xdr:rowOff>63501</xdr:rowOff>
    </xdr:to>
    <xdr:sp macro="" textlink="">
      <xdr:nvSpPr>
        <xdr:cNvPr id="92" name="TextBox 24">
          <a:extLst>
            <a:ext uri="{FF2B5EF4-FFF2-40B4-BE49-F238E27FC236}">
              <a16:creationId xmlns:a16="http://schemas.microsoft.com/office/drawing/2014/main" id="{1529DBF6-7D9C-4B9D-8427-815C039D834E}"/>
            </a:ext>
          </a:extLst>
        </xdr:cNvPr>
        <xdr:cNvSpPr txBox="1"/>
      </xdr:nvSpPr>
      <xdr:spPr>
        <a:xfrm>
          <a:off x="8864600" y="54921151"/>
          <a:ext cx="1162050" cy="2603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Type A : Wing A</a:t>
          </a:r>
          <a:endParaRPr lang="en-IN" sz="1200" b="0" cap="none" spc="0">
            <a:ln w="0"/>
            <a:solidFill>
              <a:sysClr val="windowText" lastClr="00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twoCellAnchor>
  <xdr:twoCellAnchor>
    <xdr:from>
      <xdr:col>10</xdr:col>
      <xdr:colOff>147109</xdr:colOff>
      <xdr:row>283</xdr:row>
      <xdr:rowOff>142164</xdr:rowOff>
    </xdr:from>
    <xdr:to>
      <xdr:col>10</xdr:col>
      <xdr:colOff>360628</xdr:colOff>
      <xdr:row>284</xdr:row>
      <xdr:rowOff>142151</xdr:rowOff>
    </xdr:to>
    <xdr:cxnSp macro="">
      <xdr:nvCxnSpPr>
        <xdr:cNvPr id="93" name="Straight Arrow Connector 92">
          <a:extLst>
            <a:ext uri="{FF2B5EF4-FFF2-40B4-BE49-F238E27FC236}">
              <a16:creationId xmlns:a16="http://schemas.microsoft.com/office/drawing/2014/main" id="{FAB56244-5D43-4DC4-8EC0-77B897E2513F}"/>
            </a:ext>
          </a:extLst>
        </xdr:cNvPr>
        <xdr:cNvCxnSpPr/>
      </xdr:nvCxnSpPr>
      <xdr:spPr>
        <a:xfrm flipH="1">
          <a:off x="9011709" y="55260164"/>
          <a:ext cx="213519" cy="196837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139700</xdr:colOff>
      <xdr:row>289</xdr:row>
      <xdr:rowOff>88900</xdr:rowOff>
    </xdr:from>
    <xdr:to>
      <xdr:col>7</xdr:col>
      <xdr:colOff>669081</xdr:colOff>
      <xdr:row>330</xdr:row>
      <xdr:rowOff>139700</xdr:rowOff>
    </xdr:to>
    <xdr:grpSp>
      <xdr:nvGrpSpPr>
        <xdr:cNvPr id="19" name="Group 18"/>
        <xdr:cNvGrpSpPr/>
      </xdr:nvGrpSpPr>
      <xdr:grpSpPr>
        <a:xfrm>
          <a:off x="139700" y="56781700"/>
          <a:ext cx="6504731" cy="8115300"/>
          <a:chOff x="139700" y="56388000"/>
          <a:chExt cx="6504731" cy="8115300"/>
        </a:xfrm>
      </xdr:grpSpPr>
      <xdr:pic>
        <xdr:nvPicPr>
          <xdr:cNvPr id="94" name="Picture 93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88124" y="63275196"/>
            <a:ext cx="1078875" cy="122810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5" name="Picture 94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57384" y="563880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6" name="Picture 95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08939" y="61375464"/>
            <a:ext cx="239809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7" name="Picture 96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07034" y="59223732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8" name="Picture 97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2226" y="563880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9" name="Picture 98"/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58016" y="563880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0" name="Picture 99"/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39013" y="61375464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1" name="Picture 100"/>
          <xdr:cNvPicPr>
            <a:picLocks noChangeAspect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1256" y="59223732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2" name="Picture 101"/>
          <xdr:cNvPicPr>
            <a:picLocks noChangeAspect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95478" y="59223732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3" name="Picture 102"/>
          <xdr:cNvPicPr>
            <a:picLocks noChangeAspect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278" y="61375464"/>
            <a:ext cx="239809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4" name="Picture 103"/>
          <xdr:cNvPicPr>
            <a:picLocks noChangeAspect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9700" y="59223732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05" name="TextBox 24">
            <a:extLst>
              <a:ext uri="{FF2B5EF4-FFF2-40B4-BE49-F238E27FC236}">
                <a16:creationId xmlns:a16="http://schemas.microsoft.com/office/drawing/2014/main" id="{1529DBF6-7D9C-4B9D-8427-815C039D834E}"/>
              </a:ext>
            </a:extLst>
          </xdr:cNvPr>
          <xdr:cNvSpPr txBox="1"/>
        </xdr:nvSpPr>
        <xdr:spPr>
          <a:xfrm>
            <a:off x="882476" y="58159650"/>
            <a:ext cx="1162050" cy="26035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Type A : Wing A</a:t>
            </a:r>
            <a:endParaRPr lang="en-IN" sz="12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106" name="TextBox 24">
            <a:extLst>
              <a:ext uri="{FF2B5EF4-FFF2-40B4-BE49-F238E27FC236}">
                <a16:creationId xmlns:a16="http://schemas.microsoft.com/office/drawing/2014/main" id="{1529DBF6-7D9C-4B9D-8427-815C039D834E}"/>
              </a:ext>
            </a:extLst>
          </xdr:cNvPr>
          <xdr:cNvSpPr txBox="1"/>
        </xdr:nvSpPr>
        <xdr:spPr>
          <a:xfrm>
            <a:off x="3576584" y="56597550"/>
            <a:ext cx="722366" cy="450850"/>
          </a:xfrm>
          <a:prstGeom prst="rect">
            <a:avLst/>
          </a:prstGeom>
          <a:noFill/>
        </xdr:spPr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200" b="0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Type A : Wing B</a:t>
            </a:r>
            <a:endParaRPr lang="en-IN" sz="12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cxnSp macro="">
        <xdr:nvCxnSpPr>
          <xdr:cNvPr id="107" name="Straight Arrow Connector 106">
            <a:extLst>
              <a:ext uri="{FF2B5EF4-FFF2-40B4-BE49-F238E27FC236}">
                <a16:creationId xmlns:a16="http://schemas.microsoft.com/office/drawing/2014/main" id="{FAB56244-5D43-4DC4-8EC0-77B897E2513F}"/>
              </a:ext>
            </a:extLst>
          </xdr:cNvPr>
          <xdr:cNvCxnSpPr>
            <a:stCxn id="106" idx="2"/>
          </xdr:cNvCxnSpPr>
        </xdr:nvCxnSpPr>
        <xdr:spPr>
          <a:xfrm flipH="1">
            <a:off x="3740150" y="57048400"/>
            <a:ext cx="197617" cy="317500"/>
          </a:xfrm>
          <a:prstGeom prst="straightConnector1">
            <a:avLst/>
          </a:prstGeom>
          <a:ln w="28575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8" name="TextBox 24">
            <a:extLst>
              <a:ext uri="{FF2B5EF4-FFF2-40B4-BE49-F238E27FC236}">
                <a16:creationId xmlns:a16="http://schemas.microsoft.com/office/drawing/2014/main" id="{1529DBF6-7D9C-4B9D-8427-815C039D834E}"/>
              </a:ext>
            </a:extLst>
          </xdr:cNvPr>
          <xdr:cNvSpPr txBox="1"/>
        </xdr:nvSpPr>
        <xdr:spPr>
          <a:xfrm>
            <a:off x="5675616" y="56521350"/>
            <a:ext cx="598184" cy="26035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Type B</a:t>
            </a:r>
            <a:endPara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9XLXTp93iU3NWHo6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08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1796875" style="40" customWidth="1"/>
    <col min="5" max="7" width="11.7265625" style="40" customWidth="1"/>
    <col min="8" max="8" width="12.453125" style="40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8" ht="46.5" customHeight="1" x14ac:dyDescent="0.35">
      <c r="A1" s="170" t="s">
        <v>175</v>
      </c>
      <c r="B1" s="170"/>
      <c r="C1" s="170"/>
      <c r="D1" s="170"/>
      <c r="E1" s="170"/>
      <c r="F1" s="170"/>
      <c r="G1" s="170"/>
      <c r="H1" s="170"/>
    </row>
    <row r="2" spans="1:8" ht="16.5" customHeight="1" x14ac:dyDescent="0.35">
      <c r="A2" s="169" t="s">
        <v>0</v>
      </c>
      <c r="B2" s="169"/>
      <c r="C2" s="169"/>
      <c r="D2" s="169"/>
      <c r="E2" s="169"/>
      <c r="F2" s="169"/>
      <c r="G2" s="169"/>
      <c r="H2" s="169"/>
    </row>
    <row r="3" spans="1:8" x14ac:dyDescent="0.35">
      <c r="A3" s="171" t="s">
        <v>1</v>
      </c>
      <c r="B3" s="171"/>
      <c r="C3" s="171"/>
      <c r="D3" s="171"/>
      <c r="E3" s="171" t="str">
        <f ca="1">TEXT(TODAY(),"DD/MM/YYYY")</f>
        <v>09/09/2025</v>
      </c>
      <c r="F3" s="171"/>
      <c r="G3" s="171"/>
      <c r="H3" s="171"/>
    </row>
    <row r="4" spans="1:8" ht="15" customHeight="1" x14ac:dyDescent="0.35">
      <c r="A4" s="171" t="s">
        <v>2</v>
      </c>
      <c r="B4" s="171"/>
      <c r="C4" s="171"/>
      <c r="D4" s="171"/>
      <c r="E4" s="171" t="s">
        <v>176</v>
      </c>
      <c r="F4" s="171"/>
      <c r="G4" s="171"/>
      <c r="H4" s="171"/>
    </row>
    <row r="5" spans="1:8" x14ac:dyDescent="0.35">
      <c r="A5" s="171" t="s">
        <v>3</v>
      </c>
      <c r="B5" s="171"/>
      <c r="C5" s="171"/>
      <c r="D5" s="171"/>
      <c r="E5" s="172">
        <v>45907</v>
      </c>
      <c r="F5" s="171"/>
      <c r="G5" s="171"/>
      <c r="H5" s="171"/>
    </row>
    <row r="6" spans="1:8" ht="16.5" customHeight="1" x14ac:dyDescent="0.35">
      <c r="A6" s="171" t="s">
        <v>4</v>
      </c>
      <c r="B6" s="171"/>
      <c r="C6" s="171"/>
      <c r="D6" s="171"/>
      <c r="E6" s="171" t="s">
        <v>177</v>
      </c>
      <c r="F6" s="171"/>
      <c r="G6" s="171"/>
      <c r="H6" s="171"/>
    </row>
    <row r="7" spans="1:8" ht="15" customHeight="1" x14ac:dyDescent="0.35">
      <c r="A7" s="171" t="s">
        <v>5</v>
      </c>
      <c r="B7" s="171"/>
      <c r="C7" s="171"/>
      <c r="D7" s="171"/>
      <c r="E7" s="171" t="str">
        <f>E6</f>
        <v>Riddhi Siddhi Enterprises</v>
      </c>
      <c r="F7" s="171"/>
      <c r="G7" s="171"/>
      <c r="H7" s="171"/>
    </row>
    <row r="8" spans="1:8" x14ac:dyDescent="0.35">
      <c r="A8" s="171" t="s">
        <v>6</v>
      </c>
      <c r="B8" s="171"/>
      <c r="C8" s="171"/>
      <c r="D8" s="171"/>
      <c r="E8" s="91" t="s">
        <v>178</v>
      </c>
      <c r="F8" s="91"/>
      <c r="G8" s="91"/>
      <c r="H8" s="91"/>
    </row>
    <row r="9" spans="1:8" x14ac:dyDescent="0.35">
      <c r="A9" s="171" t="s">
        <v>171</v>
      </c>
      <c r="B9" s="171"/>
      <c r="C9" s="171"/>
      <c r="D9" s="171"/>
      <c r="E9" s="171" t="s">
        <v>244</v>
      </c>
      <c r="F9" s="171"/>
      <c r="G9" s="171"/>
      <c r="H9" s="171"/>
    </row>
    <row r="10" spans="1:8" x14ac:dyDescent="0.35">
      <c r="A10" s="171" t="s">
        <v>172</v>
      </c>
      <c r="B10" s="171"/>
      <c r="C10" s="171"/>
      <c r="D10" s="171"/>
      <c r="E10" s="171" t="s">
        <v>209</v>
      </c>
      <c r="F10" s="171"/>
      <c r="G10" s="171"/>
      <c r="H10" s="171"/>
    </row>
    <row r="11" spans="1:8" ht="48.75" customHeight="1" x14ac:dyDescent="0.35">
      <c r="A11" s="171" t="s">
        <v>7</v>
      </c>
      <c r="B11" s="171"/>
      <c r="C11" s="171"/>
      <c r="D11" s="171"/>
      <c r="E11" s="142" t="s">
        <v>236</v>
      </c>
      <c r="F11" s="171"/>
      <c r="G11" s="171"/>
      <c r="H11" s="171"/>
    </row>
    <row r="12" spans="1:8" x14ac:dyDescent="0.35">
      <c r="A12" s="131" t="s">
        <v>8</v>
      </c>
      <c r="B12" s="131"/>
      <c r="C12" s="131"/>
      <c r="D12" s="131"/>
      <c r="E12" s="142" t="s">
        <v>249</v>
      </c>
      <c r="F12" s="142"/>
      <c r="G12" s="142"/>
      <c r="H12" s="142"/>
    </row>
    <row r="13" spans="1:8" x14ac:dyDescent="0.35">
      <c r="A13" s="131" t="s">
        <v>9</v>
      </c>
      <c r="B13" s="131"/>
      <c r="C13" s="131"/>
      <c r="D13" s="131"/>
      <c r="E13" s="142" t="s">
        <v>179</v>
      </c>
      <c r="F13" s="171"/>
      <c r="G13" s="171"/>
      <c r="H13" s="171"/>
    </row>
    <row r="14" spans="1:8" ht="51.75" customHeight="1" x14ac:dyDescent="0.35">
      <c r="A14" s="155" t="s">
        <v>10</v>
      </c>
      <c r="B14" s="155"/>
      <c r="C14" s="155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Atlantic, Survey No.251 H.No.3(Pt), 4(Pt) S.No.252 H.No.2(Pt) &amp; S.No.261 H.No.1(Pt), near Kon Gaon Police Station / Chamunda apartment, Kalyan Bhiwandi Road, Jambhulwadi, Kon, Kalyan West, Bhiwandi, Thane - 421311.</v>
      </c>
      <c r="D14" s="155"/>
      <c r="E14" s="155"/>
      <c r="F14" s="155"/>
      <c r="G14" s="155"/>
      <c r="H14" s="155"/>
    </row>
    <row r="15" spans="1:8" x14ac:dyDescent="0.35">
      <c r="A15" s="142" t="s">
        <v>180</v>
      </c>
      <c r="B15" s="142"/>
      <c r="C15" s="142" t="s">
        <v>221</v>
      </c>
      <c r="D15" s="142"/>
      <c r="E15" s="142"/>
      <c r="F15" s="142"/>
      <c r="G15" s="142"/>
      <c r="H15" s="142"/>
    </row>
    <row r="16" spans="1:8" ht="15.75" customHeight="1" x14ac:dyDescent="0.35">
      <c r="A16" s="142" t="s">
        <v>170</v>
      </c>
      <c r="B16" s="142"/>
      <c r="C16" s="142" t="s">
        <v>206</v>
      </c>
      <c r="D16" s="142"/>
      <c r="E16" s="142"/>
      <c r="F16" s="142"/>
      <c r="G16" s="142"/>
      <c r="H16" s="142"/>
    </row>
    <row r="17" spans="1:8" ht="15.75" customHeight="1" x14ac:dyDescent="0.35">
      <c r="A17" s="155" t="s">
        <v>11</v>
      </c>
      <c r="B17" s="155"/>
      <c r="C17" s="171" t="s">
        <v>184</v>
      </c>
      <c r="D17" s="171"/>
      <c r="E17" s="155" t="s">
        <v>74</v>
      </c>
      <c r="F17" s="155"/>
      <c r="G17" s="142" t="s">
        <v>181</v>
      </c>
      <c r="H17" s="142"/>
    </row>
    <row r="18" spans="1:8" x14ac:dyDescent="0.35">
      <c r="A18" s="131" t="s">
        <v>13</v>
      </c>
      <c r="B18" s="131"/>
      <c r="C18" s="142" t="s">
        <v>204</v>
      </c>
      <c r="D18" s="142"/>
      <c r="E18" s="155" t="s">
        <v>12</v>
      </c>
      <c r="F18" s="155"/>
      <c r="G18" s="173" t="s">
        <v>182</v>
      </c>
      <c r="H18" s="173"/>
    </row>
    <row r="19" spans="1:8" x14ac:dyDescent="0.35">
      <c r="A19" s="131" t="s">
        <v>75</v>
      </c>
      <c r="B19" s="131"/>
      <c r="C19" s="142" t="s">
        <v>183</v>
      </c>
      <c r="D19" s="142"/>
      <c r="E19" s="155" t="s">
        <v>14</v>
      </c>
      <c r="F19" s="155"/>
      <c r="G19" s="142">
        <v>421311</v>
      </c>
      <c r="H19" s="142"/>
    </row>
    <row r="20" spans="1:8" ht="32.25" customHeight="1" x14ac:dyDescent="0.35">
      <c r="A20" s="131" t="s">
        <v>127</v>
      </c>
      <c r="B20" s="131"/>
      <c r="C20" s="142" t="s">
        <v>205</v>
      </c>
      <c r="D20" s="142"/>
      <c r="E20" s="155" t="s">
        <v>15</v>
      </c>
      <c r="F20" s="155"/>
      <c r="G20" s="174" t="s">
        <v>203</v>
      </c>
      <c r="H20" s="174"/>
    </row>
    <row r="21" spans="1:8" ht="15" customHeight="1" x14ac:dyDescent="0.35">
      <c r="A21" s="155" t="s">
        <v>77</v>
      </c>
      <c r="B21" s="155"/>
      <c r="C21" s="155"/>
      <c r="D21" s="155"/>
      <c r="E21" s="171" t="s">
        <v>16</v>
      </c>
      <c r="F21" s="171"/>
      <c r="G21" s="171"/>
      <c r="H21" s="171"/>
    </row>
    <row r="22" spans="1:8" ht="18.75" customHeight="1" x14ac:dyDescent="0.35">
      <c r="A22" s="155"/>
      <c r="B22" s="155"/>
      <c r="C22" s="155"/>
      <c r="D22" s="155"/>
      <c r="E22" s="171"/>
      <c r="F22" s="171"/>
      <c r="G22" s="171"/>
      <c r="H22" s="171"/>
    </row>
    <row r="23" spans="1:8" ht="15" customHeight="1" x14ac:dyDescent="0.35">
      <c r="A23" s="155" t="s">
        <v>17</v>
      </c>
      <c r="B23" s="155"/>
      <c r="C23" s="155"/>
      <c r="D23" s="155"/>
      <c r="E23" s="142" t="s">
        <v>18</v>
      </c>
      <c r="F23" s="142"/>
      <c r="G23" s="142"/>
      <c r="H23" s="142"/>
    </row>
    <row r="24" spans="1:8" ht="15" customHeight="1" x14ac:dyDescent="0.35">
      <c r="A24" s="131" t="s">
        <v>19</v>
      </c>
      <c r="B24" s="131"/>
      <c r="C24" s="131"/>
      <c r="D24" s="131"/>
      <c r="E24" s="142" t="str">
        <f>IF(AND(G18="Mumbai"),"Upper Class","Middle Class")</f>
        <v>Middle Class</v>
      </c>
      <c r="F24" s="142"/>
      <c r="G24" s="142"/>
      <c r="H24" s="142"/>
    </row>
    <row r="25" spans="1:8" x14ac:dyDescent="0.35">
      <c r="A25" s="131" t="s">
        <v>20</v>
      </c>
      <c r="B25" s="131"/>
      <c r="C25" s="131"/>
      <c r="D25" s="131"/>
      <c r="E25" s="142" t="s">
        <v>21</v>
      </c>
      <c r="F25" s="142"/>
      <c r="G25" s="142"/>
      <c r="H25" s="142"/>
    </row>
    <row r="26" spans="1:8" ht="15.75" customHeight="1" x14ac:dyDescent="0.35">
      <c r="A26" s="131" t="s">
        <v>22</v>
      </c>
      <c r="B26" s="131"/>
      <c r="C26" s="131"/>
      <c r="D26" s="131"/>
      <c r="E26" s="142" t="str">
        <f>IF(AND(G18="Mumbai"),"Developed","Developing")</f>
        <v>Developing</v>
      </c>
      <c r="F26" s="142"/>
      <c r="G26" s="142"/>
      <c r="H26" s="142"/>
    </row>
    <row r="27" spans="1:8" x14ac:dyDescent="0.35">
      <c r="A27" s="131" t="s">
        <v>23</v>
      </c>
      <c r="B27" s="131"/>
      <c r="C27" s="131"/>
      <c r="D27" s="131"/>
      <c r="E27" s="142" t="s">
        <v>24</v>
      </c>
      <c r="F27" s="142"/>
      <c r="G27" s="142"/>
      <c r="H27" s="142"/>
    </row>
    <row r="28" spans="1:8" ht="15.75" customHeight="1" x14ac:dyDescent="0.35">
      <c r="A28" s="131" t="s">
        <v>82</v>
      </c>
      <c r="B28" s="131"/>
      <c r="C28" s="131"/>
      <c r="D28" s="131"/>
      <c r="E28" s="142" t="s">
        <v>83</v>
      </c>
      <c r="F28" s="142"/>
      <c r="G28" s="142"/>
      <c r="H28" s="142"/>
    </row>
    <row r="29" spans="1:8" ht="15" customHeight="1" x14ac:dyDescent="0.35">
      <c r="A29" s="131" t="s">
        <v>32</v>
      </c>
      <c r="B29" s="131"/>
      <c r="C29" s="131"/>
      <c r="D29" s="131"/>
      <c r="E29" s="142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</v>
      </c>
      <c r="F29" s="142"/>
      <c r="G29" s="142"/>
      <c r="H29" s="142"/>
    </row>
    <row r="30" spans="1:8" ht="15.75" customHeight="1" x14ac:dyDescent="0.35">
      <c r="A30" s="131" t="s">
        <v>94</v>
      </c>
      <c r="B30" s="131"/>
      <c r="C30" s="131"/>
      <c r="D30" s="131"/>
      <c r="E30" s="142" t="s">
        <v>33</v>
      </c>
      <c r="F30" s="142"/>
      <c r="G30" s="142"/>
      <c r="H30" s="142"/>
    </row>
    <row r="31" spans="1:8" s="22" customFormat="1" x14ac:dyDescent="0.35">
      <c r="A31" s="178" t="s">
        <v>95</v>
      </c>
      <c r="B31" s="178"/>
      <c r="C31" s="177" t="s">
        <v>214</v>
      </c>
      <c r="D31" s="177"/>
      <c r="E31" s="177"/>
      <c r="F31" s="177" t="s">
        <v>30</v>
      </c>
      <c r="G31" s="177"/>
      <c r="H31" s="177"/>
    </row>
    <row r="32" spans="1:8" s="22" customFormat="1" x14ac:dyDescent="0.35">
      <c r="A32" s="175" t="s">
        <v>25</v>
      </c>
      <c r="B32" s="175" t="s">
        <v>29</v>
      </c>
      <c r="C32" s="176" t="s">
        <v>218</v>
      </c>
      <c r="D32" s="176"/>
      <c r="E32" s="176"/>
      <c r="F32" s="176" t="s">
        <v>200</v>
      </c>
      <c r="G32" s="176"/>
      <c r="H32" s="176"/>
    </row>
    <row r="33" spans="1:12" x14ac:dyDescent="0.35">
      <c r="A33" s="175" t="s">
        <v>26</v>
      </c>
      <c r="B33" s="175" t="s">
        <v>29</v>
      </c>
      <c r="C33" s="176" t="s">
        <v>217</v>
      </c>
      <c r="D33" s="176"/>
      <c r="E33" s="176"/>
      <c r="F33" s="176" t="s">
        <v>233</v>
      </c>
      <c r="G33" s="176"/>
      <c r="H33" s="176"/>
      <c r="I33" s="176" t="s">
        <v>201</v>
      </c>
      <c r="J33" s="176"/>
      <c r="K33" s="176"/>
    </row>
    <row r="34" spans="1:12" s="22" customFormat="1" x14ac:dyDescent="0.35">
      <c r="A34" s="175" t="s">
        <v>28</v>
      </c>
      <c r="B34" s="175" t="s">
        <v>29</v>
      </c>
      <c r="C34" s="176" t="s">
        <v>216</v>
      </c>
      <c r="D34" s="176"/>
      <c r="E34" s="176"/>
      <c r="F34" s="176" t="s">
        <v>202</v>
      </c>
      <c r="G34" s="176"/>
      <c r="H34" s="176"/>
    </row>
    <row r="35" spans="1:12" x14ac:dyDescent="0.35">
      <c r="A35" s="175" t="s">
        <v>27</v>
      </c>
      <c r="B35" s="175" t="s">
        <v>29</v>
      </c>
      <c r="C35" s="176" t="s">
        <v>215</v>
      </c>
      <c r="D35" s="176"/>
      <c r="E35" s="176"/>
      <c r="F35" s="176" t="s">
        <v>184</v>
      </c>
      <c r="G35" s="176"/>
      <c r="H35" s="176"/>
    </row>
    <row r="36" spans="1:12" x14ac:dyDescent="0.35">
      <c r="A36" s="131" t="s">
        <v>31</v>
      </c>
      <c r="B36" s="131"/>
      <c r="C36" s="131"/>
      <c r="D36" s="131"/>
      <c r="E36" s="131"/>
      <c r="F36" s="131"/>
      <c r="G36" s="131"/>
      <c r="H36" s="131"/>
    </row>
    <row r="37" spans="1:12" ht="15.75" customHeight="1" x14ac:dyDescent="0.35">
      <c r="A37" s="169" t="s">
        <v>234</v>
      </c>
      <c r="B37" s="169"/>
      <c r="C37" s="220" t="s">
        <v>235</v>
      </c>
      <c r="D37" s="220"/>
      <c r="E37" s="220"/>
      <c r="F37" s="220"/>
      <c r="G37" s="220"/>
      <c r="H37" s="220"/>
    </row>
    <row r="38" spans="1:12" x14ac:dyDescent="0.35">
      <c r="A38" s="169" t="s">
        <v>169</v>
      </c>
      <c r="B38" s="169"/>
      <c r="C38" s="180" t="s">
        <v>198</v>
      </c>
      <c r="D38" s="142"/>
      <c r="E38" s="142"/>
      <c r="F38" s="142"/>
      <c r="G38" s="142"/>
      <c r="H38" s="142"/>
    </row>
    <row r="39" spans="1:12" x14ac:dyDescent="0.35">
      <c r="A39" s="168" t="s">
        <v>34</v>
      </c>
      <c r="B39" s="168"/>
      <c r="C39" s="168"/>
      <c r="D39" s="168"/>
      <c r="E39" s="168"/>
      <c r="F39" s="168"/>
      <c r="G39" s="168"/>
      <c r="H39" s="168"/>
    </row>
    <row r="40" spans="1:12" x14ac:dyDescent="0.35">
      <c r="A40" s="131" t="s">
        <v>35</v>
      </c>
      <c r="B40" s="131"/>
      <c r="C40" s="131"/>
      <c r="D40" s="131"/>
      <c r="E40" s="179">
        <v>5847.03</v>
      </c>
      <c r="F40" s="179"/>
      <c r="G40" s="179"/>
      <c r="H40" s="179"/>
    </row>
    <row r="41" spans="1:12" x14ac:dyDescent="0.35">
      <c r="A41" s="131" t="s">
        <v>36</v>
      </c>
      <c r="B41" s="131"/>
      <c r="C41" s="131"/>
      <c r="D41" s="131"/>
      <c r="E41" s="143">
        <f>6431.73/E40</f>
        <v>1.099999486919</v>
      </c>
      <c r="F41" s="143"/>
      <c r="G41" s="143"/>
      <c r="H41" s="143"/>
    </row>
    <row r="42" spans="1:12" x14ac:dyDescent="0.35">
      <c r="A42" s="131" t="s">
        <v>37</v>
      </c>
      <c r="B42" s="131"/>
      <c r="C42" s="131"/>
      <c r="D42" s="131"/>
      <c r="E42" s="143">
        <f>E44/E40-E41</f>
        <v>1.1370661686360426</v>
      </c>
      <c r="F42" s="143"/>
      <c r="G42" s="143"/>
      <c r="H42" s="143"/>
    </row>
    <row r="43" spans="1:12" x14ac:dyDescent="0.35">
      <c r="A43" s="171" t="s">
        <v>38</v>
      </c>
      <c r="B43" s="171"/>
      <c r="C43" s="171"/>
      <c r="D43" s="171"/>
      <c r="E43" s="200">
        <f>E41+E42</f>
        <v>2.2370656555550426</v>
      </c>
      <c r="F43" s="200"/>
      <c r="G43" s="200"/>
      <c r="H43" s="200"/>
    </row>
    <row r="44" spans="1:12" x14ac:dyDescent="0.35">
      <c r="A44" s="171" t="s">
        <v>93</v>
      </c>
      <c r="B44" s="171"/>
      <c r="C44" s="171"/>
      <c r="D44" s="171"/>
      <c r="E44" s="201">
        <v>13080.19</v>
      </c>
      <c r="F44" s="201"/>
      <c r="G44" s="201"/>
      <c r="H44" s="201"/>
      <c r="I44" s="215">
        <v>13227.02</v>
      </c>
      <c r="J44" s="215"/>
      <c r="K44" s="215"/>
      <c r="L44" s="215"/>
    </row>
    <row r="45" spans="1:12" x14ac:dyDescent="0.35">
      <c r="A45" s="171" t="s">
        <v>39</v>
      </c>
      <c r="B45" s="171"/>
      <c r="C45" s="171"/>
      <c r="D45" s="171"/>
      <c r="E45" s="171" t="s">
        <v>185</v>
      </c>
      <c r="F45" s="171"/>
      <c r="G45" s="171"/>
      <c r="H45" s="171"/>
      <c r="I45" s="171" t="s">
        <v>185</v>
      </c>
      <c r="J45" s="171"/>
      <c r="K45" s="171"/>
      <c r="L45" s="171"/>
    </row>
    <row r="46" spans="1:12" x14ac:dyDescent="0.35">
      <c r="A46" s="91" t="s">
        <v>40</v>
      </c>
      <c r="B46" s="91"/>
      <c r="C46" s="91"/>
      <c r="D46" s="91"/>
      <c r="E46" s="91"/>
      <c r="F46" s="91"/>
      <c r="G46" s="91"/>
      <c r="H46" s="91"/>
    </row>
    <row r="47" spans="1:12" ht="33.75" customHeight="1" x14ac:dyDescent="0.35">
      <c r="A47" s="210" t="s">
        <v>159</v>
      </c>
      <c r="B47" s="211"/>
      <c r="C47" s="212" t="s">
        <v>186</v>
      </c>
      <c r="D47" s="213"/>
      <c r="E47" s="213"/>
      <c r="F47" s="213"/>
      <c r="G47" s="213"/>
      <c r="H47" s="214"/>
    </row>
    <row r="48" spans="1:12" ht="32.25" customHeight="1" x14ac:dyDescent="0.35">
      <c r="A48" s="132" t="s">
        <v>41</v>
      </c>
      <c r="B48" s="134"/>
      <c r="C48" s="132" t="s">
        <v>212</v>
      </c>
      <c r="D48" s="133"/>
      <c r="E48" s="134"/>
      <c r="F48" s="18" t="s">
        <v>42</v>
      </c>
      <c r="G48" s="151">
        <v>44981</v>
      </c>
      <c r="H48" s="134"/>
      <c r="I48" s="132" t="s">
        <v>187</v>
      </c>
      <c r="J48" s="133"/>
      <c r="K48" s="134"/>
    </row>
    <row r="49" spans="1:14" ht="32.25" customHeight="1" x14ac:dyDescent="0.35">
      <c r="A49" s="132" t="s">
        <v>43</v>
      </c>
      <c r="B49" s="134"/>
      <c r="C49" s="132" t="str">
        <f>C48</f>
        <v>SROT/BSNA/2501/BP/KON-57/Amended CC/307/2023</v>
      </c>
      <c r="D49" s="133"/>
      <c r="E49" s="134"/>
      <c r="F49" s="18" t="s">
        <v>42</v>
      </c>
      <c r="G49" s="151">
        <f>G48</f>
        <v>44981</v>
      </c>
      <c r="H49" s="152"/>
    </row>
    <row r="50" spans="1:14" s="23" customFormat="1" ht="32.25" customHeight="1" x14ac:dyDescent="0.35">
      <c r="A50" s="184" t="s">
        <v>163</v>
      </c>
      <c r="B50" s="185"/>
      <c r="C50" s="132" t="str">
        <f>C49</f>
        <v>SROT/BSNA/2501/BP/KON-57/Amended CC/307/2023</v>
      </c>
      <c r="D50" s="133"/>
      <c r="E50" s="134"/>
      <c r="F50" s="18" t="s">
        <v>42</v>
      </c>
      <c r="G50" s="151">
        <f>G49</f>
        <v>44981</v>
      </c>
      <c r="H50" s="152"/>
    </row>
    <row r="51" spans="1:14" s="23" customFormat="1" x14ac:dyDescent="0.35">
      <c r="A51" s="186"/>
      <c r="B51" s="187"/>
      <c r="C51" s="132" t="s">
        <v>213</v>
      </c>
      <c r="D51" s="133"/>
      <c r="E51" s="133"/>
      <c r="F51" s="133"/>
      <c r="G51" s="133"/>
      <c r="H51" s="134"/>
      <c r="I51" s="132" t="s">
        <v>197</v>
      </c>
      <c r="J51" s="133"/>
      <c r="K51" s="133"/>
      <c r="L51" s="133"/>
      <c r="M51" s="133"/>
      <c r="N51" s="134"/>
    </row>
    <row r="52" spans="1:14" s="23" customFormat="1" x14ac:dyDescent="0.35">
      <c r="A52" s="184" t="s">
        <v>219</v>
      </c>
      <c r="B52" s="185"/>
      <c r="C52" s="132" t="s">
        <v>220</v>
      </c>
      <c r="D52" s="133"/>
      <c r="E52" s="134"/>
      <c r="F52" s="18" t="s">
        <v>42</v>
      </c>
      <c r="G52" s="151">
        <v>44688</v>
      </c>
      <c r="H52" s="152"/>
    </row>
    <row r="53" spans="1:14" s="23" customFormat="1" ht="49.5" customHeight="1" x14ac:dyDescent="0.35">
      <c r="A53" s="186"/>
      <c r="B53" s="187"/>
      <c r="C53" s="132" t="s">
        <v>245</v>
      </c>
      <c r="D53" s="133"/>
      <c r="E53" s="133"/>
      <c r="F53" s="133"/>
      <c r="G53" s="133"/>
      <c r="H53" s="134"/>
      <c r="I53" s="216"/>
      <c r="J53" s="216"/>
      <c r="K53" s="216"/>
      <c r="L53" s="216"/>
      <c r="M53" s="216"/>
      <c r="N53" s="216"/>
    </row>
    <row r="54" spans="1:14" x14ac:dyDescent="0.35">
      <c r="A54" s="135" t="s">
        <v>44</v>
      </c>
      <c r="B54" s="136"/>
      <c r="C54" s="135" t="s">
        <v>107</v>
      </c>
      <c r="D54" s="159"/>
      <c r="E54" s="136"/>
      <c r="F54" s="71" t="s">
        <v>42</v>
      </c>
      <c r="G54" s="153" t="s">
        <v>29</v>
      </c>
      <c r="H54" s="154"/>
    </row>
    <row r="55" spans="1:14" x14ac:dyDescent="0.35">
      <c r="A55" s="130" t="s">
        <v>46</v>
      </c>
      <c r="B55" s="130"/>
      <c r="C55" s="130"/>
      <c r="D55" s="130"/>
      <c r="E55" s="130"/>
      <c r="F55" s="130"/>
      <c r="G55" s="130"/>
      <c r="H55" s="130"/>
    </row>
    <row r="56" spans="1:14" x14ac:dyDescent="0.35">
      <c r="A56" s="155" t="s">
        <v>92</v>
      </c>
      <c r="B56" s="155"/>
      <c r="C56" s="155"/>
      <c r="D56" s="131">
        <f>E44</f>
        <v>13080.19</v>
      </c>
      <c r="E56" s="131"/>
      <c r="F56" s="131"/>
      <c r="G56" s="131"/>
      <c r="H56" s="131"/>
    </row>
    <row r="57" spans="1:14" x14ac:dyDescent="0.35">
      <c r="A57" s="142" t="s">
        <v>47</v>
      </c>
      <c r="B57" s="171"/>
      <c r="C57" s="171"/>
      <c r="D57" s="171" t="s">
        <v>247</v>
      </c>
      <c r="E57" s="171"/>
      <c r="F57" s="171"/>
      <c r="G57" s="171"/>
      <c r="H57" s="171"/>
      <c r="I57" s="24"/>
    </row>
    <row r="58" spans="1:14" ht="65.25" customHeight="1" x14ac:dyDescent="0.35">
      <c r="A58" s="156" t="s">
        <v>48</v>
      </c>
      <c r="B58" s="157"/>
      <c r="C58" s="183"/>
      <c r="D58" s="181" t="s">
        <v>258</v>
      </c>
      <c r="E58" s="182"/>
      <c r="F58" s="182"/>
      <c r="G58" s="182"/>
      <c r="H58" s="182"/>
    </row>
    <row r="59" spans="1:14" ht="15.75" customHeight="1" x14ac:dyDescent="0.35">
      <c r="A59" s="142" t="s">
        <v>90</v>
      </c>
      <c r="B59" s="142"/>
      <c r="C59" s="142"/>
      <c r="D59" s="171" t="s">
        <v>259</v>
      </c>
      <c r="E59" s="171"/>
      <c r="F59" s="171"/>
      <c r="G59" s="171"/>
      <c r="H59" s="171"/>
    </row>
    <row r="60" spans="1:14" ht="15.75" customHeight="1" x14ac:dyDescent="0.35">
      <c r="A60" s="142"/>
      <c r="B60" s="142"/>
      <c r="C60" s="142"/>
      <c r="D60" s="171" t="s">
        <v>237</v>
      </c>
      <c r="E60" s="171"/>
      <c r="F60" s="171"/>
      <c r="G60" s="171"/>
      <c r="H60" s="171"/>
      <c r="I60" s="21" t="s">
        <v>223</v>
      </c>
    </row>
    <row r="61" spans="1:14" ht="15.75" customHeight="1" x14ac:dyDescent="0.35">
      <c r="A61" s="142"/>
      <c r="B61" s="142"/>
      <c r="C61" s="142"/>
      <c r="D61" s="171" t="s">
        <v>238</v>
      </c>
      <c r="E61" s="171"/>
      <c r="F61" s="171"/>
      <c r="G61" s="171"/>
      <c r="H61" s="171"/>
    </row>
    <row r="62" spans="1:14" ht="15.75" customHeight="1" x14ac:dyDescent="0.35">
      <c r="A62" s="142"/>
      <c r="B62" s="142"/>
      <c r="C62" s="142"/>
      <c r="D62" s="171" t="s">
        <v>239</v>
      </c>
      <c r="E62" s="171"/>
      <c r="F62" s="171"/>
      <c r="G62" s="171"/>
      <c r="H62" s="171"/>
    </row>
    <row r="63" spans="1:14" ht="15.75" customHeight="1" x14ac:dyDescent="0.35">
      <c r="A63" s="131" t="s">
        <v>45</v>
      </c>
      <c r="B63" s="131"/>
      <c r="C63" s="131"/>
      <c r="D63" s="155" t="s">
        <v>199</v>
      </c>
      <c r="E63" s="155"/>
      <c r="F63" s="155"/>
      <c r="G63" s="155"/>
      <c r="H63" s="155"/>
      <c r="J63" s="25"/>
      <c r="K63" s="24"/>
      <c r="N63" s="24"/>
    </row>
    <row r="64" spans="1:14" ht="15.75" customHeight="1" x14ac:dyDescent="0.35">
      <c r="A64" s="131" t="s">
        <v>88</v>
      </c>
      <c r="B64" s="131"/>
      <c r="C64" s="131"/>
      <c r="D64" s="199" t="str">
        <f>(IF(G54="NA","60 Years After Completion",IF(G54&lt;&gt;"NA",""&amp;60-ROUNDDOWN((E3-G54)/360,0)&amp;" Years"," ")))</f>
        <v>60 Years After Completion</v>
      </c>
      <c r="E64" s="199"/>
      <c r="F64" s="199"/>
      <c r="G64" s="199"/>
      <c r="H64" s="199"/>
      <c r="N64" s="24"/>
    </row>
    <row r="65" spans="1:14" ht="15.75" customHeight="1" x14ac:dyDescent="0.35">
      <c r="A65" s="131" t="s">
        <v>89</v>
      </c>
      <c r="B65" s="131"/>
      <c r="C65" s="131"/>
      <c r="D65" s="155" t="s">
        <v>24</v>
      </c>
      <c r="E65" s="155"/>
      <c r="F65" s="155"/>
      <c r="G65" s="155"/>
      <c r="H65" s="155"/>
      <c r="J65" s="26"/>
      <c r="K65" s="26"/>
    </row>
    <row r="66" spans="1:14" ht="30" customHeight="1" x14ac:dyDescent="0.35">
      <c r="A66" s="131" t="s">
        <v>76</v>
      </c>
      <c r="B66" s="131"/>
      <c r="C66" s="131"/>
      <c r="D66" s="142" t="s">
        <v>174</v>
      </c>
      <c r="E66" s="155"/>
      <c r="F66" s="155"/>
      <c r="G66" s="155"/>
      <c r="H66" s="155"/>
    </row>
    <row r="67" spans="1:14" x14ac:dyDescent="0.35">
      <c r="A67" s="155" t="s">
        <v>155</v>
      </c>
      <c r="B67" s="155"/>
      <c r="C67" s="155"/>
      <c r="D67" s="155" t="s">
        <v>29</v>
      </c>
      <c r="E67" s="155"/>
      <c r="F67" s="155"/>
      <c r="G67" s="155"/>
      <c r="H67" s="155"/>
      <c r="I67" s="27"/>
      <c r="J67" s="27"/>
      <c r="K67" s="27"/>
      <c r="L67" s="27"/>
      <c r="M67" s="27"/>
      <c r="N67" s="27"/>
    </row>
    <row r="68" spans="1:14" ht="15.75" customHeight="1" x14ac:dyDescent="0.35">
      <c r="A68" s="131" t="s">
        <v>87</v>
      </c>
      <c r="B68" s="131"/>
      <c r="C68" s="131"/>
      <c r="D68" s="142" t="str">
        <f ca="1">(IF(G74&gt;95%,"Nothing",IF(G74&gt;0%,"Cement, Aggregate, Steel, etc",IF(G74=0%,"Work not yet Started"))))</f>
        <v>Cement, Aggregate, Steel, etc</v>
      </c>
      <c r="E68" s="142"/>
      <c r="F68" s="142"/>
      <c r="G68" s="142"/>
      <c r="H68" s="142"/>
      <c r="J68" s="26"/>
    </row>
    <row r="69" spans="1:14" ht="33.75" customHeight="1" thickBot="1" x14ac:dyDescent="0.4">
      <c r="A69" s="155" t="s">
        <v>120</v>
      </c>
      <c r="B69" s="155"/>
      <c r="C69" s="155"/>
      <c r="D69" s="142" t="str">
        <f ca="1">(IF(D68="Nothing","Yes",IF(D68="Cement, Aggregate, Steel, etc","Under Construction",IF(D68="Work not yet Started","Work not yet Started"))))</f>
        <v>Under Construction</v>
      </c>
      <c r="E69" s="142"/>
      <c r="F69" s="142" t="str">
        <f ca="1">(IF(D68="Nothing","Yes",IF(D68="Cement, Aggregate, Steel, etc","Under Construction",IF(D68="Work not yet Started","Work not yet Started"))))</f>
        <v>Under Construction</v>
      </c>
      <c r="G69" s="142"/>
      <c r="H69" s="142"/>
    </row>
    <row r="70" spans="1:14" ht="15.75" customHeight="1" x14ac:dyDescent="0.35">
      <c r="A70" s="90" t="s">
        <v>145</v>
      </c>
      <c r="B70" s="90"/>
      <c r="C70" s="90" t="str">
        <f>D59</f>
        <v>Building Type A - Wing A = Gr + Mezzanine + 1st Floor</v>
      </c>
      <c r="D70" s="90"/>
      <c r="E70" s="90"/>
      <c r="F70" s="90"/>
      <c r="G70" s="90"/>
      <c r="H70" s="90"/>
      <c r="I70" s="61" t="str">
        <f ca="1">IF(D83=100%,"All work Completed. Possession granted to the Building.",IF(D82=100%,"All work Completed, Waiting for OC",I71&amp;""&amp;I72&amp;""&amp;J71&amp;""&amp;J70&amp;" "&amp;J72))</f>
        <v>Excavation, Plinth, RCC Slab, Brickwork, Internal Plaster, External Plaster Completed, Flooring upto 0.5 Floor, Painting upto 0.5 Floor Completed</v>
      </c>
      <c r="J70" s="46" t="str">
        <f ca="1">(IF(C76=(D71+F71+H71),"",IF(C76&gt;0,", RCC upto "&amp;C76&amp;" Slab","")))&amp;(IF(C77=H71,"",IF(C77&gt;0,", Brickwork upto "&amp;C77&amp;" Floor","")))&amp;(IF(C78=H71,"",IF(C78&gt;0,", Internal Plaster upto "&amp;C78&amp;" Floor","")))&amp;(IF(C79=H71,"",IF(C79&gt;0,", External Plaster upto "&amp;C79&amp;" Floor","")))&amp;(IF(C80=H71,"",IF(C80&gt;0,", Flooring upto "&amp;C80&amp;" Floor","")))&amp;(IF(C81=H71,"",IF(C81&gt;0,", Painting upto "&amp;C81&amp;" Floor","")))&amp;(IF(C82=H71,"",IF(C82&gt;0,", Finishing upto "&amp;C82&amp;" Floor","")))&amp;(IF(C83=H71,"",IF(C83&gt;0,", Possession upto "&amp;C83&amp;" Floor","")))</f>
        <v>, Flooring upto 0.5 Floor, Painting upto 0.5 Floor</v>
      </c>
    </row>
    <row r="71" spans="1:14" x14ac:dyDescent="0.35">
      <c r="A71" s="83" t="s">
        <v>147</v>
      </c>
      <c r="B71" s="83">
        <v>0</v>
      </c>
      <c r="C71" s="83" t="s">
        <v>73</v>
      </c>
      <c r="D71" s="83">
        <v>1</v>
      </c>
      <c r="E71" s="83" t="s">
        <v>72</v>
      </c>
      <c r="F71" s="83">
        <v>0</v>
      </c>
      <c r="G71" s="83" t="s">
        <v>81</v>
      </c>
      <c r="H71" s="83">
        <f ca="1">--TRIM(RIGHT(SUBSTITUTE(LEFT(C70,_xlfn.AGGREGATE(16,6,FIND({0,1,2,3,4,5,6,7,8,9},C70,ROW(INDIRECT("1:"&amp;LEN(C70)))),1))," ",REPT(" ",LEN(C70))),LEN(C70)))</f>
        <v>1</v>
      </c>
      <c r="I71" s="62" t="str">
        <f ca="1">IF(D74=100%,"Excavation","")&amp;IF(D75=100%,", Plinth","")&amp;IF(D76=100%,", RCC Slab","")&amp;IF(D77=100%,", Brickwork","")&amp;IF(D78=100%,", Internal Plaster","")&amp;IF(D79=100%,", External Plaster","")&amp;IF(D80=100%,", Flooring","")&amp;IF(D81=100%,", Painting","")&amp;IF(D82=100%,", Building common Amenities","")</f>
        <v>Excavation, Plinth, RCC Slab, Brickwork, Internal Plaster, External Plaster</v>
      </c>
      <c r="J71" s="48" t="str">
        <f ca="1">(IF(C74=0,"Work not yet Started.",IF(D74=25%,"Piling work in process",IF(D74=50%,"Excavation work in process",IF(D74=100%,"","0")))))&amp;(IF(C75=0%,"",IF(C75=J76,", Footing work is process",IF(C75=J77,", Footing work Completed",IF(C75=J78,", 1st Basement Completed",IF(C75=J79,", 1st &amp; 2nd Basement Completed",IF(C75=J80,", 1st to 3rd Basement Completed",IF(C75=J81,", 1st to 4th Basement Completed",IF(C75=J82,", Plinth work is process",IF(C75=J83,"","0"))))))))))</f>
        <v/>
      </c>
    </row>
    <row r="72" spans="1:14" ht="33.75" customHeight="1" x14ac:dyDescent="0.35">
      <c r="A72" s="91" t="s">
        <v>91</v>
      </c>
      <c r="B72" s="91"/>
      <c r="C72" s="90" t="str">
        <f ca="1">I70</f>
        <v>Excavation, Plinth, RCC Slab, Brickwork, Internal Plaster, External Plaster Completed, Flooring upto 0.5 Floor, Painting upto 0.5 Floor Completed</v>
      </c>
      <c r="D72" s="90"/>
      <c r="E72" s="90"/>
      <c r="F72" s="90"/>
      <c r="G72" s="90"/>
      <c r="H72" s="90"/>
      <c r="I72" s="62" t="str">
        <f ca="1">IF(I71&lt;&gt;""," Completed","")</f>
        <v xml:space="preserve"> Completed</v>
      </c>
      <c r="J72" s="48" t="str">
        <f ca="1">IF(J70&lt;&gt;"","Completed","")</f>
        <v>Completed</v>
      </c>
    </row>
    <row r="73" spans="1:14" ht="15.75" customHeight="1" x14ac:dyDescent="0.35">
      <c r="A73" s="149" t="s">
        <v>49</v>
      </c>
      <c r="B73" s="150"/>
      <c r="C73" s="72" t="s">
        <v>144</v>
      </c>
      <c r="D73" s="72" t="s">
        <v>84</v>
      </c>
      <c r="E73" s="150" t="s">
        <v>86</v>
      </c>
      <c r="F73" s="150"/>
      <c r="G73" s="150" t="s">
        <v>85</v>
      </c>
      <c r="H73" s="160"/>
      <c r="I73" s="14" t="s">
        <v>146</v>
      </c>
      <c r="J73" s="28">
        <f ca="1">H71*25%</f>
        <v>0.25</v>
      </c>
    </row>
    <row r="74" spans="1:14" x14ac:dyDescent="0.35">
      <c r="A74" s="149" t="s">
        <v>133</v>
      </c>
      <c r="B74" s="150"/>
      <c r="C74" s="72">
        <f ca="1">J75</f>
        <v>1</v>
      </c>
      <c r="D74" s="77">
        <f ca="1">((100/H71)*C74)/100</f>
        <v>1</v>
      </c>
      <c r="E74" s="188">
        <f ca="1">(((C75/H71*10)+(40/(D71+F71+H71)*C76)+(7.5/(H71)*C77)+(7.5/(H71)*C78)+(10/H71*C79)+(10/H71*C80)+(5/H71*C81)+(5/H71*C82)+(5/H71*C83))/100)</f>
        <v>0.82499999999999996</v>
      </c>
      <c r="F74" s="189"/>
      <c r="G74" s="188">
        <f ca="1">((((C74/H71)*20)+((C75/H71)*25)+(30/(H71+F71+D71)*C76)+(5/H71*C77)+(5/H71*C78)+(5/H71*C79)+(5/H71*C80)+(0/H71*C81)+(0/H71*C82)+(5/H71*C83))/100)</f>
        <v>0.92500000000000004</v>
      </c>
      <c r="H74" s="194"/>
      <c r="I74" s="14" t="s">
        <v>102</v>
      </c>
      <c r="J74" s="29">
        <f ca="1">H71*50%</f>
        <v>0.5</v>
      </c>
    </row>
    <row r="75" spans="1:14" x14ac:dyDescent="0.35">
      <c r="A75" s="149" t="s">
        <v>50</v>
      </c>
      <c r="B75" s="150"/>
      <c r="C75" s="78">
        <f ca="1">J83</f>
        <v>1</v>
      </c>
      <c r="D75" s="77">
        <f ca="1">((100/H71)*C75)/100</f>
        <v>1</v>
      </c>
      <c r="E75" s="190"/>
      <c r="F75" s="191"/>
      <c r="G75" s="190"/>
      <c r="H75" s="195"/>
      <c r="I75" s="14" t="s">
        <v>103</v>
      </c>
      <c r="J75" s="29">
        <f ca="1">H71</f>
        <v>1</v>
      </c>
    </row>
    <row r="76" spans="1:14" ht="15.75" customHeight="1" x14ac:dyDescent="0.35">
      <c r="A76" s="149" t="s">
        <v>134</v>
      </c>
      <c r="B76" s="150"/>
      <c r="C76" s="72">
        <v>2</v>
      </c>
      <c r="D76" s="77">
        <f ca="1">((100/(D71+F71+H71))*C76)/100</f>
        <v>1</v>
      </c>
      <c r="E76" s="190"/>
      <c r="F76" s="191"/>
      <c r="G76" s="190"/>
      <c r="H76" s="195"/>
      <c r="I76" s="14" t="s">
        <v>104</v>
      </c>
      <c r="J76" s="30">
        <f ca="1">(IF(B71&gt;1,(H71/(B71+2)),H71/4))</f>
        <v>0.25</v>
      </c>
    </row>
    <row r="77" spans="1:14" ht="15.75" customHeight="1" x14ac:dyDescent="0.35">
      <c r="A77" s="149" t="s">
        <v>141</v>
      </c>
      <c r="B77" s="150" t="s">
        <v>135</v>
      </c>
      <c r="C77" s="72">
        <v>1</v>
      </c>
      <c r="D77" s="77">
        <f ca="1">((100/H71)*C77)/100</f>
        <v>1</v>
      </c>
      <c r="E77" s="190"/>
      <c r="F77" s="191"/>
      <c r="G77" s="190"/>
      <c r="H77" s="195"/>
      <c r="I77" s="14" t="s">
        <v>105</v>
      </c>
      <c r="J77" s="30">
        <f ca="1">(IF(B71&gt;1,(H71/(B71+2)+J76),H71/4+J76))</f>
        <v>0.5</v>
      </c>
    </row>
    <row r="78" spans="1:14" ht="15.75" customHeight="1" x14ac:dyDescent="0.35">
      <c r="A78" s="149" t="s">
        <v>142</v>
      </c>
      <c r="B78" s="150" t="s">
        <v>135</v>
      </c>
      <c r="C78" s="72">
        <v>1</v>
      </c>
      <c r="D78" s="77">
        <f ca="1">((100/H71)*C78)/100</f>
        <v>1</v>
      </c>
      <c r="E78" s="190"/>
      <c r="F78" s="191"/>
      <c r="G78" s="190"/>
      <c r="H78" s="195"/>
      <c r="I78" s="14" t="s">
        <v>153</v>
      </c>
      <c r="J78" s="30">
        <f>(IF(B71&gt;1,(H71/(B71+2)+J77),0))</f>
        <v>0</v>
      </c>
    </row>
    <row r="79" spans="1:14" ht="15" customHeight="1" x14ac:dyDescent="0.35">
      <c r="A79" s="149" t="s">
        <v>140</v>
      </c>
      <c r="B79" s="150" t="s">
        <v>137</v>
      </c>
      <c r="C79" s="72">
        <v>1</v>
      </c>
      <c r="D79" s="77">
        <f ca="1">((100/(H71))*C79)/100</f>
        <v>1</v>
      </c>
      <c r="E79" s="190"/>
      <c r="F79" s="191"/>
      <c r="G79" s="190"/>
      <c r="H79" s="195"/>
      <c r="I79" s="14" t="s">
        <v>148</v>
      </c>
      <c r="J79" s="30">
        <f>(IF(B71&gt;2,(H71/(B71+2)+J78),0))</f>
        <v>0</v>
      </c>
    </row>
    <row r="80" spans="1:14" ht="15.75" customHeight="1" x14ac:dyDescent="0.35">
      <c r="A80" s="149" t="s">
        <v>136</v>
      </c>
      <c r="B80" s="150" t="s">
        <v>136</v>
      </c>
      <c r="C80" s="72">
        <v>0.5</v>
      </c>
      <c r="D80" s="77">
        <f ca="1">((100/H71)*C80)/100</f>
        <v>0.5</v>
      </c>
      <c r="E80" s="190"/>
      <c r="F80" s="191"/>
      <c r="G80" s="190"/>
      <c r="H80" s="195"/>
      <c r="I80" s="14" t="s">
        <v>149</v>
      </c>
      <c r="J80" s="31">
        <f>(IF(B71&gt;3,(H71/(B71+2)+J79),0))</f>
        <v>0</v>
      </c>
    </row>
    <row r="81" spans="1:10" ht="15.75" customHeight="1" x14ac:dyDescent="0.35">
      <c r="A81" s="149" t="s">
        <v>143</v>
      </c>
      <c r="B81" s="150"/>
      <c r="C81" s="72">
        <v>0.5</v>
      </c>
      <c r="D81" s="77">
        <f ca="1">((100/H71)*C81)/100</f>
        <v>0.5</v>
      </c>
      <c r="E81" s="190"/>
      <c r="F81" s="191"/>
      <c r="G81" s="190"/>
      <c r="H81" s="195"/>
      <c r="I81" s="14" t="s">
        <v>150</v>
      </c>
      <c r="J81" s="30">
        <f>(IF(B71&gt;4,(H71/(B71+2)+J80),0))</f>
        <v>0</v>
      </c>
    </row>
    <row r="82" spans="1:10" ht="15.75" customHeight="1" x14ac:dyDescent="0.35">
      <c r="A82" s="149" t="s">
        <v>138</v>
      </c>
      <c r="B82" s="150" t="s">
        <v>138</v>
      </c>
      <c r="C82" s="72">
        <v>0</v>
      </c>
      <c r="D82" s="77">
        <f ca="1">((100/(H71))*C82)/100</f>
        <v>0</v>
      </c>
      <c r="E82" s="190"/>
      <c r="F82" s="191"/>
      <c r="G82" s="190"/>
      <c r="H82" s="195"/>
      <c r="I82" s="14" t="s">
        <v>154</v>
      </c>
      <c r="J82" s="30">
        <f ca="1">(IF(B71=1,(H71/(B71+3)+J77),IF(B71=0,(H71/4+J77),IF(B71&gt;1,0))))</f>
        <v>0.75</v>
      </c>
    </row>
    <row r="83" spans="1:10" ht="16" thickBot="1" x14ac:dyDescent="0.4">
      <c r="A83" s="197" t="s">
        <v>139</v>
      </c>
      <c r="B83" s="198"/>
      <c r="C83" s="79">
        <v>0</v>
      </c>
      <c r="D83" s="80">
        <f ca="1">((100/(H71))*C83)/100</f>
        <v>0</v>
      </c>
      <c r="E83" s="192"/>
      <c r="F83" s="193"/>
      <c r="G83" s="192"/>
      <c r="H83" s="196"/>
      <c r="I83" s="15" t="s">
        <v>106</v>
      </c>
      <c r="J83" s="32">
        <f ca="1">(IF(B71&gt;1.5,(H71/(B71+2)+J77+MAX(0,J78-J77)+MAX(0,J79-J78)+MAX(0,J80-J79)+MAX(0,J81-J80)+MAX(0,J82-J81)),IF(B71=1,(H71/(B71+3)+J82),IF(B71=0,H71/4+J82))))</f>
        <v>1</v>
      </c>
    </row>
    <row r="84" spans="1:10" ht="15.75" customHeight="1" x14ac:dyDescent="0.35">
      <c r="A84" s="144" t="s">
        <v>145</v>
      </c>
      <c r="B84" s="145"/>
      <c r="C84" s="146" t="str">
        <f>D60</f>
        <v>Building Type A - Wing B = Gr/St + 1st to 18th Floor</v>
      </c>
      <c r="D84" s="147"/>
      <c r="E84" s="147"/>
      <c r="F84" s="147"/>
      <c r="G84" s="147"/>
      <c r="H84" s="148"/>
      <c r="I84" s="45" t="str">
        <f ca="1">IF(D97=100%,"All work Completed. Possession granted to the Building.",IF(D96=100%,"All work Completed, Waiting for OC",I85&amp;""&amp;I86&amp;""&amp;J85&amp;""&amp;J84&amp;" "&amp;J86))</f>
        <v>Excavation, Plinth Completed, RCC upto 17 Slab, Brickwork upto 10 Floor, Internal Plaster upto 4 Floor Completed</v>
      </c>
      <c r="J84" s="46" t="str">
        <f ca="1">(IF(C90=(D85+F85+H85),"",IF(C90&gt;0,", RCC upto "&amp;C90&amp;" Slab","")))&amp;(IF(C91=H85,"",IF(C91&gt;0,", Brickwork upto "&amp;C91&amp;" Floor","")))&amp;(IF(C92=H85,"",IF(C92&gt;0,", Internal Plaster upto "&amp;C92&amp;" Floor","")))&amp;(IF(C93=H85,"",IF(C93&gt;0,", External Plaster upto "&amp;C93&amp;" Floor","")))&amp;(IF(C94=H85,"",IF(C94&gt;0,", Flooring upto "&amp;C94&amp;" Floor","")))&amp;(IF(C95=H85,"",IF(C95&gt;0,", Painting upto "&amp;C95&amp;" Floor","")))&amp;(IF(C96=H85,"",IF(C96&gt;0,", Finishing upto "&amp;C96&amp;" Floor","")))&amp;(IF(C97=H85,"",IF(C97&gt;0,", Possession upto "&amp;C97&amp;" Floor","")))</f>
        <v>, RCC upto 17 Slab, Brickwork upto 10 Floor, Internal Plaster upto 4 Floor</v>
      </c>
    </row>
    <row r="85" spans="1:10" x14ac:dyDescent="0.35">
      <c r="A85" s="16" t="s">
        <v>147</v>
      </c>
      <c r="B85" s="50">
        <v>0</v>
      </c>
      <c r="C85" s="50" t="s">
        <v>73</v>
      </c>
      <c r="D85" s="50">
        <v>1</v>
      </c>
      <c r="E85" s="50" t="s">
        <v>72</v>
      </c>
      <c r="F85" s="50">
        <v>0</v>
      </c>
      <c r="G85" s="50" t="s">
        <v>81</v>
      </c>
      <c r="H85" s="17">
        <f ca="1">--TRIM(RIGHT(SUBSTITUTE(LEFT(C84,_xlfn.AGGREGATE(16,6,FIND({0,1,2,3,4,5,6,7,8,9},C84,ROW(INDIRECT("1:"&amp;LEN(C84)))),1))," ",REPT(" ",LEN(C84))),LEN(C84)))</f>
        <v>18</v>
      </c>
      <c r="I85" s="47" t="str">
        <f ca="1">IF(D88=100%,"Excavation","")&amp;IF(D89=100%,", Plinth","")&amp;IF(D90=100%,", RCC Slab","")&amp;IF(D91=100%,", Brickwork","")&amp;IF(D92=100%,", Internal Plaster","")&amp;IF(D93=100%,", External Plaster","")&amp;IF(D94=100%,", Flooring","")&amp;IF(D95=100%,", Painting","")&amp;IF(D96=100%,", Building common Amenities","")</f>
        <v>Excavation, Plinth</v>
      </c>
      <c r="J85" s="48" t="str">
        <f ca="1">(IF(C88=0,"Work not yet Started.",IF(D88=25%,"Piling work in process",IF(D88=50%,"Excavation work in process",IF(D88=100%,"","0")))))&amp;(IF(C89=0%,"",IF(C89=J90,", Footing work is process",IF(C89=J91,", Footing work Completed",IF(C89=J92,", 1st Basement Completed",IF(C89=J93,", 1st &amp; 2nd Basement Completed",IF(C89=J94,", 1st to 3rd Basement Completed",IF(C89=J95,", 1st to 4th Basement Completed",IF(C89=J96,", Plinth work is process",IF(C89=J97,"","0"))))))))))</f>
        <v/>
      </c>
    </row>
    <row r="86" spans="1:10" ht="35.25" customHeight="1" x14ac:dyDescent="0.35">
      <c r="A86" s="208" t="s">
        <v>91</v>
      </c>
      <c r="B86" s="91"/>
      <c r="C86" s="90" t="str">
        <f ca="1">(IF($G$54="NA",I84,"All work Completed. OC Received."))</f>
        <v>Excavation, Plinth Completed, RCC upto 17 Slab, Brickwork upto 10 Floor, Internal Plaster upto 4 Floor Completed</v>
      </c>
      <c r="D86" s="90"/>
      <c r="E86" s="90"/>
      <c r="F86" s="90"/>
      <c r="G86" s="90"/>
      <c r="H86" s="209"/>
      <c r="I86" s="47" t="str">
        <f ca="1">IF(I85&lt;&gt;""," Completed","")</f>
        <v xml:space="preserve"> Completed</v>
      </c>
      <c r="J86" s="48" t="str">
        <f ca="1">IF(J84&lt;&gt;"","Completed","")</f>
        <v>Completed</v>
      </c>
    </row>
    <row r="87" spans="1:10" ht="15.75" customHeight="1" x14ac:dyDescent="0.35">
      <c r="A87" s="93" t="s">
        <v>49</v>
      </c>
      <c r="B87" s="92"/>
      <c r="C87" s="43" t="s">
        <v>144</v>
      </c>
      <c r="D87" s="43" t="s">
        <v>84</v>
      </c>
      <c r="E87" s="92" t="s">
        <v>86</v>
      </c>
      <c r="F87" s="92"/>
      <c r="G87" s="92" t="s">
        <v>85</v>
      </c>
      <c r="H87" s="207"/>
      <c r="I87" s="14" t="s">
        <v>146</v>
      </c>
      <c r="J87" s="28">
        <f ca="1">H85*25%</f>
        <v>4.5</v>
      </c>
    </row>
    <row r="88" spans="1:10" x14ac:dyDescent="0.35">
      <c r="A88" s="92" t="s">
        <v>133</v>
      </c>
      <c r="B88" s="92"/>
      <c r="C88" s="59">
        <f ca="1">J89</f>
        <v>18</v>
      </c>
      <c r="D88" s="19">
        <f ca="1">((100/H85)*C88)/100</f>
        <v>1</v>
      </c>
      <c r="E88" s="161">
        <f ca="1">(((C89/H85*10)+(40/(D85+F85+H85)*C90)+(7.5/(H85)*C91)+(7.5/(H85)*C92)+(10/H85*C93)+(10/H85*C94)+(5/H85*C95)+(5/H85*C96)+(5/H85*C97))/100)</f>
        <v>0.51622807017543859</v>
      </c>
      <c r="F88" s="161"/>
      <c r="G88" s="161">
        <f ca="1">((((C88/H85)*20)+((C89/H85)*25)+(30/(H85+F85+D85)*C90)+(5/H85*C91)+(5/H85*C92)+(5/H85*C93)+(5/H85*C94)+(0/H85*C95)+(0/H85*C96)+(5/H85*C97))/100)</f>
        <v>0.75730994152046771</v>
      </c>
      <c r="H88" s="161"/>
      <c r="I88" s="14" t="s">
        <v>102</v>
      </c>
      <c r="J88" s="29">
        <f ca="1">H85*50%</f>
        <v>9</v>
      </c>
    </row>
    <row r="89" spans="1:10" x14ac:dyDescent="0.35">
      <c r="A89" s="92" t="s">
        <v>50</v>
      </c>
      <c r="B89" s="92"/>
      <c r="C89" s="60">
        <f ca="1">J97</f>
        <v>18</v>
      </c>
      <c r="D89" s="19">
        <f ca="1">((100/H85)*C89)/100</f>
        <v>1</v>
      </c>
      <c r="E89" s="161"/>
      <c r="F89" s="161"/>
      <c r="G89" s="161"/>
      <c r="H89" s="161"/>
      <c r="I89" s="14" t="s">
        <v>103</v>
      </c>
      <c r="J89" s="29">
        <f ca="1">H85</f>
        <v>18</v>
      </c>
    </row>
    <row r="90" spans="1:10" ht="15.75" customHeight="1" x14ac:dyDescent="0.35">
      <c r="A90" s="92" t="s">
        <v>134</v>
      </c>
      <c r="B90" s="92"/>
      <c r="C90" s="84">
        <v>17</v>
      </c>
      <c r="D90" s="19">
        <f ca="1">((100/(D85+F85+H85))*C90)/100</f>
        <v>0.89473684210526327</v>
      </c>
      <c r="E90" s="161"/>
      <c r="F90" s="161"/>
      <c r="G90" s="161"/>
      <c r="H90" s="161"/>
      <c r="I90" s="14" t="s">
        <v>104</v>
      </c>
      <c r="J90" s="30">
        <f ca="1">(IF(B85&gt;1,(H85/(B85+2)),H85/4))</f>
        <v>4.5</v>
      </c>
    </row>
    <row r="91" spans="1:10" ht="15.75" customHeight="1" x14ac:dyDescent="0.35">
      <c r="A91" s="92" t="s">
        <v>141</v>
      </c>
      <c r="B91" s="92" t="s">
        <v>135</v>
      </c>
      <c r="C91" s="84">
        <v>10</v>
      </c>
      <c r="D91" s="19">
        <f ca="1">((100/H85)*C91)/100</f>
        <v>0.55555555555555558</v>
      </c>
      <c r="E91" s="161"/>
      <c r="F91" s="161"/>
      <c r="G91" s="161"/>
      <c r="H91" s="161"/>
      <c r="I91" s="14" t="s">
        <v>105</v>
      </c>
      <c r="J91" s="30">
        <f ca="1">(IF(B85&gt;1,(H85/(B85+2)+J90),H85/4+J90))</f>
        <v>9</v>
      </c>
    </row>
    <row r="92" spans="1:10" ht="15.75" customHeight="1" x14ac:dyDescent="0.35">
      <c r="A92" s="92" t="s">
        <v>142</v>
      </c>
      <c r="B92" s="92" t="s">
        <v>135</v>
      </c>
      <c r="C92" s="84">
        <v>4</v>
      </c>
      <c r="D92" s="19">
        <f ca="1">((100/H85)*C92)/100</f>
        <v>0.22222222222222221</v>
      </c>
      <c r="E92" s="161"/>
      <c r="F92" s="161"/>
      <c r="G92" s="161"/>
      <c r="H92" s="161"/>
      <c r="I92" s="14" t="s">
        <v>153</v>
      </c>
      <c r="J92" s="30">
        <f>(IF(B85&gt;1,(H85/(B85+2)+J91),0))</f>
        <v>0</v>
      </c>
    </row>
    <row r="93" spans="1:10" ht="15" customHeight="1" x14ac:dyDescent="0.35">
      <c r="A93" s="92" t="s">
        <v>140</v>
      </c>
      <c r="B93" s="92" t="s">
        <v>137</v>
      </c>
      <c r="C93" s="84">
        <v>0</v>
      </c>
      <c r="D93" s="19">
        <f ca="1">((100/(H85))*C93)/100</f>
        <v>0</v>
      </c>
      <c r="E93" s="161"/>
      <c r="F93" s="161"/>
      <c r="G93" s="161"/>
      <c r="H93" s="161"/>
      <c r="I93" s="14" t="s">
        <v>148</v>
      </c>
      <c r="J93" s="30">
        <f>(IF(B85&gt;2,(H85/(B85+2)+J92),0))</f>
        <v>0</v>
      </c>
    </row>
    <row r="94" spans="1:10" ht="15.75" customHeight="1" x14ac:dyDescent="0.35">
      <c r="A94" s="92" t="s">
        <v>136</v>
      </c>
      <c r="B94" s="92" t="s">
        <v>136</v>
      </c>
      <c r="C94" s="84">
        <v>0</v>
      </c>
      <c r="D94" s="19">
        <f ca="1">((100/H85)*C94)/100</f>
        <v>0</v>
      </c>
      <c r="E94" s="161"/>
      <c r="F94" s="161"/>
      <c r="G94" s="161"/>
      <c r="H94" s="161"/>
      <c r="I94" s="14" t="s">
        <v>149</v>
      </c>
      <c r="J94" s="31">
        <f>(IF(B85&gt;3,(H85/(B85+2)+J93),0))</f>
        <v>0</v>
      </c>
    </row>
    <row r="95" spans="1:10" ht="15.75" customHeight="1" x14ac:dyDescent="0.35">
      <c r="A95" s="92" t="s">
        <v>143</v>
      </c>
      <c r="B95" s="92"/>
      <c r="C95" s="84">
        <v>0</v>
      </c>
      <c r="D95" s="19">
        <f ca="1">((100/H85)*C95)/100</f>
        <v>0</v>
      </c>
      <c r="E95" s="161"/>
      <c r="F95" s="161"/>
      <c r="G95" s="161"/>
      <c r="H95" s="161"/>
      <c r="I95" s="14" t="s">
        <v>150</v>
      </c>
      <c r="J95" s="30">
        <f>(IF(B85&gt;4,(H85/(B85+2)+J94),0))</f>
        <v>0</v>
      </c>
    </row>
    <row r="96" spans="1:10" ht="15.75" customHeight="1" x14ac:dyDescent="0.35">
      <c r="A96" s="92" t="s">
        <v>138</v>
      </c>
      <c r="B96" s="92" t="s">
        <v>138</v>
      </c>
      <c r="C96" s="84">
        <v>0</v>
      </c>
      <c r="D96" s="19">
        <f ca="1">((100/(H85))*C96)/100</f>
        <v>0</v>
      </c>
      <c r="E96" s="161"/>
      <c r="F96" s="161"/>
      <c r="G96" s="161"/>
      <c r="H96" s="161"/>
      <c r="I96" s="14" t="s">
        <v>154</v>
      </c>
      <c r="J96" s="30">
        <f ca="1">(IF(B85=1,(H85/(B85+3)+J91),IF(B85=0,(H85/4+J91),IF(B85&gt;1,0))))</f>
        <v>13.5</v>
      </c>
    </row>
    <row r="97" spans="1:10" ht="16" thickBot="1" x14ac:dyDescent="0.4">
      <c r="A97" s="92" t="s">
        <v>139</v>
      </c>
      <c r="B97" s="92"/>
      <c r="C97" s="84">
        <v>0</v>
      </c>
      <c r="D97" s="19">
        <f ca="1">((100/(H85))*C97)/100</f>
        <v>0</v>
      </c>
      <c r="E97" s="161"/>
      <c r="F97" s="161"/>
      <c r="G97" s="161"/>
      <c r="H97" s="161"/>
      <c r="I97" s="15" t="s">
        <v>106</v>
      </c>
      <c r="J97" s="32">
        <f ca="1">(IF(B85&gt;1.5,(H85/(B85+2)+J91+MAX(0,J92-J91)+MAX(0,J93-J92)+MAX(0,J94-J93)+MAX(0,J95-J94)+MAX(0,J96-J95)),IF(B85=1,(H85/(B85+3)+J96),IF(B85=0,H85/4+J96))))</f>
        <v>18</v>
      </c>
    </row>
    <row r="98" spans="1:10" ht="15.75" customHeight="1" x14ac:dyDescent="0.35">
      <c r="A98" s="90" t="s">
        <v>145</v>
      </c>
      <c r="B98" s="90"/>
      <c r="C98" s="90" t="s">
        <v>210</v>
      </c>
      <c r="D98" s="90"/>
      <c r="E98" s="90"/>
      <c r="F98" s="90"/>
      <c r="G98" s="90"/>
      <c r="H98" s="90"/>
      <c r="I98" s="61" t="str">
        <f ca="1">IF(D111=100%,"All work Completed. Possession granted to the Building.",IF(D110=100%,"All work Completed, Waiting for OC",I99&amp;""&amp;I100&amp;""&amp;J99&amp;""&amp;J98&amp;" "&amp;J100))</f>
        <v>Excavation, Plinth Completed, RCC upto 17 Slab, Brickwork upto 15 Floor, Internal Plaster upto 4 Floor Completed</v>
      </c>
      <c r="J98" s="46" t="str">
        <f ca="1">(IF(C104=(D99+F99+H99),"",IF(C104&gt;0,", RCC upto "&amp;C104&amp;" Slab","")))&amp;(IF(C105=H99,"",IF(C105&gt;0,", Brickwork upto "&amp;C105&amp;" Floor","")))&amp;(IF(C106=H99,"",IF(C106&gt;0,", Internal Plaster upto "&amp;C106&amp;" Floor","")))&amp;(IF(C107=H99,"",IF(C107&gt;0,", External Plaster upto "&amp;C107&amp;" Floor","")))&amp;(IF(C108=H99,"",IF(C108&gt;0,", Flooring upto "&amp;C108&amp;" Floor","")))&amp;(IF(C109=H99,"",IF(C109&gt;0,", Painting upto "&amp;C109&amp;" Floor","")))&amp;(IF(C110=H99,"",IF(C110&gt;0,", Finishing upto "&amp;C110&amp;" Floor","")))&amp;(IF(C111=H99,"",IF(C111&gt;0,", Possession upto "&amp;C111&amp;" Floor","")))</f>
        <v>, RCC upto 17 Slab, Brickwork upto 15 Floor, Internal Plaster upto 4 Floor</v>
      </c>
    </row>
    <row r="99" spans="1:10" x14ac:dyDescent="0.35">
      <c r="A99" s="83" t="s">
        <v>147</v>
      </c>
      <c r="B99" s="83">
        <v>0</v>
      </c>
      <c r="C99" s="83" t="s">
        <v>73</v>
      </c>
      <c r="D99" s="83">
        <v>1</v>
      </c>
      <c r="E99" s="83" t="s">
        <v>72</v>
      </c>
      <c r="F99" s="83">
        <v>0</v>
      </c>
      <c r="G99" s="83" t="s">
        <v>81</v>
      </c>
      <c r="H99" s="83">
        <f ca="1">--TRIM(RIGHT(SUBSTITUTE(LEFT(C98,_xlfn.AGGREGATE(16,6,FIND({0,1,2,3,4,5,6,7,8,9},C98,ROW(INDIRECT("1:"&amp;LEN(C98)))),1))," ",REPT(" ",LEN(C98))),LEN(C98)))</f>
        <v>17</v>
      </c>
      <c r="I99" s="62" t="str">
        <f ca="1">IF(D102=100%,"Excavation","")&amp;IF(D103=100%,", Plinth","")&amp;IF(D104=100%,", RCC Slab","")&amp;IF(D105=100%,", Brickwork","")&amp;IF(D106=100%,", Internal Plaster","")&amp;IF(D107=100%,", External Plaster","")&amp;IF(D108=100%,", Flooring","")&amp;IF(D109=100%,", Painting","")&amp;IF(D110=100%,", Building common Amenities","")</f>
        <v>Excavation, Plinth</v>
      </c>
      <c r="J99" s="48" t="str">
        <f ca="1">(IF(C102=0,"Work not yet Started.",IF(D102=25%,"Piling work in process",IF(D102=50%,"Excavation work in process",IF(D102=100%,"","0")))))&amp;(IF(C103=0%,"",IF(C103=J104,", Footing work is process",IF(C103=J105,", Footing work Completed",IF(C103=J106,", 1st Basement Completed",IF(C103=J107,", 1st &amp; 2nd Basement Completed",IF(C103=J108,", 1st to 3rd Basement Completed",IF(C103=J109,", 1st to 4th Basement Completed",IF(C103=J110,", Plinth work is process",IF(C103=J111,"","0"))))))))))</f>
        <v/>
      </c>
    </row>
    <row r="100" spans="1:10" ht="32.25" customHeight="1" x14ac:dyDescent="0.35">
      <c r="A100" s="91" t="s">
        <v>91</v>
      </c>
      <c r="B100" s="91"/>
      <c r="C100" s="90" t="str">
        <f ca="1">(IF($G$54="NA",I98,"All work Completed. OC Received."))</f>
        <v>Excavation, Plinth Completed, RCC upto 17 Slab, Brickwork upto 15 Floor, Internal Plaster upto 4 Floor Completed</v>
      </c>
      <c r="D100" s="90"/>
      <c r="E100" s="90"/>
      <c r="F100" s="90"/>
      <c r="G100" s="90"/>
      <c r="H100" s="90"/>
      <c r="I100" s="62" t="str">
        <f ca="1">IF(I99&lt;&gt;""," Completed","")</f>
        <v xml:space="preserve"> Completed</v>
      </c>
      <c r="J100" s="48" t="str">
        <f ca="1">IF(J98&lt;&gt;"","Completed","")</f>
        <v>Completed</v>
      </c>
    </row>
    <row r="101" spans="1:10" ht="15.75" customHeight="1" x14ac:dyDescent="0.35">
      <c r="A101" s="92" t="s">
        <v>49</v>
      </c>
      <c r="B101" s="92"/>
      <c r="C101" s="84" t="s">
        <v>144</v>
      </c>
      <c r="D101" s="84" t="s">
        <v>84</v>
      </c>
      <c r="E101" s="92" t="s">
        <v>86</v>
      </c>
      <c r="F101" s="92"/>
      <c r="G101" s="92" t="s">
        <v>85</v>
      </c>
      <c r="H101" s="92"/>
      <c r="I101" s="14" t="s">
        <v>146</v>
      </c>
      <c r="J101" s="28">
        <f ca="1">H99*25%</f>
        <v>4.25</v>
      </c>
    </row>
    <row r="102" spans="1:10" x14ac:dyDescent="0.35">
      <c r="A102" s="92" t="s">
        <v>133</v>
      </c>
      <c r="B102" s="92"/>
      <c r="C102" s="84">
        <f ca="1">J103</f>
        <v>17</v>
      </c>
      <c r="D102" s="19">
        <f ca="1">((100/H99)*C102)/100</f>
        <v>1</v>
      </c>
      <c r="E102" s="161">
        <f ca="1">(((C103/H99*10)+(40/(D99+F99+H99)*C104)+(7.5/(H99)*C105)+(7.5/(H99)*C106)+(10/H99*C107)+(10/H99*C108)+(5/H99*C109)+(5/H99*C110)+(5/H99*C111))/100)</f>
        <v>0.56160130718954249</v>
      </c>
      <c r="F102" s="161"/>
      <c r="G102" s="161">
        <f ca="1">((((C102/H99)*20)+((C103/H99)*25)+(30/(H99+F99+D99)*C104)+(5/H99*C105)+(5/H99*C106)+(5/H99*C107)+(5/H99*C108)+(0/H99*C109)+(0/H99*C110)+(5/H99*C111))/100)</f>
        <v>0.78921568627450978</v>
      </c>
      <c r="H102" s="161"/>
      <c r="I102" s="14" t="s">
        <v>102</v>
      </c>
      <c r="J102" s="29">
        <f ca="1">H99*50%</f>
        <v>8.5</v>
      </c>
    </row>
    <row r="103" spans="1:10" x14ac:dyDescent="0.35">
      <c r="A103" s="92" t="s">
        <v>50</v>
      </c>
      <c r="B103" s="92"/>
      <c r="C103" s="53">
        <f ca="1">J111</f>
        <v>17</v>
      </c>
      <c r="D103" s="19">
        <f ca="1">((100/H99)*C103)/100</f>
        <v>1</v>
      </c>
      <c r="E103" s="161"/>
      <c r="F103" s="161"/>
      <c r="G103" s="161"/>
      <c r="H103" s="161"/>
      <c r="I103" s="14" t="s">
        <v>103</v>
      </c>
      <c r="J103" s="29">
        <f ca="1">H99</f>
        <v>17</v>
      </c>
    </row>
    <row r="104" spans="1:10" ht="15.75" customHeight="1" x14ac:dyDescent="0.35">
      <c r="A104" s="92" t="s">
        <v>134</v>
      </c>
      <c r="B104" s="92"/>
      <c r="C104" s="84">
        <v>17</v>
      </c>
      <c r="D104" s="19">
        <f ca="1">((100/(D99+F99+H99))*C104)/100</f>
        <v>0.94444444444444442</v>
      </c>
      <c r="E104" s="161"/>
      <c r="F104" s="161"/>
      <c r="G104" s="161"/>
      <c r="H104" s="161"/>
      <c r="I104" s="14" t="s">
        <v>104</v>
      </c>
      <c r="J104" s="30">
        <f ca="1">(IF(B99&gt;1,(H99/(B99+2)),H99/4))</f>
        <v>4.25</v>
      </c>
    </row>
    <row r="105" spans="1:10" ht="15.75" customHeight="1" x14ac:dyDescent="0.35">
      <c r="A105" s="92" t="s">
        <v>141</v>
      </c>
      <c r="B105" s="92" t="s">
        <v>135</v>
      </c>
      <c r="C105" s="84">
        <v>15</v>
      </c>
      <c r="D105" s="19">
        <f ca="1">((100/H99)*C105)/100</f>
        <v>0.88235294117647067</v>
      </c>
      <c r="E105" s="161"/>
      <c r="F105" s="161"/>
      <c r="G105" s="161"/>
      <c r="H105" s="161"/>
      <c r="I105" s="14" t="s">
        <v>105</v>
      </c>
      <c r="J105" s="30">
        <f ca="1">(IF(B99&gt;1,(H99/(B99+2)+J104),H99/4+J104))</f>
        <v>8.5</v>
      </c>
    </row>
    <row r="106" spans="1:10" ht="15.75" customHeight="1" x14ac:dyDescent="0.35">
      <c r="A106" s="92" t="s">
        <v>142</v>
      </c>
      <c r="B106" s="92" t="s">
        <v>135</v>
      </c>
      <c r="C106" s="84">
        <v>4</v>
      </c>
      <c r="D106" s="19">
        <f ca="1">((100/H99)*C106)/100</f>
        <v>0.23529411764705885</v>
      </c>
      <c r="E106" s="161"/>
      <c r="F106" s="161"/>
      <c r="G106" s="161"/>
      <c r="H106" s="161"/>
      <c r="I106" s="14" t="s">
        <v>153</v>
      </c>
      <c r="J106" s="30">
        <f>(IF(B99&gt;1,(H99/(B99+2)+J105),0))</f>
        <v>0</v>
      </c>
    </row>
    <row r="107" spans="1:10" ht="15" customHeight="1" x14ac:dyDescent="0.35">
      <c r="A107" s="92" t="s">
        <v>140</v>
      </c>
      <c r="B107" s="92" t="s">
        <v>137</v>
      </c>
      <c r="C107" s="84">
        <v>0</v>
      </c>
      <c r="D107" s="19">
        <f ca="1">((100/(H99))*C107)/100</f>
        <v>0</v>
      </c>
      <c r="E107" s="161"/>
      <c r="F107" s="161"/>
      <c r="G107" s="161"/>
      <c r="H107" s="161"/>
      <c r="I107" s="14" t="s">
        <v>148</v>
      </c>
      <c r="J107" s="30">
        <f>(IF(B99&gt;2,(H99/(B99+2)+J106),0))</f>
        <v>0</v>
      </c>
    </row>
    <row r="108" spans="1:10" ht="15.75" customHeight="1" x14ac:dyDescent="0.35">
      <c r="A108" s="92" t="s">
        <v>136</v>
      </c>
      <c r="B108" s="92" t="s">
        <v>136</v>
      </c>
      <c r="C108" s="84">
        <v>0</v>
      </c>
      <c r="D108" s="19">
        <f ca="1">((100/H99)*C108)/100</f>
        <v>0</v>
      </c>
      <c r="E108" s="161"/>
      <c r="F108" s="161"/>
      <c r="G108" s="161"/>
      <c r="H108" s="161"/>
      <c r="I108" s="14" t="s">
        <v>149</v>
      </c>
      <c r="J108" s="31">
        <f>(IF(B99&gt;3,(H99/(B99+2)+J107),0))</f>
        <v>0</v>
      </c>
    </row>
    <row r="109" spans="1:10" ht="15.75" customHeight="1" x14ac:dyDescent="0.35">
      <c r="A109" s="92" t="s">
        <v>143</v>
      </c>
      <c r="B109" s="92"/>
      <c r="C109" s="84">
        <v>0</v>
      </c>
      <c r="D109" s="19">
        <f ca="1">((100/H99)*C109)/100</f>
        <v>0</v>
      </c>
      <c r="E109" s="161"/>
      <c r="F109" s="161"/>
      <c r="G109" s="161"/>
      <c r="H109" s="161"/>
      <c r="I109" s="14" t="s">
        <v>150</v>
      </c>
      <c r="J109" s="30">
        <f>(IF(B99&gt;4,(H99/(B99+2)+J108),0))</f>
        <v>0</v>
      </c>
    </row>
    <row r="110" spans="1:10" ht="15.75" customHeight="1" x14ac:dyDescent="0.35">
      <c r="A110" s="92" t="s">
        <v>138</v>
      </c>
      <c r="B110" s="92" t="s">
        <v>138</v>
      </c>
      <c r="C110" s="84">
        <v>0</v>
      </c>
      <c r="D110" s="19">
        <f ca="1">((100/(H99))*C110)/100</f>
        <v>0</v>
      </c>
      <c r="E110" s="161"/>
      <c r="F110" s="161"/>
      <c r="G110" s="161"/>
      <c r="H110" s="161"/>
      <c r="I110" s="14" t="s">
        <v>154</v>
      </c>
      <c r="J110" s="30">
        <f ca="1">(IF(B99=1,(H99/(B99+3)+J105),IF(B99=0,(H99/4+J105),IF(B99&gt;1,0))))</f>
        <v>12.75</v>
      </c>
    </row>
    <row r="111" spans="1:10" ht="16" thickBot="1" x14ac:dyDescent="0.4">
      <c r="A111" s="92" t="s">
        <v>139</v>
      </c>
      <c r="B111" s="92"/>
      <c r="C111" s="84">
        <v>0</v>
      </c>
      <c r="D111" s="19">
        <f ca="1">((100/(H99))*C111)/100</f>
        <v>0</v>
      </c>
      <c r="E111" s="161"/>
      <c r="F111" s="161"/>
      <c r="G111" s="161"/>
      <c r="H111" s="161"/>
      <c r="I111" s="15" t="s">
        <v>106</v>
      </c>
      <c r="J111" s="32">
        <f ca="1">(IF(B99&gt;1.5,(H99/(B99+2)+J105+MAX(0,J106-J105)+MAX(0,J107-J106)+MAX(0,J108-J107)+MAX(0,J109-J108)+MAX(0,J110-J109)),IF(B99=1,(H99/(B99+3)+J110),IF(B99=0,H99/4+J110))))</f>
        <v>17</v>
      </c>
    </row>
    <row r="112" spans="1:10" ht="15.75" customHeight="1" x14ac:dyDescent="0.35">
      <c r="A112" s="90" t="s">
        <v>145</v>
      </c>
      <c r="B112" s="90"/>
      <c r="C112" s="90" t="str">
        <f>D62</f>
        <v>Building Type C = Gr/St. + 1st to 4th Floor</v>
      </c>
      <c r="D112" s="90"/>
      <c r="E112" s="90"/>
      <c r="F112" s="90"/>
      <c r="G112" s="90"/>
      <c r="H112" s="90"/>
      <c r="I112" s="61" t="str">
        <f ca="1">IF(D125=100%,"All work Completed. Possession granted to the Building.",IF(D124=100%,"All work Completed, Waiting for OC",I113&amp;""&amp;I114&amp;""&amp;J113&amp;""&amp;J112&amp;" "&amp;J114))</f>
        <v xml:space="preserve">Work not yet Started. </v>
      </c>
      <c r="J112" s="46" t="str">
        <f ca="1">(IF(C118=(D113+F113+H113),"",IF(C118&gt;0,", RCC upto "&amp;C118&amp;" Slab","")))&amp;(IF(C119=H113,"",IF(C119&gt;0,", Brickwork upto "&amp;C119&amp;" Floor","")))&amp;(IF(C120=H113,"",IF(C120&gt;0,", Internal Plaster upto "&amp;C120&amp;" Floor","")))&amp;(IF(C121=H113,"",IF(C121&gt;0,", External Plaster upto "&amp;C121&amp;" Floor","")))&amp;(IF(C122=H113,"",IF(C122&gt;0,", Flooring upto "&amp;C122&amp;" Floor","")))&amp;(IF(C123=H113,"",IF(C123&gt;0,", Painting upto "&amp;C123&amp;" Floor","")))&amp;(IF(C124=H113,"",IF(C124&gt;0,", Finishing upto "&amp;C124&amp;" Floor","")))&amp;(IF(C125=H113,"",IF(C125&gt;0,", Possession upto "&amp;C125&amp;" Floor","")))</f>
        <v/>
      </c>
    </row>
    <row r="113" spans="1:11" x14ac:dyDescent="0.35">
      <c r="A113" s="58" t="s">
        <v>147</v>
      </c>
      <c r="B113" s="58">
        <v>0</v>
      </c>
      <c r="C113" s="58" t="s">
        <v>73</v>
      </c>
      <c r="D113" s="58">
        <v>1</v>
      </c>
      <c r="E113" s="58" t="s">
        <v>72</v>
      </c>
      <c r="F113" s="58">
        <v>0</v>
      </c>
      <c r="G113" s="58" t="s">
        <v>81</v>
      </c>
      <c r="H113" s="58">
        <f ca="1">--TRIM(RIGHT(SUBSTITUTE(LEFT(C112,_xlfn.AGGREGATE(16,6,FIND({0,1,2,3,4,5,6,7,8,9},C112,ROW(INDIRECT("1:"&amp;LEN(C112)))),1))," ",REPT(" ",LEN(C112))),LEN(C112)))</f>
        <v>4</v>
      </c>
      <c r="I113" s="62" t="str">
        <f ca="1">IF(D116=100%,"Excavation","")&amp;IF(D117=100%,", Plinth","")&amp;IF(D118=100%,", RCC Slab","")&amp;IF(D119=100%,", Brickwork","")&amp;IF(D120=100%,", Internal Plaster","")&amp;IF(D121=100%,", External Plaster","")&amp;IF(D122=100%,", Flooring","")&amp;IF(D123=100%,", Painting","")&amp;IF(D124=100%,", Building common Amenities","")</f>
        <v/>
      </c>
      <c r="J113" s="48" t="str">
        <f>(IF(C116=0,"Work not yet Started.",IF(D116=25%,"Piling work in process",IF(D116=50%,"Excavation work in process",IF(D116=100%,"","0")))))&amp;(IF(C117=0%,"",IF(C117=J118,", Footing work is process",IF(C117=J119,", Footing work Completed",IF(C117=J120,", 1st Basement Completed",IF(C117=J121,", 1st &amp; 2nd Basement Completed",IF(C117=J122,", 1st to 3rd Basement Completed",IF(C117=J123,", 1st to 4th Basement Completed",IF(C117=J124,", Plinth work is process",IF(C117=J125,"","0"))))))))))</f>
        <v>Work not yet Started.</v>
      </c>
    </row>
    <row r="114" spans="1:11" x14ac:dyDescent="0.35">
      <c r="A114" s="91" t="s">
        <v>91</v>
      </c>
      <c r="B114" s="91"/>
      <c r="C114" s="90" t="str">
        <f ca="1">(IF($G$54="NA",I112,"All work Completed. OC Received."))</f>
        <v xml:space="preserve">Work not yet Started. </v>
      </c>
      <c r="D114" s="90"/>
      <c r="E114" s="90"/>
      <c r="F114" s="90"/>
      <c r="G114" s="90"/>
      <c r="H114" s="90"/>
      <c r="I114" s="62" t="str">
        <f ca="1">IF(I113&lt;&gt;""," Completed","")</f>
        <v/>
      </c>
      <c r="J114" s="48" t="str">
        <f ca="1">IF(J112&lt;&gt;"","Completed","")</f>
        <v/>
      </c>
    </row>
    <row r="115" spans="1:11" ht="15.75" customHeight="1" x14ac:dyDescent="0.35">
      <c r="A115" s="92" t="s">
        <v>49</v>
      </c>
      <c r="B115" s="92"/>
      <c r="C115" s="56" t="s">
        <v>144</v>
      </c>
      <c r="D115" s="56" t="s">
        <v>84</v>
      </c>
      <c r="E115" s="92" t="s">
        <v>86</v>
      </c>
      <c r="F115" s="92"/>
      <c r="G115" s="92" t="s">
        <v>85</v>
      </c>
      <c r="H115" s="92"/>
      <c r="I115" s="14" t="s">
        <v>146</v>
      </c>
      <c r="J115" s="28">
        <f ca="1">H113*25%</f>
        <v>1</v>
      </c>
    </row>
    <row r="116" spans="1:11" x14ac:dyDescent="0.35">
      <c r="A116" s="93" t="s">
        <v>133</v>
      </c>
      <c r="B116" s="92"/>
      <c r="C116" s="56">
        <v>0</v>
      </c>
      <c r="D116" s="19">
        <f ca="1">((100/H113)*C116)/100</f>
        <v>0</v>
      </c>
      <c r="E116" s="94">
        <f ca="1">(((C117/H113*10)+(40/(D113+F113+H113)*C118)+(7.5/(H113)*C119)+(7.5/(H113)*C120)+(10/H113*C121)+(10/H113*C122)+(5/H113*C123)+(5/H113*C124)+(5/H113*C125))/100)</f>
        <v>0</v>
      </c>
      <c r="F116" s="95"/>
      <c r="G116" s="94">
        <f ca="1">((((C116/H113)*20)+((C117/H113)*25)+(30/(H113+F113+D113)*C118)+(5/H113*C119)+(5/H113*C120)+(5/H113*C121)+(5/H113*C122)+(0/H113*C123)+(0/H113*C124)+(5/H113*C125))/100)</f>
        <v>0</v>
      </c>
      <c r="H116" s="100"/>
      <c r="I116" s="14" t="s">
        <v>102</v>
      </c>
      <c r="J116" s="29">
        <f ca="1">H113*50%</f>
        <v>2</v>
      </c>
    </row>
    <row r="117" spans="1:11" x14ac:dyDescent="0.35">
      <c r="A117" s="93" t="s">
        <v>50</v>
      </c>
      <c r="B117" s="92"/>
      <c r="C117" s="56">
        <v>0</v>
      </c>
      <c r="D117" s="19">
        <f ca="1">((100/H113)*C117)/100</f>
        <v>0</v>
      </c>
      <c r="E117" s="96"/>
      <c r="F117" s="97"/>
      <c r="G117" s="96"/>
      <c r="H117" s="101"/>
      <c r="I117" s="14" t="s">
        <v>103</v>
      </c>
      <c r="J117" s="29">
        <f ca="1">H113</f>
        <v>4</v>
      </c>
    </row>
    <row r="118" spans="1:11" ht="15.75" customHeight="1" x14ac:dyDescent="0.35">
      <c r="A118" s="93" t="s">
        <v>134</v>
      </c>
      <c r="B118" s="92"/>
      <c r="C118" s="56">
        <v>0</v>
      </c>
      <c r="D118" s="19">
        <f ca="1">((100/(D113+F113+H113))*C118)/100</f>
        <v>0</v>
      </c>
      <c r="E118" s="96"/>
      <c r="F118" s="97"/>
      <c r="G118" s="96"/>
      <c r="H118" s="101"/>
      <c r="I118" s="14" t="s">
        <v>104</v>
      </c>
      <c r="J118" s="30">
        <f ca="1">(IF(B113&gt;1,(H113/(B113+2)),H113/4))</f>
        <v>1</v>
      </c>
    </row>
    <row r="119" spans="1:11" ht="15.75" customHeight="1" x14ac:dyDescent="0.35">
      <c r="A119" s="93" t="s">
        <v>141</v>
      </c>
      <c r="B119" s="92" t="s">
        <v>135</v>
      </c>
      <c r="C119" s="56">
        <v>0</v>
      </c>
      <c r="D119" s="19">
        <f ca="1">((100/H113)*C119)/100</f>
        <v>0</v>
      </c>
      <c r="E119" s="96"/>
      <c r="F119" s="97"/>
      <c r="G119" s="96"/>
      <c r="H119" s="101"/>
      <c r="I119" s="14" t="s">
        <v>105</v>
      </c>
      <c r="J119" s="30">
        <f ca="1">(IF(B113&gt;1,(H113/(B113+2)+J118),H113/4+J118))</f>
        <v>2</v>
      </c>
    </row>
    <row r="120" spans="1:11" ht="15.75" customHeight="1" x14ac:dyDescent="0.35">
      <c r="A120" s="93" t="s">
        <v>142</v>
      </c>
      <c r="B120" s="92" t="s">
        <v>135</v>
      </c>
      <c r="C120" s="56">
        <v>0</v>
      </c>
      <c r="D120" s="19">
        <f ca="1">((100/H113)*C120)/100</f>
        <v>0</v>
      </c>
      <c r="E120" s="96"/>
      <c r="F120" s="97"/>
      <c r="G120" s="96"/>
      <c r="H120" s="101"/>
      <c r="I120" s="14" t="s">
        <v>153</v>
      </c>
      <c r="J120" s="30">
        <f>(IF(B113&gt;1,(H113/(B113+2)+J119),0))</f>
        <v>0</v>
      </c>
    </row>
    <row r="121" spans="1:11" ht="15" customHeight="1" x14ac:dyDescent="0.35">
      <c r="A121" s="93" t="s">
        <v>140</v>
      </c>
      <c r="B121" s="92" t="s">
        <v>137</v>
      </c>
      <c r="C121" s="56">
        <v>0</v>
      </c>
      <c r="D121" s="19">
        <f ca="1">((100/(H113))*C121)/100</f>
        <v>0</v>
      </c>
      <c r="E121" s="96"/>
      <c r="F121" s="97"/>
      <c r="G121" s="96"/>
      <c r="H121" s="101"/>
      <c r="I121" s="14" t="s">
        <v>148</v>
      </c>
      <c r="J121" s="30">
        <f>(IF(B113&gt;2,(H113/(B113+2)+J120),0))</f>
        <v>0</v>
      </c>
    </row>
    <row r="122" spans="1:11" ht="15.75" customHeight="1" x14ac:dyDescent="0.35">
      <c r="A122" s="93" t="s">
        <v>136</v>
      </c>
      <c r="B122" s="92" t="s">
        <v>136</v>
      </c>
      <c r="C122" s="56">
        <v>0</v>
      </c>
      <c r="D122" s="19">
        <f ca="1">((100/H113)*C122)/100</f>
        <v>0</v>
      </c>
      <c r="E122" s="96"/>
      <c r="F122" s="97"/>
      <c r="G122" s="96"/>
      <c r="H122" s="101"/>
      <c r="I122" s="14" t="s">
        <v>149</v>
      </c>
      <c r="J122" s="31">
        <f>(IF(B113&gt;3,(H113/(B113+2)+J121),0))</f>
        <v>0</v>
      </c>
    </row>
    <row r="123" spans="1:11" ht="15.75" customHeight="1" x14ac:dyDescent="0.35">
      <c r="A123" s="93" t="s">
        <v>143</v>
      </c>
      <c r="B123" s="92"/>
      <c r="C123" s="56">
        <v>0</v>
      </c>
      <c r="D123" s="19">
        <f ca="1">((100/H113)*C123)/100</f>
        <v>0</v>
      </c>
      <c r="E123" s="96"/>
      <c r="F123" s="97"/>
      <c r="G123" s="96"/>
      <c r="H123" s="101"/>
      <c r="I123" s="14" t="s">
        <v>150</v>
      </c>
      <c r="J123" s="30">
        <f>(IF(B113&gt;4,(H113/(B113+2)+J122),0))</f>
        <v>0</v>
      </c>
    </row>
    <row r="124" spans="1:11" ht="15.75" customHeight="1" x14ac:dyDescent="0.35">
      <c r="A124" s="93" t="s">
        <v>138</v>
      </c>
      <c r="B124" s="92" t="s">
        <v>138</v>
      </c>
      <c r="C124" s="56">
        <v>0</v>
      </c>
      <c r="D124" s="19">
        <f ca="1">((100/(H113))*C124)/100</f>
        <v>0</v>
      </c>
      <c r="E124" s="96"/>
      <c r="F124" s="97"/>
      <c r="G124" s="96"/>
      <c r="H124" s="101"/>
      <c r="I124" s="14" t="s">
        <v>154</v>
      </c>
      <c r="J124" s="30">
        <f ca="1">(IF(B113=1,(H113/(B113+3)+J119),IF(B113=0,(H113/4+J119),IF(B113&gt;1,0))))</f>
        <v>3</v>
      </c>
    </row>
    <row r="125" spans="1:11" ht="16" thickBot="1" x14ac:dyDescent="0.4">
      <c r="A125" s="103" t="s">
        <v>139</v>
      </c>
      <c r="B125" s="104"/>
      <c r="C125" s="57">
        <v>0</v>
      </c>
      <c r="D125" s="20">
        <f ca="1">((100/(H113))*C125)/100</f>
        <v>0</v>
      </c>
      <c r="E125" s="98"/>
      <c r="F125" s="99"/>
      <c r="G125" s="98"/>
      <c r="H125" s="102"/>
      <c r="I125" s="15" t="s">
        <v>106</v>
      </c>
      <c r="J125" s="32">
        <f ca="1">(IF(B113&gt;1.5,(H113/(B113+2)+J119+MAX(0,J120-J119)+MAX(0,J121-J120)+MAX(0,J122-J121)+MAX(0,J123-J122)+MAX(0,J124-J123)),IF(B113=1,(H113/(B113+3)+J124),IF(B113=0,H113/4+J124))))</f>
        <v>4</v>
      </c>
    </row>
    <row r="126" spans="1:11" x14ac:dyDescent="0.35">
      <c r="A126" s="218" t="s">
        <v>164</v>
      </c>
      <c r="B126" s="218"/>
      <c r="C126" s="218"/>
      <c r="D126" s="218"/>
      <c r="E126" s="218"/>
      <c r="F126" s="206" t="s">
        <v>167</v>
      </c>
      <c r="G126" s="206"/>
      <c r="H126" s="206"/>
    </row>
    <row r="127" spans="1:11" x14ac:dyDescent="0.35">
      <c r="A127" s="131" t="s">
        <v>166</v>
      </c>
      <c r="B127" s="131"/>
      <c r="C127" s="131"/>
      <c r="D127" s="131"/>
      <c r="E127" s="131"/>
      <c r="F127" s="140">
        <v>6200</v>
      </c>
      <c r="G127" s="140"/>
      <c r="H127" s="140"/>
      <c r="J127" s="21" t="s">
        <v>207</v>
      </c>
      <c r="K127" s="21" t="s">
        <v>208</v>
      </c>
    </row>
    <row r="128" spans="1:11" ht="37.5" customHeight="1" x14ac:dyDescent="0.35">
      <c r="A128" s="155" t="s">
        <v>254</v>
      </c>
      <c r="B128" s="155"/>
      <c r="C128" s="155"/>
      <c r="D128" s="155"/>
      <c r="E128" s="155"/>
      <c r="F128" s="140">
        <v>12000</v>
      </c>
      <c r="G128" s="140"/>
      <c r="H128" s="140"/>
    </row>
    <row r="129" spans="1:11" x14ac:dyDescent="0.35">
      <c r="A129" s="155" t="s">
        <v>255</v>
      </c>
      <c r="B129" s="155"/>
      <c r="C129" s="155"/>
      <c r="D129" s="155"/>
      <c r="E129" s="155"/>
      <c r="F129" s="140">
        <v>10000</v>
      </c>
      <c r="G129" s="140"/>
      <c r="H129" s="140"/>
    </row>
    <row r="130" spans="1:11" s="33" customFormat="1" hidden="1" x14ac:dyDescent="0.3">
      <c r="A130" s="131" t="s">
        <v>165</v>
      </c>
      <c r="B130" s="131"/>
      <c r="C130" s="131"/>
      <c r="D130" s="131"/>
      <c r="E130" s="131"/>
      <c r="F130" s="140"/>
      <c r="G130" s="140"/>
      <c r="H130" s="140"/>
    </row>
    <row r="131" spans="1:11" s="33" customFormat="1" hidden="1" x14ac:dyDescent="0.3">
      <c r="A131" s="131" t="s">
        <v>96</v>
      </c>
      <c r="B131" s="131"/>
      <c r="C131" s="131"/>
      <c r="D131" s="131"/>
      <c r="E131" s="131"/>
      <c r="F131" s="140"/>
      <c r="G131" s="140"/>
      <c r="H131" s="140"/>
    </row>
    <row r="132" spans="1:11" s="33" customFormat="1" hidden="1" x14ac:dyDescent="0.3">
      <c r="A132" s="131" t="s">
        <v>97</v>
      </c>
      <c r="B132" s="131"/>
      <c r="C132" s="131"/>
      <c r="D132" s="131"/>
      <c r="E132" s="131"/>
      <c r="F132" s="140"/>
      <c r="G132" s="140"/>
      <c r="H132" s="140"/>
    </row>
    <row r="133" spans="1:11" s="33" customFormat="1" hidden="1" x14ac:dyDescent="0.3">
      <c r="A133" s="131" t="s">
        <v>168</v>
      </c>
      <c r="B133" s="131"/>
      <c r="C133" s="131"/>
      <c r="D133" s="131"/>
      <c r="E133" s="131"/>
      <c r="F133" s="140"/>
      <c r="G133" s="140"/>
      <c r="H133" s="140"/>
    </row>
    <row r="134" spans="1:11" s="33" customFormat="1" hidden="1" x14ac:dyDescent="0.3">
      <c r="A134" s="131" t="s">
        <v>98</v>
      </c>
      <c r="B134" s="131"/>
      <c r="C134" s="131"/>
      <c r="D134" s="131"/>
      <c r="E134" s="131"/>
      <c r="F134" s="140"/>
      <c r="G134" s="140"/>
      <c r="H134" s="140"/>
    </row>
    <row r="135" spans="1:11" s="33" customFormat="1" hidden="1" x14ac:dyDescent="0.3">
      <c r="A135" s="131" t="s">
        <v>99</v>
      </c>
      <c r="B135" s="131"/>
      <c r="C135" s="131"/>
      <c r="D135" s="131"/>
      <c r="E135" s="131"/>
      <c r="F135" s="140"/>
      <c r="G135" s="140"/>
      <c r="H135" s="140"/>
    </row>
    <row r="136" spans="1:11" s="33" customFormat="1" hidden="1" x14ac:dyDescent="0.3">
      <c r="A136" s="131" t="s">
        <v>100</v>
      </c>
      <c r="B136" s="131"/>
      <c r="C136" s="131"/>
      <c r="D136" s="131"/>
      <c r="E136" s="131"/>
      <c r="F136" s="140"/>
      <c r="G136" s="140"/>
      <c r="H136" s="140"/>
    </row>
    <row r="137" spans="1:11" s="33" customFormat="1" hidden="1" x14ac:dyDescent="0.3">
      <c r="A137" s="131" t="s">
        <v>101</v>
      </c>
      <c r="B137" s="131"/>
      <c r="C137" s="131"/>
      <c r="D137" s="131"/>
      <c r="E137" s="131"/>
      <c r="F137" s="140"/>
      <c r="G137" s="140"/>
      <c r="H137" s="140"/>
    </row>
    <row r="138" spans="1:11" x14ac:dyDescent="0.35">
      <c r="A138" s="131" t="s">
        <v>51</v>
      </c>
      <c r="B138" s="131"/>
      <c r="C138" s="131"/>
      <c r="D138" s="131"/>
      <c r="E138" s="131"/>
      <c r="F138" s="140">
        <v>250000</v>
      </c>
      <c r="G138" s="140"/>
      <c r="H138" s="140"/>
      <c r="J138" s="21">
        <v>6200</v>
      </c>
      <c r="K138" s="21">
        <v>6200</v>
      </c>
    </row>
    <row r="139" spans="1:11" s="34" customFormat="1" x14ac:dyDescent="0.35">
      <c r="A139" s="168" t="s">
        <v>52</v>
      </c>
      <c r="B139" s="168"/>
      <c r="C139" s="168"/>
      <c r="D139" s="168"/>
      <c r="E139" s="168"/>
      <c r="F139" s="140">
        <f>F127*0.8</f>
        <v>4960</v>
      </c>
      <c r="G139" s="140"/>
      <c r="H139" s="140"/>
      <c r="J139" s="34">
        <v>7100</v>
      </c>
    </row>
    <row r="140" spans="1:11" s="35" customFormat="1" ht="15.75" customHeight="1" x14ac:dyDescent="0.35">
      <c r="A140" s="124" t="s">
        <v>248</v>
      </c>
      <c r="B140" s="124"/>
      <c r="C140" s="124"/>
      <c r="D140" s="124"/>
      <c r="E140" s="124"/>
      <c r="F140" s="124"/>
      <c r="G140" s="124"/>
      <c r="H140" s="124"/>
    </row>
    <row r="141" spans="1:11" s="35" customFormat="1" ht="15.75" customHeight="1" x14ac:dyDescent="0.35">
      <c r="A141" s="138" t="s">
        <v>53</v>
      </c>
      <c r="B141" s="138"/>
      <c r="C141" s="126" t="s">
        <v>79</v>
      </c>
      <c r="D141" s="126"/>
      <c r="E141" s="105" t="s">
        <v>54</v>
      </c>
      <c r="F141" s="105"/>
      <c r="G141" s="138" t="s">
        <v>55</v>
      </c>
      <c r="H141" s="138"/>
    </row>
    <row r="142" spans="1:11" s="35" customFormat="1" x14ac:dyDescent="0.35">
      <c r="A142" s="115" t="s">
        <v>231</v>
      </c>
      <c r="B142" s="115"/>
      <c r="C142" s="116">
        <f>COUNT(D156:D159)+COUNT(D161:D164)</f>
        <v>8</v>
      </c>
      <c r="D142" s="141"/>
      <c r="E142" s="116">
        <f>SUM(D156:D159)+SUM(D161:D164)</f>
        <v>5730.3230399999993</v>
      </c>
      <c r="F142" s="141"/>
      <c r="G142" s="116">
        <f>SUM(F156:F159)+SUM(F161:F164)</f>
        <v>10969.527816</v>
      </c>
      <c r="H142" s="141"/>
    </row>
    <row r="143" spans="1:11" s="35" customFormat="1" x14ac:dyDescent="0.35">
      <c r="A143" s="124" t="s">
        <v>158</v>
      </c>
      <c r="B143" s="124"/>
      <c r="C143" s="125">
        <f t="shared" ref="C143:G143" si="0">SUM(C142)</f>
        <v>8</v>
      </c>
      <c r="D143" s="126"/>
      <c r="E143" s="158">
        <f t="shared" si="0"/>
        <v>5730.3230399999993</v>
      </c>
      <c r="F143" s="105"/>
      <c r="G143" s="138">
        <f t="shared" si="0"/>
        <v>10969.527816</v>
      </c>
      <c r="H143" s="138"/>
    </row>
    <row r="144" spans="1:11" s="35" customFormat="1" x14ac:dyDescent="0.35">
      <c r="A144" s="124" t="s">
        <v>71</v>
      </c>
      <c r="B144" s="124"/>
      <c r="C144" s="124"/>
      <c r="D144" s="124"/>
      <c r="E144" s="124"/>
      <c r="F144" s="124"/>
      <c r="G144" s="124"/>
      <c r="H144" s="124"/>
    </row>
    <row r="145" spans="1:14" s="35" customFormat="1" ht="15.75" customHeight="1" x14ac:dyDescent="0.35">
      <c r="A145" s="138" t="s">
        <v>53</v>
      </c>
      <c r="B145" s="138"/>
      <c r="C145" s="126" t="s">
        <v>79</v>
      </c>
      <c r="D145" s="126"/>
      <c r="E145" s="105" t="s">
        <v>54</v>
      </c>
      <c r="F145" s="105"/>
      <c r="G145" s="138" t="s">
        <v>55</v>
      </c>
      <c r="H145" s="138"/>
      <c r="J145" s="65">
        <f>G142+G149</f>
        <v>165269.38229100002</v>
      </c>
      <c r="K145" s="65">
        <f>E142+E149</f>
        <v>108596.89268999999</v>
      </c>
    </row>
    <row r="146" spans="1:14" s="35" customFormat="1" ht="15.75" customHeight="1" x14ac:dyDescent="0.35">
      <c r="A146" s="115" t="s">
        <v>232</v>
      </c>
      <c r="B146" s="115"/>
      <c r="C146" s="116">
        <f>COUNT(D171:D176)+COUNT(D178:D183)+COUNT(D185:D190)+COUNT(D192:D197)*12+COUNT(D199:D200,D202:D204)*3</f>
        <v>105</v>
      </c>
      <c r="D146" s="116"/>
      <c r="E146" s="116">
        <f>SUM(D171:D176)+SUM(D178:D183)+SUM(D185:D190)+SUM(D192:D197)*12+SUM(D199:D200,D202:D204)*3</f>
        <v>44848.017630000009</v>
      </c>
      <c r="F146" s="116"/>
      <c r="G146" s="116">
        <f>SUM(F171:F176)+SUM(F178:F183)+SUM(F185:F190)+SUM(F192:F197)*12+SUM(F199:F200,F202:F204)*3</f>
        <v>67272.02644500001</v>
      </c>
      <c r="H146" s="116"/>
    </row>
    <row r="147" spans="1:14" s="35" customFormat="1" x14ac:dyDescent="0.35">
      <c r="A147" s="115" t="s">
        <v>193</v>
      </c>
      <c r="B147" s="115"/>
      <c r="C147" s="116">
        <f>COUNT(D208:D213)*15+COUNT(D215:D216,D218:D220)*2</f>
        <v>100</v>
      </c>
      <c r="D147" s="116"/>
      <c r="E147" s="116">
        <f>SUM(D208:D213)*15+SUM(D215:D216,D218:D220)*2</f>
        <v>42588.35802</v>
      </c>
      <c r="F147" s="116"/>
      <c r="G147" s="116">
        <f>SUM(F208:F213)*15+SUM(F215:F216,F218:F220)*2</f>
        <v>63882.537030000014</v>
      </c>
      <c r="H147" s="116"/>
    </row>
    <row r="148" spans="1:14" s="35" customFormat="1" x14ac:dyDescent="0.35">
      <c r="A148" s="115" t="s">
        <v>194</v>
      </c>
      <c r="B148" s="115"/>
      <c r="C148" s="116">
        <f>COUNT(D224:D233)*4</f>
        <v>40</v>
      </c>
      <c r="D148" s="116"/>
      <c r="E148" s="116">
        <f>SUM(D224:D233)*4</f>
        <v>15430.193999999996</v>
      </c>
      <c r="F148" s="116"/>
      <c r="G148" s="116">
        <f>SUM(F224:F233)*4</f>
        <v>23145.290999999997</v>
      </c>
      <c r="H148" s="116"/>
    </row>
    <row r="149" spans="1:14" s="35" customFormat="1" x14ac:dyDescent="0.35">
      <c r="A149" s="124" t="s">
        <v>158</v>
      </c>
      <c r="B149" s="124"/>
      <c r="C149" s="125">
        <f t="shared" ref="C149:G149" si="1">SUM(C146:D148)</f>
        <v>245</v>
      </c>
      <c r="D149" s="126"/>
      <c r="E149" s="158">
        <f t="shared" si="1"/>
        <v>102866.56964999999</v>
      </c>
      <c r="F149" s="105"/>
      <c r="G149" s="138">
        <f t="shared" si="1"/>
        <v>154299.85447500003</v>
      </c>
      <c r="H149" s="138"/>
    </row>
    <row r="150" spans="1:14" s="34" customFormat="1" x14ac:dyDescent="0.35">
      <c r="A150" s="169" t="s">
        <v>56</v>
      </c>
      <c r="B150" s="169"/>
      <c r="C150" s="169"/>
      <c r="D150" s="169"/>
      <c r="E150" s="169"/>
      <c r="F150" s="169"/>
      <c r="G150" s="169"/>
      <c r="H150" s="169"/>
    </row>
    <row r="151" spans="1:14" x14ac:dyDescent="0.35">
      <c r="A151" s="169" t="s">
        <v>57</v>
      </c>
      <c r="B151" s="169"/>
      <c r="C151" s="169"/>
      <c r="D151" s="169"/>
      <c r="E151" s="169"/>
      <c r="F151" s="169"/>
      <c r="G151" s="169"/>
      <c r="H151" s="169"/>
    </row>
    <row r="152" spans="1:14" ht="47.25" customHeight="1" x14ac:dyDescent="0.35">
      <c r="A152" s="162" t="s">
        <v>124</v>
      </c>
      <c r="B152" s="162" t="s">
        <v>123</v>
      </c>
      <c r="C152" s="162" t="s">
        <v>58</v>
      </c>
      <c r="D152" s="162" t="s">
        <v>59</v>
      </c>
      <c r="E152" s="162" t="s">
        <v>251</v>
      </c>
      <c r="F152" s="42" t="s">
        <v>156</v>
      </c>
      <c r="G152" s="202" t="s">
        <v>61</v>
      </c>
      <c r="H152" s="203"/>
    </row>
    <row r="153" spans="1:14" s="37" customFormat="1" x14ac:dyDescent="0.35">
      <c r="A153" s="163"/>
      <c r="B153" s="163"/>
      <c r="C153" s="163"/>
      <c r="D153" s="163"/>
      <c r="E153" s="163"/>
      <c r="F153" s="13">
        <v>0.55000000000000004</v>
      </c>
      <c r="G153" s="204"/>
      <c r="H153" s="205"/>
    </row>
    <row r="154" spans="1:14" s="51" customFormat="1" x14ac:dyDescent="0.35">
      <c r="A154" s="129" t="s">
        <v>240</v>
      </c>
      <c r="B154" s="129"/>
      <c r="C154" s="129"/>
      <c r="D154" s="129"/>
      <c r="E154" s="129"/>
      <c r="F154" s="129"/>
      <c r="G154" s="129"/>
      <c r="H154" s="129"/>
      <c r="J154" s="36"/>
    </row>
    <row r="155" spans="1:14" s="51" customFormat="1" x14ac:dyDescent="0.35">
      <c r="A155" s="165" t="s">
        <v>252</v>
      </c>
      <c r="B155" s="165"/>
      <c r="C155" s="165"/>
      <c r="D155" s="165"/>
      <c r="E155" s="165"/>
      <c r="F155" s="165"/>
      <c r="G155" s="165"/>
      <c r="H155" s="165"/>
      <c r="J155" s="36"/>
    </row>
    <row r="156" spans="1:14" s="51" customFormat="1" ht="15.75" customHeight="1" x14ac:dyDescent="0.35">
      <c r="A156" s="127">
        <v>1</v>
      </c>
      <c r="B156" s="127"/>
      <c r="C156" s="55" t="s">
        <v>222</v>
      </c>
      <c r="D156" s="67">
        <f>(70.16)*10.764</f>
        <v>755.20223999999996</v>
      </c>
      <c r="E156" s="81">
        <f>(31.28)*10.764</f>
        <v>336.69792000000001</v>
      </c>
      <c r="F156" s="55">
        <f>(D156+E156)*(($F$153)+1)</f>
        <v>1692.445248</v>
      </c>
      <c r="G156" s="127" t="str">
        <f>A155</f>
        <v>Ground (3.85m height) + Mezzanine Floor (3.55m height) For Commercial &amp; Parking</v>
      </c>
      <c r="H156" s="127"/>
      <c r="I156" s="36">
        <f>4.58*15.82+31.28</f>
        <v>103.73560000000001</v>
      </c>
      <c r="J156" s="76"/>
      <c r="L156" s="114"/>
      <c r="M156" s="114"/>
      <c r="N156" s="36"/>
    </row>
    <row r="157" spans="1:14" s="51" customFormat="1" ht="15.75" customHeight="1" x14ac:dyDescent="0.35">
      <c r="A157" s="127">
        <f t="shared" ref="A157:A159" si="2">A156+1</f>
        <v>2</v>
      </c>
      <c r="B157" s="127"/>
      <c r="C157" s="69" t="s">
        <v>222</v>
      </c>
      <c r="D157" s="81">
        <f t="shared" ref="D157:D159" si="3">(70.16)*10.764</f>
        <v>755.20223999999996</v>
      </c>
      <c r="E157" s="81">
        <f t="shared" ref="E157:E159" si="4">(31.28)*10.764</f>
        <v>336.69792000000001</v>
      </c>
      <c r="F157" s="55">
        <f t="shared" ref="F157:F159" si="5">(D157+E157)*(($F$153)+1)</f>
        <v>1692.445248</v>
      </c>
      <c r="G157" s="127"/>
      <c r="H157" s="127"/>
      <c r="I157" s="36"/>
      <c r="J157" s="76"/>
      <c r="L157" s="114"/>
      <c r="M157" s="114"/>
      <c r="N157" s="36"/>
    </row>
    <row r="158" spans="1:14" s="51" customFormat="1" ht="15.75" customHeight="1" x14ac:dyDescent="0.35">
      <c r="A158" s="127">
        <f t="shared" si="2"/>
        <v>3</v>
      </c>
      <c r="B158" s="127"/>
      <c r="C158" s="69" t="s">
        <v>222</v>
      </c>
      <c r="D158" s="81">
        <f t="shared" si="3"/>
        <v>755.20223999999996</v>
      </c>
      <c r="E158" s="81">
        <f t="shared" si="4"/>
        <v>336.69792000000001</v>
      </c>
      <c r="F158" s="55">
        <f t="shared" si="5"/>
        <v>1692.445248</v>
      </c>
      <c r="G158" s="127"/>
      <c r="H158" s="127"/>
      <c r="I158" s="36"/>
      <c r="J158" s="76"/>
      <c r="L158" s="114"/>
      <c r="M158" s="114"/>
      <c r="N158" s="36"/>
    </row>
    <row r="159" spans="1:14" s="51" customFormat="1" ht="15.75" customHeight="1" x14ac:dyDescent="0.35">
      <c r="A159" s="127">
        <f t="shared" si="2"/>
        <v>4</v>
      </c>
      <c r="B159" s="127"/>
      <c r="C159" s="69" t="s">
        <v>222</v>
      </c>
      <c r="D159" s="81">
        <f t="shared" si="3"/>
        <v>755.20223999999996</v>
      </c>
      <c r="E159" s="81">
        <f t="shared" si="4"/>
        <v>336.69792000000001</v>
      </c>
      <c r="F159" s="55">
        <f t="shared" si="5"/>
        <v>1692.445248</v>
      </c>
      <c r="G159" s="127"/>
      <c r="H159" s="127"/>
      <c r="I159" s="36"/>
      <c r="J159" s="76"/>
      <c r="L159" s="114"/>
      <c r="M159" s="114"/>
      <c r="N159" s="36"/>
    </row>
    <row r="160" spans="1:14" s="37" customFormat="1" x14ac:dyDescent="0.35">
      <c r="A160" s="129" t="s">
        <v>253</v>
      </c>
      <c r="B160" s="129"/>
      <c r="C160" s="129"/>
      <c r="D160" s="129"/>
      <c r="E160" s="129"/>
      <c r="F160" s="129"/>
      <c r="G160" s="129"/>
      <c r="H160" s="129"/>
      <c r="J160" s="36"/>
    </row>
    <row r="161" spans="1:14" s="37" customFormat="1" x14ac:dyDescent="0.35">
      <c r="A161" s="127">
        <v>1</v>
      </c>
      <c r="B161" s="127"/>
      <c r="C161" s="55" t="s">
        <v>222</v>
      </c>
      <c r="D161" s="67">
        <f>(62.93)*10.764</f>
        <v>677.37851999999998</v>
      </c>
      <c r="E161" s="55">
        <v>0</v>
      </c>
      <c r="F161" s="55">
        <f>(D161+E161)*(($F$153)+1)</f>
        <v>1049.936706</v>
      </c>
      <c r="G161" s="117" t="str">
        <f>A160</f>
        <v>1st Floor (4.3mtr height)  For Commercial</v>
      </c>
      <c r="H161" s="118"/>
      <c r="I161" s="36"/>
      <c r="L161" s="114"/>
      <c r="M161" s="114"/>
      <c r="N161" s="36"/>
    </row>
    <row r="162" spans="1:14" s="37" customFormat="1" x14ac:dyDescent="0.35">
      <c r="A162" s="127">
        <f t="shared" ref="A162:A164" si="6">A161+1</f>
        <v>2</v>
      </c>
      <c r="B162" s="127"/>
      <c r="C162" s="66" t="s">
        <v>222</v>
      </c>
      <c r="D162" s="67">
        <f>(62.93)*10.764</f>
        <v>677.37851999999998</v>
      </c>
      <c r="E162" s="55">
        <v>0</v>
      </c>
      <c r="F162" s="55">
        <f t="shared" ref="F162:F164" si="7">(D162+E162)*(($F$153)+1)</f>
        <v>1049.936706</v>
      </c>
      <c r="G162" s="119"/>
      <c r="H162" s="120"/>
      <c r="I162" s="36"/>
      <c r="L162" s="114"/>
      <c r="M162" s="114"/>
      <c r="N162" s="36"/>
    </row>
    <row r="163" spans="1:14" s="37" customFormat="1" x14ac:dyDescent="0.35">
      <c r="A163" s="127">
        <f t="shared" si="6"/>
        <v>3</v>
      </c>
      <c r="B163" s="127"/>
      <c r="C163" s="66" t="s">
        <v>222</v>
      </c>
      <c r="D163" s="67">
        <f>(62.93)*10.764</f>
        <v>677.37851999999998</v>
      </c>
      <c r="E163" s="55">
        <v>0</v>
      </c>
      <c r="F163" s="55">
        <f t="shared" si="7"/>
        <v>1049.936706</v>
      </c>
      <c r="G163" s="119"/>
      <c r="H163" s="120"/>
      <c r="I163" s="36"/>
      <c r="L163" s="114"/>
      <c r="M163" s="114"/>
      <c r="N163" s="36"/>
    </row>
    <row r="164" spans="1:14" s="37" customFormat="1" x14ac:dyDescent="0.35">
      <c r="A164" s="127">
        <f t="shared" si="6"/>
        <v>4</v>
      </c>
      <c r="B164" s="127"/>
      <c r="C164" s="66" t="s">
        <v>222</v>
      </c>
      <c r="D164" s="67">
        <f>(62.93)*10.764</f>
        <v>677.37851999999998</v>
      </c>
      <c r="E164" s="55">
        <v>0</v>
      </c>
      <c r="F164" s="55">
        <f t="shared" si="7"/>
        <v>1049.936706</v>
      </c>
      <c r="G164" s="121"/>
      <c r="H164" s="122"/>
      <c r="I164" s="36"/>
      <c r="L164" s="114"/>
      <c r="M164" s="114"/>
      <c r="N164" s="36"/>
    </row>
    <row r="165" spans="1:14" s="37" customFormat="1" x14ac:dyDescent="0.35">
      <c r="A165" s="127"/>
      <c r="B165" s="127"/>
      <c r="C165" s="127"/>
      <c r="D165" s="127"/>
      <c r="E165" s="127"/>
      <c r="F165" s="127"/>
      <c r="G165" s="127"/>
      <c r="H165" s="127"/>
      <c r="I165" s="36"/>
      <c r="N165" s="36"/>
    </row>
    <row r="166" spans="1:14" ht="47.25" customHeight="1" x14ac:dyDescent="0.35">
      <c r="A166" s="128" t="s">
        <v>125</v>
      </c>
      <c r="B166" s="128" t="s">
        <v>126</v>
      </c>
      <c r="C166" s="128" t="s">
        <v>58</v>
      </c>
      <c r="D166" s="128" t="s">
        <v>59</v>
      </c>
      <c r="E166" s="139" t="s">
        <v>60</v>
      </c>
      <c r="F166" s="63" t="s">
        <v>156</v>
      </c>
      <c r="G166" s="128" t="s">
        <v>61</v>
      </c>
      <c r="H166" s="128"/>
      <c r="I166" s="36"/>
    </row>
    <row r="167" spans="1:14" s="37" customFormat="1" x14ac:dyDescent="0.35">
      <c r="A167" s="128"/>
      <c r="B167" s="128"/>
      <c r="C167" s="128"/>
      <c r="D167" s="128"/>
      <c r="E167" s="139"/>
      <c r="F167" s="64">
        <v>0.5</v>
      </c>
      <c r="G167" s="128"/>
      <c r="H167" s="128"/>
      <c r="I167" s="36"/>
    </row>
    <row r="168" spans="1:14" s="51" customFormat="1" x14ac:dyDescent="0.35">
      <c r="A168" s="111" t="s">
        <v>241</v>
      </c>
      <c r="B168" s="112"/>
      <c r="C168" s="112"/>
      <c r="D168" s="112"/>
      <c r="E168" s="112"/>
      <c r="F168" s="112"/>
      <c r="G168" s="112"/>
      <c r="H168" s="113"/>
      <c r="J168" s="36"/>
    </row>
    <row r="169" spans="1:14" s="68" customFormat="1" x14ac:dyDescent="0.35">
      <c r="A169" s="111" t="s">
        <v>224</v>
      </c>
      <c r="B169" s="112"/>
      <c r="C169" s="112"/>
      <c r="D169" s="112"/>
      <c r="E169" s="112"/>
      <c r="F169" s="112"/>
      <c r="G169" s="112"/>
      <c r="H169" s="113"/>
      <c r="J169" s="36"/>
      <c r="K169" s="73">
        <f>0.75*(2.75+2.13+2.75)</f>
        <v>5.7225000000000001</v>
      </c>
    </row>
    <row r="170" spans="1:14" s="51" customFormat="1" x14ac:dyDescent="0.35">
      <c r="A170" s="111" t="s">
        <v>188</v>
      </c>
      <c r="B170" s="112"/>
      <c r="C170" s="112"/>
      <c r="D170" s="112"/>
      <c r="E170" s="112"/>
      <c r="F170" s="112"/>
      <c r="G170" s="112"/>
      <c r="H170" s="113"/>
      <c r="J170" s="52">
        <f>10.764</f>
        <v>10.763999999999999</v>
      </c>
      <c r="K170" s="73">
        <f>0.75*(2.75+2.13+2.75)</f>
        <v>5.7225000000000001</v>
      </c>
    </row>
    <row r="171" spans="1:14" s="51" customFormat="1" ht="15.75" customHeight="1" x14ac:dyDescent="0.35">
      <c r="A171" s="109">
        <v>1</v>
      </c>
      <c r="B171" s="110"/>
      <c r="C171" s="49" t="s">
        <v>192</v>
      </c>
      <c r="D171" s="52">
        <f>(33.52+0.75*(2.75+2.13+2.75))*(10.764)</f>
        <v>422.40627000000006</v>
      </c>
      <c r="E171" s="52">
        <v>0</v>
      </c>
      <c r="F171" s="49">
        <f t="shared" ref="F171:F176" si="8">D171*(($F$167)+1)+(IF(E171&lt;101,E171,IF(E171&lt;201,E171/2,IF(E171&lt;=301,E171/3,E171/4))))</f>
        <v>633.60940500000015</v>
      </c>
      <c r="G171" s="117" t="str">
        <f>A170</f>
        <v>1st Floor For Residential</v>
      </c>
      <c r="H171" s="118"/>
      <c r="I171" s="74">
        <f>3.96*2.75+2.3*2.13+2.74*2.75+1.98*1.22+1.98*1.22+0.91*0.91+1.22*1.22</f>
        <v>30.471699999999998</v>
      </c>
      <c r="J171" s="51">
        <f>4.72*3.05+2.44*2.29+3.2*3.05+1.07*1.37+3.51*3.28+2.29*1.22+4.27*1.07+0.94*0.91+0.94*1.22+1.2*2.29</f>
        <v>54.8352</v>
      </c>
      <c r="K171" s="73">
        <f>0.75*(2.75+2.29+2.74)</f>
        <v>5.835</v>
      </c>
      <c r="L171" s="114"/>
      <c r="M171" s="114"/>
      <c r="N171" s="36"/>
    </row>
    <row r="172" spans="1:14" s="51" customFormat="1" ht="15.75" customHeight="1" x14ac:dyDescent="0.35">
      <c r="A172" s="109">
        <v>2</v>
      </c>
      <c r="B172" s="110"/>
      <c r="C172" s="66" t="s">
        <v>192</v>
      </c>
      <c r="D172" s="52">
        <f>(33.52+0.75*(2.75+2.13+2.75))*(10.764)</f>
        <v>422.40627000000006</v>
      </c>
      <c r="E172" s="52">
        <v>0</v>
      </c>
      <c r="F172" s="49">
        <f t="shared" si="8"/>
        <v>633.60940500000015</v>
      </c>
      <c r="G172" s="119"/>
      <c r="H172" s="120"/>
      <c r="I172" s="36"/>
      <c r="K172" s="73">
        <f>0.75*(2.75+2.13+2.75)</f>
        <v>5.7225000000000001</v>
      </c>
      <c r="L172" s="114"/>
      <c r="M172" s="114"/>
      <c r="N172" s="36"/>
    </row>
    <row r="173" spans="1:14" s="68" customFormat="1" ht="15.75" customHeight="1" x14ac:dyDescent="0.35">
      <c r="A173" s="109">
        <v>3</v>
      </c>
      <c r="B173" s="110"/>
      <c r="C173" s="66" t="s">
        <v>192</v>
      </c>
      <c r="D173" s="52">
        <f>(33.57+0.75*(2.75+2.29+2.74))*(10.764)</f>
        <v>424.15541999999999</v>
      </c>
      <c r="E173" s="52">
        <v>0</v>
      </c>
      <c r="F173" s="66">
        <f t="shared" si="8"/>
        <v>636.23312999999996</v>
      </c>
      <c r="G173" s="119"/>
      <c r="H173" s="120"/>
      <c r="I173" s="36"/>
      <c r="J173" s="68">
        <f>4.72*3.05+2.44*2.29+3.2*3.05+1.07*1.37+3.51*3.28+2.29*1.22+4.27*1.07+0.94*0.91+0.94*1.22+1.2*2.29</f>
        <v>54.8352</v>
      </c>
      <c r="K173" s="73">
        <f>0.75*(2.75+2.13+2.75)</f>
        <v>5.7225000000000001</v>
      </c>
      <c r="L173" s="114"/>
      <c r="M173" s="114"/>
      <c r="N173" s="36"/>
    </row>
    <row r="174" spans="1:14" s="68" customFormat="1" ht="15.75" customHeight="1" x14ac:dyDescent="0.35">
      <c r="A174" s="109">
        <v>4</v>
      </c>
      <c r="B174" s="110"/>
      <c r="C174" s="66" t="s">
        <v>192</v>
      </c>
      <c r="D174" s="52">
        <f>(33.52+0.75*(2.75+2.13+2.75))*(10.764)</f>
        <v>422.40627000000006</v>
      </c>
      <c r="E174" s="52">
        <v>0</v>
      </c>
      <c r="F174" s="66">
        <f t="shared" si="8"/>
        <v>633.60940500000015</v>
      </c>
      <c r="G174" s="119"/>
      <c r="H174" s="120"/>
      <c r="I174" s="36"/>
      <c r="K174" s="73">
        <f>0.75*(2.75+2.29+2.74)</f>
        <v>5.835</v>
      </c>
      <c r="L174" s="114"/>
      <c r="M174" s="114"/>
      <c r="N174" s="36"/>
    </row>
    <row r="175" spans="1:14" s="68" customFormat="1" ht="15.75" customHeight="1" x14ac:dyDescent="0.35">
      <c r="A175" s="109">
        <v>5</v>
      </c>
      <c r="B175" s="110"/>
      <c r="C175" s="66" t="s">
        <v>192</v>
      </c>
      <c r="D175" s="52">
        <f>(33.52+0.75*(2.75+2.13+2.75))*(10.764)</f>
        <v>422.40627000000006</v>
      </c>
      <c r="E175" s="52">
        <v>0</v>
      </c>
      <c r="F175" s="66">
        <f t="shared" si="8"/>
        <v>633.60940500000015</v>
      </c>
      <c r="G175" s="119"/>
      <c r="H175" s="120"/>
      <c r="I175" s="36"/>
      <c r="J175" s="68">
        <f>4.72*3.05+2.44*2.29+3.2*3.05+1.07*1.37+3.51*3.28+2.29*1.22+4.27*1.07+0.94*0.91+0.94*1.22+1.2*2.29</f>
        <v>54.8352</v>
      </c>
      <c r="L175" s="114"/>
      <c r="M175" s="114"/>
      <c r="N175" s="36"/>
    </row>
    <row r="176" spans="1:14" s="68" customFormat="1" ht="15.75" customHeight="1" x14ac:dyDescent="0.35">
      <c r="A176" s="109">
        <v>6</v>
      </c>
      <c r="B176" s="110"/>
      <c r="C176" s="66" t="s">
        <v>192</v>
      </c>
      <c r="D176" s="52">
        <f>(33.57+0.75*(2.75+2.29+2.74))*(10.764)</f>
        <v>424.15541999999999</v>
      </c>
      <c r="E176" s="52">
        <v>0</v>
      </c>
      <c r="F176" s="66">
        <f t="shared" si="8"/>
        <v>636.23312999999996</v>
      </c>
      <c r="G176" s="121"/>
      <c r="H176" s="122"/>
      <c r="I176" s="36"/>
      <c r="L176" s="114"/>
      <c r="M176" s="114"/>
      <c r="N176" s="36"/>
    </row>
    <row r="177" spans="1:14" s="68" customFormat="1" x14ac:dyDescent="0.35">
      <c r="A177" s="129" t="s">
        <v>122</v>
      </c>
      <c r="B177" s="129"/>
      <c r="C177" s="129"/>
      <c r="D177" s="129"/>
      <c r="E177" s="129"/>
      <c r="F177" s="129"/>
      <c r="G177" s="129"/>
      <c r="H177" s="129"/>
      <c r="J177" s="52">
        <f>10.764</f>
        <v>10.763999999999999</v>
      </c>
      <c r="K177" s="73">
        <f>0.75*(2.75+2.13+2.75)</f>
        <v>5.7225000000000001</v>
      </c>
    </row>
    <row r="178" spans="1:14" s="68" customFormat="1" ht="15.75" customHeight="1" x14ac:dyDescent="0.35">
      <c r="A178" s="127">
        <v>1</v>
      </c>
      <c r="B178" s="127"/>
      <c r="C178" s="85" t="s">
        <v>192</v>
      </c>
      <c r="D178" s="52">
        <f>(33.52+0.75*(2.75+2.13+2.75))*(10.764)</f>
        <v>422.40627000000006</v>
      </c>
      <c r="E178" s="52">
        <v>0</v>
      </c>
      <c r="F178" s="85">
        <f t="shared" ref="F178:F183" si="9">D178*(($F$167)+1)+(IF(E178&lt;101,E178,IF(E178&lt;201,E178/2,IF(E178&lt;=301,E178/3,E178/4))))</f>
        <v>633.60940500000015</v>
      </c>
      <c r="G178" s="127" t="str">
        <f>A177</f>
        <v>2nd Floor</v>
      </c>
      <c r="H178" s="127"/>
      <c r="I178" s="74">
        <f>3.96*2.75+2.3*2.13+2.74*2.75+1.98*1.22+1.98*1.22+0.91*0.91+1.22*1.22</f>
        <v>30.471699999999998</v>
      </c>
      <c r="J178" s="68">
        <f>4.72*3.05+2.44*2.29+3.2*3.05+1.07*1.37+3.51*3.28+2.29*1.22+4.27*1.07+0.94*0.91+0.94*1.22+1.2*2.29</f>
        <v>54.8352</v>
      </c>
      <c r="K178" s="73">
        <f>0.75*(2.75+2.29+2.74)</f>
        <v>5.835</v>
      </c>
      <c r="L178" s="114"/>
      <c r="M178" s="114"/>
      <c r="N178" s="36"/>
    </row>
    <row r="179" spans="1:14" s="68" customFormat="1" ht="15.75" customHeight="1" x14ac:dyDescent="0.35">
      <c r="A179" s="127">
        <v>2</v>
      </c>
      <c r="B179" s="127"/>
      <c r="C179" s="85" t="s">
        <v>192</v>
      </c>
      <c r="D179" s="52">
        <f>(33.52+0.75*(2.75+2.13+2.75))*(10.764)</f>
        <v>422.40627000000006</v>
      </c>
      <c r="E179" s="52">
        <v>0</v>
      </c>
      <c r="F179" s="85">
        <f t="shared" si="9"/>
        <v>633.60940500000015</v>
      </c>
      <c r="G179" s="127"/>
      <c r="H179" s="127"/>
      <c r="I179" s="36"/>
      <c r="K179" s="73">
        <f>0.75*(2.75+2.13+2.75)</f>
        <v>5.7225000000000001</v>
      </c>
      <c r="L179" s="114"/>
      <c r="M179" s="114"/>
      <c r="N179" s="36"/>
    </row>
    <row r="180" spans="1:14" s="68" customFormat="1" ht="15.75" customHeight="1" x14ac:dyDescent="0.35">
      <c r="A180" s="127">
        <v>3</v>
      </c>
      <c r="B180" s="127"/>
      <c r="C180" s="85" t="s">
        <v>192</v>
      </c>
      <c r="D180" s="52">
        <f>(33.57+0.75*(2.75+2.29+2.74))*(10.764)</f>
        <v>424.15541999999999</v>
      </c>
      <c r="E180" s="52">
        <v>0</v>
      </c>
      <c r="F180" s="85">
        <f t="shared" si="9"/>
        <v>636.23312999999996</v>
      </c>
      <c r="G180" s="127"/>
      <c r="H180" s="127"/>
      <c r="I180" s="36"/>
      <c r="J180" s="68">
        <f>4.72*3.05+2.44*2.29+3.2*3.05+1.07*1.37+3.51*3.28+2.29*1.22+4.27*1.07+0.94*0.91+0.94*1.22+1.2*2.29</f>
        <v>54.8352</v>
      </c>
      <c r="K180" s="73">
        <f>0.75*(2.75+2.13+2.75)</f>
        <v>5.7225000000000001</v>
      </c>
      <c r="L180" s="114"/>
      <c r="M180" s="114"/>
      <c r="N180" s="36"/>
    </row>
    <row r="181" spans="1:14" s="68" customFormat="1" ht="15.75" customHeight="1" x14ac:dyDescent="0.35">
      <c r="A181" s="127">
        <v>4</v>
      </c>
      <c r="B181" s="127"/>
      <c r="C181" s="85" t="s">
        <v>192</v>
      </c>
      <c r="D181" s="52">
        <f>(33.52+0.75*(2.75+2.13+2.75))*(10.764)</f>
        <v>422.40627000000006</v>
      </c>
      <c r="E181" s="52">
        <v>0</v>
      </c>
      <c r="F181" s="85">
        <f t="shared" si="9"/>
        <v>633.60940500000015</v>
      </c>
      <c r="G181" s="127"/>
      <c r="H181" s="127"/>
      <c r="I181" s="36"/>
      <c r="K181" s="73">
        <f>0.75*(2.75+2.29+2.74)</f>
        <v>5.835</v>
      </c>
      <c r="L181" s="114"/>
      <c r="M181" s="114"/>
      <c r="N181" s="36"/>
    </row>
    <row r="182" spans="1:14" s="68" customFormat="1" ht="15.75" customHeight="1" x14ac:dyDescent="0.35">
      <c r="A182" s="127">
        <v>5</v>
      </c>
      <c r="B182" s="127"/>
      <c r="C182" s="85" t="s">
        <v>192</v>
      </c>
      <c r="D182" s="52">
        <f>(33.52+0.75*(2.75+2.13+2.75))*(10.764)</f>
        <v>422.40627000000006</v>
      </c>
      <c r="E182" s="52">
        <v>0</v>
      </c>
      <c r="F182" s="85">
        <f t="shared" si="9"/>
        <v>633.60940500000015</v>
      </c>
      <c r="G182" s="127"/>
      <c r="H182" s="127"/>
      <c r="I182" s="36"/>
      <c r="J182" s="68">
        <f>4.72*3.05+2.44*2.29+3.2*3.05+1.07*1.37+3.51*3.28+2.29*1.22+4.27*1.07+0.94*0.91+0.94*1.22+1.2*2.29</f>
        <v>54.8352</v>
      </c>
      <c r="L182" s="114"/>
      <c r="M182" s="114"/>
      <c r="N182" s="36"/>
    </row>
    <row r="183" spans="1:14" s="68" customFormat="1" ht="15.75" customHeight="1" x14ac:dyDescent="0.35">
      <c r="A183" s="127">
        <v>6</v>
      </c>
      <c r="B183" s="127"/>
      <c r="C183" s="85" t="s">
        <v>192</v>
      </c>
      <c r="D183" s="52">
        <f>(33.57+0.75*(2.75+2.29+2.74))*(10.764)</f>
        <v>424.15541999999999</v>
      </c>
      <c r="E183" s="52">
        <v>0</v>
      </c>
      <c r="F183" s="85">
        <f t="shared" si="9"/>
        <v>636.23312999999996</v>
      </c>
      <c r="G183" s="127"/>
      <c r="H183" s="127"/>
      <c r="I183" s="36"/>
      <c r="L183" s="114"/>
      <c r="M183" s="114"/>
      <c r="N183" s="36"/>
    </row>
    <row r="184" spans="1:14" s="68" customFormat="1" x14ac:dyDescent="0.35">
      <c r="A184" s="129" t="s">
        <v>225</v>
      </c>
      <c r="B184" s="129"/>
      <c r="C184" s="129"/>
      <c r="D184" s="129"/>
      <c r="E184" s="129"/>
      <c r="F184" s="129"/>
      <c r="G184" s="129"/>
      <c r="H184" s="129"/>
      <c r="J184" s="52">
        <f>10.764</f>
        <v>10.763999999999999</v>
      </c>
      <c r="K184" s="73">
        <f>0.75*(2.75+2.13+2.75)</f>
        <v>5.7225000000000001</v>
      </c>
    </row>
    <row r="185" spans="1:14" s="68" customFormat="1" ht="15.75" customHeight="1" x14ac:dyDescent="0.35">
      <c r="A185" s="127">
        <v>1</v>
      </c>
      <c r="B185" s="127"/>
      <c r="C185" s="85" t="s">
        <v>192</v>
      </c>
      <c r="D185" s="52">
        <f>(33.52+0.75*(2.75+2.13+2.75))*(10.764)</f>
        <v>422.40627000000006</v>
      </c>
      <c r="E185" s="52">
        <v>0</v>
      </c>
      <c r="F185" s="85">
        <f t="shared" ref="F185:F190" si="10">D185*(($F$167)+1)+(IF(E185&lt;101,E185,IF(E185&lt;201,E185/2,IF(E185&lt;=301,E185/3,E185/4))))</f>
        <v>633.60940500000015</v>
      </c>
      <c r="G185" s="127" t="str">
        <f>A184</f>
        <v>3rd Floor</v>
      </c>
      <c r="H185" s="127"/>
      <c r="I185" s="74">
        <f>3.96*2.75+2.3*2.13+2.74*2.75+1.98*1.22+1.98*1.22+0.91*0.91+1.22*1.22</f>
        <v>30.471699999999998</v>
      </c>
      <c r="J185" s="68">
        <f>4.72*3.05+2.44*2.29+3.2*3.05+1.07*1.37+3.51*3.28+2.29*1.22+4.27*1.07+0.94*0.91+0.94*1.22+1.2*2.29</f>
        <v>54.8352</v>
      </c>
      <c r="K185" s="73">
        <f>0.75*(2.75+2.29+2.74)</f>
        <v>5.835</v>
      </c>
      <c r="L185" s="114"/>
      <c r="M185" s="114"/>
      <c r="N185" s="36"/>
    </row>
    <row r="186" spans="1:14" s="68" customFormat="1" ht="15.75" customHeight="1" x14ac:dyDescent="0.35">
      <c r="A186" s="127">
        <v>2</v>
      </c>
      <c r="B186" s="127"/>
      <c r="C186" s="85" t="s">
        <v>192</v>
      </c>
      <c r="D186" s="52">
        <f>(33.52+0.75*(2.75+2.13+2.75))*(10.764)</f>
        <v>422.40627000000006</v>
      </c>
      <c r="E186" s="52">
        <v>0</v>
      </c>
      <c r="F186" s="85">
        <f t="shared" si="10"/>
        <v>633.60940500000015</v>
      </c>
      <c r="G186" s="127"/>
      <c r="H186" s="127"/>
      <c r="I186" s="36"/>
      <c r="K186" s="73">
        <f>0.75*(2.75+2.13+2.75)</f>
        <v>5.7225000000000001</v>
      </c>
      <c r="L186" s="114"/>
      <c r="M186" s="114"/>
      <c r="N186" s="36"/>
    </row>
    <row r="187" spans="1:14" s="68" customFormat="1" ht="15.75" customHeight="1" x14ac:dyDescent="0.35">
      <c r="A187" s="127">
        <v>3</v>
      </c>
      <c r="B187" s="127"/>
      <c r="C187" s="85" t="s">
        <v>192</v>
      </c>
      <c r="D187" s="52">
        <f>(33.57+0.75*(2.75+2.29+2.74))*(10.764)</f>
        <v>424.15541999999999</v>
      </c>
      <c r="E187" s="52">
        <v>0</v>
      </c>
      <c r="F187" s="85">
        <f t="shared" si="10"/>
        <v>636.23312999999996</v>
      </c>
      <c r="G187" s="127"/>
      <c r="H187" s="127"/>
      <c r="I187" s="36"/>
      <c r="J187" s="68">
        <f>4.72*3.05+2.44*2.29+3.2*3.05+1.07*1.37+3.51*3.28+2.29*1.22+4.27*1.07+0.94*0.91+0.94*1.22+1.2*2.29</f>
        <v>54.8352</v>
      </c>
      <c r="K187" s="73">
        <f>0.75*(2.75+2.13+2.75)</f>
        <v>5.7225000000000001</v>
      </c>
      <c r="L187" s="114"/>
      <c r="M187" s="114"/>
      <c r="N187" s="36"/>
    </row>
    <row r="188" spans="1:14" s="68" customFormat="1" ht="15.75" customHeight="1" x14ac:dyDescent="0.35">
      <c r="A188" s="127">
        <v>4</v>
      </c>
      <c r="B188" s="127"/>
      <c r="C188" s="85" t="s">
        <v>192</v>
      </c>
      <c r="D188" s="52">
        <f>(33.52+0.75*(2.75+2.13+2.75))*(10.764)</f>
        <v>422.40627000000006</v>
      </c>
      <c r="E188" s="52">
        <v>0</v>
      </c>
      <c r="F188" s="85">
        <f t="shared" si="10"/>
        <v>633.60940500000015</v>
      </c>
      <c r="G188" s="127"/>
      <c r="H188" s="127"/>
      <c r="I188" s="36"/>
      <c r="K188" s="73">
        <f>0.75*(2.75+2.29+2.74)</f>
        <v>5.835</v>
      </c>
      <c r="L188" s="114"/>
      <c r="M188" s="114"/>
      <c r="N188" s="36"/>
    </row>
    <row r="189" spans="1:14" s="68" customFormat="1" ht="15.75" customHeight="1" x14ac:dyDescent="0.35">
      <c r="A189" s="127">
        <v>5</v>
      </c>
      <c r="B189" s="127"/>
      <c r="C189" s="85" t="s">
        <v>192</v>
      </c>
      <c r="D189" s="52">
        <f>(33.52+0.75*(2.75+2.13+2.75))*(10.764)</f>
        <v>422.40627000000006</v>
      </c>
      <c r="E189" s="52">
        <v>0</v>
      </c>
      <c r="F189" s="85">
        <f t="shared" si="10"/>
        <v>633.60940500000015</v>
      </c>
      <c r="G189" s="127"/>
      <c r="H189" s="127"/>
      <c r="I189" s="36"/>
      <c r="J189" s="68">
        <f>4.72*3.05+2.44*2.29+3.2*3.05+1.07*1.37+3.51*3.28+2.29*1.22+4.27*1.07+0.94*0.91+0.94*1.22+1.2*2.29</f>
        <v>54.8352</v>
      </c>
      <c r="L189" s="114"/>
      <c r="M189" s="114"/>
      <c r="N189" s="36"/>
    </row>
    <row r="190" spans="1:14" s="68" customFormat="1" ht="15.75" customHeight="1" x14ac:dyDescent="0.35">
      <c r="A190" s="127">
        <v>6</v>
      </c>
      <c r="B190" s="127"/>
      <c r="C190" s="85" t="s">
        <v>192</v>
      </c>
      <c r="D190" s="52">
        <f>(33.57+0.75*(2.75+2.29+2.74))*(10.764)</f>
        <v>424.15541999999999</v>
      </c>
      <c r="E190" s="52">
        <v>0</v>
      </c>
      <c r="F190" s="85">
        <f t="shared" si="10"/>
        <v>636.23312999999996</v>
      </c>
      <c r="G190" s="127"/>
      <c r="H190" s="127"/>
      <c r="I190" s="36"/>
      <c r="L190" s="114"/>
      <c r="M190" s="114"/>
      <c r="N190" s="36"/>
    </row>
    <row r="191" spans="1:14" s="68" customFormat="1" x14ac:dyDescent="0.35">
      <c r="A191" s="111" t="s">
        <v>226</v>
      </c>
      <c r="B191" s="112"/>
      <c r="C191" s="112"/>
      <c r="D191" s="112"/>
      <c r="E191" s="112"/>
      <c r="F191" s="112"/>
      <c r="G191" s="112"/>
      <c r="H191" s="113"/>
      <c r="I191" s="75">
        <f>4+4+4</f>
        <v>12</v>
      </c>
      <c r="J191" s="52">
        <f>10.764</f>
        <v>10.763999999999999</v>
      </c>
      <c r="K191" s="73">
        <f>0.75*(2.75+2.13+2.75)</f>
        <v>5.7225000000000001</v>
      </c>
    </row>
    <row r="192" spans="1:14" s="68" customFormat="1" ht="15.75" customHeight="1" x14ac:dyDescent="0.35">
      <c r="A192" s="109">
        <v>1</v>
      </c>
      <c r="B192" s="110"/>
      <c r="C192" s="66" t="s">
        <v>192</v>
      </c>
      <c r="D192" s="52">
        <f>(33.52+0.75*(2.75+2.13+2.75))*(10.764)</f>
        <v>422.40627000000006</v>
      </c>
      <c r="E192" s="52">
        <v>0</v>
      </c>
      <c r="F192" s="66">
        <f t="shared" ref="F192:F197" si="11">D192*(($F$167)+1)+(IF(E192&lt;101,E192,IF(E192&lt;201,E192/2,IF(E192&lt;=301,E192/3,E192/4))))</f>
        <v>633.60940500000015</v>
      </c>
      <c r="G192" s="117" t="str">
        <f>A191</f>
        <v>4th to 7th, 9th to 12th &amp; 14th to 17th Floor</v>
      </c>
      <c r="H192" s="118"/>
      <c r="I192" s="74">
        <f>3.96*2.75+2.3*2.13+2.74*2.75+1.98*1.22+1.98*1.22+0.91*0.91+1.22*1.22</f>
        <v>30.471699999999998</v>
      </c>
      <c r="J192" s="68">
        <f>4.72*3.05+2.44*2.29+3.2*3.05+1.07*1.37+3.51*3.28+2.29*1.22+4.27*1.07+0.94*0.91+0.94*1.22+1.2*2.29</f>
        <v>54.8352</v>
      </c>
      <c r="K192" s="73">
        <f>0.75*(2.75+2.29+2.74)</f>
        <v>5.835</v>
      </c>
      <c r="L192" s="114"/>
      <c r="M192" s="114"/>
      <c r="N192" s="36"/>
    </row>
    <row r="193" spans="1:14" s="68" customFormat="1" ht="15.75" customHeight="1" x14ac:dyDescent="0.35">
      <c r="A193" s="109">
        <v>2</v>
      </c>
      <c r="B193" s="110"/>
      <c r="C193" s="66" t="s">
        <v>192</v>
      </c>
      <c r="D193" s="52">
        <f>(33.52+0.75*(2.75+2.13+2.75))*(10.764)</f>
        <v>422.40627000000006</v>
      </c>
      <c r="E193" s="52">
        <v>0</v>
      </c>
      <c r="F193" s="66">
        <f t="shared" si="11"/>
        <v>633.60940500000015</v>
      </c>
      <c r="G193" s="119"/>
      <c r="H193" s="120"/>
      <c r="I193" s="36"/>
      <c r="K193" s="73">
        <f>0.75*(2.75+2.13+2.75)</f>
        <v>5.7225000000000001</v>
      </c>
      <c r="L193" s="114"/>
      <c r="M193" s="114"/>
      <c r="N193" s="36"/>
    </row>
    <row r="194" spans="1:14" s="68" customFormat="1" ht="15.75" customHeight="1" x14ac:dyDescent="0.35">
      <c r="A194" s="109">
        <v>3</v>
      </c>
      <c r="B194" s="110"/>
      <c r="C194" s="66" t="s">
        <v>192</v>
      </c>
      <c r="D194" s="52">
        <f>(33.57+0.75*(2.75+2.29+2.74))*(10.764)</f>
        <v>424.15541999999999</v>
      </c>
      <c r="E194" s="52">
        <v>0</v>
      </c>
      <c r="F194" s="66">
        <f t="shared" si="11"/>
        <v>636.23312999999996</v>
      </c>
      <c r="G194" s="119"/>
      <c r="H194" s="120"/>
      <c r="I194" s="36"/>
      <c r="J194" s="68">
        <f>4.72*3.05+2.44*2.29+3.2*3.05+1.07*1.37+3.51*3.28+2.29*1.22+4.27*1.07+0.94*0.91+0.94*1.22+1.2*2.29</f>
        <v>54.8352</v>
      </c>
      <c r="K194" s="73">
        <f>0.75*(2.75+2.13+2.75)</f>
        <v>5.7225000000000001</v>
      </c>
      <c r="L194" s="114"/>
      <c r="M194" s="114"/>
      <c r="N194" s="36"/>
    </row>
    <row r="195" spans="1:14" s="68" customFormat="1" ht="15.75" customHeight="1" x14ac:dyDescent="0.35">
      <c r="A195" s="109">
        <v>4</v>
      </c>
      <c r="B195" s="110"/>
      <c r="C195" s="66" t="s">
        <v>192</v>
      </c>
      <c r="D195" s="52">
        <f>(33.52+0.75*(2.75+2.13+2.75))*(10.764)</f>
        <v>422.40627000000006</v>
      </c>
      <c r="E195" s="52">
        <v>0</v>
      </c>
      <c r="F195" s="66">
        <f t="shared" si="11"/>
        <v>633.60940500000015</v>
      </c>
      <c r="G195" s="119"/>
      <c r="H195" s="120"/>
      <c r="I195" s="36"/>
      <c r="K195" s="73">
        <f>0.75*(2.75+2.29+2.74)</f>
        <v>5.835</v>
      </c>
      <c r="L195" s="114"/>
      <c r="M195" s="114"/>
      <c r="N195" s="36"/>
    </row>
    <row r="196" spans="1:14" s="68" customFormat="1" ht="15.75" customHeight="1" x14ac:dyDescent="0.35">
      <c r="A196" s="109">
        <v>5</v>
      </c>
      <c r="B196" s="110"/>
      <c r="C196" s="66" t="s">
        <v>192</v>
      </c>
      <c r="D196" s="52">
        <f>(33.52+0.75*(2.75+2.13+2.75))*(10.764)</f>
        <v>422.40627000000006</v>
      </c>
      <c r="E196" s="52">
        <v>0</v>
      </c>
      <c r="F196" s="66">
        <f t="shared" si="11"/>
        <v>633.60940500000015</v>
      </c>
      <c r="G196" s="119"/>
      <c r="H196" s="120"/>
      <c r="I196" s="36"/>
      <c r="J196" s="68">
        <f>4.72*3.05+2.44*2.29+3.2*3.05+1.07*1.37+3.51*3.28+2.29*1.22+4.27*1.07+0.94*0.91+0.94*1.22+1.2*2.29</f>
        <v>54.8352</v>
      </c>
      <c r="L196" s="114"/>
      <c r="M196" s="114"/>
      <c r="N196" s="36"/>
    </row>
    <row r="197" spans="1:14" s="68" customFormat="1" ht="15.75" customHeight="1" x14ac:dyDescent="0.35">
      <c r="A197" s="109">
        <v>6</v>
      </c>
      <c r="B197" s="110"/>
      <c r="C197" s="66" t="s">
        <v>192</v>
      </c>
      <c r="D197" s="52">
        <f>(33.57+0.75*(2.75+2.29+2.74))*(10.764)</f>
        <v>424.15541999999999</v>
      </c>
      <c r="E197" s="52">
        <v>0</v>
      </c>
      <c r="F197" s="66">
        <f t="shared" si="11"/>
        <v>636.23312999999996</v>
      </c>
      <c r="G197" s="121"/>
      <c r="H197" s="122"/>
      <c r="I197" s="36"/>
      <c r="L197" s="114"/>
      <c r="M197" s="114"/>
      <c r="N197" s="36"/>
    </row>
    <row r="198" spans="1:14" s="68" customFormat="1" x14ac:dyDescent="0.35">
      <c r="A198" s="111" t="s">
        <v>227</v>
      </c>
      <c r="B198" s="112"/>
      <c r="C198" s="112"/>
      <c r="D198" s="112"/>
      <c r="E198" s="112"/>
      <c r="F198" s="112"/>
      <c r="G198" s="112"/>
      <c r="H198" s="113"/>
      <c r="I198" s="75">
        <v>3</v>
      </c>
      <c r="J198" s="52">
        <f>10.764</f>
        <v>10.763999999999999</v>
      </c>
      <c r="K198" s="73">
        <f>0.75*(2.75+2.13+2.75)</f>
        <v>5.7225000000000001</v>
      </c>
    </row>
    <row r="199" spans="1:14" s="68" customFormat="1" ht="15.75" customHeight="1" x14ac:dyDescent="0.35">
      <c r="A199" s="109">
        <v>1</v>
      </c>
      <c r="B199" s="110"/>
      <c r="C199" s="66" t="s">
        <v>192</v>
      </c>
      <c r="D199" s="52">
        <f>(33.52+0.75*(2.75+2.13+2.75))*(10.764)</f>
        <v>422.40627000000006</v>
      </c>
      <c r="E199" s="52">
        <v>0</v>
      </c>
      <c r="F199" s="66">
        <f>D199*(($F$167)+1)+(IF(E199&lt;101,E199,IF(E199&lt;201,E199/2,IF(E199&lt;=301,E199/3,E199/4))))</f>
        <v>633.60940500000015</v>
      </c>
      <c r="G199" s="117" t="str">
        <f>A198</f>
        <v>8th, 13th &amp; 18th Floor (Part Refuge Area)</v>
      </c>
      <c r="H199" s="118"/>
      <c r="I199" s="74">
        <f>3.96*2.75+2.3*2.13+2.74*2.75+1.98*1.22+1.98*1.22+0.91*0.91+1.22*1.22</f>
        <v>30.471699999999998</v>
      </c>
      <c r="J199" s="68">
        <f>4.72*3.05+2.44*2.29+3.2*3.05+1.07*1.37+3.51*3.28+2.29*1.22+4.27*1.07+0.94*0.91+0.94*1.22+1.2*2.29</f>
        <v>54.8352</v>
      </c>
      <c r="K199" s="73">
        <f>0.75*(2.75+2.29+2.74)</f>
        <v>5.835</v>
      </c>
      <c r="L199" s="114"/>
      <c r="M199" s="114"/>
      <c r="N199" s="36"/>
    </row>
    <row r="200" spans="1:14" s="68" customFormat="1" ht="15.75" customHeight="1" x14ac:dyDescent="0.35">
      <c r="A200" s="109">
        <v>2</v>
      </c>
      <c r="B200" s="110"/>
      <c r="C200" s="66" t="s">
        <v>192</v>
      </c>
      <c r="D200" s="52">
        <f>(33.52+0.75*(2.75+2.13+2.75))*(10.764)</f>
        <v>422.40627000000006</v>
      </c>
      <c r="E200" s="52">
        <v>0</v>
      </c>
      <c r="F200" s="66">
        <f>D200*(($F$167)+1)+(IF(E200&lt;101,E200,IF(E200&lt;201,E200/2,IF(E200&lt;=301,E200/3,E200/4))))</f>
        <v>633.60940500000015</v>
      </c>
      <c r="G200" s="119"/>
      <c r="H200" s="120"/>
      <c r="I200" s="36"/>
      <c r="K200" s="73">
        <f>0.75*(2.75+2.13+2.75)</f>
        <v>5.7225000000000001</v>
      </c>
      <c r="L200" s="114"/>
      <c r="M200" s="114"/>
      <c r="N200" s="36"/>
    </row>
    <row r="201" spans="1:14" s="68" customFormat="1" ht="15.75" customHeight="1" x14ac:dyDescent="0.35">
      <c r="A201" s="109">
        <v>3</v>
      </c>
      <c r="B201" s="110"/>
      <c r="C201" s="109" t="s">
        <v>189</v>
      </c>
      <c r="D201" s="217"/>
      <c r="E201" s="217"/>
      <c r="F201" s="110"/>
      <c r="G201" s="119"/>
      <c r="H201" s="120"/>
      <c r="I201" s="36"/>
      <c r="J201" s="68">
        <f>4.72*3.05+2.44*2.29+3.2*3.05+1.07*1.37+3.51*3.28+2.29*1.22+4.27*1.07+0.94*0.91+0.94*1.22+1.2*2.29</f>
        <v>54.8352</v>
      </c>
      <c r="K201" s="73">
        <f>0.75*(2.75+2.13+2.75)</f>
        <v>5.7225000000000001</v>
      </c>
      <c r="L201" s="114"/>
      <c r="M201" s="114"/>
      <c r="N201" s="36"/>
    </row>
    <row r="202" spans="1:14" s="68" customFormat="1" ht="15.75" customHeight="1" x14ac:dyDescent="0.35">
      <c r="A202" s="109">
        <v>4</v>
      </c>
      <c r="B202" s="110"/>
      <c r="C202" s="66" t="s">
        <v>190</v>
      </c>
      <c r="D202" s="52">
        <f>(45.01+0.75*(2.75+2.13+2.75+2.75))*(10.764)</f>
        <v>568.28537999999992</v>
      </c>
      <c r="E202" s="52">
        <v>0</v>
      </c>
      <c r="F202" s="66">
        <f>D202*(($F$167)+1)+(IF(E202&lt;101,E202,IF(E202&lt;201,E202/2,IF(E202&lt;=301,E202/3,E202/4))))</f>
        <v>852.42806999999993</v>
      </c>
      <c r="G202" s="119"/>
      <c r="H202" s="120"/>
      <c r="I202" s="36"/>
      <c r="K202" s="73">
        <f>0.75*(2.75+2.29+2.74)</f>
        <v>5.835</v>
      </c>
      <c r="L202" s="114"/>
      <c r="M202" s="114"/>
      <c r="N202" s="36"/>
    </row>
    <row r="203" spans="1:14" s="68" customFormat="1" ht="15.75" customHeight="1" x14ac:dyDescent="0.35">
      <c r="A203" s="109">
        <v>5</v>
      </c>
      <c r="B203" s="110"/>
      <c r="C203" s="66" t="s">
        <v>192</v>
      </c>
      <c r="D203" s="52">
        <f>(33.52+0.75*(2.75+2.13+2.75))*(10.764)</f>
        <v>422.40627000000006</v>
      </c>
      <c r="E203" s="52">
        <v>0</v>
      </c>
      <c r="F203" s="66">
        <f>D203*(($F$167)+1)+(IF(E203&lt;101,E203,IF(E203&lt;201,E203/2,IF(E203&lt;=301,E203/3,E203/4))))</f>
        <v>633.60940500000015</v>
      </c>
      <c r="G203" s="119"/>
      <c r="H203" s="120"/>
      <c r="I203" s="36"/>
      <c r="J203" s="68">
        <f>4.72*3.05+2.44*2.29+3.2*3.05+1.07*1.37+3.51*3.28+2.29*1.22+4.27*1.07+0.94*0.91+0.94*1.22+1.2*2.29</f>
        <v>54.8352</v>
      </c>
      <c r="L203" s="114"/>
      <c r="M203" s="114"/>
      <c r="N203" s="36"/>
    </row>
    <row r="204" spans="1:14" s="68" customFormat="1" ht="15.75" customHeight="1" x14ac:dyDescent="0.35">
      <c r="A204" s="109">
        <v>6</v>
      </c>
      <c r="B204" s="110"/>
      <c r="C204" s="66" t="s">
        <v>192</v>
      </c>
      <c r="D204" s="52">
        <f>(33.57+0.75*(2.75+2.29+2.74))*(10.764)</f>
        <v>424.15541999999999</v>
      </c>
      <c r="E204" s="52">
        <v>0</v>
      </c>
      <c r="F204" s="66">
        <f>D204*(($F$167)+1)+(IF(E204&lt;101,E204,IF(E204&lt;201,E204/2,IF(E204&lt;=301,E204/3,E204/4))))</f>
        <v>636.23312999999996</v>
      </c>
      <c r="G204" s="121"/>
      <c r="H204" s="122"/>
      <c r="I204" s="36"/>
      <c r="L204" s="114"/>
      <c r="M204" s="114"/>
      <c r="N204" s="36"/>
    </row>
    <row r="205" spans="1:14" s="51" customFormat="1" x14ac:dyDescent="0.35">
      <c r="A205" s="111" t="s">
        <v>242</v>
      </c>
      <c r="B205" s="112"/>
      <c r="C205" s="112"/>
      <c r="D205" s="112"/>
      <c r="E205" s="112"/>
      <c r="F205" s="112"/>
      <c r="G205" s="112"/>
      <c r="H205" s="113"/>
      <c r="J205" s="36"/>
      <c r="L205" s="73">
        <f>(0.75*(2.75+2.13+2.75+2.75))*10.764</f>
        <v>83.79773999999999</v>
      </c>
    </row>
    <row r="206" spans="1:14" s="51" customFormat="1" x14ac:dyDescent="0.35">
      <c r="A206" s="111" t="s">
        <v>191</v>
      </c>
      <c r="B206" s="112"/>
      <c r="C206" s="112"/>
      <c r="D206" s="112"/>
      <c r="E206" s="112"/>
      <c r="F206" s="112"/>
      <c r="G206" s="112"/>
      <c r="H206" s="113"/>
      <c r="J206" s="36"/>
    </row>
    <row r="207" spans="1:14" s="51" customFormat="1" x14ac:dyDescent="0.35">
      <c r="A207" s="111" t="s">
        <v>228</v>
      </c>
      <c r="B207" s="112"/>
      <c r="C207" s="112"/>
      <c r="D207" s="112"/>
      <c r="E207" s="112"/>
      <c r="F207" s="112"/>
      <c r="G207" s="112"/>
      <c r="H207" s="113"/>
      <c r="I207" s="75">
        <f>7+4+4</f>
        <v>15</v>
      </c>
      <c r="J207" s="36"/>
    </row>
    <row r="208" spans="1:14" s="51" customFormat="1" ht="15.75" customHeight="1" x14ac:dyDescent="0.35">
      <c r="A208" s="109">
        <v>1</v>
      </c>
      <c r="B208" s="110"/>
      <c r="C208" s="49" t="s">
        <v>192</v>
      </c>
      <c r="D208" s="52">
        <f>(33.52+0.75*(2.75+2.13+2.75))*(10.764)</f>
        <v>422.40627000000006</v>
      </c>
      <c r="E208" s="49">
        <v>0</v>
      </c>
      <c r="F208" s="49">
        <f t="shared" ref="F208:F213" si="12">D208*(($F$167)+1)+(IF(E208&lt;101,E208,IF(E208&lt;201,E208/2,IF(E208&lt;=301,E208/3,E208/4))))</f>
        <v>633.60940500000015</v>
      </c>
      <c r="G208" s="117" t="str">
        <f>A207</f>
        <v>1st to 7th &amp; 9th to 12th &amp; 14th to 17th Floor For Residential</v>
      </c>
      <c r="H208" s="118"/>
      <c r="I208" s="36"/>
      <c r="L208" s="114"/>
      <c r="M208" s="114"/>
      <c r="N208" s="36"/>
    </row>
    <row r="209" spans="1:14" s="51" customFormat="1" ht="15.75" customHeight="1" x14ac:dyDescent="0.35">
      <c r="A209" s="109">
        <f t="shared" ref="A209:A213" si="13">A208+1</f>
        <v>2</v>
      </c>
      <c r="B209" s="110"/>
      <c r="C209" s="49" t="s">
        <v>192</v>
      </c>
      <c r="D209" s="52">
        <f>(33.52+0.75*(2.75+2.13+2.75))*(10.764)</f>
        <v>422.40627000000006</v>
      </c>
      <c r="E209" s="49">
        <v>0</v>
      </c>
      <c r="F209" s="49">
        <f t="shared" si="12"/>
        <v>633.60940500000015</v>
      </c>
      <c r="G209" s="119" t="str">
        <f t="shared" ref="G209:G213" si="14">G208</f>
        <v>1st to 7th &amp; 9th to 12th &amp; 14th to 17th Floor For Residential</v>
      </c>
      <c r="H209" s="120"/>
      <c r="I209" s="36"/>
      <c r="L209" s="114"/>
      <c r="M209" s="114"/>
      <c r="N209" s="36"/>
    </row>
    <row r="210" spans="1:14" s="51" customFormat="1" ht="15.75" customHeight="1" x14ac:dyDescent="0.35">
      <c r="A210" s="109">
        <f t="shared" si="13"/>
        <v>3</v>
      </c>
      <c r="B210" s="110"/>
      <c r="C210" s="49" t="s">
        <v>192</v>
      </c>
      <c r="D210" s="52">
        <f>(33.57+0.75*(2.75+2.29+2.74))*(10.764)</f>
        <v>424.15541999999999</v>
      </c>
      <c r="E210" s="49">
        <v>0</v>
      </c>
      <c r="F210" s="49">
        <f t="shared" si="12"/>
        <v>636.23312999999996</v>
      </c>
      <c r="G210" s="119" t="str">
        <f t="shared" si="14"/>
        <v>1st to 7th &amp; 9th to 12th &amp; 14th to 17th Floor For Residential</v>
      </c>
      <c r="H210" s="120"/>
      <c r="I210" s="36"/>
      <c r="L210" s="114"/>
      <c r="M210" s="114"/>
      <c r="N210" s="36"/>
    </row>
    <row r="211" spans="1:14" s="51" customFormat="1" ht="15.75" customHeight="1" x14ac:dyDescent="0.35">
      <c r="A211" s="109">
        <f t="shared" si="13"/>
        <v>4</v>
      </c>
      <c r="B211" s="110"/>
      <c r="C211" s="49" t="s">
        <v>192</v>
      </c>
      <c r="D211" s="52">
        <f>(33.52+0.75*(2.75+2.13+2.75))*(10.764)</f>
        <v>422.40627000000006</v>
      </c>
      <c r="E211" s="49">
        <v>0</v>
      </c>
      <c r="F211" s="49">
        <f t="shared" si="12"/>
        <v>633.60940500000015</v>
      </c>
      <c r="G211" s="119" t="str">
        <f t="shared" si="14"/>
        <v>1st to 7th &amp; 9th to 12th &amp; 14th to 17th Floor For Residential</v>
      </c>
      <c r="H211" s="120"/>
      <c r="I211" s="36"/>
      <c r="L211" s="114"/>
      <c r="M211" s="114"/>
      <c r="N211" s="36"/>
    </row>
    <row r="212" spans="1:14" s="51" customFormat="1" ht="15.75" customHeight="1" x14ac:dyDescent="0.35">
      <c r="A212" s="109">
        <f t="shared" si="13"/>
        <v>5</v>
      </c>
      <c r="B212" s="110"/>
      <c r="C212" s="49" t="s">
        <v>192</v>
      </c>
      <c r="D212" s="52">
        <f>(33.52+0.75*(2.75+2.13+2.75))*(10.764)</f>
        <v>422.40627000000006</v>
      </c>
      <c r="E212" s="49">
        <v>0</v>
      </c>
      <c r="F212" s="49">
        <f t="shared" si="12"/>
        <v>633.60940500000015</v>
      </c>
      <c r="G212" s="119" t="str">
        <f t="shared" si="14"/>
        <v>1st to 7th &amp; 9th to 12th &amp; 14th to 17th Floor For Residential</v>
      </c>
      <c r="H212" s="120"/>
      <c r="I212" s="36"/>
      <c r="L212" s="114"/>
      <c r="M212" s="114"/>
      <c r="N212" s="36"/>
    </row>
    <row r="213" spans="1:14" s="51" customFormat="1" ht="15.75" customHeight="1" x14ac:dyDescent="0.35">
      <c r="A213" s="109">
        <f t="shared" si="13"/>
        <v>6</v>
      </c>
      <c r="B213" s="110"/>
      <c r="C213" s="49" t="s">
        <v>192</v>
      </c>
      <c r="D213" s="52">
        <f>(33.57+0.75*(2.75+2.29+2.74))*(10.764)</f>
        <v>424.15541999999999</v>
      </c>
      <c r="E213" s="49">
        <v>0</v>
      </c>
      <c r="F213" s="49">
        <f t="shared" si="12"/>
        <v>636.23312999999996</v>
      </c>
      <c r="G213" s="121" t="str">
        <f t="shared" si="14"/>
        <v>1st to 7th &amp; 9th to 12th &amp; 14th to 17th Floor For Residential</v>
      </c>
      <c r="H213" s="122"/>
      <c r="I213" s="36"/>
      <c r="L213" s="114"/>
      <c r="M213" s="114"/>
      <c r="N213" s="36"/>
    </row>
    <row r="214" spans="1:14" s="68" customFormat="1" x14ac:dyDescent="0.35">
      <c r="A214" s="111" t="s">
        <v>229</v>
      </c>
      <c r="B214" s="112"/>
      <c r="C214" s="112"/>
      <c r="D214" s="112"/>
      <c r="E214" s="112"/>
      <c r="F214" s="112"/>
      <c r="G214" s="112"/>
      <c r="H214" s="113"/>
      <c r="I214" s="75">
        <v>2</v>
      </c>
      <c r="J214" s="52">
        <f>10.764</f>
        <v>10.763999999999999</v>
      </c>
      <c r="K214" s="73">
        <f>0.75*(2.75+2.13+2.75)</f>
        <v>5.7225000000000001</v>
      </c>
    </row>
    <row r="215" spans="1:14" s="68" customFormat="1" ht="15.75" customHeight="1" x14ac:dyDescent="0.35">
      <c r="A215" s="109">
        <v>1</v>
      </c>
      <c r="B215" s="110"/>
      <c r="C215" s="66" t="s">
        <v>192</v>
      </c>
      <c r="D215" s="52">
        <f>(33.52+0.75*(2.75+2.13+2.75))*(10.764)</f>
        <v>422.40627000000006</v>
      </c>
      <c r="E215" s="52">
        <v>0</v>
      </c>
      <c r="F215" s="66">
        <f>D215*(($F$167)+1)+(IF(E215&lt;101,E215,IF(E215&lt;201,E215/2,IF(E215&lt;=301,E215/3,E215/4))))</f>
        <v>633.60940500000015</v>
      </c>
      <c r="G215" s="117" t="str">
        <f>A214</f>
        <v>8th &amp; 13th Floor (Part Refuge Area)</v>
      </c>
      <c r="H215" s="118"/>
      <c r="I215" s="74">
        <f>3.96*2.75+2.3*2.13+2.74*2.75+1.98*1.22+1.98*1.22+0.91*0.91+1.22*1.22</f>
        <v>30.471699999999998</v>
      </c>
      <c r="J215" s="68">
        <f>4.72*3.05+2.44*2.29+3.2*3.05+1.07*1.37+3.51*3.28+2.29*1.22+4.27*1.07+0.94*0.91+0.94*1.22+1.2*2.29</f>
        <v>54.8352</v>
      </c>
      <c r="K215" s="73">
        <f>0.75*(2.75+2.29+2.74)</f>
        <v>5.835</v>
      </c>
      <c r="L215" s="114"/>
      <c r="M215" s="114"/>
      <c r="N215" s="36"/>
    </row>
    <row r="216" spans="1:14" s="68" customFormat="1" ht="15.75" customHeight="1" x14ac:dyDescent="0.35">
      <c r="A216" s="109">
        <v>2</v>
      </c>
      <c r="B216" s="110"/>
      <c r="C216" s="66" t="s">
        <v>192</v>
      </c>
      <c r="D216" s="52">
        <f>(33.52+0.75*(2.75+2.13+2.75))*(10.764)</f>
        <v>422.40627000000006</v>
      </c>
      <c r="E216" s="52">
        <v>0</v>
      </c>
      <c r="F216" s="66">
        <f>D216*(($F$167)+1)+(IF(E216&lt;101,E216,IF(E216&lt;201,E216/2,IF(E216&lt;=301,E216/3,E216/4))))</f>
        <v>633.60940500000015</v>
      </c>
      <c r="G216" s="119"/>
      <c r="H216" s="120"/>
      <c r="I216" s="36"/>
      <c r="K216" s="73">
        <f>0.75*(2.75+2.13+2.75)</f>
        <v>5.7225000000000001</v>
      </c>
      <c r="L216" s="114"/>
      <c r="M216" s="114"/>
      <c r="N216" s="36"/>
    </row>
    <row r="217" spans="1:14" s="68" customFormat="1" ht="15.75" customHeight="1" x14ac:dyDescent="0.35">
      <c r="A217" s="109">
        <v>3</v>
      </c>
      <c r="B217" s="110"/>
      <c r="C217" s="109" t="s">
        <v>189</v>
      </c>
      <c r="D217" s="217"/>
      <c r="E217" s="217"/>
      <c r="F217" s="110"/>
      <c r="G217" s="119"/>
      <c r="H217" s="120"/>
      <c r="I217" s="36"/>
      <c r="J217" s="68">
        <f>4.72*3.05+2.44*2.29+3.2*3.05+1.07*1.37+3.51*3.28+2.29*1.22+4.27*1.07+0.94*0.91+0.94*1.22+1.2*2.29</f>
        <v>54.8352</v>
      </c>
      <c r="K217" s="73">
        <f>0.75*(2.75+2.13+2.75)</f>
        <v>5.7225000000000001</v>
      </c>
      <c r="L217" s="114"/>
      <c r="M217" s="114"/>
      <c r="N217" s="36"/>
    </row>
    <row r="218" spans="1:14" s="68" customFormat="1" ht="15.75" customHeight="1" x14ac:dyDescent="0.35">
      <c r="A218" s="109">
        <v>4</v>
      </c>
      <c r="B218" s="110"/>
      <c r="C218" s="66" t="s">
        <v>190</v>
      </c>
      <c r="D218" s="52">
        <f>(45.01+0.75*(2.75+2.13+2.75+2.75))*(10.764)</f>
        <v>568.28537999999992</v>
      </c>
      <c r="E218" s="52">
        <v>0</v>
      </c>
      <c r="F218" s="66">
        <f>D218*(($F$167)+1)+(IF(E218&lt;101,E218,IF(E218&lt;201,E218/2,IF(E218&lt;=301,E218/3,E218/4))))</f>
        <v>852.42806999999993</v>
      </c>
      <c r="G218" s="119"/>
      <c r="H218" s="120"/>
      <c r="I218" s="36"/>
      <c r="K218" s="73">
        <f>0.75*(2.75+2.29+2.74)</f>
        <v>5.835</v>
      </c>
      <c r="L218" s="114"/>
      <c r="M218" s="114"/>
      <c r="N218" s="36"/>
    </row>
    <row r="219" spans="1:14" s="68" customFormat="1" ht="15.75" customHeight="1" x14ac:dyDescent="0.35">
      <c r="A219" s="109">
        <v>5</v>
      </c>
      <c r="B219" s="110"/>
      <c r="C219" s="66" t="s">
        <v>192</v>
      </c>
      <c r="D219" s="52">
        <f>(33.52+0.75*(2.75+2.13+2.75))*(10.764)</f>
        <v>422.40627000000006</v>
      </c>
      <c r="E219" s="52">
        <v>0</v>
      </c>
      <c r="F219" s="66">
        <f>D219*(($F$167)+1)+(IF(E219&lt;101,E219,IF(E219&lt;201,E219/2,IF(E219&lt;=301,E219/3,E219/4))))</f>
        <v>633.60940500000015</v>
      </c>
      <c r="G219" s="119"/>
      <c r="H219" s="120"/>
      <c r="I219" s="36"/>
      <c r="J219" s="68">
        <f>4.72*3.05+2.44*2.29+3.2*3.05+1.07*1.37+3.51*3.28+2.29*1.22+4.27*1.07+0.94*0.91+0.94*1.22+1.2*2.29</f>
        <v>54.8352</v>
      </c>
      <c r="L219" s="114"/>
      <c r="M219" s="114"/>
      <c r="N219" s="36"/>
    </row>
    <row r="220" spans="1:14" s="68" customFormat="1" ht="15.75" customHeight="1" x14ac:dyDescent="0.35">
      <c r="A220" s="109">
        <v>6</v>
      </c>
      <c r="B220" s="110"/>
      <c r="C220" s="66" t="s">
        <v>192</v>
      </c>
      <c r="D220" s="52">
        <f>(33.57+0.75*(2.75+2.29+2.74))*(10.764)</f>
        <v>424.15541999999999</v>
      </c>
      <c r="E220" s="52">
        <v>0</v>
      </c>
      <c r="F220" s="66">
        <f>D220*(($F$167)+1)+(IF(E220&lt;101,E220,IF(E220&lt;201,E220/2,IF(E220&lt;=301,E220/3,E220/4))))</f>
        <v>636.23312999999996</v>
      </c>
      <c r="G220" s="121"/>
      <c r="H220" s="122"/>
      <c r="I220" s="36"/>
      <c r="L220" s="114"/>
      <c r="M220" s="114"/>
      <c r="N220" s="36"/>
    </row>
    <row r="221" spans="1:14" s="51" customFormat="1" x14ac:dyDescent="0.35">
      <c r="A221" s="123" t="s">
        <v>243</v>
      </c>
      <c r="B221" s="123"/>
      <c r="C221" s="123"/>
      <c r="D221" s="123"/>
      <c r="E221" s="123"/>
      <c r="F221" s="123"/>
      <c r="G221" s="123"/>
      <c r="H221" s="123"/>
      <c r="J221" s="36"/>
    </row>
    <row r="222" spans="1:14" s="51" customFormat="1" ht="15.75" customHeight="1" x14ac:dyDescent="0.35">
      <c r="A222" s="129" t="s">
        <v>191</v>
      </c>
      <c r="B222" s="129"/>
      <c r="C222" s="129"/>
      <c r="D222" s="129"/>
      <c r="E222" s="129"/>
      <c r="F222" s="129"/>
      <c r="G222" s="129"/>
      <c r="H222" s="129"/>
      <c r="J222" s="36"/>
    </row>
    <row r="223" spans="1:14" s="51" customFormat="1" ht="15.75" customHeight="1" x14ac:dyDescent="0.35">
      <c r="A223" s="129" t="s">
        <v>230</v>
      </c>
      <c r="B223" s="129"/>
      <c r="C223" s="129"/>
      <c r="D223" s="129"/>
      <c r="E223" s="129"/>
      <c r="F223" s="129"/>
      <c r="G223" s="129"/>
      <c r="H223" s="129"/>
      <c r="I223" s="75">
        <v>4</v>
      </c>
      <c r="J223" s="36"/>
    </row>
    <row r="224" spans="1:14" s="51" customFormat="1" ht="15.75" customHeight="1" x14ac:dyDescent="0.35">
      <c r="A224" s="127">
        <v>1</v>
      </c>
      <c r="B224" s="127"/>
      <c r="C224" s="85" t="s">
        <v>192</v>
      </c>
      <c r="D224" s="52">
        <f t="shared" ref="D224:D233" si="15">(29.93+1.91+0.75*(2.59+2.74))*(10.764)</f>
        <v>385.75484999999998</v>
      </c>
      <c r="E224" s="85">
        <v>0</v>
      </c>
      <c r="F224" s="85">
        <f t="shared" ref="F224:F231" si="16">D224*(($F$167)+1)+(IF(E224&lt;101,E224,IF(E224&lt;201,E224/2,IF(E224&lt;=301,E224/3,E224/4))))</f>
        <v>578.63227499999994</v>
      </c>
      <c r="G224" s="127" t="str">
        <f>A223</f>
        <v>1st to 4th Floor For Residential</v>
      </c>
      <c r="H224" s="127"/>
      <c r="I224" s="74">
        <f>3.81*2.59+2.74*1.91+2.74*2.74+1.45*0.54+1.98*1.22+1.22*1.83</f>
        <v>28.040100000000002</v>
      </c>
      <c r="L224" s="114"/>
      <c r="M224" s="114"/>
      <c r="N224" s="36"/>
    </row>
    <row r="225" spans="1:14" s="51" customFormat="1" ht="15.75" customHeight="1" x14ac:dyDescent="0.35">
      <c r="A225" s="127">
        <f t="shared" ref="A225:A233" si="17">A224+1</f>
        <v>2</v>
      </c>
      <c r="B225" s="127"/>
      <c r="C225" s="85" t="s">
        <v>192</v>
      </c>
      <c r="D225" s="52">
        <f t="shared" si="15"/>
        <v>385.75484999999998</v>
      </c>
      <c r="E225" s="85">
        <v>0</v>
      </c>
      <c r="F225" s="85">
        <f t="shared" si="16"/>
        <v>578.63227499999994</v>
      </c>
      <c r="G225" s="127"/>
      <c r="H225" s="127"/>
      <c r="I225" s="36">
        <f>3960000/F225</f>
        <v>6843.7247127288229</v>
      </c>
      <c r="L225" s="114"/>
      <c r="M225" s="114"/>
      <c r="N225" s="36"/>
    </row>
    <row r="226" spans="1:14" s="51" customFormat="1" ht="15.75" customHeight="1" x14ac:dyDescent="0.35">
      <c r="A226" s="127">
        <f t="shared" si="17"/>
        <v>3</v>
      </c>
      <c r="B226" s="127"/>
      <c r="C226" s="85" t="s">
        <v>192</v>
      </c>
      <c r="D226" s="52">
        <f t="shared" si="15"/>
        <v>385.75484999999998</v>
      </c>
      <c r="E226" s="85">
        <v>0</v>
      </c>
      <c r="F226" s="85">
        <f t="shared" si="16"/>
        <v>578.63227499999994</v>
      </c>
      <c r="G226" s="127"/>
      <c r="H226" s="127"/>
      <c r="I226" s="36"/>
      <c r="J226" s="51">
        <f>3900000/F226</f>
        <v>6740.0319140511137</v>
      </c>
      <c r="L226" s="114"/>
      <c r="M226" s="114"/>
      <c r="N226" s="36"/>
    </row>
    <row r="227" spans="1:14" s="51" customFormat="1" ht="15.75" customHeight="1" x14ac:dyDescent="0.35">
      <c r="A227" s="127">
        <f t="shared" si="17"/>
        <v>4</v>
      </c>
      <c r="B227" s="127"/>
      <c r="C227" s="85" t="s">
        <v>192</v>
      </c>
      <c r="D227" s="52">
        <f t="shared" si="15"/>
        <v>385.75484999999998</v>
      </c>
      <c r="E227" s="85">
        <v>0</v>
      </c>
      <c r="F227" s="85">
        <f t="shared" si="16"/>
        <v>578.63227499999994</v>
      </c>
      <c r="G227" s="127"/>
      <c r="H227" s="127"/>
      <c r="I227" s="36"/>
      <c r="L227" s="114"/>
      <c r="M227" s="114"/>
      <c r="N227" s="36"/>
    </row>
    <row r="228" spans="1:14" s="51" customFormat="1" ht="15.75" customHeight="1" x14ac:dyDescent="0.35">
      <c r="A228" s="127">
        <f t="shared" si="17"/>
        <v>5</v>
      </c>
      <c r="B228" s="127"/>
      <c r="C228" s="85" t="s">
        <v>192</v>
      </c>
      <c r="D228" s="52">
        <f t="shared" si="15"/>
        <v>385.75484999999998</v>
      </c>
      <c r="E228" s="85">
        <v>0</v>
      </c>
      <c r="F228" s="85">
        <f t="shared" si="16"/>
        <v>578.63227499999994</v>
      </c>
      <c r="G228" s="127"/>
      <c r="H228" s="127"/>
      <c r="I228" s="36"/>
      <c r="L228" s="114"/>
      <c r="M228" s="114"/>
      <c r="N228" s="36"/>
    </row>
    <row r="229" spans="1:14" s="51" customFormat="1" ht="15.75" customHeight="1" x14ac:dyDescent="0.35">
      <c r="A229" s="127">
        <f t="shared" si="17"/>
        <v>6</v>
      </c>
      <c r="B229" s="127"/>
      <c r="C229" s="85" t="s">
        <v>192</v>
      </c>
      <c r="D229" s="52">
        <f t="shared" si="15"/>
        <v>385.75484999999998</v>
      </c>
      <c r="E229" s="85">
        <v>0</v>
      </c>
      <c r="F229" s="85">
        <f t="shared" si="16"/>
        <v>578.63227499999994</v>
      </c>
      <c r="G229" s="127"/>
      <c r="H229" s="127"/>
      <c r="I229" s="36"/>
      <c r="J229" s="52">
        <f>10.764</f>
        <v>10.763999999999999</v>
      </c>
      <c r="L229" s="114" t="e">
        <v>#DIV/0!</v>
      </c>
      <c r="M229" s="114"/>
      <c r="N229" s="36"/>
    </row>
    <row r="230" spans="1:14" s="51" customFormat="1" ht="15.75" customHeight="1" x14ac:dyDescent="0.35">
      <c r="A230" s="127">
        <f t="shared" si="17"/>
        <v>7</v>
      </c>
      <c r="B230" s="127"/>
      <c r="C230" s="85" t="s">
        <v>192</v>
      </c>
      <c r="D230" s="52">
        <f t="shared" si="15"/>
        <v>385.75484999999998</v>
      </c>
      <c r="E230" s="85">
        <v>0</v>
      </c>
      <c r="F230" s="85">
        <f t="shared" si="16"/>
        <v>578.63227499999994</v>
      </c>
      <c r="G230" s="127"/>
      <c r="H230" s="127"/>
      <c r="I230" s="36"/>
      <c r="L230" s="114"/>
      <c r="M230" s="114"/>
      <c r="N230" s="36"/>
    </row>
    <row r="231" spans="1:14" s="51" customFormat="1" ht="15.75" customHeight="1" x14ac:dyDescent="0.35">
      <c r="A231" s="127">
        <f t="shared" si="17"/>
        <v>8</v>
      </c>
      <c r="B231" s="127"/>
      <c r="C231" s="85" t="s">
        <v>192</v>
      </c>
      <c r="D231" s="52">
        <f t="shared" si="15"/>
        <v>385.75484999999998</v>
      </c>
      <c r="E231" s="85">
        <v>0</v>
      </c>
      <c r="F231" s="85">
        <f t="shared" si="16"/>
        <v>578.63227499999994</v>
      </c>
      <c r="G231" s="127"/>
      <c r="H231" s="127"/>
      <c r="I231" s="36"/>
      <c r="L231" s="114"/>
      <c r="M231" s="114"/>
      <c r="N231" s="36"/>
    </row>
    <row r="232" spans="1:14" s="68" customFormat="1" ht="15.75" customHeight="1" x14ac:dyDescent="0.35">
      <c r="A232" s="127">
        <f t="shared" si="17"/>
        <v>9</v>
      </c>
      <c r="B232" s="127"/>
      <c r="C232" s="85" t="s">
        <v>192</v>
      </c>
      <c r="D232" s="52">
        <f t="shared" si="15"/>
        <v>385.75484999999998</v>
      </c>
      <c r="E232" s="85">
        <v>0</v>
      </c>
      <c r="F232" s="85">
        <f t="shared" ref="F232:F233" si="18">D232*(($F$167)+1)+(IF(E232&lt;101,E232,IF(E232&lt;201,E232/2,IF(E232&lt;=301,E232/3,E232/4))))</f>
        <v>578.63227499999994</v>
      </c>
      <c r="G232" s="127"/>
      <c r="H232" s="127"/>
      <c r="I232" s="36"/>
      <c r="L232" s="114"/>
      <c r="M232" s="114"/>
      <c r="N232" s="36"/>
    </row>
    <row r="233" spans="1:14" s="68" customFormat="1" ht="15.75" customHeight="1" x14ac:dyDescent="0.35">
      <c r="A233" s="127">
        <f t="shared" si="17"/>
        <v>10</v>
      </c>
      <c r="B233" s="127"/>
      <c r="C233" s="85" t="s">
        <v>192</v>
      </c>
      <c r="D233" s="52">
        <f t="shared" si="15"/>
        <v>385.75484999999998</v>
      </c>
      <c r="E233" s="85">
        <v>0</v>
      </c>
      <c r="F233" s="85">
        <f t="shared" si="18"/>
        <v>578.63227499999994</v>
      </c>
      <c r="G233" s="127"/>
      <c r="H233" s="127"/>
      <c r="I233" s="36"/>
      <c r="L233" s="114"/>
      <c r="M233" s="114"/>
      <c r="N233" s="36"/>
    </row>
    <row r="234" spans="1:14" s="37" customFormat="1" hidden="1" x14ac:dyDescent="0.35">
      <c r="A234" s="129" t="s">
        <v>121</v>
      </c>
      <c r="B234" s="129"/>
      <c r="C234" s="129"/>
      <c r="D234" s="129"/>
      <c r="E234" s="129"/>
      <c r="F234" s="129"/>
      <c r="G234" s="129"/>
      <c r="H234" s="129"/>
      <c r="J234" s="36"/>
    </row>
    <row r="235" spans="1:14" s="37" customFormat="1" hidden="1" x14ac:dyDescent="0.35">
      <c r="A235" s="127">
        <v>1</v>
      </c>
      <c r="B235" s="127"/>
      <c r="C235" s="85"/>
      <c r="D235" s="85"/>
      <c r="E235" s="85">
        <v>0</v>
      </c>
      <c r="F235" s="85">
        <f>D235*(($F$167)+1)+(IF(E235&lt;101,E235,IF(E235&lt;201,E235/2,IF(E235&lt;=301,E235/3,E235/4))))</f>
        <v>0</v>
      </c>
      <c r="G235" s="127" t="str">
        <f>A234</f>
        <v>Ground Floor</v>
      </c>
      <c r="H235" s="127"/>
      <c r="I235" s="36"/>
      <c r="L235" s="114"/>
      <c r="M235" s="114"/>
      <c r="N235" s="36"/>
    </row>
    <row r="236" spans="1:14" s="37" customFormat="1" hidden="1" x14ac:dyDescent="0.35">
      <c r="A236" s="127">
        <f t="shared" ref="A236:A238" si="19">A235+1</f>
        <v>2</v>
      </c>
      <c r="B236" s="127"/>
      <c r="C236" s="85"/>
      <c r="D236" s="85"/>
      <c r="E236" s="85">
        <v>0</v>
      </c>
      <c r="F236" s="85">
        <f>D236*(($F$167)+1)+(IF(E236&lt;101,E236,IF(E236&lt;201,E236/2,IF(E236&lt;=301,E236/3,E236/4))))</f>
        <v>0</v>
      </c>
      <c r="G236" s="127" t="str">
        <f t="shared" ref="G236:G238" si="20">G235</f>
        <v>Ground Floor</v>
      </c>
      <c r="H236" s="127"/>
      <c r="I236" s="36"/>
      <c r="L236" s="114"/>
      <c r="M236" s="114"/>
      <c r="N236" s="36"/>
    </row>
    <row r="237" spans="1:14" s="37" customFormat="1" hidden="1" x14ac:dyDescent="0.35">
      <c r="A237" s="127">
        <f t="shared" si="19"/>
        <v>3</v>
      </c>
      <c r="B237" s="127"/>
      <c r="C237" s="85"/>
      <c r="D237" s="85"/>
      <c r="E237" s="85">
        <v>0</v>
      </c>
      <c r="F237" s="85">
        <f>D237*(($F$167)+1)+(IF(E237&lt;101,E237,IF(E237&lt;201,E237/2,IF(E237&lt;=301,E237/3,E237/4))))</f>
        <v>0</v>
      </c>
      <c r="G237" s="127" t="str">
        <f t="shared" si="20"/>
        <v>Ground Floor</v>
      </c>
      <c r="H237" s="127"/>
      <c r="I237" s="36"/>
      <c r="L237" s="114"/>
      <c r="M237" s="114"/>
      <c r="N237" s="36"/>
    </row>
    <row r="238" spans="1:14" s="37" customFormat="1" hidden="1" x14ac:dyDescent="0.35">
      <c r="A238" s="127">
        <f t="shared" si="19"/>
        <v>4</v>
      </c>
      <c r="B238" s="127"/>
      <c r="C238" s="85"/>
      <c r="D238" s="85"/>
      <c r="E238" s="85">
        <v>0</v>
      </c>
      <c r="F238" s="85">
        <f>D238*(($F$167)+1)+(IF(E238&lt;101,E238,IF(E238&lt;201,E238/2,IF(E238&lt;=301,E238/3,E238/4))))</f>
        <v>0</v>
      </c>
      <c r="G238" s="127" t="str">
        <f t="shared" si="20"/>
        <v>Ground Floor</v>
      </c>
      <c r="H238" s="127"/>
      <c r="I238" s="36"/>
      <c r="L238" s="114"/>
      <c r="M238" s="114"/>
      <c r="N238" s="36"/>
    </row>
    <row r="239" spans="1:14" s="37" customFormat="1" hidden="1" x14ac:dyDescent="0.35">
      <c r="A239" s="129" t="s">
        <v>122</v>
      </c>
      <c r="B239" s="129"/>
      <c r="C239" s="129"/>
      <c r="D239" s="129"/>
      <c r="E239" s="129"/>
      <c r="F239" s="129"/>
      <c r="G239" s="129"/>
      <c r="H239" s="129"/>
      <c r="I239" s="36"/>
      <c r="L239" s="114"/>
      <c r="M239" s="114"/>
    </row>
    <row r="240" spans="1:14" s="37" customFormat="1" hidden="1" x14ac:dyDescent="0.35">
      <c r="A240" s="127">
        <f>LEFT(A239,SUM(LEN(A239)-LEN(SUBSTITUTE(A239,{"0","1","2","3","4","5","6","7","8","9"},""))))*100+1</f>
        <v>201</v>
      </c>
      <c r="B240" s="127"/>
      <c r="C240" s="85"/>
      <c r="D240" s="85"/>
      <c r="E240" s="85">
        <v>0</v>
      </c>
      <c r="F240" s="85">
        <f t="shared" ref="F240:F241" si="21">D240*(($F$167)+1)+(IF(E240&lt;101,E240,IF(E240&lt;201,E240/2,IF(E240&lt;=301,E240/3,E240/4))))</f>
        <v>0</v>
      </c>
      <c r="G240" s="127" t="str">
        <f>A239</f>
        <v>2nd Floor</v>
      </c>
      <c r="H240" s="127"/>
      <c r="I240" s="36"/>
      <c r="N240" s="36"/>
    </row>
    <row r="241" spans="1:14" s="37" customFormat="1" hidden="1" x14ac:dyDescent="0.35">
      <c r="A241" s="127">
        <f>A240+1</f>
        <v>202</v>
      </c>
      <c r="B241" s="127"/>
      <c r="C241" s="85"/>
      <c r="D241" s="85"/>
      <c r="E241" s="85">
        <v>0</v>
      </c>
      <c r="F241" s="85">
        <f t="shared" si="21"/>
        <v>0</v>
      </c>
      <c r="G241" s="127" t="str">
        <f>G240</f>
        <v>2nd Floor</v>
      </c>
      <c r="H241" s="127"/>
      <c r="I241" s="36"/>
      <c r="N241" s="36"/>
    </row>
    <row r="242" spans="1:14" s="37" customFormat="1" hidden="1" x14ac:dyDescent="0.35">
      <c r="A242" s="127">
        <f>A241+1</f>
        <v>203</v>
      </c>
      <c r="B242" s="127"/>
      <c r="C242" s="85"/>
      <c r="D242" s="85"/>
      <c r="E242" s="85">
        <v>0</v>
      </c>
      <c r="F242" s="85">
        <f>D242*(($F$167)+1)+(IF(E242&lt;101,E242,IF(E242&lt;201,E242/2,IF(E242&lt;=301,E242/3,E242/4))))</f>
        <v>0</v>
      </c>
      <c r="G242" s="127" t="str">
        <f>G241</f>
        <v>2nd Floor</v>
      </c>
      <c r="H242" s="127"/>
      <c r="I242" s="36"/>
      <c r="N242" s="36"/>
    </row>
    <row r="243" spans="1:14" s="37" customFormat="1" hidden="1" x14ac:dyDescent="0.35">
      <c r="A243" s="127">
        <f>A242+1</f>
        <v>204</v>
      </c>
      <c r="B243" s="127"/>
      <c r="C243" s="85"/>
      <c r="D243" s="85"/>
      <c r="E243" s="85">
        <v>0</v>
      </c>
      <c r="F243" s="85">
        <f>D243*(($F$167)+1)+(IF(E243&lt;101,E243,IF(E243&lt;201,E243/2,IF(E243&lt;=301,E243/3,E243/4))))</f>
        <v>0</v>
      </c>
      <c r="G243" s="127" t="str">
        <f>G242</f>
        <v>2nd Floor</v>
      </c>
      <c r="H243" s="127"/>
      <c r="I243" s="36"/>
      <c r="N243" s="36"/>
    </row>
    <row r="244" spans="1:14" s="37" customFormat="1" hidden="1" x14ac:dyDescent="0.35">
      <c r="A244" s="127">
        <f>A243+1</f>
        <v>205</v>
      </c>
      <c r="B244" s="127"/>
      <c r="C244" s="85"/>
      <c r="D244" s="85"/>
      <c r="E244" s="85">
        <v>0</v>
      </c>
      <c r="F244" s="85">
        <f>D244*(($F$167)+1)+(IF(E244&lt;101,E244,IF(E244&lt;201,E244/2,IF(E244&lt;=301,E244/3,E244/4))))</f>
        <v>0</v>
      </c>
      <c r="G244" s="127" t="str">
        <f>G243</f>
        <v>2nd Floor</v>
      </c>
      <c r="H244" s="127"/>
      <c r="I244" s="36"/>
      <c r="N244" s="36"/>
    </row>
    <row r="245" spans="1:14" s="37" customFormat="1" ht="15.75" hidden="1" customHeight="1" x14ac:dyDescent="0.35">
      <c r="A245" s="129" t="s">
        <v>157</v>
      </c>
      <c r="B245" s="129"/>
      <c r="C245" s="129"/>
      <c r="D245" s="129"/>
      <c r="E245" s="129"/>
      <c r="F245" s="129"/>
      <c r="G245" s="129"/>
      <c r="H245" s="129"/>
      <c r="I245" s="36"/>
    </row>
    <row r="246" spans="1:14" s="37" customFormat="1" hidden="1" x14ac:dyDescent="0.35">
      <c r="A246" s="127" t="str">
        <f ca="1">(SUMPRODUCT(MID(0&amp;(LEFT(A245,SUM(LEN(A245)-LEN(SUBSTITUTE(A245,{"0","1","2"},""))))), LARGE(INDEX(ISNUMBER(--MID((LEFT(A245,SUM(LEN(A245)-LEN(SUBSTITUTE(A245,{"0","1","2"},""))))), ROW(INDIRECT("1:"&amp;LEN((LEFT(A245,SUM(LEN(A245)-LEN(SUBSTITUTE(A245,{"0","1","2"},"")))))))), 1)) * ROW(INDIRECT("1:"&amp;LEN((LEFT(A245,SUM(LEN(A245)-LEN(SUBSTITUTE(A245,{"0","1","2"},"")))))))), 0), ROW(INDIRECT("1:"&amp;LEN((LEFT(A245,SUM(LEN(A245)-LEN(SUBSTITUTE(A245,{"0","1","2"},"")))))))))+1, 1) * 10^ROW(INDIRECT("1:"&amp;LEN((LEFT(A245,SUM(LEN(A245)-LEN(SUBSTITUTE(A245,{"0","1","2"},""))))))))/10))*100+1&amp;""&amp;" ,.., "&amp;""&amp;(SUMPRODUCT(MID(0&amp;(--TRIM(RIGHT(SUBSTITUTE(LEFT(A245,_xlfn.AGGREGATE(16,6,FIND({0,1,2,3,4,5,6,7,8,9},A245,ROW(INDIRECT("1:"&amp;LEN(A245)))),1))," ",REPT(" ",LEN(A245))),LEN(A245)))), LARGE(INDEX(ISNUMBER(--MID((--TRIM(RIGHT(SUBSTITUTE(LEFT(A245,_xlfn.AGGREGATE(16,6,FIND({0,1,2,3,4,5,6,7,8,9},A245,ROW(INDIRECT("1:"&amp;LEN(A245)))),1))," ",REPT(" ",LEN(A245))),LEN(A245)))), ROW(INDIRECT("1:"&amp;LEN((--TRIM(RIGHT(SUBSTITUTE(LEFT(A245,_xlfn.AGGREGATE(16,6,FIND({0,1,2,3,4,5,6,7,8,9},A245,ROW(INDIRECT("1:"&amp;LEN(A245)))),1))," ",REPT(" ",LEN(A245))),LEN(A245))))))), 1)) * ROW(INDIRECT("1:"&amp;LEN((--TRIM(RIGHT(SUBSTITUTE(LEFT(A245,_xlfn.AGGREGATE(16,6,FIND({0,1,2,3,4,5,6,7,8,9},A245,ROW(INDIRECT("1:"&amp;LEN(A245)))),1))," ",REPT(" ",LEN(A245))),LEN(A245))))))), 0), ROW(INDIRECT("1:"&amp;LEN((--TRIM(RIGHT(SUBSTITUTE(LEFT(A245,_xlfn.AGGREGATE(16,6,FIND({0,1,2,3,4,5,6,7,8,9},A245,ROW(INDIRECT("1:"&amp;LEN(A245)))),1))," ",REPT(" ",LEN(A245))),LEN(A245))))))))+1, 1) * 10^ROW(INDIRECT("1:"&amp;LEN((--TRIM(RIGHT(SUBSTITUTE(LEFT(A245,_xlfn.AGGREGATE(16,6,FIND({0,1,2,3,4,5,6,7,8,9},A245,ROW(INDIRECT("1:"&amp;LEN(A245)))),1))," ",REPT(" ",LEN(A245))),LEN(A245)))))))/10))*100+1</f>
        <v>301 ,.., 1501</v>
      </c>
      <c r="B246" s="127"/>
      <c r="C246" s="85"/>
      <c r="D246" s="85"/>
      <c r="E246" s="85">
        <v>0</v>
      </c>
      <c r="F246" s="85">
        <f>D246*(($F$167)+1)+(IF(E246&lt;101,E246,IF(E246&lt;201,E246/2,IF(E246&lt;=301,E246/3,E246/4))))</f>
        <v>0</v>
      </c>
      <c r="G246" s="127" t="str">
        <f>A245</f>
        <v>3rd, 5th, 7th, 9th, 11th, 13th, 15th Floor</v>
      </c>
      <c r="H246" s="127"/>
      <c r="I246" s="36"/>
    </row>
    <row r="247" spans="1:14" s="37" customFormat="1" hidden="1" x14ac:dyDescent="0.35">
      <c r="A247" s="127" t="str">
        <f ca="1">(SUMPRODUCT(MID(0&amp;(LEFT(A246,SUM(LEN(A246)-LEN(SUBSTITUTE(A246,{"0","1","2"},""))))), LARGE(INDEX(ISNUMBER(--MID((LEFT(A246,SUM(LEN(A246)-LEN(SUBSTITUTE(A246,{"0","1","2"},""))))), ROW(INDIRECT("1:"&amp;LEN((LEFT(A246,SUM(LEN(A246)-LEN(SUBSTITUTE(A246,{"0","1","2"},"")))))))), 1)) * ROW(INDIRECT("1:"&amp;LEN((LEFT(A246,SUM(LEN(A246)-LEN(SUBSTITUTE(A246,{"0","1","2"},"")))))))), 0), ROW(INDIRECT("1:"&amp;LEN((LEFT(A246,SUM(LEN(A246)-LEN(SUBSTITUTE(A246,{"0","1","2"},"")))))))))+1, 1) * 10^ROW(INDIRECT("1:"&amp;LEN((LEFT(A246,SUM(LEN(A246)-LEN(SUBSTITUTE(A246,{"0","1","2"},""))))))))/10))*1+1&amp;""&amp;" ,.., "&amp;""&amp;(SUMPRODUCT(MID(0&amp;(--TRIM(RIGHT(SUBSTITUTE(LEFT(A246,_xlfn.AGGREGATE(16,6,FIND({0,1,2,3,4,5,6,7,8,9},A246,ROW(INDIRECT("1:"&amp;LEN(A246)))),1))," ",REPT(" ",LEN(A246))),LEN(A246)))), LARGE(INDEX(ISNUMBER(--MID((--TRIM(RIGHT(SUBSTITUTE(LEFT(A246,_xlfn.AGGREGATE(16,6,FIND({0,1,2,3,4,5,6,7,8,9},A246,ROW(INDIRECT("1:"&amp;LEN(A246)))),1))," ",REPT(" ",LEN(A246))),LEN(A246)))), ROW(INDIRECT("1:"&amp;LEN((--TRIM(RIGHT(SUBSTITUTE(LEFT(A246,_xlfn.AGGREGATE(16,6,FIND({0,1,2,3,4,5,6,7,8,9},A246,ROW(INDIRECT("1:"&amp;LEN(A246)))),1))," ",REPT(" ",LEN(A246))),LEN(A246))))))), 1)) * ROW(INDIRECT("1:"&amp;LEN((--TRIM(RIGHT(SUBSTITUTE(LEFT(A246,_xlfn.AGGREGATE(16,6,FIND({0,1,2,3,4,5,6,7,8,9},A246,ROW(INDIRECT("1:"&amp;LEN(A246)))),1))," ",REPT(" ",LEN(A246))),LEN(A246))))))), 0), ROW(INDIRECT("1:"&amp;LEN((--TRIM(RIGHT(SUBSTITUTE(LEFT(A246,_xlfn.AGGREGATE(16,6,FIND({0,1,2,3,4,5,6,7,8,9},A246,ROW(INDIRECT("1:"&amp;LEN(A246)))),1))," ",REPT(" ",LEN(A246))),LEN(A246))))))))+1, 1) * 10^ROW(INDIRECT("1:"&amp;LEN((--TRIM(RIGHT(SUBSTITUTE(LEFT(A246,_xlfn.AGGREGATE(16,6,FIND({0,1,2,3,4,5,6,7,8,9},A246,ROW(INDIRECT("1:"&amp;LEN(A246)))),1))," ",REPT(" ",LEN(A246))),LEN(A246)))))))/10))*1+1</f>
        <v>302 ,.., 1502</v>
      </c>
      <c r="B247" s="127"/>
      <c r="C247" s="85"/>
      <c r="D247" s="85"/>
      <c r="E247" s="85">
        <v>0</v>
      </c>
      <c r="F247" s="85">
        <f>D247*(($F$167)+1)+(IF(E247&lt;101,E247,IF(E247&lt;201,E247/2,IF(E247&lt;=301,E247/3,E247/4))))</f>
        <v>0</v>
      </c>
      <c r="G247" s="127" t="str">
        <f>G246</f>
        <v>3rd, 5th, 7th, 9th, 11th, 13th, 15th Floor</v>
      </c>
      <c r="H247" s="127"/>
      <c r="I247" s="36"/>
    </row>
    <row r="248" spans="1:14" s="37" customFormat="1" ht="15.75" hidden="1" customHeight="1" x14ac:dyDescent="0.35">
      <c r="A248" s="127" t="str">
        <f ca="1">(SUMPRODUCT(MID(0&amp;(LEFT(A247,SUM(LEN(A247)-LEN(SUBSTITUTE(A247,{"0","1","2"},""))))), LARGE(INDEX(ISNUMBER(--MID((LEFT(A247,SUM(LEN(A247)-LEN(SUBSTITUTE(A247,{"0","1","2"},""))))), ROW(INDIRECT("1:"&amp;LEN((LEFT(A247,SUM(LEN(A247)-LEN(SUBSTITUTE(A247,{"0","1","2"},"")))))))), 1)) * ROW(INDIRECT("1:"&amp;LEN((LEFT(A247,SUM(LEN(A247)-LEN(SUBSTITUTE(A247,{"0","1","2"},"")))))))), 0), ROW(INDIRECT("1:"&amp;LEN((LEFT(A247,SUM(LEN(A247)-LEN(SUBSTITUTE(A247,{"0","1","2"},"")))))))))+1, 1) * 10^ROW(INDIRECT("1:"&amp;LEN((LEFT(A247,SUM(LEN(A247)-LEN(SUBSTITUTE(A247,{"0","1","2"},""))))))))/10))*1+1&amp;""&amp;" ,.., "&amp;""&amp;(SUMPRODUCT(MID(0&amp;(--TRIM(RIGHT(SUBSTITUTE(LEFT(A247,_xlfn.AGGREGATE(16,6,FIND({0,1,2,3,4,5,6,7,8,9},A247,ROW(INDIRECT("1:"&amp;LEN(A247)))),1))," ",REPT(" ",LEN(A247))),LEN(A247)))), LARGE(INDEX(ISNUMBER(--MID((--TRIM(RIGHT(SUBSTITUTE(LEFT(A247,_xlfn.AGGREGATE(16,6,FIND({0,1,2,3,4,5,6,7,8,9},A247,ROW(INDIRECT("1:"&amp;LEN(A247)))),1))," ",REPT(" ",LEN(A247))),LEN(A247)))), ROW(INDIRECT("1:"&amp;LEN((--TRIM(RIGHT(SUBSTITUTE(LEFT(A247,_xlfn.AGGREGATE(16,6,FIND({0,1,2,3,4,5,6,7,8,9},A247,ROW(INDIRECT("1:"&amp;LEN(A247)))),1))," ",REPT(" ",LEN(A247))),LEN(A247))))))), 1)) * ROW(INDIRECT("1:"&amp;LEN((--TRIM(RIGHT(SUBSTITUTE(LEFT(A247,_xlfn.AGGREGATE(16,6,FIND({0,1,2,3,4,5,6,7,8,9},A247,ROW(INDIRECT("1:"&amp;LEN(A247)))),1))," ",REPT(" ",LEN(A247))),LEN(A247))))))), 0), ROW(INDIRECT("1:"&amp;LEN((--TRIM(RIGHT(SUBSTITUTE(LEFT(A247,_xlfn.AGGREGATE(16,6,FIND({0,1,2,3,4,5,6,7,8,9},A247,ROW(INDIRECT("1:"&amp;LEN(A247)))),1))," ",REPT(" ",LEN(A247))),LEN(A247))))))))+1, 1) * 10^ROW(INDIRECT("1:"&amp;LEN((--TRIM(RIGHT(SUBSTITUTE(LEFT(A247,_xlfn.AGGREGATE(16,6,FIND({0,1,2,3,4,5,6,7,8,9},A247,ROW(INDIRECT("1:"&amp;LEN(A247)))),1))," ",REPT(" ",LEN(A247))),LEN(A247)))))))/10))*1+1</f>
        <v>303 ,.., 1503</v>
      </c>
      <c r="B248" s="127"/>
      <c r="C248" s="85"/>
      <c r="D248" s="85"/>
      <c r="E248" s="85">
        <v>0</v>
      </c>
      <c r="F248" s="85">
        <f>D248*(($F$167)+1)+(IF(E248&lt;101,E248,IF(E248&lt;201,E248/2,IF(E248&lt;=301,E248/3,E248/4))))</f>
        <v>0</v>
      </c>
      <c r="G248" s="127" t="str">
        <f>G247</f>
        <v>3rd, 5th, 7th, 9th, 11th, 13th, 15th Floor</v>
      </c>
      <c r="H248" s="127"/>
      <c r="I248" s="36"/>
    </row>
    <row r="249" spans="1:14" s="37" customFormat="1" ht="15.75" hidden="1" customHeight="1" x14ac:dyDescent="0.35">
      <c r="A249" s="127" t="str">
        <f ca="1">(SUMPRODUCT(MID(0&amp;(LEFT(A248,SUM(LEN(A248)-LEN(SUBSTITUTE(A248,{"0","1","2"},""))))), LARGE(INDEX(ISNUMBER(--MID((LEFT(A248,SUM(LEN(A248)-LEN(SUBSTITUTE(A248,{"0","1","2"},""))))), ROW(INDIRECT("1:"&amp;LEN((LEFT(A248,SUM(LEN(A248)-LEN(SUBSTITUTE(A248,{"0","1","2"},"")))))))), 1)) * ROW(INDIRECT("1:"&amp;LEN((LEFT(A248,SUM(LEN(A248)-LEN(SUBSTITUTE(A248,{"0","1","2"},"")))))))), 0), ROW(INDIRECT("1:"&amp;LEN((LEFT(A248,SUM(LEN(A248)-LEN(SUBSTITUTE(A248,{"0","1","2"},"")))))))))+1, 1) * 10^ROW(INDIRECT("1:"&amp;LEN((LEFT(A248,SUM(LEN(A248)-LEN(SUBSTITUTE(A248,{"0","1","2"},""))))))))/10))*1+1&amp;""&amp;" ,.., "&amp;""&amp;(SUMPRODUCT(MID(0&amp;(--TRIM(RIGHT(SUBSTITUTE(LEFT(A248,_xlfn.AGGREGATE(16,6,FIND({0,1,2,3,4,5,6,7,8,9},A248,ROW(INDIRECT("1:"&amp;LEN(A248)))),1))," ",REPT(" ",LEN(A248))),LEN(A248)))), LARGE(INDEX(ISNUMBER(--MID((--TRIM(RIGHT(SUBSTITUTE(LEFT(A248,_xlfn.AGGREGATE(16,6,FIND({0,1,2,3,4,5,6,7,8,9},A248,ROW(INDIRECT("1:"&amp;LEN(A248)))),1))," ",REPT(" ",LEN(A248))),LEN(A248)))), ROW(INDIRECT("1:"&amp;LEN((--TRIM(RIGHT(SUBSTITUTE(LEFT(A248,_xlfn.AGGREGATE(16,6,FIND({0,1,2,3,4,5,6,7,8,9},A248,ROW(INDIRECT("1:"&amp;LEN(A248)))),1))," ",REPT(" ",LEN(A248))),LEN(A248))))))), 1)) * ROW(INDIRECT("1:"&amp;LEN((--TRIM(RIGHT(SUBSTITUTE(LEFT(A248,_xlfn.AGGREGATE(16,6,FIND({0,1,2,3,4,5,6,7,8,9},A248,ROW(INDIRECT("1:"&amp;LEN(A248)))),1))," ",REPT(" ",LEN(A248))),LEN(A248))))))), 0), ROW(INDIRECT("1:"&amp;LEN((--TRIM(RIGHT(SUBSTITUTE(LEFT(A248,_xlfn.AGGREGATE(16,6,FIND({0,1,2,3,4,5,6,7,8,9},A248,ROW(INDIRECT("1:"&amp;LEN(A248)))),1))," ",REPT(" ",LEN(A248))),LEN(A248))))))))+1, 1) * 10^ROW(INDIRECT("1:"&amp;LEN((--TRIM(RIGHT(SUBSTITUTE(LEFT(A248,_xlfn.AGGREGATE(16,6,FIND({0,1,2,3,4,5,6,7,8,9},A248,ROW(INDIRECT("1:"&amp;LEN(A248)))),1))," ",REPT(" ",LEN(A248))),LEN(A248)))))))/10))*1+1</f>
        <v>304 ,.., 1504</v>
      </c>
      <c r="B249" s="127"/>
      <c r="C249" s="85"/>
      <c r="D249" s="85"/>
      <c r="E249" s="85">
        <v>0</v>
      </c>
      <c r="F249" s="85">
        <f>D249*(($F$167)+1)+(IF(E249&lt;101,E249,IF(E249&lt;201,E249/2,IF(E249&lt;=301,E249/3,E249/4))))</f>
        <v>0</v>
      </c>
      <c r="G249" s="127" t="str">
        <f>G248</f>
        <v>3rd, 5th, 7th, 9th, 11th, 13th, 15th Floor</v>
      </c>
      <c r="H249" s="127"/>
      <c r="I249" s="36"/>
    </row>
    <row r="250" spans="1:14" s="37" customFormat="1" ht="15.75" hidden="1" customHeight="1" x14ac:dyDescent="0.35">
      <c r="A250" s="127" t="str">
        <f ca="1">(SUMPRODUCT(MID(0&amp;(LEFT(A249,SUM(LEN(A249)-LEN(SUBSTITUTE(A249,{"0","1","2"},""))))), LARGE(INDEX(ISNUMBER(--MID((LEFT(A249,SUM(LEN(A249)-LEN(SUBSTITUTE(A249,{"0","1","2"},""))))), ROW(INDIRECT("1:"&amp;LEN((LEFT(A249,SUM(LEN(A249)-LEN(SUBSTITUTE(A249,{"0","1","2"},"")))))))), 1)) * ROW(INDIRECT("1:"&amp;LEN((LEFT(A249,SUM(LEN(A249)-LEN(SUBSTITUTE(A249,{"0","1","2"},"")))))))), 0), ROW(INDIRECT("1:"&amp;LEN((LEFT(A249,SUM(LEN(A249)-LEN(SUBSTITUTE(A249,{"0","1","2"},"")))))))))+1, 1) * 10^ROW(INDIRECT("1:"&amp;LEN((LEFT(A249,SUM(LEN(A249)-LEN(SUBSTITUTE(A249,{"0","1","2"},""))))))))/10))*1+1&amp;""&amp;" ,.., "&amp;""&amp;(SUMPRODUCT(MID(0&amp;(--TRIM(RIGHT(SUBSTITUTE(LEFT(A249,_xlfn.AGGREGATE(16,6,FIND({0,1,2,3,4,5,6,7,8,9},A249,ROW(INDIRECT("1:"&amp;LEN(A249)))),1))," ",REPT(" ",LEN(A249))),LEN(A249)))), LARGE(INDEX(ISNUMBER(--MID((--TRIM(RIGHT(SUBSTITUTE(LEFT(A249,_xlfn.AGGREGATE(16,6,FIND({0,1,2,3,4,5,6,7,8,9},A249,ROW(INDIRECT("1:"&amp;LEN(A249)))),1))," ",REPT(" ",LEN(A249))),LEN(A249)))), ROW(INDIRECT("1:"&amp;LEN((--TRIM(RIGHT(SUBSTITUTE(LEFT(A249,_xlfn.AGGREGATE(16,6,FIND({0,1,2,3,4,5,6,7,8,9},A249,ROW(INDIRECT("1:"&amp;LEN(A249)))),1))," ",REPT(" ",LEN(A249))),LEN(A249))))))), 1)) * ROW(INDIRECT("1:"&amp;LEN((--TRIM(RIGHT(SUBSTITUTE(LEFT(A249,_xlfn.AGGREGATE(16,6,FIND({0,1,2,3,4,5,6,7,8,9},A249,ROW(INDIRECT("1:"&amp;LEN(A249)))),1))," ",REPT(" ",LEN(A249))),LEN(A249))))))), 0), ROW(INDIRECT("1:"&amp;LEN((--TRIM(RIGHT(SUBSTITUTE(LEFT(A249,_xlfn.AGGREGATE(16,6,FIND({0,1,2,3,4,5,6,7,8,9},A249,ROW(INDIRECT("1:"&amp;LEN(A249)))),1))," ",REPT(" ",LEN(A249))),LEN(A249))))))))+1, 1) * 10^ROW(INDIRECT("1:"&amp;LEN((--TRIM(RIGHT(SUBSTITUTE(LEFT(A249,_xlfn.AGGREGATE(16,6,FIND({0,1,2,3,4,5,6,7,8,9},A249,ROW(INDIRECT("1:"&amp;LEN(A249)))),1))," ",REPT(" ",LEN(A249))),LEN(A249)))))))/10))*1+1</f>
        <v>305 ,.., 1505</v>
      </c>
      <c r="B250" s="127"/>
      <c r="C250" s="85"/>
      <c r="D250" s="85"/>
      <c r="E250" s="85">
        <v>0</v>
      </c>
      <c r="F250" s="85">
        <f>D250*(($F$167)+1)+(IF(E250&lt;101,E250,IF(E250&lt;201,E250/2,IF(E250&lt;=301,E250/3,E250/4))))</f>
        <v>0</v>
      </c>
      <c r="G250" s="127" t="str">
        <f>G249</f>
        <v>3rd, 5th, 7th, 9th, 11th, 13th, 15th Floor</v>
      </c>
      <c r="H250" s="127"/>
      <c r="I250" s="36"/>
    </row>
    <row r="251" spans="1:14" s="37" customFormat="1" hidden="1" x14ac:dyDescent="0.35">
      <c r="A251" s="129" t="s">
        <v>151</v>
      </c>
      <c r="B251" s="129"/>
      <c r="C251" s="129"/>
      <c r="D251" s="129"/>
      <c r="E251" s="129"/>
      <c r="F251" s="129"/>
      <c r="G251" s="129"/>
      <c r="H251" s="129"/>
      <c r="I251" s="36"/>
    </row>
    <row r="252" spans="1:14" s="37" customFormat="1" hidden="1" x14ac:dyDescent="0.35">
      <c r="A252" s="127" t="str">
        <f ca="1">(SUMPRODUCT(MID(0&amp;(LEFT(A251,SUM(LEN(A251)-LEN(SUBSTITUTE(A251,{"0","1","2"},""))))), LARGE(INDEX(ISNUMBER(--MID((LEFT(A251,SUM(LEN(A251)-LEN(SUBSTITUTE(A251,{"0","1","2"},""))))), ROW(INDIRECT("1:"&amp;LEN((LEFT(A251,SUM(LEN(A251)-LEN(SUBSTITUTE(A251,{"0","1","2"},"")))))))), 1)) * ROW(INDIRECT("1:"&amp;LEN((LEFT(A251,SUM(LEN(A251)-LEN(SUBSTITUTE(A251,{"0","1","2"},"")))))))), 0), ROW(INDIRECT("1:"&amp;LEN((LEFT(A251,SUM(LEN(A251)-LEN(SUBSTITUTE(A251,{"0","1","2"},"")))))))))+1, 1) * 10^ROW(INDIRECT("1:"&amp;LEN((LEFT(A251,SUM(LEN(A251)-LEN(SUBSTITUTE(A251,{"0","1","2"},""))))))))/10))*100+1&amp;""&amp;" to "&amp;""&amp;(SUMPRODUCT(MID(0&amp;(--TRIM(RIGHT(SUBSTITUTE(LEFT(A251,_xlfn.AGGREGATE(16,6,FIND({0,1,2,3,4,5,6,7,8,9},A251,ROW(INDIRECT("1:"&amp;LEN(A251)))),1))," ",REPT(" ",LEN(A251))),LEN(A251)))), LARGE(INDEX(ISNUMBER(--MID((--TRIM(RIGHT(SUBSTITUTE(LEFT(A251,_xlfn.AGGREGATE(16,6,FIND({0,1,2,3,4,5,6,7,8,9},A251,ROW(INDIRECT("1:"&amp;LEN(A251)))),1))," ",REPT(" ",LEN(A251))),LEN(A251)))), ROW(INDIRECT("1:"&amp;LEN((--TRIM(RIGHT(SUBSTITUTE(LEFT(A251,_xlfn.AGGREGATE(16,6,FIND({0,1,2,3,4,5,6,7,8,9},A251,ROW(INDIRECT("1:"&amp;LEN(A251)))),1))," ",REPT(" ",LEN(A251))),LEN(A251))))))), 1)) * ROW(INDIRECT("1:"&amp;LEN((--TRIM(RIGHT(SUBSTITUTE(LEFT(A251,_xlfn.AGGREGATE(16,6,FIND({0,1,2,3,4,5,6,7,8,9},A251,ROW(INDIRECT("1:"&amp;LEN(A251)))),1))," ",REPT(" ",LEN(A251))),LEN(A251))))))), 0), ROW(INDIRECT("1:"&amp;LEN((--TRIM(RIGHT(SUBSTITUTE(LEFT(A251,_xlfn.AGGREGATE(16,6,FIND({0,1,2,3,4,5,6,7,8,9},A251,ROW(INDIRECT("1:"&amp;LEN(A251)))),1))," ",REPT(" ",LEN(A251))),LEN(A251))))))))+1, 1) * 10^ROW(INDIRECT("1:"&amp;LEN((--TRIM(RIGHT(SUBSTITUTE(LEFT(A251,_xlfn.AGGREGATE(16,6,FIND({0,1,2,3,4,5,6,7,8,9},A251,ROW(INDIRECT("1:"&amp;LEN(A251)))),1))," ",REPT(" ",LEN(A251))),LEN(A251)))))))/10))*100+1</f>
        <v>201 to 501</v>
      </c>
      <c r="B252" s="127"/>
      <c r="C252" s="85"/>
      <c r="D252" s="85"/>
      <c r="E252" s="85">
        <v>0</v>
      </c>
      <c r="F252" s="85">
        <f>D252*(($F$167)+1)+(IF(E252&lt;101,E252,IF(E252&lt;201,E252/2,IF(E252&lt;=301,E252/3,E252/4))))</f>
        <v>0</v>
      </c>
      <c r="G252" s="127" t="str">
        <f>A251</f>
        <v>2nd to 5th Floor</v>
      </c>
      <c r="H252" s="127"/>
      <c r="I252" s="36"/>
    </row>
    <row r="253" spans="1:14" s="37" customFormat="1" hidden="1" x14ac:dyDescent="0.35">
      <c r="A253" s="127" t="str">
        <f ca="1">(SUMPRODUCT(MID(0&amp;(LEFT(A252,SUM(LEN(A252)-LEN(SUBSTITUTE(A252,{"0","1","2"},""))))), LARGE(INDEX(ISNUMBER(--MID((LEFT(A252,SUM(LEN(A252)-LEN(SUBSTITUTE(A252,{"0","1","2"},""))))), ROW(INDIRECT("1:"&amp;LEN((LEFT(A252,SUM(LEN(A252)-LEN(SUBSTITUTE(A252,{"0","1","2"},"")))))))), 1)) * ROW(INDIRECT("1:"&amp;LEN((LEFT(A252,SUM(LEN(A252)-LEN(SUBSTITUTE(A252,{"0","1","2"},"")))))))), 0), ROW(INDIRECT("1:"&amp;LEN((LEFT(A252,SUM(LEN(A252)-LEN(SUBSTITUTE(A252,{"0","1","2"},"")))))))))+1, 1) * 10^ROW(INDIRECT("1:"&amp;LEN((LEFT(A252,SUM(LEN(A252)-LEN(SUBSTITUTE(A252,{"0","1","2"},""))))))))/10))*1+1&amp;""&amp;" to "&amp;""&amp;(SUMPRODUCT(MID(0&amp;(--TRIM(RIGHT(SUBSTITUTE(LEFT(A252,_xlfn.AGGREGATE(16,6,FIND({0,1,2,3,4,5,6,7,8,9},A252,ROW(INDIRECT("1:"&amp;LEN(A252)))),1))," ",REPT(" ",LEN(A252))),LEN(A252)))), LARGE(INDEX(ISNUMBER(--MID((--TRIM(RIGHT(SUBSTITUTE(LEFT(A252,_xlfn.AGGREGATE(16,6,FIND({0,1,2,3,4,5,6,7,8,9},A252,ROW(INDIRECT("1:"&amp;LEN(A252)))),1))," ",REPT(" ",LEN(A252))),LEN(A252)))), ROW(INDIRECT("1:"&amp;LEN((--TRIM(RIGHT(SUBSTITUTE(LEFT(A252,_xlfn.AGGREGATE(16,6,FIND({0,1,2,3,4,5,6,7,8,9},A252,ROW(INDIRECT("1:"&amp;LEN(A252)))),1))," ",REPT(" ",LEN(A252))),LEN(A252))))))), 1)) * ROW(INDIRECT("1:"&amp;LEN((--TRIM(RIGHT(SUBSTITUTE(LEFT(A252,_xlfn.AGGREGATE(16,6,FIND({0,1,2,3,4,5,6,7,8,9},A252,ROW(INDIRECT("1:"&amp;LEN(A252)))),1))," ",REPT(" ",LEN(A252))),LEN(A252))))))), 0), ROW(INDIRECT("1:"&amp;LEN((--TRIM(RIGHT(SUBSTITUTE(LEFT(A252,_xlfn.AGGREGATE(16,6,FIND({0,1,2,3,4,5,6,7,8,9},A252,ROW(INDIRECT("1:"&amp;LEN(A252)))),1))," ",REPT(" ",LEN(A252))),LEN(A252))))))))+1, 1) * 10^ROW(INDIRECT("1:"&amp;LEN((--TRIM(RIGHT(SUBSTITUTE(LEFT(A252,_xlfn.AGGREGATE(16,6,FIND({0,1,2,3,4,5,6,7,8,9},A252,ROW(INDIRECT("1:"&amp;LEN(A252)))),1))," ",REPT(" ",LEN(A252))),LEN(A252)))))))/10))*1+1</f>
        <v>202 to 502</v>
      </c>
      <c r="B253" s="127"/>
      <c r="C253" s="85"/>
      <c r="D253" s="85"/>
      <c r="E253" s="85">
        <v>0</v>
      </c>
      <c r="F253" s="85">
        <f>D253*(($F$167)+1)+(IF(E253&lt;101,E253,IF(E253&lt;201,E253/2,IF(E253&lt;=301,E253/3,E253/4))))</f>
        <v>0</v>
      </c>
      <c r="G253" s="127" t="str">
        <f>G252</f>
        <v>2nd to 5th Floor</v>
      </c>
      <c r="H253" s="127"/>
      <c r="I253" s="36"/>
    </row>
    <row r="254" spans="1:14" s="37" customFormat="1" hidden="1" x14ac:dyDescent="0.35">
      <c r="A254" s="127" t="str">
        <f ca="1">(SUMPRODUCT(MID(0&amp;(LEFT(A253,SUM(LEN(A253)-LEN(SUBSTITUTE(A253,{"0","1","2"},""))))), LARGE(INDEX(ISNUMBER(--MID((LEFT(A253,SUM(LEN(A253)-LEN(SUBSTITUTE(A253,{"0","1","2"},""))))), ROW(INDIRECT("1:"&amp;LEN((LEFT(A253,SUM(LEN(A253)-LEN(SUBSTITUTE(A253,{"0","1","2"},"")))))))), 1)) * ROW(INDIRECT("1:"&amp;LEN((LEFT(A253,SUM(LEN(A253)-LEN(SUBSTITUTE(A253,{"0","1","2"},"")))))))), 0), ROW(INDIRECT("1:"&amp;LEN((LEFT(A253,SUM(LEN(A253)-LEN(SUBSTITUTE(A253,{"0","1","2"},"")))))))))+1, 1) * 10^ROW(INDIRECT("1:"&amp;LEN((LEFT(A253,SUM(LEN(A253)-LEN(SUBSTITUTE(A253,{"0","1","2"},""))))))))/10))*1+1&amp;""&amp;" to "&amp;""&amp;(SUMPRODUCT(MID(0&amp;(--TRIM(RIGHT(SUBSTITUTE(LEFT(A253,_xlfn.AGGREGATE(16,6,FIND({0,1,2,3,4,5,6,7,8,9},A253,ROW(INDIRECT("1:"&amp;LEN(A253)))),1))," ",REPT(" ",LEN(A253))),LEN(A253)))), LARGE(INDEX(ISNUMBER(--MID((--TRIM(RIGHT(SUBSTITUTE(LEFT(A253,_xlfn.AGGREGATE(16,6,FIND({0,1,2,3,4,5,6,7,8,9},A253,ROW(INDIRECT("1:"&amp;LEN(A253)))),1))," ",REPT(" ",LEN(A253))),LEN(A253)))), ROW(INDIRECT("1:"&amp;LEN((--TRIM(RIGHT(SUBSTITUTE(LEFT(A253,_xlfn.AGGREGATE(16,6,FIND({0,1,2,3,4,5,6,7,8,9},A253,ROW(INDIRECT("1:"&amp;LEN(A253)))),1))," ",REPT(" ",LEN(A253))),LEN(A253))))))), 1)) * ROW(INDIRECT("1:"&amp;LEN((--TRIM(RIGHT(SUBSTITUTE(LEFT(A253,_xlfn.AGGREGATE(16,6,FIND({0,1,2,3,4,5,6,7,8,9},A253,ROW(INDIRECT("1:"&amp;LEN(A253)))),1))," ",REPT(" ",LEN(A253))),LEN(A253))))))), 0), ROW(INDIRECT("1:"&amp;LEN((--TRIM(RIGHT(SUBSTITUTE(LEFT(A253,_xlfn.AGGREGATE(16,6,FIND({0,1,2,3,4,5,6,7,8,9},A253,ROW(INDIRECT("1:"&amp;LEN(A253)))),1))," ",REPT(" ",LEN(A253))),LEN(A253))))))))+1, 1) * 10^ROW(INDIRECT("1:"&amp;LEN((--TRIM(RIGHT(SUBSTITUTE(LEFT(A253,_xlfn.AGGREGATE(16,6,FIND({0,1,2,3,4,5,6,7,8,9},A253,ROW(INDIRECT("1:"&amp;LEN(A253)))),1))," ",REPT(" ",LEN(A253))),LEN(A253)))))))/10))*1+1</f>
        <v>203 to 503</v>
      </c>
      <c r="B254" s="127"/>
      <c r="C254" s="85"/>
      <c r="D254" s="85"/>
      <c r="E254" s="85">
        <v>0</v>
      </c>
      <c r="F254" s="85">
        <f>D254*(($F$167)+1)+(IF(E254&lt;101,E254,IF(E254&lt;201,E254/2,IF(E254&lt;=301,E254/3,E254/4))))</f>
        <v>0</v>
      </c>
      <c r="G254" s="127" t="str">
        <f>G253</f>
        <v>2nd to 5th Floor</v>
      </c>
      <c r="H254" s="127"/>
      <c r="I254" s="36"/>
    </row>
    <row r="255" spans="1:14" s="37" customFormat="1" hidden="1" x14ac:dyDescent="0.35">
      <c r="A255" s="127" t="str">
        <f ca="1">(SUMPRODUCT(MID(0&amp;(LEFT(A254,SUM(LEN(A254)-LEN(SUBSTITUTE(A254,{"0","1","2"},""))))), LARGE(INDEX(ISNUMBER(--MID((LEFT(A254,SUM(LEN(A254)-LEN(SUBSTITUTE(A254,{"0","1","2"},""))))), ROW(INDIRECT("1:"&amp;LEN((LEFT(A254,SUM(LEN(A254)-LEN(SUBSTITUTE(A254,{"0","1","2"},"")))))))), 1)) * ROW(INDIRECT("1:"&amp;LEN((LEFT(A254,SUM(LEN(A254)-LEN(SUBSTITUTE(A254,{"0","1","2"},"")))))))), 0), ROW(INDIRECT("1:"&amp;LEN((LEFT(A254,SUM(LEN(A254)-LEN(SUBSTITUTE(A254,{"0","1","2"},"")))))))))+1, 1) * 10^ROW(INDIRECT("1:"&amp;LEN((LEFT(A254,SUM(LEN(A254)-LEN(SUBSTITUTE(A254,{"0","1","2"},""))))))))/10))*1+1&amp;""&amp;" to "&amp;""&amp;(SUMPRODUCT(MID(0&amp;(--TRIM(RIGHT(SUBSTITUTE(LEFT(A254,_xlfn.AGGREGATE(16,6,FIND({0,1,2,3,4,5,6,7,8,9},A254,ROW(INDIRECT("1:"&amp;LEN(A254)))),1))," ",REPT(" ",LEN(A254))),LEN(A254)))), LARGE(INDEX(ISNUMBER(--MID((--TRIM(RIGHT(SUBSTITUTE(LEFT(A254,_xlfn.AGGREGATE(16,6,FIND({0,1,2,3,4,5,6,7,8,9},A254,ROW(INDIRECT("1:"&amp;LEN(A254)))),1))," ",REPT(" ",LEN(A254))),LEN(A254)))), ROW(INDIRECT("1:"&amp;LEN((--TRIM(RIGHT(SUBSTITUTE(LEFT(A254,_xlfn.AGGREGATE(16,6,FIND({0,1,2,3,4,5,6,7,8,9},A254,ROW(INDIRECT("1:"&amp;LEN(A254)))),1))," ",REPT(" ",LEN(A254))),LEN(A254))))))), 1)) * ROW(INDIRECT("1:"&amp;LEN((--TRIM(RIGHT(SUBSTITUTE(LEFT(A254,_xlfn.AGGREGATE(16,6,FIND({0,1,2,3,4,5,6,7,8,9},A254,ROW(INDIRECT("1:"&amp;LEN(A254)))),1))," ",REPT(" ",LEN(A254))),LEN(A254))))))), 0), ROW(INDIRECT("1:"&amp;LEN((--TRIM(RIGHT(SUBSTITUTE(LEFT(A254,_xlfn.AGGREGATE(16,6,FIND({0,1,2,3,4,5,6,7,8,9},A254,ROW(INDIRECT("1:"&amp;LEN(A254)))),1))," ",REPT(" ",LEN(A254))),LEN(A254))))))))+1, 1) * 10^ROW(INDIRECT("1:"&amp;LEN((--TRIM(RIGHT(SUBSTITUTE(LEFT(A254,_xlfn.AGGREGATE(16,6,FIND({0,1,2,3,4,5,6,7,8,9},A254,ROW(INDIRECT("1:"&amp;LEN(A254)))),1))," ",REPT(" ",LEN(A254))),LEN(A254)))))))/10))*1+1</f>
        <v>204 to 504</v>
      </c>
      <c r="B255" s="127"/>
      <c r="C255" s="85"/>
      <c r="D255" s="85"/>
      <c r="E255" s="85">
        <v>0</v>
      </c>
      <c r="F255" s="85">
        <f>D255*(($F$167)+1)+(IF(E255&lt;101,E255,IF(E255&lt;201,E255/2,IF(E255&lt;=301,E255/3,E255/4))))</f>
        <v>0</v>
      </c>
      <c r="G255" s="127" t="str">
        <f>G254</f>
        <v>2nd to 5th Floor</v>
      </c>
      <c r="H255" s="127"/>
      <c r="I255" s="36"/>
    </row>
    <row r="256" spans="1:14" s="37" customFormat="1" hidden="1" x14ac:dyDescent="0.35">
      <c r="A256" s="127" t="str">
        <f ca="1">(SUMPRODUCT(MID(0&amp;(LEFT(A255,SUM(LEN(A255)-LEN(SUBSTITUTE(A255,{"0","1","2"},""))))), LARGE(INDEX(ISNUMBER(--MID((LEFT(A255,SUM(LEN(A255)-LEN(SUBSTITUTE(A255,{"0","1","2"},""))))), ROW(INDIRECT("1:"&amp;LEN((LEFT(A255,SUM(LEN(A255)-LEN(SUBSTITUTE(A255,{"0","1","2"},"")))))))), 1)) * ROW(INDIRECT("1:"&amp;LEN((LEFT(A255,SUM(LEN(A255)-LEN(SUBSTITUTE(A255,{"0","1","2"},"")))))))), 0), ROW(INDIRECT("1:"&amp;LEN((LEFT(A255,SUM(LEN(A255)-LEN(SUBSTITUTE(A255,{"0","1","2"},"")))))))))+1, 1) * 10^ROW(INDIRECT("1:"&amp;LEN((LEFT(A255,SUM(LEN(A255)-LEN(SUBSTITUTE(A255,{"0","1","2"},""))))))))/10))*1+1&amp;""&amp;" to "&amp;""&amp;(SUMPRODUCT(MID(0&amp;(--TRIM(RIGHT(SUBSTITUTE(LEFT(A255,_xlfn.AGGREGATE(16,6,FIND({0,1,2,3,4,5,6,7,8,9},A255,ROW(INDIRECT("1:"&amp;LEN(A255)))),1))," ",REPT(" ",LEN(A255))),LEN(A255)))), LARGE(INDEX(ISNUMBER(--MID((--TRIM(RIGHT(SUBSTITUTE(LEFT(A255,_xlfn.AGGREGATE(16,6,FIND({0,1,2,3,4,5,6,7,8,9},A255,ROW(INDIRECT("1:"&amp;LEN(A255)))),1))," ",REPT(" ",LEN(A255))),LEN(A255)))), ROW(INDIRECT("1:"&amp;LEN((--TRIM(RIGHT(SUBSTITUTE(LEFT(A255,_xlfn.AGGREGATE(16,6,FIND({0,1,2,3,4,5,6,7,8,9},A255,ROW(INDIRECT("1:"&amp;LEN(A255)))),1))," ",REPT(" ",LEN(A255))),LEN(A255))))))), 1)) * ROW(INDIRECT("1:"&amp;LEN((--TRIM(RIGHT(SUBSTITUTE(LEFT(A255,_xlfn.AGGREGATE(16,6,FIND({0,1,2,3,4,5,6,7,8,9},A255,ROW(INDIRECT("1:"&amp;LEN(A255)))),1))," ",REPT(" ",LEN(A255))),LEN(A255))))))), 0), ROW(INDIRECT("1:"&amp;LEN((--TRIM(RIGHT(SUBSTITUTE(LEFT(A255,_xlfn.AGGREGATE(16,6,FIND({0,1,2,3,4,5,6,7,8,9},A255,ROW(INDIRECT("1:"&amp;LEN(A255)))),1))," ",REPT(" ",LEN(A255))),LEN(A255))))))))+1, 1) * 10^ROW(INDIRECT("1:"&amp;LEN((--TRIM(RIGHT(SUBSTITUTE(LEFT(A255,_xlfn.AGGREGATE(16,6,FIND({0,1,2,3,4,5,6,7,8,9},A255,ROW(INDIRECT("1:"&amp;LEN(A255)))),1))," ",REPT(" ",LEN(A255))),LEN(A255)))))))/10))*1+1</f>
        <v>205 to 505</v>
      </c>
      <c r="B256" s="127"/>
      <c r="C256" s="85"/>
      <c r="D256" s="85"/>
      <c r="E256" s="85">
        <v>0</v>
      </c>
      <c r="F256" s="85">
        <f>D256*(($F$167)+1)+(IF(E256&lt;101,E256,IF(E256&lt;201,E256/2,IF(E256&lt;=301,E256/3,E256/4))))</f>
        <v>0</v>
      </c>
      <c r="G256" s="127" t="str">
        <f>G255</f>
        <v>2nd to 5th Floor</v>
      </c>
      <c r="H256" s="127"/>
      <c r="I256" s="36"/>
    </row>
    <row r="257" spans="1:15" s="37" customFormat="1" hidden="1" x14ac:dyDescent="0.35">
      <c r="A257" s="129" t="s">
        <v>152</v>
      </c>
      <c r="B257" s="129"/>
      <c r="C257" s="129"/>
      <c r="D257" s="129"/>
      <c r="E257" s="129"/>
      <c r="F257" s="129"/>
      <c r="G257" s="129"/>
      <c r="H257" s="129"/>
      <c r="I257" s="36"/>
    </row>
    <row r="258" spans="1:15" s="37" customFormat="1" hidden="1" x14ac:dyDescent="0.35">
      <c r="A258" s="127" t="str">
        <f ca="1">(SUMPRODUCT(MID(0&amp;(LEFT(A257,SUM(LEN(A257)-LEN(SUBSTITUTE(A257,{"0","1","2"},""))))), LARGE(INDEX(ISNUMBER(--MID((LEFT(A257,SUM(LEN(A257)-LEN(SUBSTITUTE(A257,{"0","1","2"},""))))), ROW(INDIRECT("1:"&amp;LEN((LEFT(A257,SUM(LEN(A257)-LEN(SUBSTITUTE(A257,{"0","1","2"},"")))))))), 1)) * ROW(INDIRECT("1:"&amp;LEN((LEFT(A257,SUM(LEN(A257)-LEN(SUBSTITUTE(A257,{"0","1","2"},"")))))))), 0), ROW(INDIRECT("1:"&amp;LEN((LEFT(A257,SUM(LEN(A257)-LEN(SUBSTITUTE(A257,{"0","1","2"},"")))))))))+1, 1) * 10^ROW(INDIRECT("1:"&amp;LEN((LEFT(A257,SUM(LEN(A257)-LEN(SUBSTITUTE(A257,{"0","1","2"},""))))))))/10))*100+1&amp;""&amp;" &amp; "&amp;""&amp;(SUMPRODUCT(MID(0&amp;(--TRIM(RIGHT(SUBSTITUTE(LEFT(A257,_xlfn.AGGREGATE(16,6,FIND({0,1,2,3,4,5,6,7,8,9},A257,ROW(INDIRECT("1:"&amp;LEN(A257)))),1))," ",REPT(" ",LEN(A257))),LEN(A257)))), LARGE(INDEX(ISNUMBER(--MID((--TRIM(RIGHT(SUBSTITUTE(LEFT(A257,_xlfn.AGGREGATE(16,6,FIND({0,1,2,3,4,5,6,7,8,9},A257,ROW(INDIRECT("1:"&amp;LEN(A257)))),1))," ",REPT(" ",LEN(A257))),LEN(A257)))), ROW(INDIRECT("1:"&amp;LEN((--TRIM(RIGHT(SUBSTITUTE(LEFT(A257,_xlfn.AGGREGATE(16,6,FIND({0,1,2,3,4,5,6,7,8,9},A257,ROW(INDIRECT("1:"&amp;LEN(A257)))),1))," ",REPT(" ",LEN(A257))),LEN(A257))))))), 1)) * ROW(INDIRECT("1:"&amp;LEN((--TRIM(RIGHT(SUBSTITUTE(LEFT(A257,_xlfn.AGGREGATE(16,6,FIND({0,1,2,3,4,5,6,7,8,9},A257,ROW(INDIRECT("1:"&amp;LEN(A257)))),1))," ",REPT(" ",LEN(A257))),LEN(A257))))))), 0), ROW(INDIRECT("1:"&amp;LEN((--TRIM(RIGHT(SUBSTITUTE(LEFT(A257,_xlfn.AGGREGATE(16,6,FIND({0,1,2,3,4,5,6,7,8,9},A257,ROW(INDIRECT("1:"&amp;LEN(A257)))),1))," ",REPT(" ",LEN(A257))),LEN(A257))))))))+1, 1) * 10^ROW(INDIRECT("1:"&amp;LEN((--TRIM(RIGHT(SUBSTITUTE(LEFT(A257,_xlfn.AGGREGATE(16,6,FIND({0,1,2,3,4,5,6,7,8,9},A257,ROW(INDIRECT("1:"&amp;LEN(A257)))),1))," ",REPT(" ",LEN(A257))),LEN(A257)))))))/10))*100+1</f>
        <v>201 &amp; 501</v>
      </c>
      <c r="B258" s="127"/>
      <c r="C258" s="85"/>
      <c r="D258" s="85"/>
      <c r="E258" s="85">
        <v>0</v>
      </c>
      <c r="F258" s="85">
        <f>D258*(($F$167)+1)+(IF(E258&lt;101,E258,IF(E258&lt;201,E258/2,IF(E258&lt;=301,E258/3,E258/4))))</f>
        <v>0</v>
      </c>
      <c r="G258" s="127" t="str">
        <f>A257</f>
        <v>2nd &amp; 5th Floor</v>
      </c>
      <c r="H258" s="127"/>
      <c r="I258" s="36"/>
    </row>
    <row r="259" spans="1:15" s="37" customFormat="1" hidden="1" x14ac:dyDescent="0.35">
      <c r="A259" s="127" t="str">
        <f ca="1">(SUMPRODUCT(MID(0&amp;(LEFT(A258,SUM(LEN(A258)-LEN(SUBSTITUTE(A258,{"0","1","2"},""))))), LARGE(INDEX(ISNUMBER(--MID((LEFT(A258,SUM(LEN(A258)-LEN(SUBSTITUTE(A258,{"0","1","2"},""))))), ROW(INDIRECT("1:"&amp;LEN((LEFT(A258,SUM(LEN(A258)-LEN(SUBSTITUTE(A258,{"0","1","2"},"")))))))), 1)) * ROW(INDIRECT("1:"&amp;LEN((LEFT(A258,SUM(LEN(A258)-LEN(SUBSTITUTE(A258,{"0","1","2"},"")))))))), 0), ROW(INDIRECT("1:"&amp;LEN((LEFT(A258,SUM(LEN(A258)-LEN(SUBSTITUTE(A258,{"0","1","2"},"")))))))))+1, 1) * 10^ROW(INDIRECT("1:"&amp;LEN((LEFT(A258,SUM(LEN(A258)-LEN(SUBSTITUTE(A258,{"0","1","2"},""))))))))/10))*1+1&amp;""&amp;" &amp; "&amp;""&amp;(SUMPRODUCT(MID(0&amp;(--TRIM(RIGHT(SUBSTITUTE(LEFT(A258,_xlfn.AGGREGATE(16,6,FIND({0,1,2,3,4,5,6,7,8,9},A258,ROW(INDIRECT("1:"&amp;LEN(A258)))),1))," ",REPT(" ",LEN(A258))),LEN(A258)))), LARGE(INDEX(ISNUMBER(--MID((--TRIM(RIGHT(SUBSTITUTE(LEFT(A258,_xlfn.AGGREGATE(16,6,FIND({0,1,2,3,4,5,6,7,8,9},A258,ROW(INDIRECT("1:"&amp;LEN(A258)))),1))," ",REPT(" ",LEN(A258))),LEN(A258)))), ROW(INDIRECT("1:"&amp;LEN((--TRIM(RIGHT(SUBSTITUTE(LEFT(A258,_xlfn.AGGREGATE(16,6,FIND({0,1,2,3,4,5,6,7,8,9},A258,ROW(INDIRECT("1:"&amp;LEN(A258)))),1))," ",REPT(" ",LEN(A258))),LEN(A258))))))), 1)) * ROW(INDIRECT("1:"&amp;LEN((--TRIM(RIGHT(SUBSTITUTE(LEFT(A258,_xlfn.AGGREGATE(16,6,FIND({0,1,2,3,4,5,6,7,8,9},A258,ROW(INDIRECT("1:"&amp;LEN(A258)))),1))," ",REPT(" ",LEN(A258))),LEN(A258))))))), 0), ROW(INDIRECT("1:"&amp;LEN((--TRIM(RIGHT(SUBSTITUTE(LEFT(A258,_xlfn.AGGREGATE(16,6,FIND({0,1,2,3,4,5,6,7,8,9},A258,ROW(INDIRECT("1:"&amp;LEN(A258)))),1))," ",REPT(" ",LEN(A258))),LEN(A258))))))))+1, 1) * 10^ROW(INDIRECT("1:"&amp;LEN((--TRIM(RIGHT(SUBSTITUTE(LEFT(A258,_xlfn.AGGREGATE(16,6,FIND({0,1,2,3,4,5,6,7,8,9},A258,ROW(INDIRECT("1:"&amp;LEN(A258)))),1))," ",REPT(" ",LEN(A258))),LEN(A258)))))))/10))*1+1</f>
        <v>202 &amp; 502</v>
      </c>
      <c r="B259" s="127"/>
      <c r="C259" s="85"/>
      <c r="D259" s="85"/>
      <c r="E259" s="85">
        <v>0</v>
      </c>
      <c r="F259" s="85">
        <f>D259*(($F$167)+1)+(IF(E259&lt;101,E259,IF(E259&lt;201,E259/2,IF(E259&lt;=301,E259/3,E259/4))))</f>
        <v>0</v>
      </c>
      <c r="G259" s="127" t="str">
        <f t="shared" ref="G259:G262" si="22">G258</f>
        <v>2nd &amp; 5th Floor</v>
      </c>
      <c r="H259" s="127"/>
      <c r="I259" s="36"/>
    </row>
    <row r="260" spans="1:15" s="37" customFormat="1" hidden="1" x14ac:dyDescent="0.35">
      <c r="A260" s="127" t="str">
        <f ca="1">(SUMPRODUCT(MID(0&amp;(LEFT(A259,SUM(LEN(A259)-LEN(SUBSTITUTE(A259,{"0","1","2"},""))))), LARGE(INDEX(ISNUMBER(--MID((LEFT(A259,SUM(LEN(A259)-LEN(SUBSTITUTE(A259,{"0","1","2"},""))))), ROW(INDIRECT("1:"&amp;LEN((LEFT(A259,SUM(LEN(A259)-LEN(SUBSTITUTE(A259,{"0","1","2"},"")))))))), 1)) * ROW(INDIRECT("1:"&amp;LEN((LEFT(A259,SUM(LEN(A259)-LEN(SUBSTITUTE(A259,{"0","1","2"},"")))))))), 0), ROW(INDIRECT("1:"&amp;LEN((LEFT(A259,SUM(LEN(A259)-LEN(SUBSTITUTE(A259,{"0","1","2"},"")))))))))+1, 1) * 10^ROW(INDIRECT("1:"&amp;LEN((LEFT(A259,SUM(LEN(A259)-LEN(SUBSTITUTE(A259,{"0","1","2"},""))))))))/10))*1+1&amp;""&amp;" &amp; "&amp;""&amp;(SUMPRODUCT(MID(0&amp;(--TRIM(RIGHT(SUBSTITUTE(LEFT(A259,_xlfn.AGGREGATE(16,6,FIND({0,1,2,3,4,5,6,7,8,9},A259,ROW(INDIRECT("1:"&amp;LEN(A259)))),1))," ",REPT(" ",LEN(A259))),LEN(A259)))), LARGE(INDEX(ISNUMBER(--MID((--TRIM(RIGHT(SUBSTITUTE(LEFT(A259,_xlfn.AGGREGATE(16,6,FIND({0,1,2,3,4,5,6,7,8,9},A259,ROW(INDIRECT("1:"&amp;LEN(A259)))),1))," ",REPT(" ",LEN(A259))),LEN(A259)))), ROW(INDIRECT("1:"&amp;LEN((--TRIM(RIGHT(SUBSTITUTE(LEFT(A259,_xlfn.AGGREGATE(16,6,FIND({0,1,2,3,4,5,6,7,8,9},A259,ROW(INDIRECT("1:"&amp;LEN(A259)))),1))," ",REPT(" ",LEN(A259))),LEN(A259))))))), 1)) * ROW(INDIRECT("1:"&amp;LEN((--TRIM(RIGHT(SUBSTITUTE(LEFT(A259,_xlfn.AGGREGATE(16,6,FIND({0,1,2,3,4,5,6,7,8,9},A259,ROW(INDIRECT("1:"&amp;LEN(A259)))),1))," ",REPT(" ",LEN(A259))),LEN(A259))))))), 0), ROW(INDIRECT("1:"&amp;LEN((--TRIM(RIGHT(SUBSTITUTE(LEFT(A259,_xlfn.AGGREGATE(16,6,FIND({0,1,2,3,4,5,6,7,8,9},A259,ROW(INDIRECT("1:"&amp;LEN(A259)))),1))," ",REPT(" ",LEN(A259))),LEN(A259))))))))+1, 1) * 10^ROW(INDIRECT("1:"&amp;LEN((--TRIM(RIGHT(SUBSTITUTE(LEFT(A259,_xlfn.AGGREGATE(16,6,FIND({0,1,2,3,4,5,6,7,8,9},A259,ROW(INDIRECT("1:"&amp;LEN(A259)))),1))," ",REPT(" ",LEN(A259))),LEN(A259)))))))/10))*1+1</f>
        <v>203 &amp; 503</v>
      </c>
      <c r="B260" s="127"/>
      <c r="C260" s="85"/>
      <c r="D260" s="85"/>
      <c r="E260" s="85">
        <v>0</v>
      </c>
      <c r="F260" s="85">
        <f>D260*(($F$167)+1)+(IF(E260&lt;101,E260,IF(E260&lt;201,E260/2,IF(E260&lt;=301,E260/3,E260/4))))</f>
        <v>0</v>
      </c>
      <c r="G260" s="127" t="str">
        <f t="shared" si="22"/>
        <v>2nd &amp; 5th Floor</v>
      </c>
      <c r="H260" s="127"/>
      <c r="I260" s="36"/>
    </row>
    <row r="261" spans="1:15" s="37" customFormat="1" hidden="1" x14ac:dyDescent="0.35">
      <c r="A261" s="127" t="str">
        <f ca="1">(SUMPRODUCT(MID(0&amp;(LEFT(A260,SUM(LEN(A260)-LEN(SUBSTITUTE(A260,{"0","1","2"},""))))), LARGE(INDEX(ISNUMBER(--MID((LEFT(A260,SUM(LEN(A260)-LEN(SUBSTITUTE(A260,{"0","1","2"},""))))), ROW(INDIRECT("1:"&amp;LEN((LEFT(A260,SUM(LEN(A260)-LEN(SUBSTITUTE(A260,{"0","1","2"},"")))))))), 1)) * ROW(INDIRECT("1:"&amp;LEN((LEFT(A260,SUM(LEN(A260)-LEN(SUBSTITUTE(A260,{"0","1","2"},"")))))))), 0), ROW(INDIRECT("1:"&amp;LEN((LEFT(A260,SUM(LEN(A260)-LEN(SUBSTITUTE(A260,{"0","1","2"},"")))))))))+1, 1) * 10^ROW(INDIRECT("1:"&amp;LEN((LEFT(A260,SUM(LEN(A260)-LEN(SUBSTITUTE(A260,{"0","1","2"},""))))))))/10))*1+1&amp;""&amp;" &amp; "&amp;""&amp;(SUMPRODUCT(MID(0&amp;(--TRIM(RIGHT(SUBSTITUTE(LEFT(A260,_xlfn.AGGREGATE(16,6,FIND({0,1,2,3,4,5,6,7,8,9},A260,ROW(INDIRECT("1:"&amp;LEN(A260)))),1))," ",REPT(" ",LEN(A260))),LEN(A260)))), LARGE(INDEX(ISNUMBER(--MID((--TRIM(RIGHT(SUBSTITUTE(LEFT(A260,_xlfn.AGGREGATE(16,6,FIND({0,1,2,3,4,5,6,7,8,9},A260,ROW(INDIRECT("1:"&amp;LEN(A260)))),1))," ",REPT(" ",LEN(A260))),LEN(A260)))), ROW(INDIRECT("1:"&amp;LEN((--TRIM(RIGHT(SUBSTITUTE(LEFT(A260,_xlfn.AGGREGATE(16,6,FIND({0,1,2,3,4,5,6,7,8,9},A260,ROW(INDIRECT("1:"&amp;LEN(A260)))),1))," ",REPT(" ",LEN(A260))),LEN(A260))))))), 1)) * ROW(INDIRECT("1:"&amp;LEN((--TRIM(RIGHT(SUBSTITUTE(LEFT(A260,_xlfn.AGGREGATE(16,6,FIND({0,1,2,3,4,5,6,7,8,9},A260,ROW(INDIRECT("1:"&amp;LEN(A260)))),1))," ",REPT(" ",LEN(A260))),LEN(A260))))))), 0), ROW(INDIRECT("1:"&amp;LEN((--TRIM(RIGHT(SUBSTITUTE(LEFT(A260,_xlfn.AGGREGATE(16,6,FIND({0,1,2,3,4,5,6,7,8,9},A260,ROW(INDIRECT("1:"&amp;LEN(A260)))),1))," ",REPT(" ",LEN(A260))),LEN(A260))))))))+1, 1) * 10^ROW(INDIRECT("1:"&amp;LEN((--TRIM(RIGHT(SUBSTITUTE(LEFT(A260,_xlfn.AGGREGATE(16,6,FIND({0,1,2,3,4,5,6,7,8,9},A260,ROW(INDIRECT("1:"&amp;LEN(A260)))),1))," ",REPT(" ",LEN(A260))),LEN(A260)))))))/10))*1+1</f>
        <v>204 &amp; 504</v>
      </c>
      <c r="B261" s="127"/>
      <c r="C261" s="85"/>
      <c r="D261" s="85"/>
      <c r="E261" s="85">
        <v>0</v>
      </c>
      <c r="F261" s="85">
        <f>D261*(($F$167)+1)+(IF(E261&lt;101,E261,IF(E261&lt;201,E261/2,IF(E261&lt;=301,E261/3,E261/4))))</f>
        <v>0</v>
      </c>
      <c r="G261" s="127" t="str">
        <f t="shared" si="22"/>
        <v>2nd &amp; 5th Floor</v>
      </c>
      <c r="H261" s="127"/>
      <c r="I261" s="36"/>
    </row>
    <row r="262" spans="1:15" s="37" customFormat="1" hidden="1" x14ac:dyDescent="0.35">
      <c r="A262" s="127" t="str">
        <f ca="1">(SUMPRODUCT(MID(0&amp;(LEFT(A261,SUM(LEN(A261)-LEN(SUBSTITUTE(A261,{"0","1","2"},""))))), LARGE(INDEX(ISNUMBER(--MID((LEFT(A261,SUM(LEN(A261)-LEN(SUBSTITUTE(A261,{"0","1","2"},""))))), ROW(INDIRECT("1:"&amp;LEN((LEFT(A261,SUM(LEN(A261)-LEN(SUBSTITUTE(A261,{"0","1","2"},"")))))))), 1)) * ROW(INDIRECT("1:"&amp;LEN((LEFT(A261,SUM(LEN(A261)-LEN(SUBSTITUTE(A261,{"0","1","2"},"")))))))), 0), ROW(INDIRECT("1:"&amp;LEN((LEFT(A261,SUM(LEN(A261)-LEN(SUBSTITUTE(A261,{"0","1","2"},"")))))))))+1, 1) * 10^ROW(INDIRECT("1:"&amp;LEN((LEFT(A261,SUM(LEN(A261)-LEN(SUBSTITUTE(A261,{"0","1","2"},""))))))))/10))*1+1&amp;""&amp;" &amp; "&amp;""&amp;(SUMPRODUCT(MID(0&amp;(--TRIM(RIGHT(SUBSTITUTE(LEFT(A261,_xlfn.AGGREGATE(16,6,FIND({0,1,2,3,4,5,6,7,8,9},A261,ROW(INDIRECT("1:"&amp;LEN(A261)))),1))," ",REPT(" ",LEN(A261))),LEN(A261)))), LARGE(INDEX(ISNUMBER(--MID((--TRIM(RIGHT(SUBSTITUTE(LEFT(A261,_xlfn.AGGREGATE(16,6,FIND({0,1,2,3,4,5,6,7,8,9},A261,ROW(INDIRECT("1:"&amp;LEN(A261)))),1))," ",REPT(" ",LEN(A261))),LEN(A261)))), ROW(INDIRECT("1:"&amp;LEN((--TRIM(RIGHT(SUBSTITUTE(LEFT(A261,_xlfn.AGGREGATE(16,6,FIND({0,1,2,3,4,5,6,7,8,9},A261,ROW(INDIRECT("1:"&amp;LEN(A261)))),1))," ",REPT(" ",LEN(A261))),LEN(A261))))))), 1)) * ROW(INDIRECT("1:"&amp;LEN((--TRIM(RIGHT(SUBSTITUTE(LEFT(A261,_xlfn.AGGREGATE(16,6,FIND({0,1,2,3,4,5,6,7,8,9},A261,ROW(INDIRECT("1:"&amp;LEN(A261)))),1))," ",REPT(" ",LEN(A261))),LEN(A261))))))), 0), ROW(INDIRECT("1:"&amp;LEN((--TRIM(RIGHT(SUBSTITUTE(LEFT(A261,_xlfn.AGGREGATE(16,6,FIND({0,1,2,3,4,5,6,7,8,9},A261,ROW(INDIRECT("1:"&amp;LEN(A261)))),1))," ",REPT(" ",LEN(A261))),LEN(A261))))))))+1, 1) * 10^ROW(INDIRECT("1:"&amp;LEN((--TRIM(RIGHT(SUBSTITUTE(LEFT(A261,_xlfn.AGGREGATE(16,6,FIND({0,1,2,3,4,5,6,7,8,9},A261,ROW(INDIRECT("1:"&amp;LEN(A261)))),1))," ",REPT(" ",LEN(A261))),LEN(A261)))))))/10))*1+1</f>
        <v>205 &amp; 505</v>
      </c>
      <c r="B262" s="127"/>
      <c r="C262" s="85"/>
      <c r="D262" s="85"/>
      <c r="E262" s="85">
        <v>0</v>
      </c>
      <c r="F262" s="85">
        <f>D262*(($F$167)+1)+(IF(E262&lt;101,E262,IF(E262&lt;201,E262/2,IF(E262&lt;=301,E262/3,E262/4))))</f>
        <v>0</v>
      </c>
      <c r="G262" s="127" t="str">
        <f t="shared" si="22"/>
        <v>2nd &amp; 5th Floor</v>
      </c>
      <c r="H262" s="127"/>
      <c r="I262" s="36"/>
    </row>
    <row r="263" spans="1:15" s="35" customFormat="1" x14ac:dyDescent="0.35">
      <c r="A263" s="164" t="s">
        <v>69</v>
      </c>
      <c r="B263" s="164"/>
      <c r="C263" s="164"/>
      <c r="D263" s="164"/>
      <c r="E263" s="164"/>
      <c r="F263" s="164"/>
      <c r="G263" s="164"/>
      <c r="H263" s="164"/>
    </row>
    <row r="264" spans="1:15" s="35" customFormat="1" ht="51.5" customHeight="1" x14ac:dyDescent="0.35">
      <c r="A264" s="44" t="s">
        <v>161</v>
      </c>
      <c r="B264" s="87" t="s">
        <v>261</v>
      </c>
      <c r="C264" s="88"/>
      <c r="D264" s="88"/>
      <c r="E264" s="88"/>
      <c r="F264" s="88"/>
      <c r="G264" s="88"/>
      <c r="H264" s="89"/>
    </row>
    <row r="265" spans="1:15" s="35" customFormat="1" x14ac:dyDescent="0.35">
      <c r="A265" s="44" t="s">
        <v>161</v>
      </c>
      <c r="B265" s="87" t="str">
        <f>(IF(F166="Saleable area Loading :","We have considered Saleable area of Flats as per our Calculation.","We considered Saleable area of Flat as per Builder area Sheet."))</f>
        <v>We have considered Saleable area of Flats as per our Calculation.</v>
      </c>
      <c r="C265" s="88"/>
      <c r="D265" s="88"/>
      <c r="E265" s="88"/>
      <c r="F265" s="88"/>
      <c r="G265" s="88"/>
      <c r="H265" s="89"/>
    </row>
    <row r="266" spans="1:15" s="35" customFormat="1" x14ac:dyDescent="0.35">
      <c r="A266" s="44" t="s">
        <v>161</v>
      </c>
      <c r="B266" s="87" t="str">
        <f>(IF(F152="Saleable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66" s="88"/>
      <c r="D266" s="88"/>
      <c r="E266" s="88"/>
      <c r="F266" s="88"/>
      <c r="G266" s="88"/>
      <c r="H266" s="89"/>
    </row>
    <row r="267" spans="1:15" s="35" customFormat="1" x14ac:dyDescent="0.35">
      <c r="A267" s="44" t="s">
        <v>161</v>
      </c>
      <c r="B267" s="106" t="s">
        <v>128</v>
      </c>
      <c r="C267" s="107"/>
      <c r="D267" s="107"/>
      <c r="E267" s="107"/>
      <c r="F267" s="107"/>
      <c r="G267" s="107"/>
      <c r="H267" s="108"/>
    </row>
    <row r="268" spans="1:15" s="35" customFormat="1" x14ac:dyDescent="0.35">
      <c r="A268" s="44" t="s">
        <v>161</v>
      </c>
      <c r="B268" s="87" t="s">
        <v>260</v>
      </c>
      <c r="C268" s="88"/>
      <c r="D268" s="88"/>
      <c r="E268" s="88"/>
      <c r="F268" s="88"/>
      <c r="G268" s="88"/>
      <c r="H268" s="89"/>
      <c r="I268" s="106" t="s">
        <v>195</v>
      </c>
      <c r="J268" s="107"/>
      <c r="K268" s="107"/>
      <c r="L268" s="107"/>
      <c r="M268" s="107"/>
      <c r="N268" s="107"/>
      <c r="O268" s="108"/>
    </row>
    <row r="269" spans="1:15" s="35" customFormat="1" x14ac:dyDescent="0.35">
      <c r="A269" s="44" t="s">
        <v>161</v>
      </c>
      <c r="B269" s="106" t="s">
        <v>160</v>
      </c>
      <c r="C269" s="107"/>
      <c r="D269" s="107"/>
      <c r="E269" s="107"/>
      <c r="F269" s="107"/>
      <c r="G269" s="107"/>
      <c r="H269" s="108"/>
    </row>
    <row r="270" spans="1:15" s="35" customFormat="1" x14ac:dyDescent="0.35">
      <c r="A270" s="44" t="s">
        <v>161</v>
      </c>
      <c r="B270" s="106" t="s">
        <v>129</v>
      </c>
      <c r="C270" s="107"/>
      <c r="D270" s="107"/>
      <c r="E270" s="107"/>
      <c r="F270" s="107"/>
      <c r="G270" s="107"/>
      <c r="H270" s="108"/>
    </row>
    <row r="271" spans="1:15" s="35" customFormat="1" ht="34.5" customHeight="1" x14ac:dyDescent="0.35">
      <c r="A271" s="44" t="s">
        <v>161</v>
      </c>
      <c r="B271" s="106" t="s">
        <v>162</v>
      </c>
      <c r="C271" s="107"/>
      <c r="D271" s="107"/>
      <c r="E271" s="107"/>
      <c r="F271" s="107"/>
      <c r="G271" s="107"/>
      <c r="H271" s="108"/>
    </row>
    <row r="272" spans="1:15" s="35" customFormat="1" x14ac:dyDescent="0.35">
      <c r="A272" s="44" t="s">
        <v>161</v>
      </c>
      <c r="B272" s="106" t="s">
        <v>130</v>
      </c>
      <c r="C272" s="107"/>
      <c r="D272" s="107"/>
      <c r="E272" s="107"/>
      <c r="F272" s="107"/>
      <c r="G272" s="107"/>
      <c r="H272" s="108"/>
      <c r="I272" s="87" t="s">
        <v>211</v>
      </c>
      <c r="J272" s="88"/>
      <c r="K272" s="88"/>
      <c r="L272" s="88"/>
      <c r="M272" s="88"/>
      <c r="N272" s="88"/>
      <c r="O272" s="89"/>
    </row>
    <row r="273" spans="1:8" s="35" customFormat="1" ht="62.25" customHeight="1" x14ac:dyDescent="0.35">
      <c r="A273" s="70" t="s">
        <v>161</v>
      </c>
      <c r="B273" s="87" t="s">
        <v>246</v>
      </c>
      <c r="C273" s="88"/>
      <c r="D273" s="88"/>
      <c r="E273" s="88"/>
      <c r="F273" s="88"/>
      <c r="G273" s="88"/>
      <c r="H273" s="89"/>
    </row>
    <row r="274" spans="1:8" s="35" customFormat="1" x14ac:dyDescent="0.35">
      <c r="A274" s="54" t="s">
        <v>161</v>
      </c>
      <c r="B274" s="87" t="s">
        <v>250</v>
      </c>
      <c r="C274" s="88"/>
      <c r="D274" s="88"/>
      <c r="E274" s="88"/>
      <c r="F274" s="88"/>
      <c r="G274" s="88"/>
      <c r="H274" s="89"/>
    </row>
    <row r="275" spans="1:8" s="35" customFormat="1" x14ac:dyDescent="0.35">
      <c r="A275" s="82" t="s">
        <v>161</v>
      </c>
      <c r="B275" s="87" t="s">
        <v>256</v>
      </c>
      <c r="C275" s="88"/>
      <c r="D275" s="88"/>
      <c r="E275" s="88"/>
      <c r="F275" s="88"/>
      <c r="G275" s="88"/>
      <c r="H275" s="89"/>
    </row>
    <row r="276" spans="1:8" s="35" customFormat="1" ht="31" customHeight="1" x14ac:dyDescent="0.35">
      <c r="A276" s="86" t="s">
        <v>161</v>
      </c>
      <c r="B276" s="87" t="s">
        <v>263</v>
      </c>
      <c r="C276" s="88"/>
      <c r="D276" s="88"/>
      <c r="E276" s="88"/>
      <c r="F276" s="88"/>
      <c r="G276" s="88"/>
      <c r="H276" s="89"/>
    </row>
    <row r="277" spans="1:8" x14ac:dyDescent="0.35">
      <c r="A277" s="130" t="s">
        <v>62</v>
      </c>
      <c r="B277" s="130"/>
      <c r="C277" s="130"/>
      <c r="D277" s="130"/>
      <c r="E277" s="130"/>
      <c r="F277" s="130"/>
      <c r="G277" s="130"/>
      <c r="H277" s="130"/>
    </row>
    <row r="278" spans="1:8" x14ac:dyDescent="0.35">
      <c r="A278" s="131" t="s">
        <v>63</v>
      </c>
      <c r="B278" s="131"/>
      <c r="C278" s="131"/>
      <c r="D278" s="131"/>
      <c r="E278" s="131"/>
      <c r="F278" s="131"/>
      <c r="G278" s="131"/>
      <c r="H278" s="131"/>
    </row>
    <row r="279" spans="1:8" ht="15.75" customHeight="1" x14ac:dyDescent="0.35">
      <c r="A279" s="137" t="s">
        <v>64</v>
      </c>
      <c r="B279" s="137"/>
      <c r="C279" s="137"/>
      <c r="D279" s="137"/>
      <c r="E279" s="137"/>
      <c r="F279" s="137"/>
      <c r="G279" s="137"/>
      <c r="H279" s="137"/>
    </row>
    <row r="280" spans="1:8" x14ac:dyDescent="0.35">
      <c r="A280" s="131" t="s">
        <v>65</v>
      </c>
      <c r="B280" s="131"/>
      <c r="C280" s="131"/>
      <c r="D280" s="131"/>
      <c r="E280" s="131"/>
      <c r="F280" s="131"/>
      <c r="G280" s="131"/>
      <c r="H280" s="131"/>
    </row>
    <row r="281" spans="1:8" x14ac:dyDescent="0.35">
      <c r="A281" s="131" t="s">
        <v>66</v>
      </c>
      <c r="B281" s="131"/>
      <c r="C281" s="131"/>
      <c r="D281" s="131"/>
      <c r="E281" s="131"/>
      <c r="F281" s="131"/>
      <c r="G281" s="131"/>
      <c r="H281" s="131"/>
    </row>
    <row r="282" spans="1:8" x14ac:dyDescent="0.35">
      <c r="A282" s="131" t="s">
        <v>131</v>
      </c>
      <c r="B282" s="131"/>
      <c r="C282" s="131"/>
      <c r="D282" s="131"/>
      <c r="E282" s="131"/>
      <c r="F282" s="131"/>
      <c r="G282" s="131"/>
      <c r="H282" s="131"/>
    </row>
    <row r="283" spans="1:8" x14ac:dyDescent="0.35">
      <c r="A283" s="155" t="s">
        <v>132</v>
      </c>
      <c r="B283" s="155"/>
      <c r="C283" s="155"/>
      <c r="D283" s="155"/>
      <c r="E283" s="155"/>
      <c r="F283" s="155"/>
      <c r="G283" s="155"/>
      <c r="H283" s="155"/>
    </row>
    <row r="284" spans="1:8" x14ac:dyDescent="0.35">
      <c r="A284" s="167" t="s">
        <v>78</v>
      </c>
      <c r="B284" s="167"/>
      <c r="C284" s="167" t="s">
        <v>196</v>
      </c>
      <c r="D284" s="167"/>
      <c r="E284" s="167" t="s">
        <v>108</v>
      </c>
      <c r="F284" s="167"/>
      <c r="G284" s="167" t="s">
        <v>262</v>
      </c>
      <c r="H284" s="167"/>
    </row>
    <row r="285" spans="1:8" x14ac:dyDescent="0.35">
      <c r="A285" s="166" t="s">
        <v>80</v>
      </c>
      <c r="B285" s="166"/>
      <c r="C285" s="166"/>
      <c r="D285" s="166"/>
      <c r="E285" s="166"/>
      <c r="F285" s="166"/>
      <c r="G285" s="166"/>
      <c r="H285" s="166"/>
    </row>
    <row r="286" spans="1:8" x14ac:dyDescent="0.35">
      <c r="A286" s="166"/>
      <c r="B286" s="166"/>
      <c r="C286" s="166"/>
      <c r="D286" s="166"/>
      <c r="E286" s="166"/>
      <c r="F286" s="166"/>
      <c r="G286" s="166"/>
      <c r="H286" s="166"/>
    </row>
    <row r="287" spans="1:8" x14ac:dyDescent="0.35">
      <c r="A287" s="166"/>
      <c r="B287" s="166"/>
      <c r="C287" s="166"/>
      <c r="D287" s="166"/>
      <c r="E287" s="166"/>
      <c r="F287" s="166"/>
      <c r="G287" s="166"/>
      <c r="H287" s="166"/>
    </row>
    <row r="288" spans="1:8" x14ac:dyDescent="0.35">
      <c r="A288" s="166"/>
      <c r="B288" s="166"/>
      <c r="C288" s="166"/>
      <c r="D288" s="166"/>
      <c r="E288" s="166"/>
      <c r="F288" s="166"/>
      <c r="G288" s="166"/>
      <c r="H288" s="166"/>
    </row>
    <row r="289" spans="1:8" x14ac:dyDescent="0.35">
      <c r="A289" s="38" t="s">
        <v>67</v>
      </c>
      <c r="B289" s="39"/>
      <c r="C289" s="39"/>
      <c r="D289" s="38" t="str">
        <f>E8</f>
        <v>Atlantic</v>
      </c>
      <c r="F289" s="39"/>
      <c r="G289" s="39"/>
      <c r="H289" s="39"/>
    </row>
    <row r="290" spans="1:8" x14ac:dyDescent="0.35">
      <c r="A290" s="39"/>
      <c r="B290" s="39"/>
      <c r="C290" s="39"/>
      <c r="D290" s="39"/>
      <c r="E290" s="39"/>
      <c r="F290" s="39"/>
      <c r="G290" s="39"/>
      <c r="H290" s="39"/>
    </row>
    <row r="291" spans="1:8" x14ac:dyDescent="0.35">
      <c r="A291" s="39"/>
      <c r="B291" s="39"/>
      <c r="C291" s="39"/>
      <c r="D291" s="39"/>
      <c r="E291" s="39"/>
      <c r="F291" s="39"/>
      <c r="G291" s="39"/>
      <c r="H291" s="39"/>
    </row>
    <row r="292" spans="1:8" ht="15" customHeight="1" x14ac:dyDescent="0.35"/>
    <row r="332" spans="1:1" x14ac:dyDescent="0.35">
      <c r="A332" s="41" t="s">
        <v>173</v>
      </c>
    </row>
    <row r="373" spans="1:1" x14ac:dyDescent="0.35">
      <c r="A373" s="41" t="s">
        <v>257</v>
      </c>
    </row>
    <row r="408" spans="1:1" x14ac:dyDescent="0.35">
      <c r="A408" s="41" t="s">
        <v>68</v>
      </c>
    </row>
  </sheetData>
  <mergeCells count="537">
    <mergeCell ref="B276:H276"/>
    <mergeCell ref="B275:H275"/>
    <mergeCell ref="A176:B176"/>
    <mergeCell ref="L176:M176"/>
    <mergeCell ref="G171:H176"/>
    <mergeCell ref="I272:O272"/>
    <mergeCell ref="I33:K33"/>
    <mergeCell ref="A232:B232"/>
    <mergeCell ref="L232:M232"/>
    <mergeCell ref="G224:H233"/>
    <mergeCell ref="I268:O268"/>
    <mergeCell ref="A214:H214"/>
    <mergeCell ref="A215:B215"/>
    <mergeCell ref="G215:H220"/>
    <mergeCell ref="L215:M215"/>
    <mergeCell ref="A216:B216"/>
    <mergeCell ref="L216:M216"/>
    <mergeCell ref="A217:B217"/>
    <mergeCell ref="C217:F217"/>
    <mergeCell ref="L217:M217"/>
    <mergeCell ref="A218:B218"/>
    <mergeCell ref="L218:M218"/>
    <mergeCell ref="A219:B219"/>
    <mergeCell ref="L219:M219"/>
    <mergeCell ref="A220:B220"/>
    <mergeCell ref="L220:M220"/>
    <mergeCell ref="A105:B105"/>
    <mergeCell ref="A106:B106"/>
    <mergeCell ref="A107:B107"/>
    <mergeCell ref="A173:B173"/>
    <mergeCell ref="L173:M173"/>
    <mergeCell ref="A174:B174"/>
    <mergeCell ref="L174:M174"/>
    <mergeCell ref="A175:B175"/>
    <mergeCell ref="L175:M175"/>
    <mergeCell ref="A162:B162"/>
    <mergeCell ref="A163:B163"/>
    <mergeCell ref="A164:B164"/>
    <mergeCell ref="A131:E131"/>
    <mergeCell ref="A204:B204"/>
    <mergeCell ref="C201:F201"/>
    <mergeCell ref="A109:B109"/>
    <mergeCell ref="A110:B110"/>
    <mergeCell ref="A126:E126"/>
    <mergeCell ref="A135:E135"/>
    <mergeCell ref="F129:H129"/>
    <mergeCell ref="A134:E134"/>
    <mergeCell ref="L163:M163"/>
    <mergeCell ref="L162:M162"/>
    <mergeCell ref="I45:L45"/>
    <mergeCell ref="I44:L44"/>
    <mergeCell ref="A52:B53"/>
    <mergeCell ref="C52:E52"/>
    <mergeCell ref="G52:H52"/>
    <mergeCell ref="C53:H53"/>
    <mergeCell ref="I53:N53"/>
    <mergeCell ref="G161:H164"/>
    <mergeCell ref="A169:H169"/>
    <mergeCell ref="D61:H61"/>
    <mergeCell ref="A86:B86"/>
    <mergeCell ref="C86:H86"/>
    <mergeCell ref="A87:B87"/>
    <mergeCell ref="E87:F87"/>
    <mergeCell ref="G87:H87"/>
    <mergeCell ref="A132:E132"/>
    <mergeCell ref="F132:H132"/>
    <mergeCell ref="A133:E133"/>
    <mergeCell ref="A101:B101"/>
    <mergeCell ref="E101:F101"/>
    <mergeCell ref="F134:H134"/>
    <mergeCell ref="A136:E136"/>
    <mergeCell ref="C142:D142"/>
    <mergeCell ref="E142:F142"/>
    <mergeCell ref="B271:H271"/>
    <mergeCell ref="A47:B47"/>
    <mergeCell ref="C47:H47"/>
    <mergeCell ref="B269:H269"/>
    <mergeCell ref="A103:B103"/>
    <mergeCell ref="A104:B104"/>
    <mergeCell ref="G88:H97"/>
    <mergeCell ref="A89:B89"/>
    <mergeCell ref="A90:B90"/>
    <mergeCell ref="A91:B91"/>
    <mergeCell ref="F128:H128"/>
    <mergeCell ref="A128:E128"/>
    <mergeCell ref="G247:H247"/>
    <mergeCell ref="G243:H243"/>
    <mergeCell ref="G240:H240"/>
    <mergeCell ref="D152:D153"/>
    <mergeCell ref="A130:E130"/>
    <mergeCell ref="A161:B161"/>
    <mergeCell ref="A150:H150"/>
    <mergeCell ref="G149:H149"/>
    <mergeCell ref="C145:D145"/>
    <mergeCell ref="G145:H145"/>
    <mergeCell ref="A149:B149"/>
    <mergeCell ref="E149:F149"/>
    <mergeCell ref="L239:M239"/>
    <mergeCell ref="A165:H165"/>
    <mergeCell ref="A166:A167"/>
    <mergeCell ref="A244:B244"/>
    <mergeCell ref="A241:B241"/>
    <mergeCell ref="A242:B242"/>
    <mergeCell ref="A252:B252"/>
    <mergeCell ref="A253:B253"/>
    <mergeCell ref="A254:B254"/>
    <mergeCell ref="A243:B243"/>
    <mergeCell ref="G244:H244"/>
    <mergeCell ref="G250:H250"/>
    <mergeCell ref="G249:H249"/>
    <mergeCell ref="L238:M238"/>
    <mergeCell ref="G235:H235"/>
    <mergeCell ref="L235:M235"/>
    <mergeCell ref="A236:B236"/>
    <mergeCell ref="G236:H236"/>
    <mergeCell ref="L236:M236"/>
    <mergeCell ref="A237:B237"/>
    <mergeCell ref="G237:H237"/>
    <mergeCell ref="L237:M237"/>
    <mergeCell ref="G252:H252"/>
    <mergeCell ref="A250:B250"/>
    <mergeCell ref="A96:B96"/>
    <mergeCell ref="A97:B97"/>
    <mergeCell ref="A102:B102"/>
    <mergeCell ref="E102:F111"/>
    <mergeCell ref="F126:H126"/>
    <mergeCell ref="F131:H131"/>
    <mergeCell ref="A129:E129"/>
    <mergeCell ref="A152:A153"/>
    <mergeCell ref="G101:H101"/>
    <mergeCell ref="A100:B100"/>
    <mergeCell ref="C100:H100"/>
    <mergeCell ref="G143:H143"/>
    <mergeCell ref="D63:H63"/>
    <mergeCell ref="E74:F83"/>
    <mergeCell ref="G74:H83"/>
    <mergeCell ref="A82:B82"/>
    <mergeCell ref="A83:B83"/>
    <mergeCell ref="D64:H64"/>
    <mergeCell ref="A42:D42"/>
    <mergeCell ref="E42:H42"/>
    <mergeCell ref="E43:H43"/>
    <mergeCell ref="E44:H44"/>
    <mergeCell ref="E45:H45"/>
    <mergeCell ref="A43:D43"/>
    <mergeCell ref="A80:B80"/>
    <mergeCell ref="A73:B73"/>
    <mergeCell ref="A76:B76"/>
    <mergeCell ref="A72:B72"/>
    <mergeCell ref="A70:B70"/>
    <mergeCell ref="C70:H70"/>
    <mergeCell ref="A78:B78"/>
    <mergeCell ref="A65:C65"/>
    <mergeCell ref="D65:H65"/>
    <mergeCell ref="C72:H72"/>
    <mergeCell ref="A75:B75"/>
    <mergeCell ref="D57:H57"/>
    <mergeCell ref="A36:H36"/>
    <mergeCell ref="A35:B35"/>
    <mergeCell ref="C35:E35"/>
    <mergeCell ref="A40:D40"/>
    <mergeCell ref="E40:H40"/>
    <mergeCell ref="F32:H32"/>
    <mergeCell ref="F33:H33"/>
    <mergeCell ref="A39:H39"/>
    <mergeCell ref="A63:C63"/>
    <mergeCell ref="F35:H35"/>
    <mergeCell ref="A37:B37"/>
    <mergeCell ref="A38:B38"/>
    <mergeCell ref="C38:H38"/>
    <mergeCell ref="A44:D44"/>
    <mergeCell ref="A45:D45"/>
    <mergeCell ref="A46:H46"/>
    <mergeCell ref="D58:H58"/>
    <mergeCell ref="A58:C58"/>
    <mergeCell ref="G49:H49"/>
    <mergeCell ref="A50:B51"/>
    <mergeCell ref="A49:B49"/>
    <mergeCell ref="A55:H55"/>
    <mergeCell ref="A56:C56"/>
    <mergeCell ref="A57:C57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6:B16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285:H288"/>
    <mergeCell ref="A284:B284"/>
    <mergeCell ref="E284:F284"/>
    <mergeCell ref="C284:D284"/>
    <mergeCell ref="G284:H284"/>
    <mergeCell ref="A140:H140"/>
    <mergeCell ref="A138:E138"/>
    <mergeCell ref="F138:H138"/>
    <mergeCell ref="A139:E139"/>
    <mergeCell ref="F139:H139"/>
    <mergeCell ref="A239:H239"/>
    <mergeCell ref="A146:B146"/>
    <mergeCell ref="A248:B248"/>
    <mergeCell ref="A142:B142"/>
    <mergeCell ref="A280:H280"/>
    <mergeCell ref="A144:H144"/>
    <mergeCell ref="A283:H283"/>
    <mergeCell ref="A281:H281"/>
    <mergeCell ref="C141:D141"/>
    <mergeCell ref="A151:H151"/>
    <mergeCell ref="G141:H141"/>
    <mergeCell ref="C149:D149"/>
    <mergeCell ref="E147:F147"/>
    <mergeCell ref="G147:H147"/>
    <mergeCell ref="G242:H242"/>
    <mergeCell ref="G261:H261"/>
    <mergeCell ref="B264:H264"/>
    <mergeCell ref="B265:H265"/>
    <mergeCell ref="A263:H263"/>
    <mergeCell ref="B267:H267"/>
    <mergeCell ref="B268:H268"/>
    <mergeCell ref="G254:H254"/>
    <mergeCell ref="C152:C153"/>
    <mergeCell ref="B166:B167"/>
    <mergeCell ref="A251:H251"/>
    <mergeCell ref="A245:H245"/>
    <mergeCell ref="A238:B238"/>
    <mergeCell ref="G248:H248"/>
    <mergeCell ref="G246:H246"/>
    <mergeCell ref="A235:B235"/>
    <mergeCell ref="A154:H154"/>
    <mergeCell ref="A155:H155"/>
    <mergeCell ref="A156:B156"/>
    <mergeCell ref="A168:H168"/>
    <mergeCell ref="A170:H170"/>
    <mergeCell ref="A171:B171"/>
    <mergeCell ref="A247:B247"/>
    <mergeCell ref="G241:H241"/>
    <mergeCell ref="B270:H270"/>
    <mergeCell ref="B266:H266"/>
    <mergeCell ref="A260:B260"/>
    <mergeCell ref="G260:H260"/>
    <mergeCell ref="G259:H259"/>
    <mergeCell ref="A257:H257"/>
    <mergeCell ref="A258:B258"/>
    <mergeCell ref="A259:B259"/>
    <mergeCell ref="A262:B262"/>
    <mergeCell ref="G262:H262"/>
    <mergeCell ref="A261:B261"/>
    <mergeCell ref="G258:H258"/>
    <mergeCell ref="D68:H68"/>
    <mergeCell ref="A74:B74"/>
    <mergeCell ref="G73:H73"/>
    <mergeCell ref="G102:H111"/>
    <mergeCell ref="B152:B153"/>
    <mergeCell ref="A77:B77"/>
    <mergeCell ref="E73:F73"/>
    <mergeCell ref="A69:C69"/>
    <mergeCell ref="D69:H69"/>
    <mergeCell ref="F137:H137"/>
    <mergeCell ref="F135:H135"/>
    <mergeCell ref="A81:B81"/>
    <mergeCell ref="C146:D146"/>
    <mergeCell ref="E146:F146"/>
    <mergeCell ref="G146:H146"/>
    <mergeCell ref="F133:H133"/>
    <mergeCell ref="A127:E127"/>
    <mergeCell ref="A98:B98"/>
    <mergeCell ref="C98:H98"/>
    <mergeCell ref="E152:E153"/>
    <mergeCell ref="G152:H153"/>
    <mergeCell ref="A88:B88"/>
    <mergeCell ref="E88:F97"/>
    <mergeCell ref="A95:B95"/>
    <mergeCell ref="A249:B249"/>
    <mergeCell ref="A246:B246"/>
    <mergeCell ref="G238:H238"/>
    <mergeCell ref="A256:B256"/>
    <mergeCell ref="A184:H184"/>
    <mergeCell ref="C50:E50"/>
    <mergeCell ref="A59:C62"/>
    <mergeCell ref="D59:H59"/>
    <mergeCell ref="D60:H60"/>
    <mergeCell ref="D62:H62"/>
    <mergeCell ref="A67:C67"/>
    <mergeCell ref="D67:H67"/>
    <mergeCell ref="A68:C68"/>
    <mergeCell ref="E143:F143"/>
    <mergeCell ref="A194:B194"/>
    <mergeCell ref="A208:B208"/>
    <mergeCell ref="A225:B225"/>
    <mergeCell ref="A255:B255"/>
    <mergeCell ref="G253:H253"/>
    <mergeCell ref="A186:B186"/>
    <mergeCell ref="A201:B201"/>
    <mergeCell ref="A202:B202"/>
    <mergeCell ref="A203:B203"/>
    <mergeCell ref="C54:E54"/>
    <mergeCell ref="C16:H16"/>
    <mergeCell ref="E41:H41"/>
    <mergeCell ref="A41:D41"/>
    <mergeCell ref="A84:B84"/>
    <mergeCell ref="C84:H84"/>
    <mergeCell ref="A79:B79"/>
    <mergeCell ref="F136:H136"/>
    <mergeCell ref="E141:F141"/>
    <mergeCell ref="A141:B141"/>
    <mergeCell ref="A137:E137"/>
    <mergeCell ref="A111:B111"/>
    <mergeCell ref="A48:B48"/>
    <mergeCell ref="C48:E48"/>
    <mergeCell ref="G48:H48"/>
    <mergeCell ref="G50:H50"/>
    <mergeCell ref="D56:H56"/>
    <mergeCell ref="A112:B112"/>
    <mergeCell ref="G54:H54"/>
    <mergeCell ref="C51:H51"/>
    <mergeCell ref="A66:C66"/>
    <mergeCell ref="D66:H66"/>
    <mergeCell ref="A64:C64"/>
    <mergeCell ref="A21:D22"/>
    <mergeCell ref="F130:H130"/>
    <mergeCell ref="I48:K48"/>
    <mergeCell ref="I51:N51"/>
    <mergeCell ref="C37:H37"/>
    <mergeCell ref="C49:E49"/>
    <mergeCell ref="A54:B54"/>
    <mergeCell ref="A282:H282"/>
    <mergeCell ref="A279:H279"/>
    <mergeCell ref="G255:H255"/>
    <mergeCell ref="A240:B240"/>
    <mergeCell ref="A145:B145"/>
    <mergeCell ref="D166:D167"/>
    <mergeCell ref="E166:E167"/>
    <mergeCell ref="G166:H167"/>
    <mergeCell ref="A92:B92"/>
    <mergeCell ref="A93:B93"/>
    <mergeCell ref="A94:B94"/>
    <mergeCell ref="A108:B108"/>
    <mergeCell ref="F127:H127"/>
    <mergeCell ref="G142:H142"/>
    <mergeCell ref="A182:B182"/>
    <mergeCell ref="A190:B190"/>
    <mergeCell ref="A197:B197"/>
    <mergeCell ref="A211:B211"/>
    <mergeCell ref="A227:B227"/>
    <mergeCell ref="A277:H277"/>
    <mergeCell ref="A278:H278"/>
    <mergeCell ref="A191:H191"/>
    <mergeCell ref="A192:B192"/>
    <mergeCell ref="A230:B230"/>
    <mergeCell ref="L182:M182"/>
    <mergeCell ref="G156:H159"/>
    <mergeCell ref="A177:H177"/>
    <mergeCell ref="A178:B178"/>
    <mergeCell ref="L178:M178"/>
    <mergeCell ref="A179:B179"/>
    <mergeCell ref="L179:M179"/>
    <mergeCell ref="A181:B181"/>
    <mergeCell ref="L181:M181"/>
    <mergeCell ref="L171:M171"/>
    <mergeCell ref="A172:B172"/>
    <mergeCell ref="L172:M172"/>
    <mergeCell ref="L156:M156"/>
    <mergeCell ref="A157:B157"/>
    <mergeCell ref="L157:M157"/>
    <mergeCell ref="A158:B158"/>
    <mergeCell ref="L164:M164"/>
    <mergeCell ref="G178:H183"/>
    <mergeCell ref="A180:B180"/>
    <mergeCell ref="L180:M180"/>
    <mergeCell ref="A183:B183"/>
    <mergeCell ref="L183:M183"/>
    <mergeCell ref="L158:M158"/>
    <mergeCell ref="A159:B159"/>
    <mergeCell ref="L196:M196"/>
    <mergeCell ref="G192:H197"/>
    <mergeCell ref="L192:M192"/>
    <mergeCell ref="A193:B193"/>
    <mergeCell ref="L161:M161"/>
    <mergeCell ref="L159:M159"/>
    <mergeCell ref="C166:C167"/>
    <mergeCell ref="A160:H160"/>
    <mergeCell ref="A207:H207"/>
    <mergeCell ref="L190:M190"/>
    <mergeCell ref="A187:B187"/>
    <mergeCell ref="L187:M187"/>
    <mergeCell ref="A188:B188"/>
    <mergeCell ref="L188:M188"/>
    <mergeCell ref="A189:B189"/>
    <mergeCell ref="L189:M189"/>
    <mergeCell ref="G185:H190"/>
    <mergeCell ref="L185:M185"/>
    <mergeCell ref="A185:B185"/>
    <mergeCell ref="G199:H204"/>
    <mergeCell ref="L186:M186"/>
    <mergeCell ref="L199:M199"/>
    <mergeCell ref="A200:B200"/>
    <mergeCell ref="L200:M200"/>
    <mergeCell ref="L193:M193"/>
    <mergeCell ref="A198:H198"/>
    <mergeCell ref="A199:B199"/>
    <mergeCell ref="L226:M226"/>
    <mergeCell ref="L211:M211"/>
    <mergeCell ref="A212:B212"/>
    <mergeCell ref="L212:M212"/>
    <mergeCell ref="A213:B213"/>
    <mergeCell ref="L213:M213"/>
    <mergeCell ref="A143:B143"/>
    <mergeCell ref="C143:D143"/>
    <mergeCell ref="L208:M208"/>
    <mergeCell ref="A209:B209"/>
    <mergeCell ref="L209:M209"/>
    <mergeCell ref="A210:B210"/>
    <mergeCell ref="L210:M210"/>
    <mergeCell ref="L197:M197"/>
    <mergeCell ref="A205:H205"/>
    <mergeCell ref="A206:H206"/>
    <mergeCell ref="L204:M204"/>
    <mergeCell ref="L201:M201"/>
    <mergeCell ref="L202:M202"/>
    <mergeCell ref="L203:M203"/>
    <mergeCell ref="L194:M194"/>
    <mergeCell ref="A195:B195"/>
    <mergeCell ref="L195:M195"/>
    <mergeCell ref="A196:B196"/>
    <mergeCell ref="L230:M230"/>
    <mergeCell ref="A231:B231"/>
    <mergeCell ref="L231:M231"/>
    <mergeCell ref="A233:B233"/>
    <mergeCell ref="L233:M233"/>
    <mergeCell ref="A147:B147"/>
    <mergeCell ref="C147:D147"/>
    <mergeCell ref="A148:B148"/>
    <mergeCell ref="C148:D148"/>
    <mergeCell ref="E148:F148"/>
    <mergeCell ref="G148:H148"/>
    <mergeCell ref="G208:H213"/>
    <mergeCell ref="L227:M227"/>
    <mergeCell ref="A222:H222"/>
    <mergeCell ref="A228:B228"/>
    <mergeCell ref="L228:M228"/>
    <mergeCell ref="A229:B229"/>
    <mergeCell ref="L229:M229"/>
    <mergeCell ref="A221:H221"/>
    <mergeCell ref="A223:H223"/>
    <mergeCell ref="A224:B224"/>
    <mergeCell ref="L224:M224"/>
    <mergeCell ref="L225:M225"/>
    <mergeCell ref="A226:B226"/>
    <mergeCell ref="B273:H273"/>
    <mergeCell ref="B274:H274"/>
    <mergeCell ref="C112:H112"/>
    <mergeCell ref="A114:B114"/>
    <mergeCell ref="C114:H114"/>
    <mergeCell ref="A115:B115"/>
    <mergeCell ref="E115:F115"/>
    <mergeCell ref="G115:H115"/>
    <mergeCell ref="A116:B116"/>
    <mergeCell ref="E116:F125"/>
    <mergeCell ref="G116:H125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E145:F145"/>
    <mergeCell ref="B272:H272"/>
    <mergeCell ref="G256:H256"/>
    <mergeCell ref="A234:H234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97" max="7" man="1"/>
    <brk id="288" max="16383" man="1"/>
    <brk id="331" max="16383" man="1"/>
    <brk id="372" max="7" man="1"/>
    <brk id="40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19" t="s">
        <v>109</v>
      </c>
      <c r="C3" s="219"/>
      <c r="D3" s="219"/>
      <c r="E3" s="219"/>
      <c r="F3" s="219"/>
      <c r="G3" s="219"/>
      <c r="H3" s="219"/>
    </row>
    <row r="4" spans="1:9" x14ac:dyDescent="0.35">
      <c r="A4" s="2"/>
      <c r="B4" s="3" t="s">
        <v>110</v>
      </c>
      <c r="C4" s="3" t="s">
        <v>111</v>
      </c>
      <c r="D4" s="3" t="s">
        <v>70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3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2025-09-09T05:04:37Z</cp:lastPrinted>
  <dcterms:created xsi:type="dcterms:W3CDTF">2019-07-16T09:29:46Z</dcterms:created>
  <dcterms:modified xsi:type="dcterms:W3CDTF">2025-09-09T05:06:07Z</dcterms:modified>
</cp:coreProperties>
</file>