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6" i="1" l="1"/>
  <c r="E227" i="1" l="1"/>
  <c r="D227" i="1"/>
  <c r="D225" i="1"/>
  <c r="E225" i="1"/>
  <c r="E224" i="1"/>
  <c r="D224" i="1"/>
  <c r="E223" i="1"/>
  <c r="D223" i="1"/>
  <c r="E222" i="1"/>
  <c r="D222" i="1"/>
  <c r="E221" i="1"/>
  <c r="D221" i="1"/>
  <c r="E220" i="1"/>
  <c r="D220" i="1"/>
  <c r="E218" i="1"/>
  <c r="D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05" i="1"/>
  <c r="E209" i="1"/>
  <c r="D209" i="1"/>
  <c r="E208" i="1"/>
  <c r="D208" i="1"/>
  <c r="E207" i="1"/>
  <c r="D207" i="1"/>
  <c r="E205" i="1"/>
  <c r="E204" i="1"/>
  <c r="D204" i="1"/>
  <c r="E203" i="1"/>
  <c r="D203" i="1"/>
  <c r="E202" i="1"/>
  <c r="D202" i="1"/>
  <c r="E201" i="1"/>
  <c r="D201" i="1"/>
  <c r="E199" i="1"/>
  <c r="D199" i="1"/>
  <c r="E198" i="1"/>
  <c r="D198" i="1"/>
  <c r="E197" i="1"/>
  <c r="D197" i="1"/>
  <c r="E195" i="1"/>
  <c r="D195" i="1"/>
  <c r="E194" i="1"/>
  <c r="D194" i="1"/>
  <c r="E193" i="1"/>
  <c r="D193" i="1"/>
  <c r="E192" i="1"/>
  <c r="D19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D187" i="1"/>
  <c r="E185" i="1"/>
  <c r="D185" i="1"/>
  <c r="E184" i="1"/>
  <c r="D184" i="1"/>
  <c r="E183" i="1"/>
  <c r="D183" i="1"/>
  <c r="D186" i="1"/>
  <c r="E190" i="1"/>
  <c r="D190" i="1"/>
  <c r="E189" i="1"/>
  <c r="D189" i="1"/>
  <c r="E188" i="1"/>
  <c r="D188" i="1"/>
  <c r="E187" i="1"/>
  <c r="E186" i="1"/>
  <c r="G179" i="1"/>
  <c r="I173" i="1"/>
  <c r="J173" i="1"/>
  <c r="D166" i="1"/>
  <c r="D162" i="1"/>
  <c r="D160" i="1"/>
  <c r="D159" i="1"/>
  <c r="D158" i="1"/>
  <c r="D157" i="1"/>
  <c r="I156" i="1"/>
  <c r="I154" i="1"/>
  <c r="D154" i="1"/>
  <c r="I153" i="1"/>
  <c r="D58" i="1"/>
  <c r="K173" i="1" l="1"/>
  <c r="F157" i="1"/>
  <c r="H158" i="1"/>
  <c r="H160" i="1"/>
  <c r="H159" i="1"/>
  <c r="A158" i="1"/>
  <c r="A159" i="1" s="1"/>
  <c r="A160" i="1" s="1"/>
  <c r="D168" i="1"/>
  <c r="H168" i="1" s="1"/>
  <c r="D167" i="1"/>
  <c r="H167" i="1" s="1"/>
  <c r="A167" i="1"/>
  <c r="A168" i="1" s="1"/>
  <c r="H166" i="1"/>
  <c r="D164" i="1"/>
  <c r="H164" i="1" s="1"/>
  <c r="D163" i="1"/>
  <c r="F163" i="1" s="1"/>
  <c r="A163" i="1"/>
  <c r="A164" i="1" s="1"/>
  <c r="H162" i="1"/>
  <c r="D155" i="1"/>
  <c r="I218" i="1"/>
  <c r="I210" i="1"/>
  <c r="I181" i="1"/>
  <c r="I199" i="1"/>
  <c r="A202" i="1"/>
  <c r="A203" i="1" s="1"/>
  <c r="A204" i="1" s="1"/>
  <c r="I190" i="1"/>
  <c r="I172" i="1"/>
  <c r="A205" i="1" l="1"/>
  <c r="A207" i="1" s="1"/>
  <c r="A208" i="1" s="1"/>
  <c r="A209" i="1" s="1"/>
  <c r="F168" i="1"/>
  <c r="F164" i="1"/>
  <c r="H157" i="1"/>
  <c r="F167" i="1"/>
  <c r="F202" i="1"/>
  <c r="H202" i="1" s="1"/>
  <c r="F203" i="1"/>
  <c r="H203" i="1" s="1"/>
  <c r="F204" i="1"/>
  <c r="H204" i="1" s="1"/>
  <c r="F205" i="1"/>
  <c r="H205" i="1" s="1"/>
  <c r="F207" i="1"/>
  <c r="H207" i="1" s="1"/>
  <c r="F208" i="1"/>
  <c r="H208" i="1" s="1"/>
  <c r="F209" i="1"/>
  <c r="H209" i="1" s="1"/>
  <c r="F162" i="1"/>
  <c r="H163" i="1"/>
  <c r="F166" i="1"/>
  <c r="F158" i="1"/>
  <c r="F159" i="1"/>
  <c r="F160" i="1"/>
  <c r="F201" i="1"/>
  <c r="H201" i="1" s="1"/>
  <c r="H155" i="1"/>
  <c r="F154" i="1"/>
  <c r="D152" i="1"/>
  <c r="H152" i="1" s="1"/>
  <c r="G129" i="1" s="1"/>
  <c r="A155" i="1"/>
  <c r="A193" i="1"/>
  <c r="A194" i="1" s="1"/>
  <c r="A195" i="1" s="1"/>
  <c r="A196" i="1" s="1"/>
  <c r="A197" i="1" s="1"/>
  <c r="A198" i="1" s="1"/>
  <c r="A199" i="1" s="1"/>
  <c r="G180" i="1"/>
  <c r="G178" i="1"/>
  <c r="G177" i="1"/>
  <c r="G176" i="1"/>
  <c r="I170" i="1"/>
  <c r="D147" i="1"/>
  <c r="D146" i="1"/>
  <c r="D145" i="1"/>
  <c r="D144" i="1"/>
  <c r="I144" i="1"/>
  <c r="C130" i="1" l="1"/>
  <c r="C134" i="1"/>
  <c r="C135" i="1"/>
  <c r="H154" i="1"/>
  <c r="G130" i="1" s="1"/>
  <c r="F155" i="1"/>
  <c r="E130" i="1" s="1"/>
  <c r="F220" i="1"/>
  <c r="H220" i="1" s="1"/>
  <c r="F224" i="1"/>
  <c r="H224" i="1" s="1"/>
  <c r="F227" i="1"/>
  <c r="H227" i="1" s="1"/>
  <c r="F215" i="1"/>
  <c r="H215" i="1" s="1"/>
  <c r="F222" i="1"/>
  <c r="H222" i="1" s="1"/>
  <c r="F225" i="1"/>
  <c r="H225" i="1" s="1"/>
  <c r="F152" i="1"/>
  <c r="F217" i="1"/>
  <c r="H217" i="1" s="1"/>
  <c r="F221" i="1"/>
  <c r="H221" i="1" s="1"/>
  <c r="F223" i="1"/>
  <c r="H223" i="1" s="1"/>
  <c r="F197" i="1"/>
  <c r="H197" i="1" s="1"/>
  <c r="F180" i="1"/>
  <c r="H180" i="1" s="1"/>
  <c r="F212" i="1"/>
  <c r="F213" i="1"/>
  <c r="H213" i="1" s="1"/>
  <c r="F214" i="1"/>
  <c r="H214" i="1" s="1"/>
  <c r="F216" i="1"/>
  <c r="H216" i="1" s="1"/>
  <c r="F218" i="1"/>
  <c r="H218" i="1" s="1"/>
  <c r="F178" i="1"/>
  <c r="H178" i="1" s="1"/>
  <c r="F179" i="1"/>
  <c r="H179" i="1" s="1"/>
  <c r="F181" i="1"/>
  <c r="H181" i="1" s="1"/>
  <c r="F198" i="1"/>
  <c r="H198" i="1" s="1"/>
  <c r="F199" i="1"/>
  <c r="H199" i="1" s="1"/>
  <c r="F188" i="1"/>
  <c r="H188" i="1" s="1"/>
  <c r="F189" i="1"/>
  <c r="H189" i="1" s="1"/>
  <c r="F190" i="1"/>
  <c r="H190" i="1" s="1"/>
  <c r="S34" i="1"/>
  <c r="E135" i="1" l="1"/>
  <c r="I130" i="1"/>
  <c r="L130" i="1"/>
  <c r="H212" i="1"/>
  <c r="G135" i="1" s="1"/>
  <c r="C129" i="1"/>
  <c r="E129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5" i="1"/>
  <c r="B231" i="1"/>
  <c r="B230" i="1"/>
  <c r="F195" i="1"/>
  <c r="H195" i="1" s="1"/>
  <c r="F194" i="1"/>
  <c r="H194" i="1" s="1"/>
  <c r="F193" i="1"/>
  <c r="H193" i="1" s="1"/>
  <c r="F192" i="1"/>
  <c r="H192" i="1" s="1"/>
  <c r="F187" i="1"/>
  <c r="H187" i="1" s="1"/>
  <c r="F186" i="1"/>
  <c r="H186" i="1" s="1"/>
  <c r="I186" i="1" s="1"/>
  <c r="J186" i="1" s="1"/>
  <c r="K187" i="1" s="1"/>
  <c r="F185" i="1"/>
  <c r="H185" i="1" s="1"/>
  <c r="F184" i="1"/>
  <c r="H184" i="1" s="1"/>
  <c r="F183" i="1"/>
  <c r="H183" i="1" s="1"/>
  <c r="A184" i="1"/>
  <c r="A185" i="1" s="1"/>
  <c r="A186" i="1" s="1"/>
  <c r="A187" i="1" s="1"/>
  <c r="A188" i="1" s="1"/>
  <c r="A189" i="1" s="1"/>
  <c r="A190" i="1" s="1"/>
  <c r="F177" i="1"/>
  <c r="H177" i="1" s="1"/>
  <c r="F176" i="1"/>
  <c r="H176" i="1" s="1"/>
  <c r="F175" i="1"/>
  <c r="H175" i="1" s="1"/>
  <c r="L129" i="1" s="1"/>
  <c r="F174" i="1"/>
  <c r="H147" i="1"/>
  <c r="F147" i="1"/>
  <c r="H146" i="1"/>
  <c r="F146" i="1"/>
  <c r="H145" i="1"/>
  <c r="F145" i="1"/>
  <c r="A145" i="1"/>
  <c r="A146" i="1" s="1"/>
  <c r="A147" i="1" s="1"/>
  <c r="H144" i="1"/>
  <c r="F144" i="1"/>
  <c r="F125" i="1"/>
  <c r="C99" i="1"/>
  <c r="C85" i="1"/>
  <c r="C71" i="1"/>
  <c r="D65" i="1"/>
  <c r="G52" i="1"/>
  <c r="C52" i="1"/>
  <c r="E45" i="1"/>
  <c r="E46" i="1" s="1"/>
  <c r="E32" i="1"/>
  <c r="E29" i="1"/>
  <c r="E27" i="1"/>
  <c r="C17" i="1"/>
  <c r="I16" i="1"/>
  <c r="Z14" i="1"/>
  <c r="E8" i="1"/>
  <c r="E3" i="1"/>
  <c r="H72" i="1"/>
  <c r="H100" i="1"/>
  <c r="H86" i="1"/>
  <c r="G128" i="1" l="1"/>
  <c r="G131" i="1" s="1"/>
  <c r="C54" i="1"/>
  <c r="G54" i="1"/>
  <c r="L131" i="1"/>
  <c r="E134" i="1"/>
  <c r="E136" i="1" s="1"/>
  <c r="C128" i="1"/>
  <c r="C131" i="1" s="1"/>
  <c r="E128" i="1"/>
  <c r="E131" i="1" s="1"/>
  <c r="H174" i="1"/>
  <c r="G134" i="1" s="1"/>
  <c r="G136" i="1" s="1"/>
  <c r="C136" i="1"/>
  <c r="J70" i="1"/>
  <c r="J72" i="1" s="1"/>
  <c r="J73" i="1"/>
  <c r="J74" i="1"/>
  <c r="J75" i="1"/>
  <c r="C75" i="1" s="1"/>
  <c r="J89" i="1"/>
  <c r="D94" i="1"/>
  <c r="D96" i="1"/>
  <c r="J88" i="1"/>
  <c r="D95" i="1"/>
  <c r="J84" i="1"/>
  <c r="J86" i="1" s="1"/>
  <c r="D93" i="1"/>
  <c r="J87" i="1"/>
  <c r="D92" i="1"/>
  <c r="D98" i="1"/>
  <c r="D97" i="1"/>
  <c r="D91" i="1"/>
  <c r="D79" i="1"/>
  <c r="D81" i="1"/>
  <c r="D80" i="1"/>
  <c r="D84" i="1"/>
  <c r="D78" i="1"/>
  <c r="D83" i="1"/>
  <c r="D77" i="1"/>
  <c r="D82" i="1"/>
  <c r="J98" i="1"/>
  <c r="J100" i="1" s="1"/>
  <c r="D108" i="1"/>
  <c r="D110" i="1"/>
  <c r="J103" i="1"/>
  <c r="D109" i="1"/>
  <c r="J102" i="1"/>
  <c r="D107" i="1"/>
  <c r="J101" i="1"/>
  <c r="D106" i="1"/>
  <c r="D112" i="1"/>
  <c r="D111" i="1"/>
  <c r="B100" i="1"/>
  <c r="B86" i="1"/>
  <c r="B72" i="1"/>
  <c r="J76" i="1" s="1"/>
  <c r="G137" i="1" l="1"/>
  <c r="I129" i="1"/>
  <c r="I131" i="1" s="1"/>
  <c r="C103" i="1"/>
  <c r="D103" i="1" s="1"/>
  <c r="C89" i="1"/>
  <c r="D89" i="1" s="1"/>
  <c r="E137" i="1"/>
  <c r="C137" i="1"/>
  <c r="D75" i="1"/>
  <c r="D105" i="1"/>
  <c r="J109" i="1"/>
  <c r="J106" i="1"/>
  <c r="J108" i="1"/>
  <c r="J107" i="1"/>
  <c r="J104" i="1"/>
  <c r="J105" i="1" s="1"/>
  <c r="J110" i="1" s="1"/>
  <c r="J111" i="1" s="1"/>
  <c r="C104" i="1" s="1"/>
  <c r="J95" i="1"/>
  <c r="J92" i="1"/>
  <c r="J94" i="1"/>
  <c r="J93" i="1"/>
  <c r="J90" i="1"/>
  <c r="J91" i="1" s="1"/>
  <c r="J80" i="1"/>
  <c r="J78" i="1"/>
  <c r="J79" i="1"/>
  <c r="J77" i="1"/>
  <c r="J82" i="1" s="1"/>
  <c r="J81" i="1"/>
  <c r="J83" i="1" l="1"/>
  <c r="C76" i="1" s="1"/>
  <c r="J71" i="1" s="1"/>
  <c r="J96" i="1"/>
  <c r="J97" i="1" s="1"/>
  <c r="E103" i="1"/>
  <c r="D104" i="1"/>
  <c r="I99" i="1" s="1"/>
  <c r="J99" i="1"/>
  <c r="G103" i="1"/>
  <c r="C90" i="1" l="1"/>
  <c r="E89" i="1" s="1"/>
  <c r="D76" i="1"/>
  <c r="I71" i="1" s="1"/>
  <c r="I72" i="1" s="1"/>
  <c r="I70" i="1" s="1"/>
  <c r="C73" i="1" s="1"/>
  <c r="G75" i="1"/>
  <c r="D69" i="1" s="1"/>
  <c r="D70" i="1" s="1"/>
  <c r="E75" i="1"/>
  <c r="I100" i="1"/>
  <c r="I98" i="1" s="1"/>
  <c r="C101" i="1" s="1"/>
  <c r="D90" i="1" l="1"/>
  <c r="I85" i="1" s="1"/>
  <c r="I86" i="1" s="1"/>
  <c r="G89" i="1"/>
  <c r="J85" i="1"/>
  <c r="F70" i="1"/>
  <c r="I84" i="1" l="1"/>
  <c r="C87" i="1" s="1"/>
</calcChain>
</file>

<file path=xl/comments1.xml><?xml version="1.0" encoding="utf-8"?>
<comments xmlns="http://schemas.openxmlformats.org/spreadsheetml/2006/main">
  <authors>
    <author>Sachin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</commentList>
</comments>
</file>

<file path=xl/sharedStrings.xml><?xml version="1.0" encoding="utf-8"?>
<sst xmlns="http://schemas.openxmlformats.org/spreadsheetml/2006/main" count="673" uniqueCount="359">
  <si>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</si>
  <si>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</si>
  <si>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</si>
  <si>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</si>
  <si>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</si>
  <si>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</si>
  <si>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</si>
  <si>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</si>
  <si>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</si>
  <si>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</si>
  <si>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</si>
  <si>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</si>
  <si>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</si>
  <si>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</si>
  <si>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</si>
  <si>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</si>
  <si>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</si>
  <si>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</si>
  <si>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</si>
  <si>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</si>
  <si>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</si>
  <si>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</si>
  <si>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</si>
  <si>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</si>
  <si>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</si>
  <si>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</si>
  <si>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</si>
  <si>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</si>
  <si>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</si>
  <si>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</si>
  <si>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</si>
  <si>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</si>
  <si>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</si>
  <si>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</si>
  <si>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</si>
  <si>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</si>
  <si>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</si>
  <si>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</si>
  <si>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</si>
  <si>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</si>
  <si>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</si>
  <si>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</si>
  <si>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</si>
  <si>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</si>
  <si>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</si>
  <si>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</si>
  <si>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</si>
  <si>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</si>
  <si>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</si>
  <si>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</si>
  <si>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</si>
  <si>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</si>
  <si>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</si>
  <si>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</si>
  <si>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</si>
  <si>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</si>
  <si>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</si>
  <si>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</si>
  <si>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</si>
  <si>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</si>
  <si>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</si>
  <si>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</si>
  <si>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</si>
  <si>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</si>
  <si>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</si>
  <si>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</si>
  <si>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</si>
  <si>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</si>
  <si>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</si>
  <si>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</si>
  <si>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</si>
  <si>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</si>
  <si>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</si>
  <si>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</si>
  <si>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</si>
  <si>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</si>
  <si>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</si>
  <si>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</si>
  <si>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</si>
  <si>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</si>
  <si>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</si>
  <si>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</si>
  <si>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</si>
  <si>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</si>
  <si>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</si>
  <si>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</si>
  <si>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</si>
  <si>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</si>
  <si>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</si>
  <si>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</si>
  <si>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</si>
  <si>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</si>
  <si>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</si>
  <si>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</si>
  <si>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</si>
  <si>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</si>
  <si>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</si>
  <si>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</si>
  <si>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</si>
  <si>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</si>
  <si>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</si>
  <si>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</si>
  <si>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</si>
  <si>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</si>
  <si>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</si>
  <si>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</si>
  <si>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</si>
  <si>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</si>
  <si>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</si>
  <si>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</si>
  <si>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</si>
  <si>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</si>
  <si>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</si>
  <si>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</si>
  <si>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</si>
  <si>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</si>
  <si>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</si>
  <si>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</si>
  <si>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</si>
  <si>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</si>
  <si>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</si>
  <si>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</si>
  <si>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</si>
  <si>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</si>
  <si>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</si>
  <si>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</si>
  <si>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</si>
  <si>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</si>
  <si>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</si>
  <si>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</si>
  <si>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</si>
  <si>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</si>
  <si>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</si>
  <si>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</si>
  <si>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</si>
  <si>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</si>
  <si>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</si>
  <si>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</si>
  <si>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</si>
  <si>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</si>
  <si>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</si>
  <si>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</si>
  <si>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</si>
  <si>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</si>
  <si>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</si>
  <si>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</si>
  <si>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</si>
  <si>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</si>
  <si>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</si>
  <si>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</si>
  <si>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</si>
  <si>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</si>
  <si>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</si>
  <si>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</si>
  <si>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</si>
  <si>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</si>
  <si>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</si>
  <si>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</si>
  <si>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</si>
  <si>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</si>
  <si>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</si>
  <si>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</si>
  <si>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</si>
  <si>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</si>
  <si>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</si>
  <si>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</si>
  <si>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</si>
  <si>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</si>
  <si>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</si>
  <si>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</si>
  <si>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</si>
  <si>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</si>
  <si>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</si>
  <si>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</si>
  <si>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</si>
  <si>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</si>
  <si>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</si>
  <si>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</si>
  <si>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</si>
  <si>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</si>
  <si>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</si>
  <si>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</si>
  <si>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</si>
  <si>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</si>
  <si>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</si>
  <si>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</si>
  <si>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</si>
  <si>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</si>
  <si>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</si>
  <si>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</si>
  <si>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</si>
  <si>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</si>
  <si>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</si>
  <si>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</si>
  <si>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</si>
  <si>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</si>
  <si>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</si>
  <si>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</si>
  <si>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</si>
  <si>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</si>
  <si>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</si>
  <si>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</si>
  <si>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</si>
  <si>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</si>
  <si>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</si>
  <si>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</si>
  <si>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</si>
  <si>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</si>
  <si>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</si>
  <si>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</si>
  <si>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</si>
  <si>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</si>
  <si>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</si>
  <si>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</si>
  <si>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</si>
  <si>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</si>
  <si>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</si>
  <si>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</si>
  <si>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</si>
  <si>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</si>
  <si>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</si>
  <si>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</si>
  <si>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</si>
  <si>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</si>
  <si>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</si>
  <si>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 xml:space="preserve">Please check for Environment Clearance Certificate.
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</si>
  <si>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</si>
  <si>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</si>
  <si>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</si>
  <si>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</si>
  <si>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</si>
  <si>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</si>
  <si>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</si>
  <si>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</si>
  <si>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</si>
  <si>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</si>
  <si>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</si>
  <si>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</si>
  <si>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</si>
  <si>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</si>
  <si>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</si>
  <si>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</si>
  <si>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</si>
  <si>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</si>
  <si>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</si>
  <si>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</si>
  <si>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</si>
  <si>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</si>
  <si>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</si>
  <si>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</si>
  <si>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</si>
  <si>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</si>
  <si>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</si>
  <si>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</si>
  <si>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</si>
  <si>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</si>
  <si>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</si>
  <si>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</si>
  <si>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</si>
  <si>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</si>
  <si>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</si>
  <si>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</si>
  <si>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</si>
  <si>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</si>
  <si>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</si>
  <si>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</si>
  <si>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</si>
  <si>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</si>
  <si>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</si>
  <si>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</si>
  <si>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</si>
  <si>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</si>
  <si>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</si>
  <si>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</si>
  <si>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Wing A</t>
  </si>
  <si>
    <t>Wing A &amp; B</t>
  </si>
  <si>
    <t>Shop</t>
  </si>
  <si>
    <r>
      <t xml:space="preserve">Shop No.
</t>
    </r>
    <r>
      <rPr>
        <b/>
        <sz val="11"/>
        <rFont val="Times New Roman"/>
        <family val="1"/>
      </rPr>
      <t>(Approved Plan)</t>
    </r>
  </si>
  <si>
    <t xml:space="preserve">Wing A </t>
  </si>
  <si>
    <t>1BHK</t>
  </si>
  <si>
    <t>2BHK</t>
  </si>
  <si>
    <t>3BHK</t>
  </si>
  <si>
    <t>Refuge Area</t>
  </si>
  <si>
    <t>8th &amp; 13th Floor (Part Refuge Area)</t>
  </si>
  <si>
    <t xml:space="preserve">Wing B </t>
  </si>
  <si>
    <t>Wing E</t>
  </si>
  <si>
    <t>Office</t>
  </si>
  <si>
    <t>Wing B</t>
  </si>
  <si>
    <t>Approved area of building (Sq.Mt) for Wing A, B &amp; E</t>
  </si>
  <si>
    <t>Shree Balaji Realty</t>
  </si>
  <si>
    <t xml:space="preserve">Balaji Sarvoday </t>
  </si>
  <si>
    <t>Name of the Project as per RERA</t>
  </si>
  <si>
    <t>Mr. Vivek Singh - 8652442484</t>
  </si>
  <si>
    <t>Wing A, B &amp; E</t>
  </si>
  <si>
    <t>P51700052121</t>
  </si>
  <si>
    <t>Survey No</t>
  </si>
  <si>
    <t>Chole</t>
  </si>
  <si>
    <t>https://maps.app.goo.gl/UPNFJTaSwD52Sq8G7</t>
  </si>
  <si>
    <t>Thakurli</t>
  </si>
  <si>
    <t>Krishna Plaza building</t>
  </si>
  <si>
    <t>Shivaji Shelar Marg</t>
  </si>
  <si>
    <t>Open Plot</t>
  </si>
  <si>
    <t>19.220246,73.103066</t>
  </si>
  <si>
    <t>1.1 KM from Thakurli Railway Station</t>
  </si>
  <si>
    <t>Other Plot</t>
  </si>
  <si>
    <t>24.00 M Wide Road/Other Plot</t>
  </si>
  <si>
    <t>18.00 M Wide Road</t>
  </si>
  <si>
    <t>Road/Plot B</t>
  </si>
  <si>
    <t>03 Wings</t>
  </si>
  <si>
    <t>As per RERA - 31/12/2028</t>
  </si>
  <si>
    <t>Cycling &amp; Jogging Track, Children's Play Area, Indoor Games
Power Backup, Badminton Court, Lift(s), 24x7 Security, Sewage Treatment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</si>
  <si>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</si>
  <si>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https://housing.com/in/buy/projects/page/303768-shree-balaji-sarvoday-a-wing-b-wing-and-e-wing-by-shree-balaji-realty-mumbai-in-dombivli-east </t>
  </si>
  <si>
    <t>Housing</t>
  </si>
  <si>
    <t>Sheet</t>
  </si>
  <si>
    <t>Metro Luxuria</t>
  </si>
  <si>
    <t xml:space="preserve">Balaji Sarvoday - A Wing, B Wing and E Wing
</t>
  </si>
  <si>
    <t>Mr. Shankar 8097279745</t>
  </si>
  <si>
    <t>Wing A = Gr + 1st to 28th Floor</t>
  </si>
  <si>
    <t>Wing B = Gr + 1st to 28th Floor</t>
  </si>
  <si>
    <t>Proposed structure has been revised to G + 28th floor with ref to building picture on builder website.</t>
  </si>
  <si>
    <t>KDMC/TPD/BP/DOM/2022-23/82/31</t>
  </si>
  <si>
    <t>OK</t>
  </si>
  <si>
    <t xml:space="preserve"> - </t>
  </si>
  <si>
    <t>3rd Floor</t>
  </si>
  <si>
    <t>4th Floor</t>
  </si>
  <si>
    <t>2nd Floor</t>
  </si>
  <si>
    <t>28, H.No.6 &amp; H.No.3/1, Old Survey No. 242 A</t>
  </si>
  <si>
    <t>Wing A = Gr + 1st to 28th Floor (Residential)
Wing B = Gr + 1st to 28th Floor (Residential)
Wing E = Gr + 1st to 4th Floor (Commercial)</t>
  </si>
  <si>
    <t>Wing E = Gr + 1st to 4th Floor</t>
  </si>
  <si>
    <t>Wing A = Gr + 1st to 28th Floor
Wing B = Gr + 1st to 28th Floor
Wing E = Gr + 1st to 4th Floor</t>
  </si>
  <si>
    <t>Building Details Floor Wise</t>
  </si>
  <si>
    <t>Ground Floor For Commercial &amp; Parking</t>
  </si>
  <si>
    <t>1st Floor For Parking Area Handover to KDMC</t>
  </si>
  <si>
    <t>2nd Floor For Parking Area Handover to KDMC</t>
  </si>
  <si>
    <t>1st Floor For Commercial</t>
  </si>
  <si>
    <t>3rd Floor For Residential</t>
  </si>
  <si>
    <t>Open Balcony Area</t>
  </si>
  <si>
    <t>18th, 23rd &amp; 28th Floor For Part Refuge Area</t>
  </si>
  <si>
    <t>-</t>
  </si>
  <si>
    <t>3rd to 7th, 9th to 12th, 14th to 17th, 19th to 22nd, 24th to 27th Floor For Residential</t>
  </si>
  <si>
    <t>8th, 13th, 18th, 23rd, 28th Floor For Part Refuge Area</t>
  </si>
  <si>
    <t xml:space="preserve">Approved Floor plan No.
 </t>
  </si>
  <si>
    <t>KDMC/TPD/BP/DOM/2022-23/82</t>
  </si>
  <si>
    <t>Carpet + Encl Bal. Area</t>
  </si>
  <si>
    <t>4th to 7th, 9th to 12th, 14th to 17th, 19th to 22nd, 24th to 27th Floor For Residential</t>
  </si>
  <si>
    <t>Flats - 388, Shops - 5, Offices -12</t>
  </si>
  <si>
    <t>We have updated revised approved CC &amp; Plans for Wing E &amp; 2nd to 28th Floor Plan for Wing A &amp; B on 16/04/2025.</t>
  </si>
  <si>
    <t>Approved Floor plan No.  
(Only Ground &amp; 1st Floor For Wing A &amp; B)</t>
  </si>
  <si>
    <t xml:space="preserve">Please check For Environment Clearance Certificate &amp; Fire Noc.
</t>
  </si>
  <si>
    <t>We have referred Approved Plans (Sheet No.1, 3 to 9) from RERA Site on 16/04/2025</t>
  </si>
  <si>
    <t>We considered Gross carpet area = Net carpet + Encl Balcony + Open Balcony Area</t>
  </si>
  <si>
    <t>Provide approved Floor plan Sheet No.2 dtd.21/05/2024</t>
  </si>
  <si>
    <t>Other Charges</t>
  </si>
  <si>
    <t>Recommended Rates/Other Charges of the Property have been revised on 23/10/2023.</t>
  </si>
  <si>
    <t>7500 to 7750 by bhargav on 08/05/2025</t>
  </si>
  <si>
    <t>Wing A &amp; B = Construction work is in process at the time of Visit.
Wing E = All work completed. Please Provide OC.</t>
  </si>
  <si>
    <t>Pooja Kawale</t>
  </si>
  <si>
    <t>Mangesh Laxman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</si>
</sst>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4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27" fillId="0" borderId="0" xfId="10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25" fillId="2" borderId="15" xfId="0" applyFont="1" applyFill="1" applyBorder="1"/>
    <xf numFmtId="0" fontId="26" fillId="0" borderId="9" xfId="0" applyFont="1" applyBorder="1"/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6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1" fontId="30" fillId="0" borderId="3" xfId="1" applyNumberFormat="1" applyFont="1" applyBorder="1" applyAlignment="1" applyProtection="1">
      <alignment horizontal="center" vertical="top" wrapText="1"/>
      <protection locked="0"/>
    </xf>
    <xf numFmtId="1" fontId="30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1" fontId="10" fillId="0" borderId="34" xfId="0" applyNumberFormat="1" applyFont="1" applyBorder="1" applyAlignment="1" applyProtection="1">
      <alignment horizontal="center" vertical="center"/>
      <protection locked="0"/>
    </xf>
    <xf numFmtId="1" fontId="13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3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8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15</xdr:row>
      <xdr:rowOff>161925</xdr:rowOff>
    </xdr:from>
    <xdr:to>
      <xdr:col>15</xdr:col>
      <xdr:colOff>751632</xdr:colOff>
      <xdr:row>22</xdr:row>
      <xdr:rowOff>44071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3543300"/>
          <a:ext cx="6742857" cy="15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76761</xdr:colOff>
      <xdr:row>360</xdr:row>
      <xdr:rowOff>61002</xdr:rowOff>
    </xdr:from>
    <xdr:to>
      <xdr:col>6</xdr:col>
      <xdr:colOff>403413</xdr:colOff>
      <xdr:row>372</xdr:row>
      <xdr:rowOff>140516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4379" y="75689502"/>
          <a:ext cx="3621181" cy="24999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114300</xdr:colOff>
      <xdr:row>49</xdr:row>
      <xdr:rowOff>0</xdr:rowOff>
    </xdr:from>
    <xdr:to>
      <xdr:col>11</xdr:col>
      <xdr:colOff>905680</xdr:colOff>
      <xdr:row>54</xdr:row>
      <xdr:rowOff>449982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9375" y="10810875"/>
          <a:ext cx="3887005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425450</xdr:colOff>
      <xdr:row>72</xdr:row>
      <xdr:rowOff>82550</xdr:rowOff>
    </xdr:from>
    <xdr:to>
      <xdr:col>18</xdr:col>
      <xdr:colOff>189100</xdr:colOff>
      <xdr:row>104</xdr:row>
      <xdr:rowOff>36316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8100" y="16846550"/>
          <a:ext cx="6120000" cy="62611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463550</xdr:colOff>
      <xdr:row>254</xdr:row>
      <xdr:rowOff>171450</xdr:rowOff>
    </xdr:from>
    <xdr:to>
      <xdr:col>15</xdr:col>
      <xdr:colOff>392844</xdr:colOff>
      <xdr:row>297</xdr:row>
      <xdr:rowOff>21176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/>
      </xdr:nvGrpSpPr>
      <xdr:grpSpPr>
        <a:xfrm>
          <a:off x="7727950" y="53041550"/>
          <a:ext cx="6692044" cy="8307926"/>
          <a:chOff x="311150" y="50438050"/>
          <a:chExt cx="6660294" cy="8301576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8885" y="56867626"/>
            <a:ext cx="1402538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8783" y="504380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768" y="56867626"/>
            <a:ext cx="2494019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9690" y="5043805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8547" y="54880434"/>
            <a:ext cx="2494019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150" y="54880434"/>
            <a:ext cx="1402538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7718" y="5271324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5067" y="56867626"/>
            <a:ext cx="1402538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88475" y="5043805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16368" y="5271324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9068" y="5271324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150" y="5271324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77425" y="54880434"/>
            <a:ext cx="2494019" cy="187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901513</xdr:colOff>
      <xdr:row>19</xdr:row>
      <xdr:rowOff>28015</xdr:rowOff>
    </xdr:from>
    <xdr:to>
      <xdr:col>12</xdr:col>
      <xdr:colOff>29863</xdr:colOff>
      <xdr:row>23</xdr:row>
      <xdr:rowOff>58141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26748" y="4465544"/>
          <a:ext cx="3151262" cy="1049861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47</xdr:row>
      <xdr:rowOff>66675</xdr:rowOff>
    </xdr:from>
    <xdr:to>
      <xdr:col>12</xdr:col>
      <xdr:colOff>361443</xdr:colOff>
      <xdr:row>57</xdr:row>
      <xdr:rowOff>29307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48525" y="10287000"/>
          <a:ext cx="4057143" cy="31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46</xdr:row>
      <xdr:rowOff>9525</xdr:rowOff>
    </xdr:from>
    <xdr:to>
      <xdr:col>12</xdr:col>
      <xdr:colOff>256695</xdr:colOff>
      <xdr:row>65</xdr:row>
      <xdr:rowOff>95690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62825" y="10029825"/>
          <a:ext cx="3838095" cy="5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1125071</xdr:colOff>
      <xdr:row>52</xdr:row>
      <xdr:rowOff>147918</xdr:rowOff>
    </xdr:from>
    <xdr:to>
      <xdr:col>13</xdr:col>
      <xdr:colOff>109903</xdr:colOff>
      <xdr:row>60</xdr:row>
      <xdr:rowOff>155394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50306" y="11667565"/>
          <a:ext cx="3803362" cy="2942857"/>
        </a:xfrm>
        <a:prstGeom prst="rect">
          <a:avLst/>
        </a:prstGeom>
      </xdr:spPr>
    </xdr:pic>
    <xdr:clientData/>
  </xdr:twoCellAnchor>
  <xdr:twoCellAnchor editAs="oneCell">
    <xdr:from>
      <xdr:col>8</xdr:col>
      <xdr:colOff>1016375</xdr:colOff>
      <xdr:row>126</xdr:row>
      <xdr:rowOff>123265</xdr:rowOff>
    </xdr:from>
    <xdr:to>
      <xdr:col>16</xdr:col>
      <xdr:colOff>340085</xdr:colOff>
      <xdr:row>140</xdr:row>
      <xdr:rowOff>100852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41610" y="27600089"/>
          <a:ext cx="6573916" cy="3182470"/>
        </a:xfrm>
        <a:prstGeom prst="rect">
          <a:avLst/>
        </a:prstGeom>
      </xdr:spPr>
    </xdr:pic>
    <xdr:clientData/>
  </xdr:twoCellAnchor>
  <xdr:twoCellAnchor editAs="oneCell">
    <xdr:from>
      <xdr:col>9</xdr:col>
      <xdr:colOff>922804</xdr:colOff>
      <xdr:row>110</xdr:row>
      <xdr:rowOff>97491</xdr:rowOff>
    </xdr:from>
    <xdr:to>
      <xdr:col>18</xdr:col>
      <xdr:colOff>313140</xdr:colOff>
      <xdr:row>132</xdr:row>
      <xdr:rowOff>78441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013451" y="25747756"/>
          <a:ext cx="6685365" cy="32194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300</xdr:row>
      <xdr:rowOff>9524</xdr:rowOff>
    </xdr:from>
    <xdr:to>
      <xdr:col>7</xdr:col>
      <xdr:colOff>1238250</xdr:colOff>
      <xdr:row>333</xdr:row>
      <xdr:rowOff>161200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133350" y="61928374"/>
          <a:ext cx="6959600" cy="6647726"/>
          <a:chOff x="133350" y="63132259"/>
          <a:chExt cx="6685429" cy="6807970"/>
        </a:xfrm>
      </xdr:grpSpPr>
      <xdr:grpSp>
        <xdr:nvGrpSpPr>
          <xdr:cNvPr id="73" name="Group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GrpSpPr/>
        </xdr:nvGrpSpPr>
        <xdr:grpSpPr>
          <a:xfrm>
            <a:off x="133350" y="63132259"/>
            <a:ext cx="6685429" cy="6807970"/>
            <a:chOff x="133350" y="63524465"/>
            <a:chExt cx="6685429" cy="6807970"/>
          </a:xfrm>
        </xdr:grpSpPr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133350" y="63524465"/>
              <a:ext cx="6685429" cy="6807970"/>
              <a:chOff x="0" y="0"/>
              <a:chExt cx="6838950" cy="6895376"/>
            </a:xfrm>
          </xdr:grpSpPr>
          <xdr:pic>
            <xdr:nvPicPr>
              <xdr:cNvPr id="42" name="Picture 41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/>
            </xdr:blipFill>
            <xdr:spPr>
              <a:xfrm>
                <a:off x="0" y="0"/>
                <a:ext cx="6838950" cy="4237037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3" name="Picture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209008" y="4375376"/>
                <a:ext cx="2420933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3126440" y="65375118"/>
              <a:ext cx="1501589" cy="941294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3361765" y="66361236"/>
              <a:ext cx="1467971" cy="103094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>
                  <a:ln>
                    <a:noFill/>
                  </a:ln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3160058" y="64601911"/>
              <a:ext cx="918883" cy="705971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3025588" y="64220912"/>
              <a:ext cx="1535206" cy="3473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>
                  <a:ln>
                    <a:noFill/>
                  </a:ln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</a:p>
          </xdr:txBody>
        </xdr:sp>
        <xdr:sp macro="" textlink="">
          <xdr:nvSpPr>
            <xdr:cNvPr id="55" name="Rectangle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/>
          </xdr:nvSpPr>
          <xdr:spPr>
            <a:xfrm>
              <a:off x="4146176" y="64579499"/>
              <a:ext cx="918883" cy="705971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56" name="Rectangle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SpPr/>
          </xdr:nvSpPr>
          <xdr:spPr>
            <a:xfrm>
              <a:off x="5121088" y="64557087"/>
              <a:ext cx="661147" cy="930089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 txBox="1"/>
          </xdr:nvSpPr>
          <xdr:spPr>
            <a:xfrm>
              <a:off x="4056530" y="64265735"/>
              <a:ext cx="1535206" cy="3473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>
                  <a:ln>
                    <a:noFill/>
                  </a:ln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C</a:t>
              </a:r>
            </a:p>
          </xdr:txBody>
        </xdr:sp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5098677" y="64220912"/>
              <a:ext cx="1535206" cy="3473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>
                  <a:ln>
                    <a:noFill/>
                  </a:ln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D</a:t>
              </a:r>
            </a:p>
          </xdr:txBody>
        </xdr:sp>
        <xdr:sp macro="" textlink="">
          <xdr:nvSpPr>
            <xdr:cNvPr id="59" name="Rectangle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/>
          </xdr:nvSpPr>
          <xdr:spPr>
            <a:xfrm rot="21166410">
              <a:off x="4737481" y="66130322"/>
              <a:ext cx="451122" cy="930089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 rot="4421675">
              <a:off x="4695266" y="66596560"/>
              <a:ext cx="1535206" cy="3473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2000" b="1">
                  <a:ln>
                    <a:noFill/>
                  </a:ln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E</a:t>
              </a:r>
            </a:p>
          </xdr:txBody>
        </xdr:sp>
      </xdr:grpSp>
      <xdr:grpSp>
        <xdr:nvGrpSpPr>
          <xdr:cNvPr id="74" name="Group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GrpSpPr/>
        </xdr:nvGrpSpPr>
        <xdr:grpSpPr>
          <a:xfrm rot="5400000">
            <a:off x="1255059" y="66193147"/>
            <a:ext cx="474784" cy="971636"/>
            <a:chOff x="808896" y="1402289"/>
            <a:chExt cx="474784" cy="971636"/>
          </a:xfrm>
        </xdr:grpSpPr>
        <xdr:sp macro="" textlink="">
          <xdr:nvSpPr>
            <xdr:cNvPr id="75" name="Right Arrow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>
            <a:xfrm rot="16200000">
              <a:off x="852857" y="2031024"/>
              <a:ext cx="386861" cy="298941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76" name="TextBox 44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 txBox="1"/>
          </xdr:nvSpPr>
          <xdr:spPr>
            <a:xfrm>
              <a:off x="808896" y="1402289"/>
              <a:ext cx="474784" cy="58477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3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3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1</xdr:col>
      <xdr:colOff>358590</xdr:colOff>
      <xdr:row>341</xdr:row>
      <xdr:rowOff>11206</xdr:rowOff>
    </xdr:from>
    <xdr:to>
      <xdr:col>7</xdr:col>
      <xdr:colOff>282309</xdr:colOff>
      <xdr:row>359</xdr:row>
      <xdr:rowOff>179294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/>
      </xdr:nvGrpSpPr>
      <xdr:grpSpPr>
        <a:xfrm>
          <a:off x="1158690" y="70000906"/>
          <a:ext cx="4978319" cy="3711388"/>
          <a:chOff x="1120590" y="71807294"/>
          <a:chExt cx="4742248" cy="3798794"/>
        </a:xfrm>
      </xdr:grpSpPr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1120590" y="71807294"/>
            <a:ext cx="4742248" cy="379879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2790263" y="73095970"/>
            <a:ext cx="1961031" cy="1961029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9</xdr:col>
      <xdr:colOff>739028</xdr:colOff>
      <xdr:row>124</xdr:row>
      <xdr:rowOff>62191</xdr:rowOff>
    </xdr:from>
    <xdr:to>
      <xdr:col>14</xdr:col>
      <xdr:colOff>126607</xdr:colOff>
      <xdr:row>139</xdr:row>
      <xdr:rowOff>542294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25753" y="26665516"/>
          <a:ext cx="3873854" cy="3499528"/>
        </a:xfrm>
        <a:prstGeom prst="rect">
          <a:avLst/>
        </a:prstGeom>
      </xdr:spPr>
    </xdr:pic>
    <xdr:clientData/>
  </xdr:twoCellAnchor>
  <xdr:oneCellAnchor>
    <xdr:from>
      <xdr:col>9</xdr:col>
      <xdr:colOff>69850</xdr:colOff>
      <xdr:row>251</xdr:row>
      <xdr:rowOff>146050</xdr:rowOff>
    </xdr:from>
    <xdr:ext cx="634084" cy="280205"/>
    <xdr:sp macro="" textlink="">
      <xdr:nvSpPr>
        <xdr:cNvPr id="2" name="TextBox 1"/>
        <xdr:cNvSpPr txBox="1"/>
      </xdr:nvSpPr>
      <xdr:spPr>
        <a:xfrm>
          <a:off x="8553450" y="5242560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431800</xdr:colOff>
      <xdr:row>255</xdr:row>
      <xdr:rowOff>95250</xdr:rowOff>
    </xdr:from>
    <xdr:to>
      <xdr:col>7</xdr:col>
      <xdr:colOff>999900</xdr:colOff>
      <xdr:row>295</xdr:row>
      <xdr:rowOff>73588</xdr:rowOff>
    </xdr:to>
    <xdr:grpSp>
      <xdr:nvGrpSpPr>
        <xdr:cNvPr id="3" name="Group 2"/>
        <xdr:cNvGrpSpPr/>
      </xdr:nvGrpSpPr>
      <xdr:grpSpPr>
        <a:xfrm>
          <a:off x="431800" y="53155850"/>
          <a:ext cx="6422800" cy="7852338"/>
          <a:chOff x="431800" y="53155850"/>
          <a:chExt cx="6422800" cy="7852338"/>
        </a:xfrm>
      </xdr:grpSpPr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15969" y="5884818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8269" y="53155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852" y="58848188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1" y="53155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8269" y="5600201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92429" y="5600201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1800" y="5600201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04737" y="531558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6111" y="5884818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6" name="TextBox 85"/>
          <xdr:cNvSpPr txBox="1"/>
        </xdr:nvSpPr>
        <xdr:spPr>
          <a:xfrm>
            <a:off x="1187451" y="551180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3367569" y="552196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88" name="TextBox 87"/>
          <xdr:cNvSpPr txBox="1"/>
        </xdr:nvSpPr>
        <xdr:spPr>
          <a:xfrm>
            <a:off x="3507269" y="57538719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560294</xdr:colOff>
      <xdr:row>13</xdr:row>
      <xdr:rowOff>100853</xdr:rowOff>
    </xdr:from>
    <xdr:to>
      <xdr:col>6</xdr:col>
      <xdr:colOff>255219</xdr:colOff>
      <xdr:row>26</xdr:row>
      <xdr:rowOff>129115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94" y="2588559"/>
          <a:ext cx="6676190" cy="2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03768-shree-balaji-sarvoday-a-wing-b-wing-and-e-wing-by-shree-balaji-realty-mumbai-in-dombivli-east" TargetMode="External"/><Relationship Id="rId1" Type="http://schemas.openxmlformats.org/officeDocument/2006/relationships/hyperlink" Target="https://maps.app.goo.gl/UPNFJTaSwD52Sq8G7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41"/>
  <sheetViews>
    <sheetView tabSelected="1" view="pageBreakPreview" zoomScaleNormal="100" zoomScaleSheetLayoutView="100" zoomScalePageLayoutView="85" workbookViewId="0">
      <selection activeCell="E11" sqref="E11:H11"/>
    </sheetView>
  </sheetViews>
  <sheetFormatPr defaultColWidth="9.1796875" defaultRowHeight="15.5" x14ac:dyDescent="0.35"/>
  <cols>
    <col min="1" max="1" width="11.453125" style="38" customWidth="1"/>
    <col min="2" max="2" width="12" style="38" customWidth="1"/>
    <col min="3" max="3" width="12.7265625" style="38" customWidth="1"/>
    <col min="4" max="4" width="13.7265625" style="38" customWidth="1"/>
    <col min="5" max="5" width="11.7265625" style="38" customWidth="1"/>
    <col min="6" max="6" width="11.1796875" style="38" customWidth="1"/>
    <col min="7" max="7" width="11" style="38" customWidth="1"/>
    <col min="8" max="8" width="20.1796875" style="38" customWidth="1"/>
    <col min="9" max="9" width="17.453125" style="19" customWidth="1"/>
    <col min="10" max="10" width="18.453125" style="19" customWidth="1"/>
    <col min="11" max="11" width="10.54296875" style="19" bestFit="1" customWidth="1"/>
    <col min="12" max="12" width="13.81640625" style="19" bestFit="1" customWidth="1"/>
    <col min="13" max="13" width="11.81640625" style="19" customWidth="1"/>
    <col min="14" max="14" width="12.54296875" style="19" customWidth="1"/>
    <col min="15" max="15" width="12.1796875" style="19" customWidth="1"/>
    <col min="16" max="16" width="11.7265625" style="19" customWidth="1"/>
    <col min="17" max="18" width="9.1796875" style="19"/>
    <col min="19" max="19" width="10.81640625" style="19" bestFit="1" customWidth="1"/>
    <col min="20" max="247" width="9.1796875" style="19"/>
    <col min="248" max="248" width="8.7265625" style="19" customWidth="1"/>
    <col min="249" max="249" width="9.81640625" style="19" customWidth="1"/>
    <col min="250" max="250" width="14.453125" style="19" customWidth="1"/>
    <col min="251" max="251" width="7.26953125" style="19" customWidth="1"/>
    <col min="252" max="252" width="5.54296875" style="19" customWidth="1"/>
    <col min="253" max="253" width="9" style="19" customWidth="1"/>
    <col min="254" max="255" width="9.81640625" style="19" customWidth="1"/>
    <col min="256" max="256" width="11.1796875" style="19" customWidth="1"/>
    <col min="257" max="257" width="2.81640625" style="19" customWidth="1"/>
    <col min="258" max="258" width="3.54296875" style="19" customWidth="1"/>
    <col min="259" max="503" width="9.1796875" style="19"/>
    <col min="504" max="504" width="8.7265625" style="19" customWidth="1"/>
    <col min="505" max="505" width="9.81640625" style="19" customWidth="1"/>
    <col min="506" max="506" width="14.453125" style="19" customWidth="1"/>
    <col min="507" max="507" width="7.26953125" style="19" customWidth="1"/>
    <col min="508" max="508" width="5.54296875" style="19" customWidth="1"/>
    <col min="509" max="509" width="9" style="19" customWidth="1"/>
    <col min="510" max="511" width="9.81640625" style="19" customWidth="1"/>
    <col min="512" max="512" width="11.1796875" style="19" customWidth="1"/>
    <col min="513" max="513" width="2.81640625" style="19" customWidth="1"/>
    <col min="514" max="514" width="3.54296875" style="19" customWidth="1"/>
    <col min="515" max="759" width="9.1796875" style="19"/>
    <col min="760" max="760" width="8.7265625" style="19" customWidth="1"/>
    <col min="761" max="761" width="9.81640625" style="19" customWidth="1"/>
    <col min="762" max="762" width="14.453125" style="19" customWidth="1"/>
    <col min="763" max="763" width="7.26953125" style="19" customWidth="1"/>
    <col min="764" max="764" width="5.54296875" style="19" customWidth="1"/>
    <col min="765" max="765" width="9" style="19" customWidth="1"/>
    <col min="766" max="767" width="9.81640625" style="19" customWidth="1"/>
    <col min="768" max="768" width="11.1796875" style="19" customWidth="1"/>
    <col min="769" max="769" width="2.81640625" style="19" customWidth="1"/>
    <col min="770" max="770" width="3.54296875" style="19" customWidth="1"/>
    <col min="771" max="1015" width="9.1796875" style="19"/>
    <col min="1016" max="1016" width="8.7265625" style="19" customWidth="1"/>
    <col min="1017" max="1017" width="9.81640625" style="19" customWidth="1"/>
    <col min="1018" max="1018" width="14.453125" style="19" customWidth="1"/>
    <col min="1019" max="1019" width="7.26953125" style="19" customWidth="1"/>
    <col min="1020" max="1020" width="5.54296875" style="19" customWidth="1"/>
    <col min="1021" max="1021" width="9" style="19" customWidth="1"/>
    <col min="1022" max="1023" width="9.81640625" style="19" customWidth="1"/>
    <col min="1024" max="1024" width="11.1796875" style="19" customWidth="1"/>
    <col min="1025" max="1025" width="2.81640625" style="19" customWidth="1"/>
    <col min="1026" max="1026" width="3.54296875" style="19" customWidth="1"/>
    <col min="1027" max="1271" width="9.1796875" style="19"/>
    <col min="1272" max="1272" width="8.7265625" style="19" customWidth="1"/>
    <col min="1273" max="1273" width="9.81640625" style="19" customWidth="1"/>
    <col min="1274" max="1274" width="14.453125" style="19" customWidth="1"/>
    <col min="1275" max="1275" width="7.26953125" style="19" customWidth="1"/>
    <col min="1276" max="1276" width="5.54296875" style="19" customWidth="1"/>
    <col min="1277" max="1277" width="9" style="19" customWidth="1"/>
    <col min="1278" max="1279" width="9.81640625" style="19" customWidth="1"/>
    <col min="1280" max="1280" width="11.1796875" style="19" customWidth="1"/>
    <col min="1281" max="1281" width="2.81640625" style="19" customWidth="1"/>
    <col min="1282" max="1282" width="3.54296875" style="19" customWidth="1"/>
    <col min="1283" max="1527" width="9.1796875" style="19"/>
    <col min="1528" max="1528" width="8.7265625" style="19" customWidth="1"/>
    <col min="1529" max="1529" width="9.81640625" style="19" customWidth="1"/>
    <col min="1530" max="1530" width="14.453125" style="19" customWidth="1"/>
    <col min="1531" max="1531" width="7.26953125" style="19" customWidth="1"/>
    <col min="1532" max="1532" width="5.54296875" style="19" customWidth="1"/>
    <col min="1533" max="1533" width="9" style="19" customWidth="1"/>
    <col min="1534" max="1535" width="9.81640625" style="19" customWidth="1"/>
    <col min="1536" max="1536" width="11.1796875" style="19" customWidth="1"/>
    <col min="1537" max="1537" width="2.81640625" style="19" customWidth="1"/>
    <col min="1538" max="1538" width="3.54296875" style="19" customWidth="1"/>
    <col min="1539" max="1783" width="9.1796875" style="19"/>
    <col min="1784" max="1784" width="8.7265625" style="19" customWidth="1"/>
    <col min="1785" max="1785" width="9.81640625" style="19" customWidth="1"/>
    <col min="1786" max="1786" width="14.453125" style="19" customWidth="1"/>
    <col min="1787" max="1787" width="7.26953125" style="19" customWidth="1"/>
    <col min="1788" max="1788" width="5.54296875" style="19" customWidth="1"/>
    <col min="1789" max="1789" width="9" style="19" customWidth="1"/>
    <col min="1790" max="1791" width="9.81640625" style="19" customWidth="1"/>
    <col min="1792" max="1792" width="11.1796875" style="19" customWidth="1"/>
    <col min="1793" max="1793" width="2.81640625" style="19" customWidth="1"/>
    <col min="1794" max="1794" width="3.54296875" style="19" customWidth="1"/>
    <col min="1795" max="2039" width="9.1796875" style="19"/>
    <col min="2040" max="2040" width="8.7265625" style="19" customWidth="1"/>
    <col min="2041" max="2041" width="9.81640625" style="19" customWidth="1"/>
    <col min="2042" max="2042" width="14.453125" style="19" customWidth="1"/>
    <col min="2043" max="2043" width="7.26953125" style="19" customWidth="1"/>
    <col min="2044" max="2044" width="5.54296875" style="19" customWidth="1"/>
    <col min="2045" max="2045" width="9" style="19" customWidth="1"/>
    <col min="2046" max="2047" width="9.81640625" style="19" customWidth="1"/>
    <col min="2048" max="2048" width="11.1796875" style="19" customWidth="1"/>
    <col min="2049" max="2049" width="2.81640625" style="19" customWidth="1"/>
    <col min="2050" max="2050" width="3.54296875" style="19" customWidth="1"/>
    <col min="2051" max="2295" width="9.1796875" style="19"/>
    <col min="2296" max="2296" width="8.7265625" style="19" customWidth="1"/>
    <col min="2297" max="2297" width="9.81640625" style="19" customWidth="1"/>
    <col min="2298" max="2298" width="14.453125" style="19" customWidth="1"/>
    <col min="2299" max="2299" width="7.26953125" style="19" customWidth="1"/>
    <col min="2300" max="2300" width="5.54296875" style="19" customWidth="1"/>
    <col min="2301" max="2301" width="9" style="19" customWidth="1"/>
    <col min="2302" max="2303" width="9.81640625" style="19" customWidth="1"/>
    <col min="2304" max="2304" width="11.1796875" style="19" customWidth="1"/>
    <col min="2305" max="2305" width="2.81640625" style="19" customWidth="1"/>
    <col min="2306" max="2306" width="3.54296875" style="19" customWidth="1"/>
    <col min="2307" max="2551" width="9.1796875" style="19"/>
    <col min="2552" max="2552" width="8.7265625" style="19" customWidth="1"/>
    <col min="2553" max="2553" width="9.81640625" style="19" customWidth="1"/>
    <col min="2554" max="2554" width="14.453125" style="19" customWidth="1"/>
    <col min="2555" max="2555" width="7.26953125" style="19" customWidth="1"/>
    <col min="2556" max="2556" width="5.54296875" style="19" customWidth="1"/>
    <col min="2557" max="2557" width="9" style="19" customWidth="1"/>
    <col min="2558" max="2559" width="9.81640625" style="19" customWidth="1"/>
    <col min="2560" max="2560" width="11.1796875" style="19" customWidth="1"/>
    <col min="2561" max="2561" width="2.81640625" style="19" customWidth="1"/>
    <col min="2562" max="2562" width="3.54296875" style="19" customWidth="1"/>
    <col min="2563" max="2807" width="9.1796875" style="19"/>
    <col min="2808" max="2808" width="8.7265625" style="19" customWidth="1"/>
    <col min="2809" max="2809" width="9.81640625" style="19" customWidth="1"/>
    <col min="2810" max="2810" width="14.453125" style="19" customWidth="1"/>
    <col min="2811" max="2811" width="7.26953125" style="19" customWidth="1"/>
    <col min="2812" max="2812" width="5.54296875" style="19" customWidth="1"/>
    <col min="2813" max="2813" width="9" style="19" customWidth="1"/>
    <col min="2814" max="2815" width="9.81640625" style="19" customWidth="1"/>
    <col min="2816" max="2816" width="11.1796875" style="19" customWidth="1"/>
    <col min="2817" max="2817" width="2.81640625" style="19" customWidth="1"/>
    <col min="2818" max="2818" width="3.54296875" style="19" customWidth="1"/>
    <col min="2819" max="3063" width="9.1796875" style="19"/>
    <col min="3064" max="3064" width="8.7265625" style="19" customWidth="1"/>
    <col min="3065" max="3065" width="9.81640625" style="19" customWidth="1"/>
    <col min="3066" max="3066" width="14.453125" style="19" customWidth="1"/>
    <col min="3067" max="3067" width="7.26953125" style="19" customWidth="1"/>
    <col min="3068" max="3068" width="5.54296875" style="19" customWidth="1"/>
    <col min="3069" max="3069" width="9" style="19" customWidth="1"/>
    <col min="3070" max="3071" width="9.81640625" style="19" customWidth="1"/>
    <col min="3072" max="3072" width="11.1796875" style="19" customWidth="1"/>
    <col min="3073" max="3073" width="2.81640625" style="19" customWidth="1"/>
    <col min="3074" max="3074" width="3.54296875" style="19" customWidth="1"/>
    <col min="3075" max="3319" width="9.1796875" style="19"/>
    <col min="3320" max="3320" width="8.7265625" style="19" customWidth="1"/>
    <col min="3321" max="3321" width="9.81640625" style="19" customWidth="1"/>
    <col min="3322" max="3322" width="14.453125" style="19" customWidth="1"/>
    <col min="3323" max="3323" width="7.26953125" style="19" customWidth="1"/>
    <col min="3324" max="3324" width="5.54296875" style="19" customWidth="1"/>
    <col min="3325" max="3325" width="9" style="19" customWidth="1"/>
    <col min="3326" max="3327" width="9.81640625" style="19" customWidth="1"/>
    <col min="3328" max="3328" width="11.1796875" style="19" customWidth="1"/>
    <col min="3329" max="3329" width="2.81640625" style="19" customWidth="1"/>
    <col min="3330" max="3330" width="3.54296875" style="19" customWidth="1"/>
    <col min="3331" max="3575" width="9.1796875" style="19"/>
    <col min="3576" max="3576" width="8.7265625" style="19" customWidth="1"/>
    <col min="3577" max="3577" width="9.81640625" style="19" customWidth="1"/>
    <col min="3578" max="3578" width="14.453125" style="19" customWidth="1"/>
    <col min="3579" max="3579" width="7.26953125" style="19" customWidth="1"/>
    <col min="3580" max="3580" width="5.54296875" style="19" customWidth="1"/>
    <col min="3581" max="3581" width="9" style="19" customWidth="1"/>
    <col min="3582" max="3583" width="9.81640625" style="19" customWidth="1"/>
    <col min="3584" max="3584" width="11.1796875" style="19" customWidth="1"/>
    <col min="3585" max="3585" width="2.81640625" style="19" customWidth="1"/>
    <col min="3586" max="3586" width="3.54296875" style="19" customWidth="1"/>
    <col min="3587" max="3831" width="9.1796875" style="19"/>
    <col min="3832" max="3832" width="8.7265625" style="19" customWidth="1"/>
    <col min="3833" max="3833" width="9.81640625" style="19" customWidth="1"/>
    <col min="3834" max="3834" width="14.453125" style="19" customWidth="1"/>
    <col min="3835" max="3835" width="7.26953125" style="19" customWidth="1"/>
    <col min="3836" max="3836" width="5.54296875" style="19" customWidth="1"/>
    <col min="3837" max="3837" width="9" style="19" customWidth="1"/>
    <col min="3838" max="3839" width="9.81640625" style="19" customWidth="1"/>
    <col min="3840" max="3840" width="11.1796875" style="19" customWidth="1"/>
    <col min="3841" max="3841" width="2.81640625" style="19" customWidth="1"/>
    <col min="3842" max="3842" width="3.54296875" style="19" customWidth="1"/>
    <col min="3843" max="4087" width="9.1796875" style="19"/>
    <col min="4088" max="4088" width="8.7265625" style="19" customWidth="1"/>
    <col min="4089" max="4089" width="9.81640625" style="19" customWidth="1"/>
    <col min="4090" max="4090" width="14.453125" style="19" customWidth="1"/>
    <col min="4091" max="4091" width="7.26953125" style="19" customWidth="1"/>
    <col min="4092" max="4092" width="5.54296875" style="19" customWidth="1"/>
    <col min="4093" max="4093" width="9" style="19" customWidth="1"/>
    <col min="4094" max="4095" width="9.81640625" style="19" customWidth="1"/>
    <col min="4096" max="4096" width="11.1796875" style="19" customWidth="1"/>
    <col min="4097" max="4097" width="2.81640625" style="19" customWidth="1"/>
    <col min="4098" max="4098" width="3.54296875" style="19" customWidth="1"/>
    <col min="4099" max="4343" width="9.1796875" style="19"/>
    <col min="4344" max="4344" width="8.7265625" style="19" customWidth="1"/>
    <col min="4345" max="4345" width="9.81640625" style="19" customWidth="1"/>
    <col min="4346" max="4346" width="14.453125" style="19" customWidth="1"/>
    <col min="4347" max="4347" width="7.26953125" style="19" customWidth="1"/>
    <col min="4348" max="4348" width="5.54296875" style="19" customWidth="1"/>
    <col min="4349" max="4349" width="9" style="19" customWidth="1"/>
    <col min="4350" max="4351" width="9.81640625" style="19" customWidth="1"/>
    <col min="4352" max="4352" width="11.1796875" style="19" customWidth="1"/>
    <col min="4353" max="4353" width="2.81640625" style="19" customWidth="1"/>
    <col min="4354" max="4354" width="3.54296875" style="19" customWidth="1"/>
    <col min="4355" max="4599" width="9.1796875" style="19"/>
    <col min="4600" max="4600" width="8.7265625" style="19" customWidth="1"/>
    <col min="4601" max="4601" width="9.81640625" style="19" customWidth="1"/>
    <col min="4602" max="4602" width="14.453125" style="19" customWidth="1"/>
    <col min="4603" max="4603" width="7.26953125" style="19" customWidth="1"/>
    <col min="4604" max="4604" width="5.54296875" style="19" customWidth="1"/>
    <col min="4605" max="4605" width="9" style="19" customWidth="1"/>
    <col min="4606" max="4607" width="9.81640625" style="19" customWidth="1"/>
    <col min="4608" max="4608" width="11.1796875" style="19" customWidth="1"/>
    <col min="4609" max="4609" width="2.81640625" style="19" customWidth="1"/>
    <col min="4610" max="4610" width="3.54296875" style="19" customWidth="1"/>
    <col min="4611" max="4855" width="9.1796875" style="19"/>
    <col min="4856" max="4856" width="8.7265625" style="19" customWidth="1"/>
    <col min="4857" max="4857" width="9.81640625" style="19" customWidth="1"/>
    <col min="4858" max="4858" width="14.453125" style="19" customWidth="1"/>
    <col min="4859" max="4859" width="7.26953125" style="19" customWidth="1"/>
    <col min="4860" max="4860" width="5.54296875" style="19" customWidth="1"/>
    <col min="4861" max="4861" width="9" style="19" customWidth="1"/>
    <col min="4862" max="4863" width="9.81640625" style="19" customWidth="1"/>
    <col min="4864" max="4864" width="11.1796875" style="19" customWidth="1"/>
    <col min="4865" max="4865" width="2.81640625" style="19" customWidth="1"/>
    <col min="4866" max="4866" width="3.54296875" style="19" customWidth="1"/>
    <col min="4867" max="5111" width="9.1796875" style="19"/>
    <col min="5112" max="5112" width="8.7265625" style="19" customWidth="1"/>
    <col min="5113" max="5113" width="9.81640625" style="19" customWidth="1"/>
    <col min="5114" max="5114" width="14.453125" style="19" customWidth="1"/>
    <col min="5115" max="5115" width="7.26953125" style="19" customWidth="1"/>
    <col min="5116" max="5116" width="5.54296875" style="19" customWidth="1"/>
    <col min="5117" max="5117" width="9" style="19" customWidth="1"/>
    <col min="5118" max="5119" width="9.81640625" style="19" customWidth="1"/>
    <col min="5120" max="5120" width="11.1796875" style="19" customWidth="1"/>
    <col min="5121" max="5121" width="2.81640625" style="19" customWidth="1"/>
    <col min="5122" max="5122" width="3.54296875" style="19" customWidth="1"/>
    <col min="5123" max="5367" width="9.1796875" style="19"/>
    <col min="5368" max="5368" width="8.7265625" style="19" customWidth="1"/>
    <col min="5369" max="5369" width="9.81640625" style="19" customWidth="1"/>
    <col min="5370" max="5370" width="14.453125" style="19" customWidth="1"/>
    <col min="5371" max="5371" width="7.26953125" style="19" customWidth="1"/>
    <col min="5372" max="5372" width="5.54296875" style="19" customWidth="1"/>
    <col min="5373" max="5373" width="9" style="19" customWidth="1"/>
    <col min="5374" max="5375" width="9.81640625" style="19" customWidth="1"/>
    <col min="5376" max="5376" width="11.1796875" style="19" customWidth="1"/>
    <col min="5377" max="5377" width="2.81640625" style="19" customWidth="1"/>
    <col min="5378" max="5378" width="3.54296875" style="19" customWidth="1"/>
    <col min="5379" max="5623" width="9.1796875" style="19"/>
    <col min="5624" max="5624" width="8.7265625" style="19" customWidth="1"/>
    <col min="5625" max="5625" width="9.81640625" style="19" customWidth="1"/>
    <col min="5626" max="5626" width="14.453125" style="19" customWidth="1"/>
    <col min="5627" max="5627" width="7.26953125" style="19" customWidth="1"/>
    <col min="5628" max="5628" width="5.54296875" style="19" customWidth="1"/>
    <col min="5629" max="5629" width="9" style="19" customWidth="1"/>
    <col min="5630" max="5631" width="9.81640625" style="19" customWidth="1"/>
    <col min="5632" max="5632" width="11.1796875" style="19" customWidth="1"/>
    <col min="5633" max="5633" width="2.81640625" style="19" customWidth="1"/>
    <col min="5634" max="5634" width="3.54296875" style="19" customWidth="1"/>
    <col min="5635" max="5879" width="9.1796875" style="19"/>
    <col min="5880" max="5880" width="8.7265625" style="19" customWidth="1"/>
    <col min="5881" max="5881" width="9.81640625" style="19" customWidth="1"/>
    <col min="5882" max="5882" width="14.453125" style="19" customWidth="1"/>
    <col min="5883" max="5883" width="7.26953125" style="19" customWidth="1"/>
    <col min="5884" max="5884" width="5.54296875" style="19" customWidth="1"/>
    <col min="5885" max="5885" width="9" style="19" customWidth="1"/>
    <col min="5886" max="5887" width="9.81640625" style="19" customWidth="1"/>
    <col min="5888" max="5888" width="11.1796875" style="19" customWidth="1"/>
    <col min="5889" max="5889" width="2.81640625" style="19" customWidth="1"/>
    <col min="5890" max="5890" width="3.54296875" style="19" customWidth="1"/>
    <col min="5891" max="6135" width="9.1796875" style="19"/>
    <col min="6136" max="6136" width="8.7265625" style="19" customWidth="1"/>
    <col min="6137" max="6137" width="9.81640625" style="19" customWidth="1"/>
    <col min="6138" max="6138" width="14.453125" style="19" customWidth="1"/>
    <col min="6139" max="6139" width="7.26953125" style="19" customWidth="1"/>
    <col min="6140" max="6140" width="5.54296875" style="19" customWidth="1"/>
    <col min="6141" max="6141" width="9" style="19" customWidth="1"/>
    <col min="6142" max="6143" width="9.81640625" style="19" customWidth="1"/>
    <col min="6144" max="6144" width="11.1796875" style="19" customWidth="1"/>
    <col min="6145" max="6145" width="2.81640625" style="19" customWidth="1"/>
    <col min="6146" max="6146" width="3.54296875" style="19" customWidth="1"/>
    <col min="6147" max="6391" width="9.1796875" style="19"/>
    <col min="6392" max="6392" width="8.7265625" style="19" customWidth="1"/>
    <col min="6393" max="6393" width="9.81640625" style="19" customWidth="1"/>
    <col min="6394" max="6394" width="14.453125" style="19" customWidth="1"/>
    <col min="6395" max="6395" width="7.26953125" style="19" customWidth="1"/>
    <col min="6396" max="6396" width="5.54296875" style="19" customWidth="1"/>
    <col min="6397" max="6397" width="9" style="19" customWidth="1"/>
    <col min="6398" max="6399" width="9.81640625" style="19" customWidth="1"/>
    <col min="6400" max="6400" width="11.1796875" style="19" customWidth="1"/>
    <col min="6401" max="6401" width="2.81640625" style="19" customWidth="1"/>
    <col min="6402" max="6402" width="3.54296875" style="19" customWidth="1"/>
    <col min="6403" max="6647" width="9.1796875" style="19"/>
    <col min="6648" max="6648" width="8.7265625" style="19" customWidth="1"/>
    <col min="6649" max="6649" width="9.81640625" style="19" customWidth="1"/>
    <col min="6650" max="6650" width="14.453125" style="19" customWidth="1"/>
    <col min="6651" max="6651" width="7.26953125" style="19" customWidth="1"/>
    <col min="6652" max="6652" width="5.54296875" style="19" customWidth="1"/>
    <col min="6653" max="6653" width="9" style="19" customWidth="1"/>
    <col min="6654" max="6655" width="9.81640625" style="19" customWidth="1"/>
    <col min="6656" max="6656" width="11.1796875" style="19" customWidth="1"/>
    <col min="6657" max="6657" width="2.81640625" style="19" customWidth="1"/>
    <col min="6658" max="6658" width="3.54296875" style="19" customWidth="1"/>
    <col min="6659" max="6903" width="9.1796875" style="19"/>
    <col min="6904" max="6904" width="8.7265625" style="19" customWidth="1"/>
    <col min="6905" max="6905" width="9.81640625" style="19" customWidth="1"/>
    <col min="6906" max="6906" width="14.453125" style="19" customWidth="1"/>
    <col min="6907" max="6907" width="7.26953125" style="19" customWidth="1"/>
    <col min="6908" max="6908" width="5.54296875" style="19" customWidth="1"/>
    <col min="6909" max="6909" width="9" style="19" customWidth="1"/>
    <col min="6910" max="6911" width="9.81640625" style="19" customWidth="1"/>
    <col min="6912" max="6912" width="11.1796875" style="19" customWidth="1"/>
    <col min="6913" max="6913" width="2.81640625" style="19" customWidth="1"/>
    <col min="6914" max="6914" width="3.54296875" style="19" customWidth="1"/>
    <col min="6915" max="7159" width="9.1796875" style="19"/>
    <col min="7160" max="7160" width="8.7265625" style="19" customWidth="1"/>
    <col min="7161" max="7161" width="9.81640625" style="19" customWidth="1"/>
    <col min="7162" max="7162" width="14.453125" style="19" customWidth="1"/>
    <col min="7163" max="7163" width="7.26953125" style="19" customWidth="1"/>
    <col min="7164" max="7164" width="5.54296875" style="19" customWidth="1"/>
    <col min="7165" max="7165" width="9" style="19" customWidth="1"/>
    <col min="7166" max="7167" width="9.81640625" style="19" customWidth="1"/>
    <col min="7168" max="7168" width="11.1796875" style="19" customWidth="1"/>
    <col min="7169" max="7169" width="2.81640625" style="19" customWidth="1"/>
    <col min="7170" max="7170" width="3.54296875" style="19" customWidth="1"/>
    <col min="7171" max="7415" width="9.1796875" style="19"/>
    <col min="7416" max="7416" width="8.7265625" style="19" customWidth="1"/>
    <col min="7417" max="7417" width="9.81640625" style="19" customWidth="1"/>
    <col min="7418" max="7418" width="14.453125" style="19" customWidth="1"/>
    <col min="7419" max="7419" width="7.26953125" style="19" customWidth="1"/>
    <col min="7420" max="7420" width="5.54296875" style="19" customWidth="1"/>
    <col min="7421" max="7421" width="9" style="19" customWidth="1"/>
    <col min="7422" max="7423" width="9.81640625" style="19" customWidth="1"/>
    <col min="7424" max="7424" width="11.1796875" style="19" customWidth="1"/>
    <col min="7425" max="7425" width="2.81640625" style="19" customWidth="1"/>
    <col min="7426" max="7426" width="3.54296875" style="19" customWidth="1"/>
    <col min="7427" max="7671" width="9.1796875" style="19"/>
    <col min="7672" max="7672" width="8.7265625" style="19" customWidth="1"/>
    <col min="7673" max="7673" width="9.81640625" style="19" customWidth="1"/>
    <col min="7674" max="7674" width="14.453125" style="19" customWidth="1"/>
    <col min="7675" max="7675" width="7.26953125" style="19" customWidth="1"/>
    <col min="7676" max="7676" width="5.54296875" style="19" customWidth="1"/>
    <col min="7677" max="7677" width="9" style="19" customWidth="1"/>
    <col min="7678" max="7679" width="9.81640625" style="19" customWidth="1"/>
    <col min="7680" max="7680" width="11.1796875" style="19" customWidth="1"/>
    <col min="7681" max="7681" width="2.81640625" style="19" customWidth="1"/>
    <col min="7682" max="7682" width="3.54296875" style="19" customWidth="1"/>
    <col min="7683" max="7927" width="9.1796875" style="19"/>
    <col min="7928" max="7928" width="8.7265625" style="19" customWidth="1"/>
    <col min="7929" max="7929" width="9.81640625" style="19" customWidth="1"/>
    <col min="7930" max="7930" width="14.453125" style="19" customWidth="1"/>
    <col min="7931" max="7931" width="7.26953125" style="19" customWidth="1"/>
    <col min="7932" max="7932" width="5.54296875" style="19" customWidth="1"/>
    <col min="7933" max="7933" width="9" style="19" customWidth="1"/>
    <col min="7934" max="7935" width="9.81640625" style="19" customWidth="1"/>
    <col min="7936" max="7936" width="11.1796875" style="19" customWidth="1"/>
    <col min="7937" max="7937" width="2.81640625" style="19" customWidth="1"/>
    <col min="7938" max="7938" width="3.54296875" style="19" customWidth="1"/>
    <col min="7939" max="8183" width="9.1796875" style="19"/>
    <col min="8184" max="8184" width="8.7265625" style="19" customWidth="1"/>
    <col min="8185" max="8185" width="9.81640625" style="19" customWidth="1"/>
    <col min="8186" max="8186" width="14.453125" style="19" customWidth="1"/>
    <col min="8187" max="8187" width="7.26953125" style="19" customWidth="1"/>
    <col min="8188" max="8188" width="5.54296875" style="19" customWidth="1"/>
    <col min="8189" max="8189" width="9" style="19" customWidth="1"/>
    <col min="8190" max="8191" width="9.81640625" style="19" customWidth="1"/>
    <col min="8192" max="8192" width="11.1796875" style="19" customWidth="1"/>
    <col min="8193" max="8193" width="2.81640625" style="19" customWidth="1"/>
    <col min="8194" max="8194" width="3.54296875" style="19" customWidth="1"/>
    <col min="8195" max="8439" width="9.1796875" style="19"/>
    <col min="8440" max="8440" width="8.7265625" style="19" customWidth="1"/>
    <col min="8441" max="8441" width="9.81640625" style="19" customWidth="1"/>
    <col min="8442" max="8442" width="14.453125" style="19" customWidth="1"/>
    <col min="8443" max="8443" width="7.26953125" style="19" customWidth="1"/>
    <col min="8444" max="8444" width="5.54296875" style="19" customWidth="1"/>
    <col min="8445" max="8445" width="9" style="19" customWidth="1"/>
    <col min="8446" max="8447" width="9.81640625" style="19" customWidth="1"/>
    <col min="8448" max="8448" width="11.1796875" style="19" customWidth="1"/>
    <col min="8449" max="8449" width="2.81640625" style="19" customWidth="1"/>
    <col min="8450" max="8450" width="3.54296875" style="19" customWidth="1"/>
    <col min="8451" max="8695" width="9.1796875" style="19"/>
    <col min="8696" max="8696" width="8.7265625" style="19" customWidth="1"/>
    <col min="8697" max="8697" width="9.81640625" style="19" customWidth="1"/>
    <col min="8698" max="8698" width="14.453125" style="19" customWidth="1"/>
    <col min="8699" max="8699" width="7.26953125" style="19" customWidth="1"/>
    <col min="8700" max="8700" width="5.54296875" style="19" customWidth="1"/>
    <col min="8701" max="8701" width="9" style="19" customWidth="1"/>
    <col min="8702" max="8703" width="9.81640625" style="19" customWidth="1"/>
    <col min="8704" max="8704" width="11.1796875" style="19" customWidth="1"/>
    <col min="8705" max="8705" width="2.81640625" style="19" customWidth="1"/>
    <col min="8706" max="8706" width="3.54296875" style="19" customWidth="1"/>
    <col min="8707" max="8951" width="9.1796875" style="19"/>
    <col min="8952" max="8952" width="8.7265625" style="19" customWidth="1"/>
    <col min="8953" max="8953" width="9.81640625" style="19" customWidth="1"/>
    <col min="8954" max="8954" width="14.453125" style="19" customWidth="1"/>
    <col min="8955" max="8955" width="7.26953125" style="19" customWidth="1"/>
    <col min="8956" max="8956" width="5.54296875" style="19" customWidth="1"/>
    <col min="8957" max="8957" width="9" style="19" customWidth="1"/>
    <col min="8958" max="8959" width="9.81640625" style="19" customWidth="1"/>
    <col min="8960" max="8960" width="11.1796875" style="19" customWidth="1"/>
    <col min="8961" max="8961" width="2.81640625" style="19" customWidth="1"/>
    <col min="8962" max="8962" width="3.54296875" style="19" customWidth="1"/>
    <col min="8963" max="9207" width="9.1796875" style="19"/>
    <col min="9208" max="9208" width="8.7265625" style="19" customWidth="1"/>
    <col min="9209" max="9209" width="9.81640625" style="19" customWidth="1"/>
    <col min="9210" max="9210" width="14.453125" style="19" customWidth="1"/>
    <col min="9211" max="9211" width="7.26953125" style="19" customWidth="1"/>
    <col min="9212" max="9212" width="5.54296875" style="19" customWidth="1"/>
    <col min="9213" max="9213" width="9" style="19" customWidth="1"/>
    <col min="9214" max="9215" width="9.81640625" style="19" customWidth="1"/>
    <col min="9216" max="9216" width="11.1796875" style="19" customWidth="1"/>
    <col min="9217" max="9217" width="2.81640625" style="19" customWidth="1"/>
    <col min="9218" max="9218" width="3.54296875" style="19" customWidth="1"/>
    <col min="9219" max="9463" width="9.1796875" style="19"/>
    <col min="9464" max="9464" width="8.7265625" style="19" customWidth="1"/>
    <col min="9465" max="9465" width="9.81640625" style="19" customWidth="1"/>
    <col min="9466" max="9466" width="14.453125" style="19" customWidth="1"/>
    <col min="9467" max="9467" width="7.26953125" style="19" customWidth="1"/>
    <col min="9468" max="9468" width="5.54296875" style="19" customWidth="1"/>
    <col min="9469" max="9469" width="9" style="19" customWidth="1"/>
    <col min="9470" max="9471" width="9.81640625" style="19" customWidth="1"/>
    <col min="9472" max="9472" width="11.1796875" style="19" customWidth="1"/>
    <col min="9473" max="9473" width="2.81640625" style="19" customWidth="1"/>
    <col min="9474" max="9474" width="3.54296875" style="19" customWidth="1"/>
    <col min="9475" max="9719" width="9.1796875" style="19"/>
    <col min="9720" max="9720" width="8.7265625" style="19" customWidth="1"/>
    <col min="9721" max="9721" width="9.81640625" style="19" customWidth="1"/>
    <col min="9722" max="9722" width="14.453125" style="19" customWidth="1"/>
    <col min="9723" max="9723" width="7.26953125" style="19" customWidth="1"/>
    <col min="9724" max="9724" width="5.54296875" style="19" customWidth="1"/>
    <col min="9725" max="9725" width="9" style="19" customWidth="1"/>
    <col min="9726" max="9727" width="9.81640625" style="19" customWidth="1"/>
    <col min="9728" max="9728" width="11.1796875" style="19" customWidth="1"/>
    <col min="9729" max="9729" width="2.81640625" style="19" customWidth="1"/>
    <col min="9730" max="9730" width="3.54296875" style="19" customWidth="1"/>
    <col min="9731" max="9975" width="9.1796875" style="19"/>
    <col min="9976" max="9976" width="8.7265625" style="19" customWidth="1"/>
    <col min="9977" max="9977" width="9.81640625" style="19" customWidth="1"/>
    <col min="9978" max="9978" width="14.453125" style="19" customWidth="1"/>
    <col min="9979" max="9979" width="7.26953125" style="19" customWidth="1"/>
    <col min="9980" max="9980" width="5.54296875" style="19" customWidth="1"/>
    <col min="9981" max="9981" width="9" style="19" customWidth="1"/>
    <col min="9982" max="9983" width="9.81640625" style="19" customWidth="1"/>
    <col min="9984" max="9984" width="11.1796875" style="19" customWidth="1"/>
    <col min="9985" max="9985" width="2.81640625" style="19" customWidth="1"/>
    <col min="9986" max="9986" width="3.54296875" style="19" customWidth="1"/>
    <col min="9987" max="10231" width="9.1796875" style="19"/>
    <col min="10232" max="10232" width="8.7265625" style="19" customWidth="1"/>
    <col min="10233" max="10233" width="9.81640625" style="19" customWidth="1"/>
    <col min="10234" max="10234" width="14.453125" style="19" customWidth="1"/>
    <col min="10235" max="10235" width="7.26953125" style="19" customWidth="1"/>
    <col min="10236" max="10236" width="5.54296875" style="19" customWidth="1"/>
    <col min="10237" max="10237" width="9" style="19" customWidth="1"/>
    <col min="10238" max="10239" width="9.81640625" style="19" customWidth="1"/>
    <col min="10240" max="10240" width="11.1796875" style="19" customWidth="1"/>
    <col min="10241" max="10241" width="2.81640625" style="19" customWidth="1"/>
    <col min="10242" max="10242" width="3.54296875" style="19" customWidth="1"/>
    <col min="10243" max="10487" width="9.1796875" style="19"/>
    <col min="10488" max="10488" width="8.7265625" style="19" customWidth="1"/>
    <col min="10489" max="10489" width="9.81640625" style="19" customWidth="1"/>
    <col min="10490" max="10490" width="14.453125" style="19" customWidth="1"/>
    <col min="10491" max="10491" width="7.26953125" style="19" customWidth="1"/>
    <col min="10492" max="10492" width="5.54296875" style="19" customWidth="1"/>
    <col min="10493" max="10493" width="9" style="19" customWidth="1"/>
    <col min="10494" max="10495" width="9.81640625" style="19" customWidth="1"/>
    <col min="10496" max="10496" width="11.1796875" style="19" customWidth="1"/>
    <col min="10497" max="10497" width="2.81640625" style="19" customWidth="1"/>
    <col min="10498" max="10498" width="3.54296875" style="19" customWidth="1"/>
    <col min="10499" max="10743" width="9.1796875" style="19"/>
    <col min="10744" max="10744" width="8.7265625" style="19" customWidth="1"/>
    <col min="10745" max="10745" width="9.81640625" style="19" customWidth="1"/>
    <col min="10746" max="10746" width="14.453125" style="19" customWidth="1"/>
    <col min="10747" max="10747" width="7.26953125" style="19" customWidth="1"/>
    <col min="10748" max="10748" width="5.54296875" style="19" customWidth="1"/>
    <col min="10749" max="10749" width="9" style="19" customWidth="1"/>
    <col min="10750" max="10751" width="9.81640625" style="19" customWidth="1"/>
    <col min="10752" max="10752" width="11.1796875" style="19" customWidth="1"/>
    <col min="10753" max="10753" width="2.81640625" style="19" customWidth="1"/>
    <col min="10754" max="10754" width="3.54296875" style="19" customWidth="1"/>
    <col min="10755" max="10999" width="9.1796875" style="19"/>
    <col min="11000" max="11000" width="8.7265625" style="19" customWidth="1"/>
    <col min="11001" max="11001" width="9.81640625" style="19" customWidth="1"/>
    <col min="11002" max="11002" width="14.453125" style="19" customWidth="1"/>
    <col min="11003" max="11003" width="7.26953125" style="19" customWidth="1"/>
    <col min="11004" max="11004" width="5.54296875" style="19" customWidth="1"/>
    <col min="11005" max="11005" width="9" style="19" customWidth="1"/>
    <col min="11006" max="11007" width="9.81640625" style="19" customWidth="1"/>
    <col min="11008" max="11008" width="11.1796875" style="19" customWidth="1"/>
    <col min="11009" max="11009" width="2.81640625" style="19" customWidth="1"/>
    <col min="11010" max="11010" width="3.54296875" style="19" customWidth="1"/>
    <col min="11011" max="11255" width="9.1796875" style="19"/>
    <col min="11256" max="11256" width="8.7265625" style="19" customWidth="1"/>
    <col min="11257" max="11257" width="9.81640625" style="19" customWidth="1"/>
    <col min="11258" max="11258" width="14.453125" style="19" customWidth="1"/>
    <col min="11259" max="11259" width="7.26953125" style="19" customWidth="1"/>
    <col min="11260" max="11260" width="5.54296875" style="19" customWidth="1"/>
    <col min="11261" max="11261" width="9" style="19" customWidth="1"/>
    <col min="11262" max="11263" width="9.81640625" style="19" customWidth="1"/>
    <col min="11264" max="11264" width="11.1796875" style="19" customWidth="1"/>
    <col min="11265" max="11265" width="2.81640625" style="19" customWidth="1"/>
    <col min="11266" max="11266" width="3.54296875" style="19" customWidth="1"/>
    <col min="11267" max="11511" width="9.1796875" style="19"/>
    <col min="11512" max="11512" width="8.7265625" style="19" customWidth="1"/>
    <col min="11513" max="11513" width="9.81640625" style="19" customWidth="1"/>
    <col min="11514" max="11514" width="14.453125" style="19" customWidth="1"/>
    <col min="11515" max="11515" width="7.26953125" style="19" customWidth="1"/>
    <col min="11516" max="11516" width="5.54296875" style="19" customWidth="1"/>
    <col min="11517" max="11517" width="9" style="19" customWidth="1"/>
    <col min="11518" max="11519" width="9.81640625" style="19" customWidth="1"/>
    <col min="11520" max="11520" width="11.1796875" style="19" customWidth="1"/>
    <col min="11521" max="11521" width="2.81640625" style="19" customWidth="1"/>
    <col min="11522" max="11522" width="3.54296875" style="19" customWidth="1"/>
    <col min="11523" max="11767" width="9.1796875" style="19"/>
    <col min="11768" max="11768" width="8.7265625" style="19" customWidth="1"/>
    <col min="11769" max="11769" width="9.81640625" style="19" customWidth="1"/>
    <col min="11770" max="11770" width="14.453125" style="19" customWidth="1"/>
    <col min="11771" max="11771" width="7.26953125" style="19" customWidth="1"/>
    <col min="11772" max="11772" width="5.54296875" style="19" customWidth="1"/>
    <col min="11773" max="11773" width="9" style="19" customWidth="1"/>
    <col min="11774" max="11775" width="9.81640625" style="19" customWidth="1"/>
    <col min="11776" max="11776" width="11.1796875" style="19" customWidth="1"/>
    <col min="11777" max="11777" width="2.81640625" style="19" customWidth="1"/>
    <col min="11778" max="11778" width="3.54296875" style="19" customWidth="1"/>
    <col min="11779" max="12023" width="9.1796875" style="19"/>
    <col min="12024" max="12024" width="8.7265625" style="19" customWidth="1"/>
    <col min="12025" max="12025" width="9.81640625" style="19" customWidth="1"/>
    <col min="12026" max="12026" width="14.453125" style="19" customWidth="1"/>
    <col min="12027" max="12027" width="7.26953125" style="19" customWidth="1"/>
    <col min="12028" max="12028" width="5.54296875" style="19" customWidth="1"/>
    <col min="12029" max="12029" width="9" style="19" customWidth="1"/>
    <col min="12030" max="12031" width="9.81640625" style="19" customWidth="1"/>
    <col min="12032" max="12032" width="11.1796875" style="19" customWidth="1"/>
    <col min="12033" max="12033" width="2.81640625" style="19" customWidth="1"/>
    <col min="12034" max="12034" width="3.54296875" style="19" customWidth="1"/>
    <col min="12035" max="12279" width="9.1796875" style="19"/>
    <col min="12280" max="12280" width="8.7265625" style="19" customWidth="1"/>
    <col min="12281" max="12281" width="9.81640625" style="19" customWidth="1"/>
    <col min="12282" max="12282" width="14.453125" style="19" customWidth="1"/>
    <col min="12283" max="12283" width="7.26953125" style="19" customWidth="1"/>
    <col min="12284" max="12284" width="5.54296875" style="19" customWidth="1"/>
    <col min="12285" max="12285" width="9" style="19" customWidth="1"/>
    <col min="12286" max="12287" width="9.81640625" style="19" customWidth="1"/>
    <col min="12288" max="12288" width="11.1796875" style="19" customWidth="1"/>
    <col min="12289" max="12289" width="2.81640625" style="19" customWidth="1"/>
    <col min="12290" max="12290" width="3.54296875" style="19" customWidth="1"/>
    <col min="12291" max="12535" width="9.1796875" style="19"/>
    <col min="12536" max="12536" width="8.7265625" style="19" customWidth="1"/>
    <col min="12537" max="12537" width="9.81640625" style="19" customWidth="1"/>
    <col min="12538" max="12538" width="14.453125" style="19" customWidth="1"/>
    <col min="12539" max="12539" width="7.26953125" style="19" customWidth="1"/>
    <col min="12540" max="12540" width="5.54296875" style="19" customWidth="1"/>
    <col min="12541" max="12541" width="9" style="19" customWidth="1"/>
    <col min="12542" max="12543" width="9.81640625" style="19" customWidth="1"/>
    <col min="12544" max="12544" width="11.1796875" style="19" customWidth="1"/>
    <col min="12545" max="12545" width="2.81640625" style="19" customWidth="1"/>
    <col min="12546" max="12546" width="3.54296875" style="19" customWidth="1"/>
    <col min="12547" max="12791" width="9.1796875" style="19"/>
    <col min="12792" max="12792" width="8.7265625" style="19" customWidth="1"/>
    <col min="12793" max="12793" width="9.81640625" style="19" customWidth="1"/>
    <col min="12794" max="12794" width="14.453125" style="19" customWidth="1"/>
    <col min="12795" max="12795" width="7.26953125" style="19" customWidth="1"/>
    <col min="12796" max="12796" width="5.54296875" style="19" customWidth="1"/>
    <col min="12797" max="12797" width="9" style="19" customWidth="1"/>
    <col min="12798" max="12799" width="9.81640625" style="19" customWidth="1"/>
    <col min="12800" max="12800" width="11.1796875" style="19" customWidth="1"/>
    <col min="12801" max="12801" width="2.81640625" style="19" customWidth="1"/>
    <col min="12802" max="12802" width="3.54296875" style="19" customWidth="1"/>
    <col min="12803" max="13047" width="9.1796875" style="19"/>
    <col min="13048" max="13048" width="8.7265625" style="19" customWidth="1"/>
    <col min="13049" max="13049" width="9.81640625" style="19" customWidth="1"/>
    <col min="13050" max="13050" width="14.453125" style="19" customWidth="1"/>
    <col min="13051" max="13051" width="7.26953125" style="19" customWidth="1"/>
    <col min="13052" max="13052" width="5.54296875" style="19" customWidth="1"/>
    <col min="13053" max="13053" width="9" style="19" customWidth="1"/>
    <col min="13054" max="13055" width="9.81640625" style="19" customWidth="1"/>
    <col min="13056" max="13056" width="11.1796875" style="19" customWidth="1"/>
    <col min="13057" max="13057" width="2.81640625" style="19" customWidth="1"/>
    <col min="13058" max="13058" width="3.54296875" style="19" customWidth="1"/>
    <col min="13059" max="13303" width="9.1796875" style="19"/>
    <col min="13304" max="13304" width="8.7265625" style="19" customWidth="1"/>
    <col min="13305" max="13305" width="9.81640625" style="19" customWidth="1"/>
    <col min="13306" max="13306" width="14.453125" style="19" customWidth="1"/>
    <col min="13307" max="13307" width="7.26953125" style="19" customWidth="1"/>
    <col min="13308" max="13308" width="5.54296875" style="19" customWidth="1"/>
    <col min="13309" max="13309" width="9" style="19" customWidth="1"/>
    <col min="13310" max="13311" width="9.81640625" style="19" customWidth="1"/>
    <col min="13312" max="13312" width="11.1796875" style="19" customWidth="1"/>
    <col min="13313" max="13313" width="2.81640625" style="19" customWidth="1"/>
    <col min="13314" max="13314" width="3.54296875" style="19" customWidth="1"/>
    <col min="13315" max="13559" width="9.1796875" style="19"/>
    <col min="13560" max="13560" width="8.7265625" style="19" customWidth="1"/>
    <col min="13561" max="13561" width="9.81640625" style="19" customWidth="1"/>
    <col min="13562" max="13562" width="14.453125" style="19" customWidth="1"/>
    <col min="13563" max="13563" width="7.26953125" style="19" customWidth="1"/>
    <col min="13564" max="13564" width="5.54296875" style="19" customWidth="1"/>
    <col min="13565" max="13565" width="9" style="19" customWidth="1"/>
    <col min="13566" max="13567" width="9.81640625" style="19" customWidth="1"/>
    <col min="13568" max="13568" width="11.1796875" style="19" customWidth="1"/>
    <col min="13569" max="13569" width="2.81640625" style="19" customWidth="1"/>
    <col min="13570" max="13570" width="3.54296875" style="19" customWidth="1"/>
    <col min="13571" max="13815" width="9.1796875" style="19"/>
    <col min="13816" max="13816" width="8.7265625" style="19" customWidth="1"/>
    <col min="13817" max="13817" width="9.81640625" style="19" customWidth="1"/>
    <col min="13818" max="13818" width="14.453125" style="19" customWidth="1"/>
    <col min="13819" max="13819" width="7.26953125" style="19" customWidth="1"/>
    <col min="13820" max="13820" width="5.54296875" style="19" customWidth="1"/>
    <col min="13821" max="13821" width="9" style="19" customWidth="1"/>
    <col min="13822" max="13823" width="9.81640625" style="19" customWidth="1"/>
    <col min="13824" max="13824" width="11.1796875" style="19" customWidth="1"/>
    <col min="13825" max="13825" width="2.81640625" style="19" customWidth="1"/>
    <col min="13826" max="13826" width="3.54296875" style="19" customWidth="1"/>
    <col min="13827" max="14071" width="9.1796875" style="19"/>
    <col min="14072" max="14072" width="8.7265625" style="19" customWidth="1"/>
    <col min="14073" max="14073" width="9.81640625" style="19" customWidth="1"/>
    <col min="14074" max="14074" width="14.453125" style="19" customWidth="1"/>
    <col min="14075" max="14075" width="7.26953125" style="19" customWidth="1"/>
    <col min="14076" max="14076" width="5.54296875" style="19" customWidth="1"/>
    <col min="14077" max="14077" width="9" style="19" customWidth="1"/>
    <col min="14078" max="14079" width="9.81640625" style="19" customWidth="1"/>
    <col min="14080" max="14080" width="11.1796875" style="19" customWidth="1"/>
    <col min="14081" max="14081" width="2.81640625" style="19" customWidth="1"/>
    <col min="14082" max="14082" width="3.54296875" style="19" customWidth="1"/>
    <col min="14083" max="14327" width="9.1796875" style="19"/>
    <col min="14328" max="14328" width="8.7265625" style="19" customWidth="1"/>
    <col min="14329" max="14329" width="9.81640625" style="19" customWidth="1"/>
    <col min="14330" max="14330" width="14.453125" style="19" customWidth="1"/>
    <col min="14331" max="14331" width="7.26953125" style="19" customWidth="1"/>
    <col min="14332" max="14332" width="5.54296875" style="19" customWidth="1"/>
    <col min="14333" max="14333" width="9" style="19" customWidth="1"/>
    <col min="14334" max="14335" width="9.81640625" style="19" customWidth="1"/>
    <col min="14336" max="14336" width="11.1796875" style="19" customWidth="1"/>
    <col min="14337" max="14337" width="2.81640625" style="19" customWidth="1"/>
    <col min="14338" max="14338" width="3.54296875" style="19" customWidth="1"/>
    <col min="14339" max="14583" width="9.1796875" style="19"/>
    <col min="14584" max="14584" width="8.7265625" style="19" customWidth="1"/>
    <col min="14585" max="14585" width="9.81640625" style="19" customWidth="1"/>
    <col min="14586" max="14586" width="14.453125" style="19" customWidth="1"/>
    <col min="14587" max="14587" width="7.26953125" style="19" customWidth="1"/>
    <col min="14588" max="14588" width="5.54296875" style="19" customWidth="1"/>
    <col min="14589" max="14589" width="9" style="19" customWidth="1"/>
    <col min="14590" max="14591" width="9.81640625" style="19" customWidth="1"/>
    <col min="14592" max="14592" width="11.1796875" style="19" customWidth="1"/>
    <col min="14593" max="14593" width="2.81640625" style="19" customWidth="1"/>
    <col min="14594" max="14594" width="3.54296875" style="19" customWidth="1"/>
    <col min="14595" max="14839" width="9.1796875" style="19"/>
    <col min="14840" max="14840" width="8.7265625" style="19" customWidth="1"/>
    <col min="14841" max="14841" width="9.81640625" style="19" customWidth="1"/>
    <col min="14842" max="14842" width="14.453125" style="19" customWidth="1"/>
    <col min="14843" max="14843" width="7.26953125" style="19" customWidth="1"/>
    <col min="14844" max="14844" width="5.54296875" style="19" customWidth="1"/>
    <col min="14845" max="14845" width="9" style="19" customWidth="1"/>
    <col min="14846" max="14847" width="9.81640625" style="19" customWidth="1"/>
    <col min="14848" max="14848" width="11.1796875" style="19" customWidth="1"/>
    <col min="14849" max="14849" width="2.81640625" style="19" customWidth="1"/>
    <col min="14850" max="14850" width="3.54296875" style="19" customWidth="1"/>
    <col min="14851" max="15095" width="9.1796875" style="19"/>
    <col min="15096" max="15096" width="8.7265625" style="19" customWidth="1"/>
    <col min="15097" max="15097" width="9.81640625" style="19" customWidth="1"/>
    <col min="15098" max="15098" width="14.453125" style="19" customWidth="1"/>
    <col min="15099" max="15099" width="7.26953125" style="19" customWidth="1"/>
    <col min="15100" max="15100" width="5.54296875" style="19" customWidth="1"/>
    <col min="15101" max="15101" width="9" style="19" customWidth="1"/>
    <col min="15102" max="15103" width="9.81640625" style="19" customWidth="1"/>
    <col min="15104" max="15104" width="11.1796875" style="19" customWidth="1"/>
    <col min="15105" max="15105" width="2.81640625" style="19" customWidth="1"/>
    <col min="15106" max="15106" width="3.54296875" style="19" customWidth="1"/>
    <col min="15107" max="15351" width="9.1796875" style="19"/>
    <col min="15352" max="15352" width="8.7265625" style="19" customWidth="1"/>
    <col min="15353" max="15353" width="9.81640625" style="19" customWidth="1"/>
    <col min="15354" max="15354" width="14.453125" style="19" customWidth="1"/>
    <col min="15355" max="15355" width="7.26953125" style="19" customWidth="1"/>
    <col min="15356" max="15356" width="5.54296875" style="19" customWidth="1"/>
    <col min="15357" max="15357" width="9" style="19" customWidth="1"/>
    <col min="15358" max="15359" width="9.81640625" style="19" customWidth="1"/>
    <col min="15360" max="15360" width="11.1796875" style="19" customWidth="1"/>
    <col min="15361" max="15361" width="2.81640625" style="19" customWidth="1"/>
    <col min="15362" max="15362" width="3.54296875" style="19" customWidth="1"/>
    <col min="15363" max="15607" width="9.1796875" style="19"/>
    <col min="15608" max="15608" width="8.7265625" style="19" customWidth="1"/>
    <col min="15609" max="15609" width="9.81640625" style="19" customWidth="1"/>
    <col min="15610" max="15610" width="14.453125" style="19" customWidth="1"/>
    <col min="15611" max="15611" width="7.26953125" style="19" customWidth="1"/>
    <col min="15612" max="15612" width="5.54296875" style="19" customWidth="1"/>
    <col min="15613" max="15613" width="9" style="19" customWidth="1"/>
    <col min="15614" max="15615" width="9.81640625" style="19" customWidth="1"/>
    <col min="15616" max="15616" width="11.1796875" style="19" customWidth="1"/>
    <col min="15617" max="15617" width="2.81640625" style="19" customWidth="1"/>
    <col min="15618" max="15618" width="3.54296875" style="19" customWidth="1"/>
    <col min="15619" max="15863" width="9.1796875" style="19"/>
    <col min="15864" max="15864" width="8.7265625" style="19" customWidth="1"/>
    <col min="15865" max="15865" width="9.81640625" style="19" customWidth="1"/>
    <col min="15866" max="15866" width="14.453125" style="19" customWidth="1"/>
    <col min="15867" max="15867" width="7.26953125" style="19" customWidth="1"/>
    <col min="15868" max="15868" width="5.54296875" style="19" customWidth="1"/>
    <col min="15869" max="15869" width="9" style="19" customWidth="1"/>
    <col min="15870" max="15871" width="9.81640625" style="19" customWidth="1"/>
    <col min="15872" max="15872" width="11.1796875" style="19" customWidth="1"/>
    <col min="15873" max="15873" width="2.81640625" style="19" customWidth="1"/>
    <col min="15874" max="15874" width="3.54296875" style="19" customWidth="1"/>
    <col min="15875" max="16119" width="9.1796875" style="19"/>
    <col min="16120" max="16120" width="8.7265625" style="19" customWidth="1"/>
    <col min="16121" max="16121" width="9.81640625" style="19" customWidth="1"/>
    <col min="16122" max="16122" width="14.453125" style="19" customWidth="1"/>
    <col min="16123" max="16123" width="7.26953125" style="19" customWidth="1"/>
    <col min="16124" max="16124" width="5.54296875" style="19" customWidth="1"/>
    <col min="16125" max="16125" width="9" style="19" customWidth="1"/>
    <col min="16126" max="16127" width="9.81640625" style="19" customWidth="1"/>
    <col min="16128" max="16128" width="11.1796875" style="19" customWidth="1"/>
    <col min="16129" max="16129" width="2.81640625" style="19" customWidth="1"/>
    <col min="16130" max="16130" width="3.54296875" style="19" customWidth="1"/>
    <col min="16131" max="16384" width="9.1796875" style="19"/>
  </cols>
  <sheetData>
    <row r="1" spans="1:26" ht="46.5" customHeight="1" x14ac:dyDescent="0.35">
      <c r="A1" s="173" t="s">
        <v>157</v>
      </c>
      <c r="B1" s="173"/>
      <c r="C1" s="173"/>
      <c r="D1" s="173"/>
      <c r="E1" s="173"/>
      <c r="F1" s="173"/>
      <c r="G1" s="173"/>
      <c r="H1" s="173"/>
    </row>
    <row r="2" spans="1:26" ht="16.5" customHeight="1" x14ac:dyDescent="0.35">
      <c r="A2" s="132" t="s">
        <v>0</v>
      </c>
      <c r="B2" s="132"/>
      <c r="C2" s="132"/>
      <c r="D2" s="132"/>
      <c r="E2" s="132"/>
      <c r="F2" s="132"/>
      <c r="G2" s="132"/>
      <c r="H2" s="132"/>
    </row>
    <row r="3" spans="1:26" x14ac:dyDescent="0.35">
      <c r="A3" s="128" t="s">
        <v>1</v>
      </c>
      <c r="B3" s="128"/>
      <c r="C3" s="128"/>
      <c r="D3" s="128"/>
      <c r="E3" s="128" t="str">
        <f ca="1">TEXT(TODAY(),"DD/MM/YYYY")</f>
        <v>09/09/2025</v>
      </c>
      <c r="F3" s="128"/>
      <c r="G3" s="128"/>
      <c r="H3" s="128"/>
      <c r="K3" s="52" t="s">
        <v>229</v>
      </c>
      <c r="L3" s="50" t="s">
        <v>227</v>
      </c>
      <c r="M3" s="50" t="s">
        <v>232</v>
      </c>
      <c r="N3" s="50" t="s">
        <v>230</v>
      </c>
      <c r="O3" s="50" t="s">
        <v>231</v>
      </c>
      <c r="P3" s="50" t="s">
        <v>233</v>
      </c>
    </row>
    <row r="4" spans="1:26" ht="15" customHeight="1" x14ac:dyDescent="0.35">
      <c r="A4" s="128" t="s">
        <v>226</v>
      </c>
      <c r="B4" s="128"/>
      <c r="C4" s="128"/>
      <c r="D4" s="128"/>
      <c r="E4" s="128" t="s">
        <v>227</v>
      </c>
      <c r="F4" s="128"/>
      <c r="G4" s="128"/>
      <c r="H4" s="128"/>
      <c r="K4" s="49" t="s">
        <v>228</v>
      </c>
      <c r="L4" s="50" t="s">
        <v>163</v>
      </c>
      <c r="M4" s="50" t="s">
        <v>237</v>
      </c>
      <c r="N4" s="50" t="s">
        <v>239</v>
      </c>
      <c r="O4" s="50" t="s">
        <v>241</v>
      </c>
      <c r="P4" s="50"/>
    </row>
    <row r="5" spans="1:26" ht="15" customHeight="1" x14ac:dyDescent="0.35">
      <c r="A5" s="128" t="s">
        <v>2</v>
      </c>
      <c r="B5" s="128"/>
      <c r="C5" s="128"/>
      <c r="D5" s="128"/>
      <c r="E5" s="128" t="s">
        <v>236</v>
      </c>
      <c r="F5" s="128"/>
      <c r="G5" s="128"/>
      <c r="H5" s="128"/>
      <c r="K5" s="49"/>
      <c r="L5" s="50" t="s">
        <v>234</v>
      </c>
      <c r="M5" s="50" t="s">
        <v>238</v>
      </c>
      <c r="N5" s="50" t="s">
        <v>240</v>
      </c>
      <c r="O5" s="50" t="s">
        <v>242</v>
      </c>
      <c r="P5" s="50"/>
    </row>
    <row r="6" spans="1:26" x14ac:dyDescent="0.35">
      <c r="A6" s="128" t="s">
        <v>3</v>
      </c>
      <c r="B6" s="128"/>
      <c r="C6" s="128"/>
      <c r="D6" s="128"/>
      <c r="E6" s="175">
        <v>45906</v>
      </c>
      <c r="F6" s="128"/>
      <c r="G6" s="128"/>
      <c r="H6" s="128"/>
      <c r="K6" s="49"/>
      <c r="L6" s="50" t="s">
        <v>235</v>
      </c>
      <c r="M6" s="50"/>
      <c r="N6" s="50"/>
      <c r="O6" s="50" t="s">
        <v>243</v>
      </c>
      <c r="P6" s="50"/>
    </row>
    <row r="7" spans="1:26" ht="16.5" customHeight="1" x14ac:dyDescent="0.35">
      <c r="A7" s="128" t="s">
        <v>4</v>
      </c>
      <c r="B7" s="128"/>
      <c r="C7" s="128"/>
      <c r="D7" s="128"/>
      <c r="E7" s="128" t="s">
        <v>289</v>
      </c>
      <c r="F7" s="128"/>
      <c r="G7" s="128"/>
      <c r="H7" s="128"/>
      <c r="K7" s="49"/>
      <c r="L7" s="50" t="s">
        <v>236</v>
      </c>
      <c r="M7" s="50"/>
      <c r="N7" s="50"/>
      <c r="O7" s="50" t="s">
        <v>243</v>
      </c>
      <c r="P7" s="50"/>
    </row>
    <row r="8" spans="1:26" ht="15" customHeight="1" x14ac:dyDescent="0.35">
      <c r="A8" s="128" t="s">
        <v>5</v>
      </c>
      <c r="B8" s="128"/>
      <c r="C8" s="128"/>
      <c r="D8" s="128"/>
      <c r="E8" s="128" t="str">
        <f>E7</f>
        <v>Shree Balaji Realty</v>
      </c>
      <c r="F8" s="128"/>
      <c r="G8" s="128"/>
      <c r="H8" s="128"/>
      <c r="K8" s="49"/>
      <c r="L8" s="50"/>
      <c r="M8" s="50"/>
      <c r="N8" s="50"/>
      <c r="O8" s="50" t="s">
        <v>244</v>
      </c>
      <c r="P8" s="50"/>
    </row>
    <row r="9" spans="1:26" x14ac:dyDescent="0.35">
      <c r="A9" s="128" t="s">
        <v>6</v>
      </c>
      <c r="B9" s="128"/>
      <c r="C9" s="128"/>
      <c r="D9" s="128"/>
      <c r="E9" s="174" t="s">
        <v>290</v>
      </c>
      <c r="F9" s="174"/>
      <c r="G9" s="174"/>
      <c r="H9" s="174"/>
      <c r="K9" s="49"/>
      <c r="L9" s="50"/>
      <c r="M9" s="50"/>
      <c r="N9" s="50"/>
      <c r="O9" s="50" t="s">
        <v>245</v>
      </c>
      <c r="P9" s="50"/>
    </row>
    <row r="10" spans="1:26" x14ac:dyDescent="0.35">
      <c r="A10" s="128" t="s">
        <v>291</v>
      </c>
      <c r="B10" s="128"/>
      <c r="C10" s="128"/>
      <c r="D10" s="128"/>
      <c r="E10" s="176" t="s">
        <v>316</v>
      </c>
      <c r="F10" s="176"/>
      <c r="G10" s="176"/>
      <c r="H10" s="176"/>
      <c r="K10" s="49"/>
      <c r="L10" s="50"/>
      <c r="M10" s="50"/>
      <c r="N10" s="50"/>
      <c r="O10" s="50" t="s">
        <v>245</v>
      </c>
      <c r="P10" s="50"/>
    </row>
    <row r="11" spans="1:26" x14ac:dyDescent="0.35">
      <c r="A11" s="128" t="s">
        <v>160</v>
      </c>
      <c r="B11" s="128"/>
      <c r="C11" s="128"/>
      <c r="D11" s="128"/>
      <c r="E11" s="128" t="s">
        <v>292</v>
      </c>
      <c r="F11" s="128"/>
      <c r="G11" s="128"/>
      <c r="H11" s="128"/>
      <c r="K11" s="49"/>
      <c r="L11" s="50"/>
      <c r="M11" s="50"/>
      <c r="N11" s="50"/>
      <c r="O11" s="50"/>
      <c r="P11" s="50"/>
    </row>
    <row r="12" spans="1:26" x14ac:dyDescent="0.35">
      <c r="A12" s="128" t="s">
        <v>161</v>
      </c>
      <c r="B12" s="128"/>
      <c r="C12" s="128"/>
      <c r="D12" s="128"/>
      <c r="E12" s="128" t="s">
        <v>317</v>
      </c>
      <c r="F12" s="128"/>
      <c r="G12" s="128"/>
      <c r="H12" s="128"/>
      <c r="I12" s="128" t="s">
        <v>317</v>
      </c>
      <c r="J12" s="128"/>
      <c r="K12" s="128"/>
      <c r="L12" s="128"/>
    </row>
    <row r="13" spans="1:26" x14ac:dyDescent="0.35">
      <c r="A13" s="128" t="s">
        <v>7</v>
      </c>
      <c r="B13" s="128"/>
      <c r="C13" s="128"/>
      <c r="D13" s="128"/>
      <c r="E13" s="128" t="s">
        <v>293</v>
      </c>
      <c r="F13" s="128"/>
      <c r="G13" s="128"/>
      <c r="H13" s="128"/>
    </row>
    <row r="14" spans="1:26" x14ac:dyDescent="0.35">
      <c r="A14" s="128" t="s">
        <v>164</v>
      </c>
      <c r="B14" s="128"/>
      <c r="C14" s="128"/>
      <c r="D14" s="128"/>
      <c r="E14" s="128" t="s">
        <v>28</v>
      </c>
      <c r="F14" s="128"/>
      <c r="G14" s="128"/>
      <c r="H14" s="128"/>
      <c r="S14" s="50" t="s">
        <v>171</v>
      </c>
      <c r="T14" s="50" t="s">
        <v>181</v>
      </c>
      <c r="U14" s="50" t="s">
        <v>165</v>
      </c>
      <c r="V14" s="50" t="s">
        <v>186</v>
      </c>
      <c r="W14" s="50" t="s">
        <v>204</v>
      </c>
      <c r="X14"/>
      <c r="Y14" t="s">
        <v>186</v>
      </c>
      <c r="Z14" t="e">
        <f ca="1">OFFSET($S$14,1,MATCH($G21,$S$14:$W$14,0)-1,15,1)</f>
        <v>#VALUE!</v>
      </c>
    </row>
    <row r="15" spans="1:26" x14ac:dyDescent="0.35">
      <c r="A15" s="128" t="s">
        <v>272</v>
      </c>
      <c r="B15" s="128"/>
      <c r="C15" s="128"/>
      <c r="D15" s="128"/>
      <c r="E15" s="126" t="s">
        <v>219</v>
      </c>
      <c r="F15" s="126"/>
      <c r="G15" s="126"/>
      <c r="H15" s="126"/>
      <c r="S15" s="50" t="s">
        <v>172</v>
      </c>
      <c r="T15" s="50" t="s">
        <v>179</v>
      </c>
      <c r="U15" s="50" t="s">
        <v>201</v>
      </c>
      <c r="V15" s="50" t="s">
        <v>187</v>
      </c>
      <c r="W15" s="50" t="s">
        <v>205</v>
      </c>
      <c r="X15"/>
      <c r="Y15"/>
      <c r="Z15"/>
    </row>
    <row r="16" spans="1:26" x14ac:dyDescent="0.35">
      <c r="A16" s="128" t="s">
        <v>8</v>
      </c>
      <c r="B16" s="128"/>
      <c r="C16" s="128"/>
      <c r="D16" s="128"/>
      <c r="E16" s="126" t="s">
        <v>294</v>
      </c>
      <c r="F16" s="128"/>
      <c r="G16" s="128"/>
      <c r="H16" s="128"/>
      <c r="I16" s="118" t="e">
        <f ca="1">OFFSET($D$5,1,MATCH($J14,$D$5:$H$5,0)-1,15,1)</f>
        <v>#N/A</v>
      </c>
      <c r="J16" s="119"/>
      <c r="K16" s="119"/>
      <c r="L16" s="119"/>
      <c r="M16" s="119"/>
      <c r="N16" s="119"/>
      <c r="O16" s="119"/>
      <c r="P16" s="119"/>
      <c r="S16" s="50" t="s">
        <v>173</v>
      </c>
      <c r="T16" s="50" t="s">
        <v>180</v>
      </c>
      <c r="U16" s="50" t="s">
        <v>202</v>
      </c>
      <c r="V16" s="50" t="s">
        <v>188</v>
      </c>
      <c r="W16" s="50" t="s">
        <v>218</v>
      </c>
      <c r="X16"/>
      <c r="Y16"/>
      <c r="Z16"/>
    </row>
    <row r="17" spans="1:26" ht="35.25" customHeight="1" x14ac:dyDescent="0.35">
      <c r="A17" s="126" t="s">
        <v>9</v>
      </c>
      <c r="B17" s="126"/>
      <c r="C17" s="126" t="str">
        <f>CONCATENATE((IF(OR(E9="",E9="NA"),"",E9)),", ",(IF(OR(A18="",A18="NA"),"",A18)),".",(IF(OR(C18="",C18="NA"),"",C18)),", near ",(IF(OR(C23="",C23="NA"),"",C23)),", ",(IF(OR(C20="",C20="NA"),"",C20)),", ",(IF(OR(C19="",C19="NA"),"",C19)),", ",(IF(OR(G20="",G20="NA"),"",G20)),", ",(IF(OR(C21="",C21="NA"),"",C21)),", ",(IF(OR(C22="",C22="NA"),"",C22)),", ",(IF(OR(G21="",G21="NA"),"",G21))," - ",(IF(OR(G22="",G22="NA"),"",G22)),".")</f>
        <v>Balaji Sarvoday , Survey No.28, H.No.6 &amp; H.No.3/1, Old Survey No. 242 A, near Krishna Plaza building, Shivaji Shelar Marg, Chole, Chole, Thakurli, Kalyan, Thane  - 421201.</v>
      </c>
      <c r="D17" s="126"/>
      <c r="E17" s="126"/>
      <c r="F17" s="126"/>
      <c r="G17" s="126"/>
      <c r="H17" s="126"/>
      <c r="S17" s="50" t="s">
        <v>174</v>
      </c>
      <c r="T17" s="50" t="s">
        <v>182</v>
      </c>
      <c r="U17" s="50" t="s">
        <v>203</v>
      </c>
      <c r="V17" s="50" t="s">
        <v>189</v>
      </c>
      <c r="W17" s="50" t="s">
        <v>206</v>
      </c>
      <c r="X17"/>
      <c r="Y17"/>
      <c r="Z17"/>
    </row>
    <row r="18" spans="1:26" x14ac:dyDescent="0.35">
      <c r="A18" s="126" t="s">
        <v>295</v>
      </c>
      <c r="B18" s="126"/>
      <c r="C18" s="126" t="s">
        <v>327</v>
      </c>
      <c r="D18" s="126"/>
      <c r="E18" s="126"/>
      <c r="F18" s="126"/>
      <c r="G18" s="126"/>
      <c r="H18" s="126"/>
      <c r="S18" s="50" t="s">
        <v>175</v>
      </c>
      <c r="T18" s="50" t="s">
        <v>183</v>
      </c>
      <c r="U18" s="50" t="s">
        <v>165</v>
      </c>
      <c r="V18" s="50" t="s">
        <v>190</v>
      </c>
      <c r="W18" s="50" t="s">
        <v>207</v>
      </c>
      <c r="X18"/>
      <c r="Y18"/>
      <c r="Z18"/>
    </row>
    <row r="19" spans="1:26" ht="15.75" customHeight="1" x14ac:dyDescent="0.35">
      <c r="A19" s="126" t="s">
        <v>155</v>
      </c>
      <c r="B19" s="126"/>
      <c r="C19" s="126" t="s">
        <v>296</v>
      </c>
      <c r="D19" s="126"/>
      <c r="E19" s="126"/>
      <c r="F19" s="126"/>
      <c r="G19" s="126"/>
      <c r="H19" s="126"/>
      <c r="S19" s="50" t="s">
        <v>176</v>
      </c>
      <c r="T19" s="50" t="s">
        <v>181</v>
      </c>
      <c r="U19" s="50"/>
      <c r="V19" s="50" t="s">
        <v>191</v>
      </c>
      <c r="W19" s="50" t="s">
        <v>208</v>
      </c>
      <c r="X19"/>
      <c r="Y19"/>
      <c r="Z19"/>
    </row>
    <row r="20" spans="1:26" ht="15.75" customHeight="1" x14ac:dyDescent="0.35">
      <c r="A20" s="126" t="s">
        <v>10</v>
      </c>
      <c r="B20" s="126"/>
      <c r="C20" s="128" t="s">
        <v>300</v>
      </c>
      <c r="D20" s="128"/>
      <c r="E20" s="126" t="s">
        <v>68</v>
      </c>
      <c r="F20" s="126"/>
      <c r="G20" s="126" t="s">
        <v>296</v>
      </c>
      <c r="H20" s="126"/>
      <c r="S20" s="50" t="s">
        <v>177</v>
      </c>
      <c r="T20" s="50" t="s">
        <v>184</v>
      </c>
      <c r="U20" s="50"/>
      <c r="V20" s="50" t="s">
        <v>192</v>
      </c>
      <c r="W20" s="50" t="s">
        <v>209</v>
      </c>
      <c r="X20"/>
      <c r="Y20"/>
      <c r="Z20"/>
    </row>
    <row r="21" spans="1:26" x14ac:dyDescent="0.35">
      <c r="A21" s="128" t="s">
        <v>12</v>
      </c>
      <c r="B21" s="128"/>
      <c r="C21" s="126" t="s">
        <v>298</v>
      </c>
      <c r="D21" s="126"/>
      <c r="E21" s="126" t="s">
        <v>11</v>
      </c>
      <c r="F21" s="126"/>
      <c r="G21" s="127" t="s">
        <v>171</v>
      </c>
      <c r="H21" s="127"/>
      <c r="S21" s="50" t="s">
        <v>178</v>
      </c>
      <c r="T21" s="50" t="s">
        <v>185</v>
      </c>
      <c r="U21" s="50"/>
      <c r="V21" s="50" t="s">
        <v>193</v>
      </c>
      <c r="W21" s="50" t="s">
        <v>210</v>
      </c>
      <c r="X21"/>
      <c r="Y21"/>
      <c r="Z21"/>
    </row>
    <row r="22" spans="1:26" x14ac:dyDescent="0.35">
      <c r="A22" s="128" t="s">
        <v>69</v>
      </c>
      <c r="B22" s="128"/>
      <c r="C22" s="126" t="s">
        <v>174</v>
      </c>
      <c r="D22" s="126"/>
      <c r="E22" s="126" t="s">
        <v>13</v>
      </c>
      <c r="F22" s="126"/>
      <c r="G22" s="126">
        <v>421201</v>
      </c>
      <c r="H22" s="126"/>
      <c r="S22" s="50"/>
      <c r="T22" s="50"/>
      <c r="U22" s="50"/>
      <c r="V22" s="50" t="s">
        <v>194</v>
      </c>
      <c r="W22" s="50" t="s">
        <v>211</v>
      </c>
      <c r="X22"/>
      <c r="Y22"/>
      <c r="Z22"/>
    </row>
    <row r="23" spans="1:26" ht="32.25" customHeight="1" x14ac:dyDescent="0.35">
      <c r="A23" s="128" t="s">
        <v>114</v>
      </c>
      <c r="B23" s="128"/>
      <c r="C23" s="126" t="s">
        <v>299</v>
      </c>
      <c r="D23" s="126"/>
      <c r="E23" s="126" t="s">
        <v>14</v>
      </c>
      <c r="F23" s="126"/>
      <c r="G23" s="126" t="s">
        <v>303</v>
      </c>
      <c r="H23" s="126"/>
      <c r="S23" s="50"/>
      <c r="T23" s="50"/>
      <c r="U23" s="50"/>
      <c r="V23" s="50" t="s">
        <v>195</v>
      </c>
      <c r="W23" s="50" t="s">
        <v>212</v>
      </c>
      <c r="X23"/>
      <c r="Y23"/>
      <c r="Z23"/>
    </row>
    <row r="24" spans="1:26" ht="15" customHeight="1" x14ac:dyDescent="0.35">
      <c r="A24" s="125" t="s">
        <v>71</v>
      </c>
      <c r="B24" s="125"/>
      <c r="C24" s="125"/>
      <c r="D24" s="125"/>
      <c r="E24" s="128" t="s">
        <v>15</v>
      </c>
      <c r="F24" s="128"/>
      <c r="G24" s="128"/>
      <c r="H24" s="128"/>
      <c r="S24" s="50"/>
      <c r="T24" s="50"/>
      <c r="U24" s="50"/>
      <c r="V24" s="50" t="s">
        <v>196</v>
      </c>
      <c r="W24" s="50" t="s">
        <v>213</v>
      </c>
      <c r="X24"/>
      <c r="Y24"/>
      <c r="Z24"/>
    </row>
    <row r="25" spans="1:26" ht="18.75" customHeight="1" x14ac:dyDescent="0.35">
      <c r="A25" s="125"/>
      <c r="B25" s="125"/>
      <c r="C25" s="125"/>
      <c r="D25" s="125"/>
      <c r="E25" s="128"/>
      <c r="F25" s="128"/>
      <c r="G25" s="128"/>
      <c r="H25" s="128"/>
      <c r="S25" s="50"/>
      <c r="T25" s="50"/>
      <c r="U25" s="50"/>
      <c r="V25" s="50" t="s">
        <v>197</v>
      </c>
      <c r="W25" s="50" t="s">
        <v>214</v>
      </c>
      <c r="X25"/>
      <c r="Y25"/>
      <c r="Z25"/>
    </row>
    <row r="26" spans="1:26" ht="15" customHeight="1" x14ac:dyDescent="0.35">
      <c r="A26" s="125" t="s">
        <v>16</v>
      </c>
      <c r="B26" s="125"/>
      <c r="C26" s="125"/>
      <c r="D26" s="125"/>
      <c r="E26" s="126" t="s">
        <v>17</v>
      </c>
      <c r="F26" s="126"/>
      <c r="G26" s="126"/>
      <c r="H26" s="126"/>
      <c r="S26" s="50"/>
      <c r="T26" s="50"/>
      <c r="U26" s="50"/>
      <c r="V26" s="50" t="s">
        <v>198</v>
      </c>
      <c r="W26" s="50" t="s">
        <v>215</v>
      </c>
      <c r="X26"/>
      <c r="Y26"/>
      <c r="Z26"/>
    </row>
    <row r="27" spans="1:26" ht="15" customHeight="1" x14ac:dyDescent="0.35">
      <c r="A27" s="121" t="s">
        <v>18</v>
      </c>
      <c r="B27" s="121"/>
      <c r="C27" s="121"/>
      <c r="D27" s="121"/>
      <c r="E27" s="126" t="str">
        <f>IF(AND(G21="Mumbai"),"Upper Class","Middle Class")</f>
        <v>Middle Class</v>
      </c>
      <c r="F27" s="126"/>
      <c r="G27" s="126"/>
      <c r="H27" s="126"/>
      <c r="S27" s="50"/>
      <c r="T27" s="50"/>
      <c r="U27" s="50"/>
      <c r="V27" s="50" t="s">
        <v>199</v>
      </c>
      <c r="W27" s="50" t="s">
        <v>216</v>
      </c>
      <c r="X27"/>
      <c r="Y27"/>
      <c r="Z27"/>
    </row>
    <row r="28" spans="1:26" x14ac:dyDescent="0.35">
      <c r="A28" s="121" t="s">
        <v>19</v>
      </c>
      <c r="B28" s="121"/>
      <c r="C28" s="121"/>
      <c r="D28" s="121"/>
      <c r="E28" s="126" t="s">
        <v>20</v>
      </c>
      <c r="F28" s="126"/>
      <c r="G28" s="126"/>
      <c r="H28" s="126"/>
      <c r="S28" s="50"/>
      <c r="T28" s="50"/>
      <c r="U28" s="50"/>
      <c r="V28" s="50" t="s">
        <v>200</v>
      </c>
      <c r="W28" s="50" t="s">
        <v>217</v>
      </c>
      <c r="X28"/>
      <c r="Y28"/>
      <c r="Z28"/>
    </row>
    <row r="29" spans="1:26" ht="15.75" customHeight="1" x14ac:dyDescent="0.35">
      <c r="A29" s="121" t="s">
        <v>21</v>
      </c>
      <c r="B29" s="121"/>
      <c r="C29" s="121"/>
      <c r="D29" s="121"/>
      <c r="E29" s="126" t="str">
        <f>IF(AND(G21="Mumbai"),"Developed","Developing")</f>
        <v>Developing</v>
      </c>
      <c r="F29" s="126"/>
      <c r="G29" s="126"/>
      <c r="H29" s="126"/>
    </row>
    <row r="30" spans="1:26" x14ac:dyDescent="0.35">
      <c r="A30" s="121" t="s">
        <v>22</v>
      </c>
      <c r="B30" s="121"/>
      <c r="C30" s="121"/>
      <c r="D30" s="121"/>
      <c r="E30" s="126" t="s">
        <v>23</v>
      </c>
      <c r="F30" s="126"/>
      <c r="G30" s="126"/>
      <c r="H30" s="126"/>
    </row>
    <row r="31" spans="1:26" ht="15.75" customHeight="1" x14ac:dyDescent="0.35">
      <c r="A31" s="121" t="s">
        <v>76</v>
      </c>
      <c r="B31" s="121"/>
      <c r="C31" s="121"/>
      <c r="D31" s="121"/>
      <c r="E31" s="126" t="s">
        <v>77</v>
      </c>
      <c r="F31" s="126"/>
      <c r="G31" s="126"/>
      <c r="H31" s="126"/>
    </row>
    <row r="32" spans="1:26" ht="15" customHeight="1" x14ac:dyDescent="0.35">
      <c r="A32" s="121" t="s">
        <v>30</v>
      </c>
      <c r="B32" s="121"/>
      <c r="C32" s="121"/>
      <c r="D32" s="121"/>
      <c r="E32" s="126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2" s="126"/>
      <c r="G32" s="126"/>
      <c r="H32" s="126"/>
    </row>
    <row r="33" spans="1:19" ht="15.75" customHeight="1" x14ac:dyDescent="0.35">
      <c r="A33" s="121" t="s">
        <v>87</v>
      </c>
      <c r="B33" s="121"/>
      <c r="C33" s="121"/>
      <c r="D33" s="121"/>
      <c r="E33" s="126" t="s">
        <v>31</v>
      </c>
      <c r="F33" s="126"/>
      <c r="G33" s="126"/>
      <c r="H33" s="126"/>
    </row>
    <row r="34" spans="1:19" s="20" customFormat="1" x14ac:dyDescent="0.35">
      <c r="A34" s="178" t="s">
        <v>88</v>
      </c>
      <c r="B34" s="178"/>
      <c r="C34" s="129" t="s">
        <v>166</v>
      </c>
      <c r="D34" s="129"/>
      <c r="E34" s="129"/>
      <c r="F34" s="129" t="s">
        <v>29</v>
      </c>
      <c r="G34" s="129"/>
      <c r="H34" s="129"/>
      <c r="S34" s="20" t="e">
        <f ca="1">OFFSET($S$14,1,MATCH($G21,$S$14:$W$14,0)-1,15,1)</f>
        <v>#VALUE!</v>
      </c>
    </row>
    <row r="35" spans="1:19" s="20" customFormat="1" x14ac:dyDescent="0.35">
      <c r="A35" s="177" t="s">
        <v>24</v>
      </c>
      <c r="B35" s="177" t="s">
        <v>28</v>
      </c>
      <c r="C35" s="234" t="s">
        <v>306</v>
      </c>
      <c r="D35" s="234"/>
      <c r="E35" s="234"/>
      <c r="F35" s="234" t="s">
        <v>300</v>
      </c>
      <c r="G35" s="234"/>
      <c r="H35" s="234"/>
    </row>
    <row r="36" spans="1:19" x14ac:dyDescent="0.35">
      <c r="A36" s="177" t="s">
        <v>25</v>
      </c>
      <c r="B36" s="177" t="s">
        <v>28</v>
      </c>
      <c r="C36" s="234" t="s">
        <v>307</v>
      </c>
      <c r="D36" s="234"/>
      <c r="E36" s="234"/>
      <c r="F36" s="234" t="s">
        <v>299</v>
      </c>
      <c r="G36" s="234"/>
      <c r="H36" s="234"/>
    </row>
    <row r="37" spans="1:19" s="20" customFormat="1" x14ac:dyDescent="0.35">
      <c r="A37" s="177" t="s">
        <v>27</v>
      </c>
      <c r="B37" s="177" t="s">
        <v>28</v>
      </c>
      <c r="C37" s="234" t="s">
        <v>304</v>
      </c>
      <c r="D37" s="234"/>
      <c r="E37" s="234"/>
      <c r="F37" s="234" t="s">
        <v>301</v>
      </c>
      <c r="G37" s="234"/>
      <c r="H37" s="234"/>
    </row>
    <row r="38" spans="1:19" x14ac:dyDescent="0.35">
      <c r="A38" s="177" t="s">
        <v>26</v>
      </c>
      <c r="B38" s="177" t="s">
        <v>28</v>
      </c>
      <c r="C38" s="234" t="s">
        <v>305</v>
      </c>
      <c r="D38" s="234"/>
      <c r="E38" s="234"/>
      <c r="F38" s="234" t="s">
        <v>301</v>
      </c>
      <c r="G38" s="234"/>
      <c r="H38" s="234"/>
    </row>
    <row r="39" spans="1:19" x14ac:dyDescent="0.35">
      <c r="A39" s="121" t="s">
        <v>273</v>
      </c>
      <c r="B39" s="121"/>
      <c r="C39" s="121"/>
      <c r="D39" s="121"/>
      <c r="E39" s="121"/>
      <c r="F39" s="121"/>
      <c r="G39" s="121"/>
      <c r="H39" s="121"/>
    </row>
    <row r="40" spans="1:19" ht="15.75" customHeight="1" x14ac:dyDescent="0.35">
      <c r="A40" s="121" t="s">
        <v>158</v>
      </c>
      <c r="B40" s="121"/>
      <c r="C40" s="131" t="s">
        <v>302</v>
      </c>
      <c r="D40" s="131"/>
      <c r="E40" s="131"/>
      <c r="F40" s="131"/>
      <c r="G40" s="131"/>
      <c r="H40" s="131"/>
    </row>
    <row r="41" spans="1:19" x14ac:dyDescent="0.35">
      <c r="A41" s="121" t="s">
        <v>154</v>
      </c>
      <c r="B41" s="121"/>
      <c r="C41" s="192" t="s">
        <v>297</v>
      </c>
      <c r="D41" s="126"/>
      <c r="E41" s="126"/>
      <c r="F41" s="126"/>
      <c r="G41" s="126"/>
      <c r="H41" s="126"/>
    </row>
    <row r="42" spans="1:19" x14ac:dyDescent="0.35">
      <c r="A42" s="131" t="s">
        <v>32</v>
      </c>
      <c r="B42" s="131"/>
      <c r="C42" s="131"/>
      <c r="D42" s="131"/>
      <c r="E42" s="131"/>
      <c r="F42" s="131"/>
      <c r="G42" s="131"/>
      <c r="H42" s="131"/>
    </row>
    <row r="43" spans="1:19" x14ac:dyDescent="0.35">
      <c r="A43" s="121" t="s">
        <v>33</v>
      </c>
      <c r="B43" s="121"/>
      <c r="C43" s="121"/>
      <c r="D43" s="121"/>
      <c r="E43" s="181">
        <v>10292.94</v>
      </c>
      <c r="F43" s="181"/>
      <c r="G43" s="181"/>
      <c r="H43" s="181"/>
    </row>
    <row r="44" spans="1:19" x14ac:dyDescent="0.35">
      <c r="A44" s="121" t="s">
        <v>34</v>
      </c>
      <c r="B44" s="121"/>
      <c r="C44" s="121"/>
      <c r="D44" s="121"/>
      <c r="E44" s="120">
        <v>1.1000000000000001</v>
      </c>
      <c r="F44" s="120"/>
      <c r="G44" s="120"/>
      <c r="H44" s="120"/>
    </row>
    <row r="45" spans="1:19" x14ac:dyDescent="0.35">
      <c r="A45" s="121" t="s">
        <v>35</v>
      </c>
      <c r="B45" s="121"/>
      <c r="C45" s="121"/>
      <c r="D45" s="121"/>
      <c r="E45" s="120">
        <f>E47/E43-E44</f>
        <v>1.8213577461833061</v>
      </c>
      <c r="F45" s="120"/>
      <c r="G45" s="120"/>
      <c r="H45" s="120"/>
    </row>
    <row r="46" spans="1:19" x14ac:dyDescent="0.35">
      <c r="A46" s="121" t="s">
        <v>36</v>
      </c>
      <c r="B46" s="121"/>
      <c r="C46" s="121"/>
      <c r="D46" s="121"/>
      <c r="E46" s="120">
        <f>E44+E45</f>
        <v>2.9213577461833062</v>
      </c>
      <c r="F46" s="120"/>
      <c r="G46" s="120"/>
      <c r="H46" s="120"/>
    </row>
    <row r="47" spans="1:19" x14ac:dyDescent="0.35">
      <c r="A47" s="121" t="s">
        <v>86</v>
      </c>
      <c r="B47" s="121"/>
      <c r="C47" s="121"/>
      <c r="D47" s="121"/>
      <c r="E47" s="184">
        <v>30069.360000000001</v>
      </c>
      <c r="F47" s="184"/>
      <c r="G47" s="184"/>
      <c r="H47" s="184"/>
    </row>
    <row r="48" spans="1:19" x14ac:dyDescent="0.35">
      <c r="A48" s="128" t="s">
        <v>37</v>
      </c>
      <c r="B48" s="128"/>
      <c r="C48" s="128"/>
      <c r="D48" s="128"/>
      <c r="E48" s="128" t="s">
        <v>308</v>
      </c>
      <c r="F48" s="128"/>
      <c r="G48" s="128"/>
      <c r="H48" s="128"/>
    </row>
    <row r="49" spans="1:22" x14ac:dyDescent="0.35">
      <c r="A49" s="131" t="s">
        <v>38</v>
      </c>
      <c r="B49" s="131"/>
      <c r="C49" s="131"/>
      <c r="D49" s="131"/>
      <c r="E49" s="131"/>
      <c r="F49" s="131"/>
      <c r="G49" s="131"/>
      <c r="H49" s="131"/>
    </row>
    <row r="50" spans="1:22" ht="33.75" customHeight="1" x14ac:dyDescent="0.35">
      <c r="A50" s="122" t="s">
        <v>143</v>
      </c>
      <c r="B50" s="123"/>
      <c r="C50" s="195" t="s">
        <v>254</v>
      </c>
      <c r="D50" s="196"/>
      <c r="E50" s="196"/>
      <c r="F50" s="196"/>
      <c r="G50" s="196"/>
      <c r="H50" s="197"/>
      <c r="R50" t="s">
        <v>246</v>
      </c>
      <c r="S50" t="s">
        <v>165</v>
      </c>
      <c r="T50" t="s">
        <v>171</v>
      </c>
      <c r="U50" t="s">
        <v>186</v>
      </c>
      <c r="V50" t="s">
        <v>181</v>
      </c>
    </row>
    <row r="51" spans="1:22" ht="15.75" customHeight="1" x14ac:dyDescent="0.35">
      <c r="A51" s="122" t="s">
        <v>39</v>
      </c>
      <c r="B51" s="123"/>
      <c r="C51" s="122" t="s">
        <v>321</v>
      </c>
      <c r="D51" s="124"/>
      <c r="E51" s="123"/>
      <c r="F51" s="17" t="s">
        <v>40</v>
      </c>
      <c r="G51" s="135">
        <v>45433</v>
      </c>
      <c r="H51" s="123"/>
      <c r="R51"/>
      <c r="S51" t="s">
        <v>247</v>
      </c>
      <c r="T51" t="s">
        <v>252</v>
      </c>
      <c r="U51" t="s">
        <v>263</v>
      </c>
      <c r="V51" t="s">
        <v>268</v>
      </c>
    </row>
    <row r="52" spans="1:22" x14ac:dyDescent="0.35">
      <c r="A52" s="122" t="s">
        <v>342</v>
      </c>
      <c r="B52" s="123"/>
      <c r="C52" s="122" t="str">
        <f>C51</f>
        <v>KDMC/TPD/BP/DOM/2022-23/82/31</v>
      </c>
      <c r="D52" s="124"/>
      <c r="E52" s="123"/>
      <c r="F52" s="17" t="s">
        <v>40</v>
      </c>
      <c r="G52" s="135">
        <f>G51</f>
        <v>45433</v>
      </c>
      <c r="H52" s="123"/>
      <c r="R52"/>
      <c r="S52" t="s">
        <v>248</v>
      </c>
      <c r="T52" t="s">
        <v>253</v>
      </c>
      <c r="U52" t="s">
        <v>261</v>
      </c>
      <c r="V52" t="s">
        <v>269</v>
      </c>
    </row>
    <row r="53" spans="1:22" s="21" customFormat="1" ht="54" customHeight="1" x14ac:dyDescent="0.35">
      <c r="A53" s="122" t="s">
        <v>348</v>
      </c>
      <c r="B53" s="123"/>
      <c r="C53" s="122" t="s">
        <v>343</v>
      </c>
      <c r="D53" s="124"/>
      <c r="E53" s="123"/>
      <c r="F53" s="17" t="s">
        <v>40</v>
      </c>
      <c r="G53" s="135">
        <v>44994</v>
      </c>
      <c r="H53" s="123"/>
      <c r="R53"/>
      <c r="S53" t="s">
        <v>249</v>
      </c>
      <c r="T53" t="s">
        <v>254</v>
      </c>
      <c r="U53" t="s">
        <v>251</v>
      </c>
      <c r="V53" t="s">
        <v>270</v>
      </c>
    </row>
    <row r="54" spans="1:22" s="21" customFormat="1" x14ac:dyDescent="0.35">
      <c r="A54" s="136" t="s">
        <v>147</v>
      </c>
      <c r="B54" s="137"/>
      <c r="C54" s="122" t="str">
        <f>C52</f>
        <v>KDMC/TPD/BP/DOM/2022-23/82/31</v>
      </c>
      <c r="D54" s="124"/>
      <c r="E54" s="123"/>
      <c r="F54" s="17" t="s">
        <v>40</v>
      </c>
      <c r="G54" s="135">
        <f>G52</f>
        <v>45433</v>
      </c>
      <c r="H54" s="123"/>
      <c r="R54"/>
      <c r="S54" t="s">
        <v>250</v>
      </c>
      <c r="T54" t="s">
        <v>257</v>
      </c>
      <c r="U54" t="s">
        <v>264</v>
      </c>
    </row>
    <row r="55" spans="1:22" ht="50.25" customHeight="1" x14ac:dyDescent="0.35">
      <c r="A55" s="138"/>
      <c r="B55" s="139"/>
      <c r="C55" s="122" t="s">
        <v>328</v>
      </c>
      <c r="D55" s="124"/>
      <c r="E55" s="124"/>
      <c r="F55" s="124"/>
      <c r="G55" s="124"/>
      <c r="H55" s="123"/>
      <c r="R55"/>
      <c r="S55" t="s">
        <v>251</v>
      </c>
      <c r="T55" t="s">
        <v>255</v>
      </c>
      <c r="U55" t="s">
        <v>265</v>
      </c>
    </row>
    <row r="56" spans="1:22" x14ac:dyDescent="0.35">
      <c r="A56" s="144" t="s">
        <v>41</v>
      </c>
      <c r="B56" s="145"/>
      <c r="C56" s="144" t="s">
        <v>99</v>
      </c>
      <c r="D56" s="146"/>
      <c r="E56" s="145"/>
      <c r="F56" s="40" t="s">
        <v>40</v>
      </c>
      <c r="G56" s="142" t="s">
        <v>28</v>
      </c>
      <c r="H56" s="143"/>
      <c r="T56" t="s">
        <v>256</v>
      </c>
      <c r="U56" t="s">
        <v>266</v>
      </c>
    </row>
    <row r="57" spans="1:22" x14ac:dyDescent="0.35">
      <c r="A57" s="141" t="s">
        <v>43</v>
      </c>
      <c r="B57" s="141"/>
      <c r="C57" s="141"/>
      <c r="D57" s="141"/>
      <c r="E57" s="141"/>
      <c r="F57" s="141"/>
      <c r="G57" s="141"/>
      <c r="H57" s="141"/>
      <c r="R57"/>
      <c r="T57" t="s">
        <v>258</v>
      </c>
      <c r="U57" t="s">
        <v>267</v>
      </c>
    </row>
    <row r="58" spans="1:22" x14ac:dyDescent="0.35">
      <c r="A58" s="125" t="s">
        <v>288</v>
      </c>
      <c r="B58" s="125"/>
      <c r="C58" s="125"/>
      <c r="D58" s="128">
        <f>14660.34+13151.02+1409.85</f>
        <v>29221.21</v>
      </c>
      <c r="E58" s="128"/>
      <c r="F58" s="128"/>
      <c r="G58" s="128"/>
      <c r="H58" s="128"/>
      <c r="I58" s="22"/>
      <c r="R58"/>
      <c r="T58" t="s">
        <v>259</v>
      </c>
    </row>
    <row r="59" spans="1:22" x14ac:dyDescent="0.35">
      <c r="A59" s="126" t="s">
        <v>44</v>
      </c>
      <c r="B59" s="128"/>
      <c r="C59" s="128"/>
      <c r="D59" s="128" t="s">
        <v>346</v>
      </c>
      <c r="E59" s="128"/>
      <c r="F59" s="128"/>
      <c r="G59" s="128"/>
      <c r="H59" s="128"/>
      <c r="R59"/>
      <c r="T59" t="s">
        <v>260</v>
      </c>
    </row>
    <row r="60" spans="1:22" ht="48" customHeight="1" x14ac:dyDescent="0.35">
      <c r="A60" s="201" t="s">
        <v>45</v>
      </c>
      <c r="B60" s="202"/>
      <c r="C60" s="210"/>
      <c r="D60" s="190" t="s">
        <v>330</v>
      </c>
      <c r="E60" s="191"/>
      <c r="F60" s="191"/>
      <c r="G60" s="191"/>
      <c r="H60" s="191"/>
      <c r="R60"/>
      <c r="T60" t="s">
        <v>262</v>
      </c>
    </row>
    <row r="61" spans="1:22" ht="15.75" customHeight="1" x14ac:dyDescent="0.35">
      <c r="A61" s="201" t="s">
        <v>84</v>
      </c>
      <c r="B61" s="202"/>
      <c r="C61" s="202"/>
      <c r="D61" s="207" t="s">
        <v>318</v>
      </c>
      <c r="E61" s="208"/>
      <c r="F61" s="208"/>
      <c r="G61" s="208"/>
      <c r="H61" s="209"/>
      <c r="R61"/>
      <c r="T61" t="s">
        <v>271</v>
      </c>
    </row>
    <row r="62" spans="1:22" ht="15.75" customHeight="1" x14ac:dyDescent="0.35">
      <c r="A62" s="203"/>
      <c r="B62" s="204"/>
      <c r="C62" s="204"/>
      <c r="D62" s="128" t="s">
        <v>319</v>
      </c>
      <c r="E62" s="128"/>
      <c r="F62" s="128"/>
      <c r="G62" s="128"/>
      <c r="H62" s="128"/>
      <c r="S62"/>
    </row>
    <row r="63" spans="1:22" ht="15.75" customHeight="1" x14ac:dyDescent="0.35">
      <c r="A63" s="205"/>
      <c r="B63" s="206"/>
      <c r="C63" s="206"/>
      <c r="D63" s="128" t="s">
        <v>329</v>
      </c>
      <c r="E63" s="128"/>
      <c r="F63" s="128"/>
      <c r="G63" s="128"/>
      <c r="H63" s="128"/>
      <c r="J63" s="23"/>
      <c r="K63" s="22"/>
      <c r="N63" s="22"/>
      <c r="S63"/>
    </row>
    <row r="64" spans="1:22" ht="15.75" customHeight="1" x14ac:dyDescent="0.35">
      <c r="A64" s="121" t="s">
        <v>42</v>
      </c>
      <c r="B64" s="121"/>
      <c r="C64" s="121"/>
      <c r="D64" s="182" t="s">
        <v>309</v>
      </c>
      <c r="E64" s="182"/>
      <c r="F64" s="182"/>
      <c r="G64" s="182"/>
      <c r="H64" s="182"/>
      <c r="N64" s="22"/>
      <c r="S64"/>
    </row>
    <row r="65" spans="1:19" ht="15.75" customHeight="1" x14ac:dyDescent="0.35">
      <c r="A65" s="121" t="s">
        <v>82</v>
      </c>
      <c r="B65" s="121"/>
      <c r="C65" s="121"/>
      <c r="D65" s="183" t="str">
        <f>(IF(G56="NA","60 Years After Completion",IF(G56&lt;&gt;"NA",""&amp;60-ROUNDDOWN((E3-G56)/360,0)&amp;" Years"," ")))</f>
        <v>60 Years After Completion</v>
      </c>
      <c r="E65" s="183"/>
      <c r="F65" s="183"/>
      <c r="G65" s="183"/>
      <c r="H65" s="183"/>
      <c r="J65" s="24"/>
      <c r="K65" s="24"/>
      <c r="S65"/>
    </row>
    <row r="66" spans="1:19" x14ac:dyDescent="0.35">
      <c r="A66" s="121" t="s">
        <v>83</v>
      </c>
      <c r="B66" s="121"/>
      <c r="C66" s="121"/>
      <c r="D66" s="125" t="s">
        <v>23</v>
      </c>
      <c r="E66" s="125"/>
      <c r="F66" s="125"/>
      <c r="G66" s="125"/>
      <c r="H66" s="125"/>
      <c r="S66"/>
    </row>
    <row r="67" spans="1:19" ht="32.25" customHeight="1" x14ac:dyDescent="0.35">
      <c r="A67" s="128" t="s">
        <v>311</v>
      </c>
      <c r="B67" s="128"/>
      <c r="C67" s="128"/>
      <c r="D67" s="126" t="s">
        <v>310</v>
      </c>
      <c r="E67" s="126"/>
      <c r="F67" s="126"/>
      <c r="G67" s="126"/>
      <c r="H67" s="126"/>
      <c r="I67" s="25"/>
      <c r="J67" s="25"/>
      <c r="K67" s="25"/>
      <c r="L67" s="25"/>
      <c r="M67" s="25"/>
      <c r="N67" s="25"/>
    </row>
    <row r="68" spans="1:19" ht="15.75" customHeight="1" x14ac:dyDescent="0.35">
      <c r="A68" s="125" t="s">
        <v>140</v>
      </c>
      <c r="B68" s="125"/>
      <c r="C68" s="125"/>
      <c r="D68" s="125" t="s">
        <v>28</v>
      </c>
      <c r="E68" s="125"/>
      <c r="F68" s="125"/>
      <c r="G68" s="125"/>
      <c r="H68" s="125"/>
      <c r="J68" s="24"/>
      <c r="S68"/>
    </row>
    <row r="69" spans="1:19" ht="33.75" customHeight="1" thickBot="1" x14ac:dyDescent="0.4">
      <c r="A69" s="121" t="s">
        <v>81</v>
      </c>
      <c r="B69" s="121"/>
      <c r="C69" s="121"/>
      <c r="D69" s="126" t="str">
        <f ca="1">(IF(G75&gt;95%,"Nothing",IF(G75&gt;0%,"Cement, Aggregate, Steel, etc",IF(G75=0%,"Work not yet Started"))))</f>
        <v>Cement, Aggregate, Steel, etc</v>
      </c>
      <c r="E69" s="126"/>
      <c r="F69" s="126"/>
      <c r="G69" s="126"/>
      <c r="H69" s="126"/>
      <c r="S69"/>
    </row>
    <row r="70" spans="1:19" ht="15.75" customHeight="1" x14ac:dyDescent="0.35">
      <c r="A70" s="125" t="s">
        <v>112</v>
      </c>
      <c r="B70" s="125"/>
      <c r="C70" s="125"/>
      <c r="D70" s="126" t="str">
        <f ca="1">(IF(D69="Nothing","Yes",IF(D69="Cement, Aggregate, Steel, etc","Under Construction",IF(D69="Work not yet Started","Work not yet Started"))))</f>
        <v>Under Construction</v>
      </c>
      <c r="E70" s="126"/>
      <c r="F70" s="126" t="str">
        <f ca="1">(IF(D69="Nothing","Yes",IF(D69="Cement, Aggregate, Steel, etc","Under Construction",IF(D69="Work not yet Started","Work not yet Started"))))</f>
        <v>Under Construction</v>
      </c>
      <c r="G70" s="126"/>
      <c r="H70" s="126"/>
      <c r="I70" s="72" t="str">
        <f ca="1">IF(D84=100%,"All work Completed. Possession granted to the Building.",IF(D83=100%,"All work Completed, Waiting for OC",I71&amp;""&amp;I72&amp;""&amp;J71&amp;""&amp;J70&amp;" "&amp;J72))</f>
        <v>Excavation, Plinth Completed, RCC upto 14 Slab, Brickwork upto 8 Floor Completed</v>
      </c>
      <c r="J70" s="44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14 Slab, Brickwork upto 8 Floor</v>
      </c>
      <c r="S70"/>
    </row>
    <row r="71" spans="1:19" x14ac:dyDescent="0.35">
      <c r="A71" s="199" t="s">
        <v>132</v>
      </c>
      <c r="B71" s="199"/>
      <c r="C71" s="199" t="str">
        <f>D61</f>
        <v>Wing A = Gr + 1st to 28th Floor</v>
      </c>
      <c r="D71" s="199"/>
      <c r="E71" s="199"/>
      <c r="F71" s="199"/>
      <c r="G71" s="199"/>
      <c r="H71" s="199"/>
      <c r="I71" s="73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1" s="46" t="str">
        <f ca="1">(IF(C75=0,"Work not yet Started.",IF(D75=25%,"Piling work in process",IF(D75=50%,"Excavation work in process",IF(D75=100%,"","0")))))&amp;(IF(C76=0%,"",IF(C76=J76,", Footing work is process",IF(C76=J77,", Footing work Completed",IF(C76=J78,", 1st Basement Completed",IF(C76=J79,", 1st &amp; 2nd Basement Completed",IF(C76=J80,", 1st to 3rd Basement Completed",IF(C76=J81,", 1st to 4th Basement Completed",IF(C76=J82,", Plinth work is process",IF(C76=J83,"","0"))))))))))</f>
        <v/>
      </c>
      <c r="S71"/>
    </row>
    <row r="72" spans="1:19" x14ac:dyDescent="0.35">
      <c r="A72" s="47" t="s">
        <v>134</v>
      </c>
      <c r="B72" s="47">
        <f>IF(AND(ISNUMBER(SEARCH("1B",C71))),1,IF(AND(ISNUMBER(SEARCH("2B",C71))),2,IF(AND(ISNUMBER(SEARCH("3B",C71))),3,IF(AND(ISNUMBER(SEARCH("4B",C71))),4,IF(ISNUMBER(SEARCH("5B",C71)),5,0)))))</f>
        <v>0</v>
      </c>
      <c r="C72" s="47" t="s">
        <v>67</v>
      </c>
      <c r="D72" s="47">
        <v>1</v>
      </c>
      <c r="E72" s="47" t="s">
        <v>66</v>
      </c>
      <c r="F72" s="47">
        <v>0</v>
      </c>
      <c r="G72" s="42" t="s">
        <v>75</v>
      </c>
      <c r="H72" s="47">
        <f ca="1">--TRIM(RIGHT(SUBSTITUTE(LEFT(C71,_xlfn.AGGREGATE(16,6,FIND({0,1,2,3,4,5,6,7,8,9},C71,ROW(INDIRECT("1:"&amp;LEN(C71)))),1))," ",REPT(" ",LEN(C71))),LEN(C71)))</f>
        <v>28</v>
      </c>
      <c r="I72" s="73" t="str">
        <f ca="1">IF(I71&lt;&gt;""," Completed","")</f>
        <v xml:space="preserve"> Completed</v>
      </c>
      <c r="J72" s="46" t="str">
        <f ca="1">IF(J70&lt;&gt;"","Completed","")</f>
        <v>Completed</v>
      </c>
      <c r="S72"/>
    </row>
    <row r="73" spans="1:19" x14ac:dyDescent="0.35">
      <c r="A73" s="174" t="s">
        <v>85</v>
      </c>
      <c r="B73" s="174"/>
      <c r="C73" s="176" t="str">
        <f ca="1">I70</f>
        <v>Excavation, Plinth Completed, RCC upto 14 Slab, Brickwork upto 8 Floor Completed</v>
      </c>
      <c r="D73" s="176"/>
      <c r="E73" s="176"/>
      <c r="F73" s="176"/>
      <c r="G73" s="176"/>
      <c r="H73" s="176"/>
      <c r="I73" s="13" t="s">
        <v>133</v>
      </c>
      <c r="J73" s="26">
        <f ca="1">H72*25%</f>
        <v>7</v>
      </c>
      <c r="S73"/>
    </row>
    <row r="74" spans="1:19" x14ac:dyDescent="0.35">
      <c r="A74" s="140" t="s">
        <v>46</v>
      </c>
      <c r="B74" s="140"/>
      <c r="C74" s="92" t="s">
        <v>131</v>
      </c>
      <c r="D74" s="92" t="s">
        <v>78</v>
      </c>
      <c r="E74" s="140" t="s">
        <v>80</v>
      </c>
      <c r="F74" s="140"/>
      <c r="G74" s="140" t="s">
        <v>79</v>
      </c>
      <c r="H74" s="140"/>
      <c r="I74" s="13" t="s">
        <v>94</v>
      </c>
      <c r="J74" s="27">
        <f ca="1">H72*50%</f>
        <v>14</v>
      </c>
    </row>
    <row r="75" spans="1:19" x14ac:dyDescent="0.35">
      <c r="A75" s="140" t="s">
        <v>120</v>
      </c>
      <c r="B75" s="140"/>
      <c r="C75" s="92">
        <f ca="1">J75</f>
        <v>28</v>
      </c>
      <c r="D75" s="18">
        <f ca="1">((100/H72)*C75)/100</f>
        <v>1</v>
      </c>
      <c r="E75" s="240">
        <f ca="1">(((C76/H72*10)+(40/(D72+F72+H72)*C77)+(7.5/(H72)*C78)+(7.5/(H72)*C79)+(10/H72*C80)+(10/H72*C81)+(5/H72*C82)+(5/H72*C83)+(5/H72*C84))/100)</f>
        <v>0.31453201970443351</v>
      </c>
      <c r="F75" s="240"/>
      <c r="G75" s="240">
        <f ca="1">((((C75/H72)*20)+((C76/H72)*25)+(30/(H72+F72+D72)*C77)+(5/H72*C78)+(5/H72*C79)+(5/H72*C80)+(5/H72*C81)+(0/H72*C82)+(0/H72*C83)+(5/H72*C84))/100)</f>
        <v>0.60911330049261092</v>
      </c>
      <c r="H75" s="240"/>
      <c r="I75" s="13" t="s">
        <v>95</v>
      </c>
      <c r="J75" s="27">
        <f ca="1">H72</f>
        <v>28</v>
      </c>
      <c r="S75"/>
    </row>
    <row r="76" spans="1:19" ht="15.75" customHeight="1" x14ac:dyDescent="0.35">
      <c r="A76" s="140" t="s">
        <v>47</v>
      </c>
      <c r="B76" s="140"/>
      <c r="C76" s="48">
        <f ca="1">J83</f>
        <v>28</v>
      </c>
      <c r="D76" s="18">
        <f ca="1">((100/H72)*C76)/100</f>
        <v>1</v>
      </c>
      <c r="E76" s="240"/>
      <c r="F76" s="240"/>
      <c r="G76" s="240"/>
      <c r="H76" s="240"/>
      <c r="I76" s="13" t="s">
        <v>96</v>
      </c>
      <c r="J76" s="28">
        <f ca="1">(IF(B72&gt;1,(H72/(B72+2)),H72/4))</f>
        <v>7</v>
      </c>
      <c r="S76"/>
    </row>
    <row r="77" spans="1:19" ht="15.75" customHeight="1" x14ac:dyDescent="0.35">
      <c r="A77" s="140" t="s">
        <v>121</v>
      </c>
      <c r="B77" s="140"/>
      <c r="C77" s="92">
        <v>14</v>
      </c>
      <c r="D77" s="18">
        <f ca="1">((100/(D72+F72+H72))*C77)/100</f>
        <v>0.48275862068965514</v>
      </c>
      <c r="E77" s="240"/>
      <c r="F77" s="240"/>
      <c r="G77" s="240"/>
      <c r="H77" s="240"/>
      <c r="I77" s="13" t="s">
        <v>97</v>
      </c>
      <c r="J77" s="28">
        <f ca="1">(IF(B72&gt;1,(H72/(B72+2)+J76),H72/4+J76))</f>
        <v>14</v>
      </c>
    </row>
    <row r="78" spans="1:19" ht="15.75" customHeight="1" x14ac:dyDescent="0.35">
      <c r="A78" s="140" t="s">
        <v>128</v>
      </c>
      <c r="B78" s="140" t="s">
        <v>122</v>
      </c>
      <c r="C78" s="92">
        <v>8</v>
      </c>
      <c r="D78" s="18">
        <f ca="1">((100/H72)*C78)/100</f>
        <v>0.28571428571428575</v>
      </c>
      <c r="E78" s="240"/>
      <c r="F78" s="240"/>
      <c r="G78" s="240"/>
      <c r="H78" s="240"/>
      <c r="I78" s="13" t="s">
        <v>138</v>
      </c>
      <c r="J78" s="28">
        <f>(IF(B72&gt;1,(H72/(B72+2)+J77),0))</f>
        <v>0</v>
      </c>
    </row>
    <row r="79" spans="1:19" ht="15" customHeight="1" x14ac:dyDescent="0.35">
      <c r="A79" s="140" t="s">
        <v>129</v>
      </c>
      <c r="B79" s="140" t="s">
        <v>122</v>
      </c>
      <c r="C79" s="92">
        <v>0</v>
      </c>
      <c r="D79" s="18">
        <f ca="1">((100/H72)*C79)/100</f>
        <v>0</v>
      </c>
      <c r="E79" s="240"/>
      <c r="F79" s="240"/>
      <c r="G79" s="240"/>
      <c r="H79" s="240"/>
      <c r="I79" s="13" t="s">
        <v>135</v>
      </c>
      <c r="J79" s="28">
        <f>(IF(B72&gt;2,(H72/(B72+2)+J78),0))</f>
        <v>0</v>
      </c>
    </row>
    <row r="80" spans="1:19" ht="15.75" customHeight="1" x14ac:dyDescent="0.35">
      <c r="A80" s="140" t="s">
        <v>127</v>
      </c>
      <c r="B80" s="140" t="s">
        <v>124</v>
      </c>
      <c r="C80" s="92">
        <v>0</v>
      </c>
      <c r="D80" s="18">
        <f ca="1">((100/(H72))*C80)/100</f>
        <v>0</v>
      </c>
      <c r="E80" s="240"/>
      <c r="F80" s="240"/>
      <c r="G80" s="240"/>
      <c r="H80" s="240"/>
      <c r="I80" s="13" t="s">
        <v>136</v>
      </c>
      <c r="J80" s="29">
        <f>(IF(B72&gt;3,(H72/(B72+2)+J79),0))</f>
        <v>0</v>
      </c>
    </row>
    <row r="81" spans="1:10" ht="15.75" customHeight="1" x14ac:dyDescent="0.35">
      <c r="A81" s="140" t="s">
        <v>123</v>
      </c>
      <c r="B81" s="140" t="s">
        <v>123</v>
      </c>
      <c r="C81" s="92">
        <v>0</v>
      </c>
      <c r="D81" s="18">
        <f ca="1">((100/H72)*C81)/100</f>
        <v>0</v>
      </c>
      <c r="E81" s="240"/>
      <c r="F81" s="240"/>
      <c r="G81" s="240"/>
      <c r="H81" s="240"/>
      <c r="I81" s="13" t="s">
        <v>137</v>
      </c>
      <c r="J81" s="28">
        <f>(IF(B72&gt;4,(H72/(B72+2)+J80),0))</f>
        <v>0</v>
      </c>
    </row>
    <row r="82" spans="1:10" ht="15.75" customHeight="1" x14ac:dyDescent="0.35">
      <c r="A82" s="140" t="s">
        <v>130</v>
      </c>
      <c r="B82" s="140"/>
      <c r="C82" s="92">
        <v>0</v>
      </c>
      <c r="D82" s="18">
        <f ca="1">((100/H72)*C82)/100</f>
        <v>0</v>
      </c>
      <c r="E82" s="240"/>
      <c r="F82" s="240"/>
      <c r="G82" s="240"/>
      <c r="H82" s="240"/>
      <c r="I82" s="13" t="s">
        <v>139</v>
      </c>
      <c r="J82" s="28">
        <f ca="1">(IF(B72=1,(H72/(B72+3)+J77),IF(B72=0,(H72/4+J77),IF(B72&gt;1,0))))</f>
        <v>21</v>
      </c>
    </row>
    <row r="83" spans="1:10" ht="16" thickBot="1" x14ac:dyDescent="0.4">
      <c r="A83" s="140" t="s">
        <v>125</v>
      </c>
      <c r="B83" s="140" t="s">
        <v>125</v>
      </c>
      <c r="C83" s="92">
        <v>0</v>
      </c>
      <c r="D83" s="18">
        <f ca="1">((100/(H72))*C83)/100</f>
        <v>0</v>
      </c>
      <c r="E83" s="240"/>
      <c r="F83" s="240"/>
      <c r="G83" s="240"/>
      <c r="H83" s="240"/>
      <c r="I83" s="14" t="s">
        <v>98</v>
      </c>
      <c r="J83" s="30">
        <f ca="1">(IF(B72&gt;1.5,(H72/(B72+2)+J77+MAX(0,J78-J77)+MAX(0,J79-J78)+MAX(0,J80-J79)+MAX(0,J81-J80)+MAX(0,J82-J81)),IF(B72=1,(H72/(B72+3)+J82),IF(B72=0,H72/4+J82))))</f>
        <v>28</v>
      </c>
    </row>
    <row r="84" spans="1:10" ht="15.75" customHeight="1" x14ac:dyDescent="0.35">
      <c r="A84" s="140" t="s">
        <v>126</v>
      </c>
      <c r="B84" s="140"/>
      <c r="C84" s="92">
        <v>0</v>
      </c>
      <c r="D84" s="18">
        <f ca="1">((100/(H72))*C84)/100</f>
        <v>0</v>
      </c>
      <c r="E84" s="240"/>
      <c r="F84" s="240"/>
      <c r="G84" s="240"/>
      <c r="H84" s="240"/>
      <c r="I84" s="72" t="str">
        <f ca="1">IF(D98=100%,"All work Completed. Possession granted to the Building.",IF(D97=100%,"All work Completed, Waiting for OC",I85&amp;""&amp;I86&amp;""&amp;J85&amp;""&amp;J84&amp;" "&amp;J86))</f>
        <v>Excavation, Plinth Completed, RCC upto 14 Slab, Brickwork upto 8 Floor Completed</v>
      </c>
      <c r="J84" s="44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14 Slab, Brickwork upto 8 Floor</v>
      </c>
    </row>
    <row r="85" spans="1:10" x14ac:dyDescent="0.35">
      <c r="A85" s="235" t="s">
        <v>132</v>
      </c>
      <c r="B85" s="236"/>
      <c r="C85" s="237" t="str">
        <f>D62</f>
        <v>Wing B = Gr + 1st to 28th Floor</v>
      </c>
      <c r="D85" s="238"/>
      <c r="E85" s="238"/>
      <c r="F85" s="238"/>
      <c r="G85" s="238"/>
      <c r="H85" s="239"/>
      <c r="I85" s="45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5" s="46" t="str">
        <f ca="1">(IF(C89=0,"Work not yet Started.",IF(D89=25%,"Piling work in process",IF(D89=50%,"Excavation work in process",IF(D89=100%,"","0")))))&amp;(IF(C90=0%,"",IF(C90=J90,", Footing work is process",IF(C90=J91,", Footing work Completed",IF(C90=J92,", 1st Basement Completed",IF(C90=J93,", 1st &amp; 2nd Basement Completed",IF(C90=J94,", 1st to 3rd Basement Completed",IF(C90=J95,", 1st to 4th Basement Completed",IF(C90=J96,", Plinth work is process",IF(C90=J97,"","0"))))))))))</f>
        <v/>
      </c>
    </row>
    <row r="86" spans="1:10" x14ac:dyDescent="0.35">
      <c r="A86" s="15" t="s">
        <v>134</v>
      </c>
      <c r="B86" s="47">
        <f>IF(AND(ISNUMBER(SEARCH("1B",C85))),1,IF(AND(ISNUMBER(SEARCH("2B",C85))),2,IF(AND(ISNUMBER(SEARCH("3B",C85))),3,IF(AND(ISNUMBER(SEARCH("4B",C85))),4,IF(ISNUMBER(SEARCH("5B",C85)),5,0)))))</f>
        <v>0</v>
      </c>
      <c r="C86" s="47" t="s">
        <v>67</v>
      </c>
      <c r="D86" s="47">
        <v>1</v>
      </c>
      <c r="E86" s="47" t="s">
        <v>66</v>
      </c>
      <c r="F86" s="47">
        <v>0</v>
      </c>
      <c r="G86" s="47" t="s">
        <v>75</v>
      </c>
      <c r="H86" s="16">
        <f ca="1">--TRIM(RIGHT(SUBSTITUTE(LEFT(C85,_xlfn.AGGREGATE(16,6,FIND({0,1,2,3,4,5,6,7,8,9},C85,ROW(INDIRECT("1:"&amp;LEN(C85)))),1))," ",REPT(" ",LEN(C85))),LEN(C85)))</f>
        <v>28</v>
      </c>
      <c r="I86" s="45" t="str">
        <f ca="1">IF(I85&lt;&gt;""," Completed","")</f>
        <v xml:space="preserve"> Completed</v>
      </c>
      <c r="J86" s="46" t="str">
        <f ca="1">IF(J84&lt;&gt;"","Completed","")</f>
        <v>Completed</v>
      </c>
    </row>
    <row r="87" spans="1:10" ht="15.75" customHeight="1" x14ac:dyDescent="0.35">
      <c r="A87" s="198" t="s">
        <v>85</v>
      </c>
      <c r="B87" s="174"/>
      <c r="C87" s="176" t="str">
        <f ca="1">(IF($G$56="NA",I84,"All work Completed. OC Received."))</f>
        <v>Excavation, Plinth Completed, RCC upto 14 Slab, Brickwork upto 8 Floor Completed</v>
      </c>
      <c r="D87" s="176"/>
      <c r="E87" s="176"/>
      <c r="F87" s="176"/>
      <c r="G87" s="176"/>
      <c r="H87" s="200"/>
      <c r="I87" s="13" t="s">
        <v>133</v>
      </c>
      <c r="J87" s="26">
        <f ca="1">H86*25%</f>
        <v>7</v>
      </c>
    </row>
    <row r="88" spans="1:10" x14ac:dyDescent="0.35">
      <c r="A88" s="133" t="s">
        <v>46</v>
      </c>
      <c r="B88" s="134"/>
      <c r="C88" s="59" t="s">
        <v>131</v>
      </c>
      <c r="D88" s="59" t="s">
        <v>78</v>
      </c>
      <c r="E88" s="134" t="s">
        <v>80</v>
      </c>
      <c r="F88" s="134"/>
      <c r="G88" s="134" t="s">
        <v>79</v>
      </c>
      <c r="H88" s="152"/>
      <c r="I88" s="13" t="s">
        <v>94</v>
      </c>
      <c r="J88" s="27">
        <f ca="1">H86*50%</f>
        <v>14</v>
      </c>
    </row>
    <row r="89" spans="1:10" x14ac:dyDescent="0.35">
      <c r="A89" s="133" t="s">
        <v>120</v>
      </c>
      <c r="B89" s="134"/>
      <c r="C89" s="59">
        <f ca="1">J89</f>
        <v>28</v>
      </c>
      <c r="D89" s="60">
        <f ca="1">((100/H86)*C89)/100</f>
        <v>1</v>
      </c>
      <c r="E89" s="153">
        <f ca="1">(((C90/H86*10)+(40/(D86+F86+H86)*C91)+(7.5/(H86)*C92)+(7.5/(H86)*C93)+(10/H86*C94)+(10/H86*C95)+(5/H86*C96)+(5/H86*C97)+(5/H86*C98))/100)</f>
        <v>0.31453201970443351</v>
      </c>
      <c r="F89" s="154"/>
      <c r="G89" s="153">
        <f ca="1">((((C89/H86)*20)+((C90/H86)*25)+(30/(H86+F86+D86)*C91)+(5/H86*C92)+(5/H86*C93)+(5/H86*C94)+(5/H86*C95)+(0/H86*C96)+(0/H86*C97)+(5/H86*C98))/100)</f>
        <v>0.60911330049261092</v>
      </c>
      <c r="H89" s="179"/>
      <c r="I89" s="13" t="s">
        <v>95</v>
      </c>
      <c r="J89" s="27">
        <f ca="1">H86</f>
        <v>28</v>
      </c>
    </row>
    <row r="90" spans="1:10" ht="15.75" customHeight="1" x14ac:dyDescent="0.35">
      <c r="A90" s="133" t="s">
        <v>47</v>
      </c>
      <c r="B90" s="134"/>
      <c r="C90" s="61">
        <f ca="1">J97</f>
        <v>28</v>
      </c>
      <c r="D90" s="60">
        <f ca="1">((100/H86)*C90)/100</f>
        <v>1</v>
      </c>
      <c r="E90" s="155"/>
      <c r="F90" s="156"/>
      <c r="G90" s="155"/>
      <c r="H90" s="180"/>
      <c r="I90" s="13" t="s">
        <v>96</v>
      </c>
      <c r="J90" s="28">
        <f ca="1">(IF(B86&gt;1,(H86/(B86+2)),H86/4))</f>
        <v>7</v>
      </c>
    </row>
    <row r="91" spans="1:10" ht="15.75" customHeight="1" x14ac:dyDescent="0.35">
      <c r="A91" s="133" t="s">
        <v>121</v>
      </c>
      <c r="B91" s="134"/>
      <c r="C91" s="59">
        <v>14</v>
      </c>
      <c r="D91" s="60">
        <f ca="1">((100/(D86+F86+H86))*C91)/100</f>
        <v>0.48275862068965514</v>
      </c>
      <c r="E91" s="155"/>
      <c r="F91" s="156"/>
      <c r="G91" s="155"/>
      <c r="H91" s="180"/>
      <c r="I91" s="13" t="s">
        <v>97</v>
      </c>
      <c r="J91" s="28">
        <f ca="1">(IF(B86&gt;1,(H86/(B86+2)+J90),H86/4+J90))</f>
        <v>14</v>
      </c>
    </row>
    <row r="92" spans="1:10" ht="15.75" customHeight="1" x14ac:dyDescent="0.35">
      <c r="A92" s="133" t="s">
        <v>128</v>
      </c>
      <c r="B92" s="134" t="s">
        <v>122</v>
      </c>
      <c r="C92" s="59">
        <v>8</v>
      </c>
      <c r="D92" s="60">
        <f ca="1">((100/H86)*C92)/100</f>
        <v>0.28571428571428575</v>
      </c>
      <c r="E92" s="155"/>
      <c r="F92" s="156"/>
      <c r="G92" s="155"/>
      <c r="H92" s="180"/>
      <c r="I92" s="13" t="s">
        <v>138</v>
      </c>
      <c r="J92" s="28">
        <f>(IF(B86&gt;1,(H86/(B86+2)+J91),0))</f>
        <v>0</v>
      </c>
    </row>
    <row r="93" spans="1:10" ht="15" customHeight="1" x14ac:dyDescent="0.35">
      <c r="A93" s="133" t="s">
        <v>129</v>
      </c>
      <c r="B93" s="134" t="s">
        <v>122</v>
      </c>
      <c r="C93" s="59">
        <v>0</v>
      </c>
      <c r="D93" s="60">
        <f ca="1">((100/H86)*C93)/100</f>
        <v>0</v>
      </c>
      <c r="E93" s="155"/>
      <c r="F93" s="156"/>
      <c r="G93" s="155"/>
      <c r="H93" s="180"/>
      <c r="I93" s="13" t="s">
        <v>135</v>
      </c>
      <c r="J93" s="28">
        <f>(IF(B86&gt;2,(H86/(B86+2)+J92),0))</f>
        <v>0</v>
      </c>
    </row>
    <row r="94" spans="1:10" ht="15.75" customHeight="1" x14ac:dyDescent="0.35">
      <c r="A94" s="133" t="s">
        <v>127</v>
      </c>
      <c r="B94" s="134" t="s">
        <v>124</v>
      </c>
      <c r="C94" s="59">
        <v>0</v>
      </c>
      <c r="D94" s="60">
        <f ca="1">((100/(H86))*C94)/100</f>
        <v>0</v>
      </c>
      <c r="E94" s="155"/>
      <c r="F94" s="156"/>
      <c r="G94" s="155"/>
      <c r="H94" s="180"/>
      <c r="I94" s="13" t="s">
        <v>136</v>
      </c>
      <c r="J94" s="29">
        <f>(IF(B86&gt;3,(H86/(B86+2)+J93),0))</f>
        <v>0</v>
      </c>
    </row>
    <row r="95" spans="1:10" ht="15.75" customHeight="1" x14ac:dyDescent="0.35">
      <c r="A95" s="133" t="s">
        <v>123</v>
      </c>
      <c r="B95" s="134" t="s">
        <v>123</v>
      </c>
      <c r="C95" s="59">
        <v>0</v>
      </c>
      <c r="D95" s="60">
        <f ca="1">((100/H86)*C95)/100</f>
        <v>0</v>
      </c>
      <c r="E95" s="155"/>
      <c r="F95" s="156"/>
      <c r="G95" s="155"/>
      <c r="H95" s="180"/>
      <c r="I95" s="13" t="s">
        <v>137</v>
      </c>
      <c r="J95" s="28">
        <f>(IF(B86&gt;4,(H86/(B86+2)+J94),0))</f>
        <v>0</v>
      </c>
    </row>
    <row r="96" spans="1:10" ht="15.75" customHeight="1" x14ac:dyDescent="0.35">
      <c r="A96" s="133" t="s">
        <v>130</v>
      </c>
      <c r="B96" s="134"/>
      <c r="C96" s="59">
        <v>0</v>
      </c>
      <c r="D96" s="60">
        <f ca="1">((100/H86)*C96)/100</f>
        <v>0</v>
      </c>
      <c r="E96" s="155"/>
      <c r="F96" s="156"/>
      <c r="G96" s="155"/>
      <c r="H96" s="180"/>
      <c r="I96" s="13" t="s">
        <v>139</v>
      </c>
      <c r="J96" s="28">
        <f ca="1">(IF(B86=1,(H86/(B86+3)+J91),IF(B86=0,(H86/4+J91),IF(B86&gt;1,0))))</f>
        <v>21</v>
      </c>
    </row>
    <row r="97" spans="1:10" ht="16" thickBot="1" x14ac:dyDescent="0.4">
      <c r="A97" s="133" t="s">
        <v>125</v>
      </c>
      <c r="B97" s="134" t="s">
        <v>125</v>
      </c>
      <c r="C97" s="59">
        <v>0</v>
      </c>
      <c r="D97" s="60">
        <f ca="1">((100/(H86))*C97)/100</f>
        <v>0</v>
      </c>
      <c r="E97" s="155"/>
      <c r="F97" s="156"/>
      <c r="G97" s="155"/>
      <c r="H97" s="180"/>
      <c r="I97" s="14" t="s">
        <v>98</v>
      </c>
      <c r="J97" s="30">
        <f ca="1">(IF(B86&gt;1.5,(H86/(B86+2)+J91+MAX(0,J92-J91)+MAX(0,J93-J92)+MAX(0,J94-J93)+MAX(0,J95-J94)+MAX(0,J96-J95)),IF(B86=1,(H86/(B86+3)+J96),IF(B86=0,H86/4+J96))))</f>
        <v>28</v>
      </c>
    </row>
    <row r="98" spans="1:10" ht="15.75" customHeight="1" thickBot="1" x14ac:dyDescent="0.4">
      <c r="A98" s="218" t="s">
        <v>126</v>
      </c>
      <c r="B98" s="219"/>
      <c r="C98" s="62">
        <v>0</v>
      </c>
      <c r="D98" s="63">
        <f ca="1">((100/(H86))*C98)/100</f>
        <v>0</v>
      </c>
      <c r="E98" s="157"/>
      <c r="F98" s="158"/>
      <c r="G98" s="157"/>
      <c r="H98" s="227"/>
      <c r="I98" s="43" t="str">
        <f ca="1">IF(D112=100%,"All work Completed. Possession granted to the Building.",IF(D111=100%,"All work Completed, Waiting for OC",I99&amp;""&amp;I100&amp;""&amp;J99&amp;""&amp;J98&amp;" "&amp;J100))</f>
        <v>All work Completed. Possession granted to the Building.</v>
      </c>
      <c r="J98" s="44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99" spans="1:10" x14ac:dyDescent="0.35">
      <c r="A99" s="186" t="s">
        <v>132</v>
      </c>
      <c r="B99" s="187"/>
      <c r="C99" s="147" t="str">
        <f>D63</f>
        <v>Wing E = Gr + 1st to 4th Floor</v>
      </c>
      <c r="D99" s="148"/>
      <c r="E99" s="148"/>
      <c r="F99" s="148"/>
      <c r="G99" s="148"/>
      <c r="H99" s="149"/>
      <c r="I99" s="45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Brickwork, Internal Plaster, External Plaster, Flooring, Painting, Building common Amenities</v>
      </c>
      <c r="J99" s="46" t="str">
        <f ca="1">(IF(C103=0,"Work not yet Started.",IF(D103=25%,"Piling work in process",IF(D103=50%,"Excavation work in process",IF(D103=100%,"","0")))))&amp;(IF(C104=0%,"",IF(C104=J104,", Footing work is process",IF(C104=J105,", Footing work Completed",IF(C104=J106,", 1st Basement Completed",IF(C104=J107,", 1st &amp; 2nd Basement Completed",IF(C104=J108,", 1st to 3rd Basement Completed",IF(C104=J109,", 1st to 4th Basement Completed",IF(C104=J110,", Plinth work is process",IF(C104=J111,"","0"))))))))))</f>
        <v/>
      </c>
    </row>
    <row r="100" spans="1:10" x14ac:dyDescent="0.35">
      <c r="A100" s="15" t="s">
        <v>134</v>
      </c>
      <c r="B100" s="47">
        <f>IF(AND(ISNUMBER(SEARCH("1B",C99))),1,IF(AND(ISNUMBER(SEARCH("2B",C99))),2,IF(AND(ISNUMBER(SEARCH("3B",C99))),3,IF(AND(ISNUMBER(SEARCH("4B",C99))),4,IF(ISNUMBER(SEARCH("5B",C99)),5,0)))))</f>
        <v>0</v>
      </c>
      <c r="C100" s="47" t="s">
        <v>67</v>
      </c>
      <c r="D100" s="47">
        <v>1</v>
      </c>
      <c r="E100" s="47" t="s">
        <v>66</v>
      </c>
      <c r="F100" s="47">
        <v>0</v>
      </c>
      <c r="G100" s="47" t="s">
        <v>75</v>
      </c>
      <c r="H100" s="16">
        <f ca="1">--TRIM(RIGHT(SUBSTITUTE(LEFT(C99,_xlfn.AGGREGATE(16,6,FIND({0,1,2,3,4,5,6,7,8,9},C99,ROW(INDIRECT("1:"&amp;LEN(C99)))),1))," ",REPT(" ",LEN(C99))),LEN(C99)))</f>
        <v>4</v>
      </c>
      <c r="I100" s="45" t="str">
        <f ca="1">IF(I99&lt;&gt;""," Completed","")</f>
        <v xml:space="preserve"> Completed</v>
      </c>
      <c r="J100" s="46" t="str">
        <f ca="1">IF(J98&lt;&gt;"","Completed","")</f>
        <v/>
      </c>
    </row>
    <row r="101" spans="1:10" x14ac:dyDescent="0.35">
      <c r="A101" s="198" t="s">
        <v>85</v>
      </c>
      <c r="B101" s="174"/>
      <c r="C101" s="176" t="str">
        <f ca="1">(IF($G$56="NA",I98,"All work Completed. OC Received."))</f>
        <v>All work Completed. Possession granted to the Building.</v>
      </c>
      <c r="D101" s="176"/>
      <c r="E101" s="176"/>
      <c r="F101" s="176"/>
      <c r="G101" s="176"/>
      <c r="H101" s="200"/>
      <c r="I101" s="13" t="s">
        <v>133</v>
      </c>
      <c r="J101" s="26">
        <f ca="1">H100*25%</f>
        <v>1</v>
      </c>
    </row>
    <row r="102" spans="1:10" x14ac:dyDescent="0.35">
      <c r="A102" s="133" t="s">
        <v>46</v>
      </c>
      <c r="B102" s="134"/>
      <c r="C102" s="59" t="s">
        <v>131</v>
      </c>
      <c r="D102" s="59" t="s">
        <v>78</v>
      </c>
      <c r="E102" s="134" t="s">
        <v>80</v>
      </c>
      <c r="F102" s="134"/>
      <c r="G102" s="134" t="s">
        <v>79</v>
      </c>
      <c r="H102" s="152"/>
      <c r="I102" s="13" t="s">
        <v>94</v>
      </c>
      <c r="J102" s="27">
        <f ca="1">H100*50%</f>
        <v>2</v>
      </c>
    </row>
    <row r="103" spans="1:10" x14ac:dyDescent="0.35">
      <c r="A103" s="133" t="s">
        <v>120</v>
      </c>
      <c r="B103" s="134"/>
      <c r="C103" s="59">
        <f ca="1">J103</f>
        <v>4</v>
      </c>
      <c r="D103" s="60">
        <f ca="1">((100/H100)*C103)/100</f>
        <v>1</v>
      </c>
      <c r="E103" s="153">
        <f ca="1">(((C104/H100*10)+(40/(D100+F100+H100)*C105)+(7.5/(H100)*C106)+(7.5/(H100)*C107)+(10/H100*C108)+(10/H100*C109)+(5/H100*C110)+(5/H100*C111)+(5/H100*C112))/100)</f>
        <v>1</v>
      </c>
      <c r="F103" s="154"/>
      <c r="G103" s="153">
        <f ca="1">((((C103/H100)*20)+((C104/H100)*25)+(30/(H100+F100+D100)*C105)+(5/H100*C106)+(5/H100*C107)+(5/H100*C108)+(5/H100*C109)+(0/H100*C110)+(0/H100*C111)+(5/H100*C112))/100)</f>
        <v>1</v>
      </c>
      <c r="H103" s="179"/>
      <c r="I103" s="13" t="s">
        <v>95</v>
      </c>
      <c r="J103" s="27">
        <f ca="1">H100</f>
        <v>4</v>
      </c>
    </row>
    <row r="104" spans="1:10" ht="15.75" customHeight="1" x14ac:dyDescent="0.35">
      <c r="A104" s="133" t="s">
        <v>47</v>
      </c>
      <c r="B104" s="134"/>
      <c r="C104" s="61">
        <f ca="1">J111</f>
        <v>4</v>
      </c>
      <c r="D104" s="60">
        <f ca="1">((100/H100)*C104)/100</f>
        <v>1</v>
      </c>
      <c r="E104" s="155"/>
      <c r="F104" s="156"/>
      <c r="G104" s="155"/>
      <c r="H104" s="180"/>
      <c r="I104" s="13" t="s">
        <v>96</v>
      </c>
      <c r="J104" s="28">
        <f ca="1">(IF(B100&gt;1,(H100/(B100+2)),H100/4))</f>
        <v>1</v>
      </c>
    </row>
    <row r="105" spans="1:10" ht="15.75" customHeight="1" x14ac:dyDescent="0.35">
      <c r="A105" s="133" t="s">
        <v>121</v>
      </c>
      <c r="B105" s="134"/>
      <c r="C105" s="59">
        <v>5</v>
      </c>
      <c r="D105" s="60">
        <f ca="1">((100/(D100+F100+H100))*C105)/100</f>
        <v>1</v>
      </c>
      <c r="E105" s="155"/>
      <c r="F105" s="156"/>
      <c r="G105" s="155"/>
      <c r="H105" s="180"/>
      <c r="I105" s="13" t="s">
        <v>97</v>
      </c>
      <c r="J105" s="28">
        <f ca="1">(IF(B100&gt;1,(H100/(B100+2)+J104),H100/4+J104))</f>
        <v>2</v>
      </c>
    </row>
    <row r="106" spans="1:10" ht="15.75" customHeight="1" x14ac:dyDescent="0.35">
      <c r="A106" s="133" t="s">
        <v>128</v>
      </c>
      <c r="B106" s="134" t="s">
        <v>122</v>
      </c>
      <c r="C106" s="59">
        <v>4</v>
      </c>
      <c r="D106" s="60">
        <f ca="1">((100/H100)*C106)/100</f>
        <v>1</v>
      </c>
      <c r="E106" s="155"/>
      <c r="F106" s="156"/>
      <c r="G106" s="155"/>
      <c r="H106" s="180"/>
      <c r="I106" s="13" t="s">
        <v>138</v>
      </c>
      <c r="J106" s="28">
        <f>(IF(B100&gt;1,(H100/(B100+2)+J105),0))</f>
        <v>0</v>
      </c>
    </row>
    <row r="107" spans="1:10" ht="15" customHeight="1" x14ac:dyDescent="0.35">
      <c r="A107" s="133" t="s">
        <v>129</v>
      </c>
      <c r="B107" s="134" t="s">
        <v>122</v>
      </c>
      <c r="C107" s="59">
        <v>4</v>
      </c>
      <c r="D107" s="60">
        <f ca="1">((100/H100)*C107)/100</f>
        <v>1</v>
      </c>
      <c r="E107" s="155"/>
      <c r="F107" s="156"/>
      <c r="G107" s="155"/>
      <c r="H107" s="180"/>
      <c r="I107" s="13" t="s">
        <v>135</v>
      </c>
      <c r="J107" s="28">
        <f>(IF(B100&gt;2,(H100/(B100+2)+J106),0))</f>
        <v>0</v>
      </c>
    </row>
    <row r="108" spans="1:10" ht="15.75" customHeight="1" x14ac:dyDescent="0.35">
      <c r="A108" s="133" t="s">
        <v>127</v>
      </c>
      <c r="B108" s="134" t="s">
        <v>124</v>
      </c>
      <c r="C108" s="59">
        <v>4</v>
      </c>
      <c r="D108" s="60">
        <f ca="1">((100/(H100))*C108)/100</f>
        <v>1</v>
      </c>
      <c r="E108" s="155"/>
      <c r="F108" s="156"/>
      <c r="G108" s="155"/>
      <c r="H108" s="180"/>
      <c r="I108" s="13" t="s">
        <v>136</v>
      </c>
      <c r="J108" s="29">
        <f>(IF(B100&gt;3,(H100/(B100+2)+J107),0))</f>
        <v>0</v>
      </c>
    </row>
    <row r="109" spans="1:10" ht="15.75" customHeight="1" x14ac:dyDescent="0.35">
      <c r="A109" s="133" t="s">
        <v>123</v>
      </c>
      <c r="B109" s="134" t="s">
        <v>123</v>
      </c>
      <c r="C109" s="59">
        <v>4</v>
      </c>
      <c r="D109" s="60">
        <f ca="1">((100/H100)*C109)/100</f>
        <v>1</v>
      </c>
      <c r="E109" s="155"/>
      <c r="F109" s="156"/>
      <c r="G109" s="155"/>
      <c r="H109" s="180"/>
      <c r="I109" s="13" t="s">
        <v>137</v>
      </c>
      <c r="J109" s="28">
        <f>(IF(B100&gt;4,(H100/(B100+2)+J108),0))</f>
        <v>0</v>
      </c>
    </row>
    <row r="110" spans="1:10" ht="15.75" customHeight="1" x14ac:dyDescent="0.35">
      <c r="A110" s="133" t="s">
        <v>130</v>
      </c>
      <c r="B110" s="134"/>
      <c r="C110" s="59">
        <v>4</v>
      </c>
      <c r="D110" s="60">
        <f ca="1">((100/H100)*C110)/100</f>
        <v>1</v>
      </c>
      <c r="E110" s="155"/>
      <c r="F110" s="156"/>
      <c r="G110" s="155"/>
      <c r="H110" s="180"/>
      <c r="I110" s="13" t="s">
        <v>139</v>
      </c>
      <c r="J110" s="28">
        <f ca="1">(IF(B100=1,(H100/(B100+3)+J105),IF(B100=0,(H100/4+J105),IF(B100&gt;1,0))))</f>
        <v>3</v>
      </c>
    </row>
    <row r="111" spans="1:10" ht="16" thickBot="1" x14ac:dyDescent="0.4">
      <c r="A111" s="133" t="s">
        <v>125</v>
      </c>
      <c r="B111" s="134" t="s">
        <v>125</v>
      </c>
      <c r="C111" s="59">
        <v>4</v>
      </c>
      <c r="D111" s="60">
        <f ca="1">((100/(H100))*C111)/100</f>
        <v>1</v>
      </c>
      <c r="E111" s="155"/>
      <c r="F111" s="156"/>
      <c r="G111" s="155"/>
      <c r="H111" s="180"/>
      <c r="I111" s="14" t="s">
        <v>98</v>
      </c>
      <c r="J111" s="30">
        <f ca="1">(IF(B100&gt;1.5,(H100/(B100+2)+J105+MAX(0,J106-J105)+MAX(0,J107-J106)+MAX(0,J108-J107)+MAX(0,J109-J108)+MAX(0,J110-J109)),IF(B100=1,(H100/(B100+3)+J110),IF(B100=0,H100/4+J110))))</f>
        <v>4</v>
      </c>
    </row>
    <row r="112" spans="1:10" x14ac:dyDescent="0.35">
      <c r="A112" s="163" t="s">
        <v>126</v>
      </c>
      <c r="B112" s="164"/>
      <c r="C112" s="74">
        <v>4</v>
      </c>
      <c r="D112" s="75">
        <f ca="1">((100/(H100))*C112)/100</f>
        <v>1</v>
      </c>
      <c r="E112" s="155"/>
      <c r="F112" s="156"/>
      <c r="G112" s="155"/>
      <c r="H112" s="180"/>
    </row>
    <row r="113" spans="1:11" x14ac:dyDescent="0.35">
      <c r="A113" s="131" t="s">
        <v>149</v>
      </c>
      <c r="B113" s="131"/>
      <c r="C113" s="131"/>
      <c r="D113" s="131"/>
      <c r="E113" s="131"/>
      <c r="F113" s="132" t="s">
        <v>153</v>
      </c>
      <c r="G113" s="132"/>
      <c r="H113" s="132"/>
    </row>
    <row r="114" spans="1:11" x14ac:dyDescent="0.35">
      <c r="A114" s="121" t="s">
        <v>151</v>
      </c>
      <c r="B114" s="121"/>
      <c r="C114" s="121"/>
      <c r="D114" s="121"/>
      <c r="E114" s="121"/>
      <c r="F114" s="130">
        <v>7750</v>
      </c>
      <c r="G114" s="130"/>
      <c r="H114" s="130"/>
      <c r="I114" s="19" t="s">
        <v>355</v>
      </c>
    </row>
    <row r="115" spans="1:11" x14ac:dyDescent="0.35">
      <c r="A115" s="121" t="s">
        <v>150</v>
      </c>
      <c r="B115" s="121"/>
      <c r="C115" s="121"/>
      <c r="D115" s="121"/>
      <c r="E115" s="121"/>
      <c r="F115" s="130">
        <v>14000</v>
      </c>
      <c r="G115" s="130"/>
      <c r="H115" s="130"/>
    </row>
    <row r="116" spans="1:11" s="31" customFormat="1" x14ac:dyDescent="0.3">
      <c r="A116" s="121" t="s">
        <v>152</v>
      </c>
      <c r="B116" s="121"/>
      <c r="C116" s="121"/>
      <c r="D116" s="121"/>
      <c r="E116" s="121"/>
      <c r="F116" s="130">
        <v>11000</v>
      </c>
      <c r="G116" s="130"/>
      <c r="H116" s="130"/>
    </row>
    <row r="117" spans="1:11" s="31" customFormat="1" hidden="1" x14ac:dyDescent="0.3">
      <c r="A117" s="121" t="s">
        <v>168</v>
      </c>
      <c r="B117" s="121"/>
      <c r="C117" s="121"/>
      <c r="D117" s="121"/>
      <c r="E117" s="121"/>
      <c r="F117" s="130"/>
      <c r="G117" s="130"/>
      <c r="H117" s="130"/>
    </row>
    <row r="118" spans="1:11" s="31" customFormat="1" x14ac:dyDescent="0.3">
      <c r="A118" s="121" t="s">
        <v>353</v>
      </c>
      <c r="B118" s="121"/>
      <c r="C118" s="121"/>
      <c r="D118" s="121"/>
      <c r="E118" s="121"/>
      <c r="F118" s="130">
        <v>255000</v>
      </c>
      <c r="G118" s="130"/>
      <c r="H118" s="130"/>
    </row>
    <row r="119" spans="1:11" s="31" customFormat="1" hidden="1" x14ac:dyDescent="0.3">
      <c r="A119" s="121" t="s">
        <v>89</v>
      </c>
      <c r="B119" s="121"/>
      <c r="C119" s="121"/>
      <c r="D119" s="121"/>
      <c r="E119" s="121"/>
      <c r="F119" s="130"/>
      <c r="G119" s="130"/>
      <c r="H119" s="130"/>
    </row>
    <row r="120" spans="1:11" s="31" customFormat="1" hidden="1" x14ac:dyDescent="0.3">
      <c r="A120" s="121" t="s">
        <v>90</v>
      </c>
      <c r="B120" s="121"/>
      <c r="C120" s="121"/>
      <c r="D120" s="121"/>
      <c r="E120" s="121"/>
      <c r="F120" s="130"/>
      <c r="G120" s="130"/>
      <c r="H120" s="130"/>
    </row>
    <row r="121" spans="1:11" s="31" customFormat="1" hidden="1" x14ac:dyDescent="0.3">
      <c r="A121" s="121" t="s">
        <v>91</v>
      </c>
      <c r="B121" s="121"/>
      <c r="C121" s="121"/>
      <c r="D121" s="121"/>
      <c r="E121" s="121"/>
      <c r="F121" s="130"/>
      <c r="G121" s="130"/>
      <c r="H121" s="130"/>
    </row>
    <row r="122" spans="1:11" s="31" customFormat="1" hidden="1" x14ac:dyDescent="0.3">
      <c r="A122" s="121" t="s">
        <v>92</v>
      </c>
      <c r="B122" s="121"/>
      <c r="C122" s="121"/>
      <c r="D122" s="121"/>
      <c r="E122" s="121"/>
      <c r="F122" s="130"/>
      <c r="G122" s="130"/>
      <c r="H122" s="130"/>
    </row>
    <row r="123" spans="1:11" hidden="1" x14ac:dyDescent="0.35">
      <c r="A123" s="121" t="s">
        <v>93</v>
      </c>
      <c r="B123" s="121"/>
      <c r="C123" s="121"/>
      <c r="D123" s="121"/>
      <c r="E123" s="121"/>
      <c r="F123" s="130"/>
      <c r="G123" s="130"/>
      <c r="H123" s="130"/>
    </row>
    <row r="124" spans="1:11" s="32" customFormat="1" x14ac:dyDescent="0.35">
      <c r="A124" s="121" t="s">
        <v>48</v>
      </c>
      <c r="B124" s="121"/>
      <c r="C124" s="121"/>
      <c r="D124" s="121"/>
      <c r="E124" s="121"/>
      <c r="F124" s="130">
        <v>300000</v>
      </c>
      <c r="G124" s="130"/>
      <c r="H124" s="130"/>
    </row>
    <row r="125" spans="1:11" s="33" customFormat="1" ht="15.75" customHeight="1" x14ac:dyDescent="0.35">
      <c r="A125" s="131" t="s">
        <v>49</v>
      </c>
      <c r="B125" s="131"/>
      <c r="C125" s="131"/>
      <c r="D125" s="131"/>
      <c r="E125" s="131"/>
      <c r="F125" s="130">
        <f>F114*0.8</f>
        <v>6200</v>
      </c>
      <c r="G125" s="130"/>
      <c r="H125" s="130"/>
    </row>
    <row r="126" spans="1:11" s="33" customFormat="1" ht="15.75" customHeight="1" x14ac:dyDescent="0.35">
      <c r="A126" s="169" t="s">
        <v>70</v>
      </c>
      <c r="B126" s="169"/>
      <c r="C126" s="169"/>
      <c r="D126" s="169"/>
      <c r="E126" s="169"/>
      <c r="F126" s="169"/>
      <c r="G126" s="169"/>
      <c r="H126" s="169"/>
    </row>
    <row r="127" spans="1:11" s="33" customFormat="1" x14ac:dyDescent="0.35">
      <c r="A127" s="159" t="s">
        <v>50</v>
      </c>
      <c r="B127" s="159"/>
      <c r="C127" s="165" t="s">
        <v>73</v>
      </c>
      <c r="D127" s="165"/>
      <c r="E127" s="160" t="s">
        <v>51</v>
      </c>
      <c r="F127" s="160"/>
      <c r="G127" s="159" t="s">
        <v>52</v>
      </c>
      <c r="H127" s="159"/>
    </row>
    <row r="128" spans="1:11" s="33" customFormat="1" x14ac:dyDescent="0.35">
      <c r="A128" s="91" t="s">
        <v>275</v>
      </c>
      <c r="B128" s="82" t="s">
        <v>276</v>
      </c>
      <c r="C128" s="193">
        <f>COUNT(F144:F147)</f>
        <v>4</v>
      </c>
      <c r="D128" s="194"/>
      <c r="E128" s="150">
        <f>SUM(F144:F147)</f>
        <v>6607.5890399999989</v>
      </c>
      <c r="F128" s="151"/>
      <c r="G128" s="150">
        <f>SUM(H144:H147)</f>
        <v>9911.3835599999984</v>
      </c>
      <c r="H128" s="151"/>
      <c r="I128" s="66" t="s">
        <v>313</v>
      </c>
      <c r="K128" s="66" t="s">
        <v>314</v>
      </c>
    </row>
    <row r="129" spans="1:14" s="33" customFormat="1" x14ac:dyDescent="0.35">
      <c r="A129" s="225" t="s">
        <v>285</v>
      </c>
      <c r="B129" s="82" t="s">
        <v>276</v>
      </c>
      <c r="C129" s="193">
        <f>COUNT(F152)</f>
        <v>1</v>
      </c>
      <c r="D129" s="194"/>
      <c r="E129" s="150">
        <f>SUM(F152)</f>
        <v>1719.0646199999996</v>
      </c>
      <c r="F129" s="151"/>
      <c r="G129" s="150">
        <f>SUM(H152)</f>
        <v>2578.5969299999997</v>
      </c>
      <c r="H129" s="151"/>
      <c r="I129" s="65">
        <f>4950000/H174</f>
        <v>7189.3975679601335</v>
      </c>
      <c r="J129" s="33" t="s">
        <v>279</v>
      </c>
      <c r="K129" s="33">
        <v>6200000</v>
      </c>
      <c r="L129" s="65">
        <f>6000000/H175</f>
        <v>8714.4212944971314</v>
      </c>
    </row>
    <row r="130" spans="1:14" s="33" customFormat="1" x14ac:dyDescent="0.35">
      <c r="A130" s="226"/>
      <c r="B130" s="82" t="s">
        <v>286</v>
      </c>
      <c r="C130" s="150">
        <f>COUNT(D154:D155)+COUNT(D157:D160)+COUNT(D162:D164)+COUNT(D166:D168)</f>
        <v>12</v>
      </c>
      <c r="D130" s="151"/>
      <c r="E130" s="150">
        <f>SUM(F154:F155)+SUM(F157:F160)+SUM(F162:F164)+SUM(F166:F168)</f>
        <v>9659.9257560000005</v>
      </c>
      <c r="F130" s="151"/>
      <c r="G130" s="150">
        <f>SUM(H154:H155)+SUM(H157:H160)+SUM(H162:H164)+SUM(H166:H168)</f>
        <v>14489.888634000001</v>
      </c>
      <c r="H130" s="151"/>
      <c r="I130" s="65">
        <f>7500000/H188</f>
        <v>6117.1827942997861</v>
      </c>
      <c r="J130" s="33" t="s">
        <v>280</v>
      </c>
      <c r="K130" s="33">
        <v>8200000</v>
      </c>
      <c r="L130" s="65">
        <f>8000000/H188</f>
        <v>6524.9949805864389</v>
      </c>
    </row>
    <row r="131" spans="1:14" s="33" customFormat="1" x14ac:dyDescent="0.35">
      <c r="A131" s="169" t="s">
        <v>142</v>
      </c>
      <c r="B131" s="169"/>
      <c r="C131" s="222">
        <f>SUM(C128:C130)</f>
        <v>17</v>
      </c>
      <c r="D131" s="211"/>
      <c r="E131" s="223">
        <f>SUM(E128:E130)</f>
        <v>17986.579416</v>
      </c>
      <c r="F131" s="224"/>
      <c r="G131" s="162">
        <f>SUM(G128:G130)</f>
        <v>26979.869123999997</v>
      </c>
      <c r="H131" s="162"/>
      <c r="I131" s="67">
        <f>AVERAGE(I129:I130)</f>
        <v>6653.2901811299598</v>
      </c>
      <c r="J131" s="33" t="s">
        <v>281</v>
      </c>
      <c r="K131" s="33">
        <v>11300000</v>
      </c>
      <c r="L131" s="67">
        <f>AVERAGE(L129:L130)</f>
        <v>7619.7081375417856</v>
      </c>
    </row>
    <row r="132" spans="1:14" s="33" customFormat="1" ht="15.75" customHeight="1" x14ac:dyDescent="0.35">
      <c r="A132" s="169" t="s">
        <v>65</v>
      </c>
      <c r="B132" s="169"/>
      <c r="C132" s="169"/>
      <c r="D132" s="169"/>
      <c r="E132" s="169"/>
      <c r="F132" s="169"/>
      <c r="G132" s="169"/>
      <c r="H132" s="169"/>
    </row>
    <row r="133" spans="1:14" s="33" customFormat="1" x14ac:dyDescent="0.35">
      <c r="A133" s="162" t="s">
        <v>50</v>
      </c>
      <c r="B133" s="162"/>
      <c r="C133" s="211" t="s">
        <v>73</v>
      </c>
      <c r="D133" s="211"/>
      <c r="E133" s="224" t="s">
        <v>51</v>
      </c>
      <c r="F133" s="224"/>
      <c r="G133" s="162" t="s">
        <v>52</v>
      </c>
      <c r="H133" s="162"/>
      <c r="I133" s="33" t="s">
        <v>322</v>
      </c>
    </row>
    <row r="134" spans="1:14" s="33" customFormat="1" x14ac:dyDescent="0.35">
      <c r="A134" s="170" t="s">
        <v>274</v>
      </c>
      <c r="B134" s="170"/>
      <c r="C134" s="185">
        <f>COUNT(D174:D181)+COUNT(D183:D190)*20+COUNT(D192:D195,D197:D199)*2+COUNT(D201:D209)*3</f>
        <v>206</v>
      </c>
      <c r="D134" s="185"/>
      <c r="E134" s="185">
        <f>SUM(F174:F181)+SUM(F183:F190)*20+SUM(F192:F195,F197:F199)*2+SUM(F201:F209)*3</f>
        <v>116633.445786</v>
      </c>
      <c r="F134" s="185"/>
      <c r="G134" s="185">
        <f>SUM(H174:H181)+SUM(H183:H190)*20+SUM(H192:H195,H197:H199)*2+SUM(H201:H209)*3</f>
        <v>175262.303151</v>
      </c>
      <c r="H134" s="185"/>
      <c r="I134" s="33" t="s">
        <v>322</v>
      </c>
      <c r="J134" s="66" t="s">
        <v>315</v>
      </c>
      <c r="K134" s="33">
        <v>7500</v>
      </c>
      <c r="L134" s="69">
        <v>0.5</v>
      </c>
    </row>
    <row r="135" spans="1:14" s="33" customFormat="1" x14ac:dyDescent="0.35">
      <c r="A135" s="170" t="s">
        <v>287</v>
      </c>
      <c r="B135" s="170"/>
      <c r="C135" s="185">
        <f>COUNT(D212:D218)*21+COUNT(D220:D225,D227)*5</f>
        <v>182</v>
      </c>
      <c r="D135" s="185"/>
      <c r="E135" s="185">
        <f>SUM(F212:F218)*21+SUM(F220:F225,F227)*5</f>
        <v>99364.79826000001</v>
      </c>
      <c r="F135" s="185"/>
      <c r="G135" s="185">
        <f>SUM(H212:H218)*21+SUM(H220:H225,H227)*5</f>
        <v>149047.19738999996</v>
      </c>
      <c r="H135" s="185"/>
    </row>
    <row r="136" spans="1:14" s="33" customFormat="1" ht="16" thickBot="1" x14ac:dyDescent="0.4">
      <c r="A136" s="220" t="s">
        <v>142</v>
      </c>
      <c r="B136" s="220"/>
      <c r="C136" s="166">
        <f>SUM(C134:D135)</f>
        <v>388</v>
      </c>
      <c r="D136" s="166"/>
      <c r="E136" s="221">
        <f>SUM(E134:F135)</f>
        <v>215998.24404600001</v>
      </c>
      <c r="F136" s="221"/>
      <c r="G136" s="221">
        <f>SUM(G134:H135)</f>
        <v>324309.50054099993</v>
      </c>
      <c r="H136" s="221"/>
      <c r="I136" s="64" t="s">
        <v>312</v>
      </c>
    </row>
    <row r="137" spans="1:14" s="32" customFormat="1" ht="16" thickBot="1" x14ac:dyDescent="0.4">
      <c r="A137" s="229" t="s">
        <v>159</v>
      </c>
      <c r="B137" s="230"/>
      <c r="C137" s="231">
        <f>C131+C136</f>
        <v>405</v>
      </c>
      <c r="D137" s="232"/>
      <c r="E137" s="213">
        <f>E131+E136</f>
        <v>233984.823462</v>
      </c>
      <c r="F137" s="213"/>
      <c r="G137" s="213">
        <f>G131+G136</f>
        <v>351289.36966499995</v>
      </c>
      <c r="H137" s="214"/>
    </row>
    <row r="138" spans="1:14" x14ac:dyDescent="0.35">
      <c r="A138" s="228" t="s">
        <v>331</v>
      </c>
      <c r="B138" s="228"/>
      <c r="C138" s="228"/>
      <c r="D138" s="228"/>
      <c r="E138" s="228"/>
      <c r="F138" s="228"/>
      <c r="G138" s="228"/>
      <c r="H138" s="228"/>
    </row>
    <row r="139" spans="1:14" x14ac:dyDescent="0.35">
      <c r="A139" s="129" t="s">
        <v>167</v>
      </c>
      <c r="B139" s="129"/>
      <c r="C139" s="129"/>
      <c r="D139" s="129"/>
      <c r="E139" s="129"/>
      <c r="F139" s="129"/>
      <c r="G139" s="129"/>
      <c r="H139" s="129"/>
    </row>
    <row r="140" spans="1:14" s="35" customFormat="1" ht="44.25" customHeight="1" x14ac:dyDescent="0.35">
      <c r="A140" s="171" t="s">
        <v>277</v>
      </c>
      <c r="B140" s="171" t="s">
        <v>169</v>
      </c>
      <c r="C140" s="171" t="s">
        <v>53</v>
      </c>
      <c r="D140" s="171" t="s">
        <v>224</v>
      </c>
      <c r="E140" s="188" t="s">
        <v>148</v>
      </c>
      <c r="F140" s="171" t="s">
        <v>54</v>
      </c>
      <c r="G140" s="188" t="s">
        <v>55</v>
      </c>
      <c r="H140" s="57" t="s">
        <v>141</v>
      </c>
    </row>
    <row r="141" spans="1:14" s="55" customFormat="1" x14ac:dyDescent="0.35">
      <c r="A141" s="172"/>
      <c r="B141" s="172"/>
      <c r="C141" s="172"/>
      <c r="D141" s="172"/>
      <c r="E141" s="189"/>
      <c r="F141" s="172"/>
      <c r="G141" s="189"/>
      <c r="H141" s="56">
        <v>0.5</v>
      </c>
      <c r="J141" s="34"/>
    </row>
    <row r="142" spans="1:14" s="35" customFormat="1" x14ac:dyDescent="0.35">
      <c r="A142" s="215" t="s">
        <v>275</v>
      </c>
      <c r="B142" s="216"/>
      <c r="C142" s="216"/>
      <c r="D142" s="216"/>
      <c r="E142" s="216"/>
      <c r="F142" s="216"/>
      <c r="G142" s="216"/>
      <c r="H142" s="217"/>
      <c r="J142" s="34"/>
    </row>
    <row r="143" spans="1:14" s="35" customFormat="1" ht="15.75" customHeight="1" x14ac:dyDescent="0.35">
      <c r="A143" s="107" t="s">
        <v>332</v>
      </c>
      <c r="B143" s="108"/>
      <c r="C143" s="108"/>
      <c r="D143" s="108"/>
      <c r="E143" s="108"/>
      <c r="F143" s="108"/>
      <c r="G143" s="108"/>
      <c r="H143" s="109"/>
      <c r="I143" s="34"/>
      <c r="J143" s="54">
        <v>10.763999999999999</v>
      </c>
      <c r="L143" s="103"/>
      <c r="M143" s="103"/>
      <c r="N143" s="34"/>
    </row>
    <row r="144" spans="1:14" s="35" customFormat="1" ht="15.75" customHeight="1" x14ac:dyDescent="0.35">
      <c r="A144" s="116">
        <v>1</v>
      </c>
      <c r="B144" s="117"/>
      <c r="C144" s="58" t="s">
        <v>276</v>
      </c>
      <c r="D144" s="58">
        <f>(175.24)*10.764</f>
        <v>1886.2833599999999</v>
      </c>
      <c r="E144" s="58">
        <v>0</v>
      </c>
      <c r="F144" s="58">
        <f>D144+E144</f>
        <v>1886.2833599999999</v>
      </c>
      <c r="G144" s="58">
        <v>0</v>
      </c>
      <c r="H144" s="58">
        <f>(D144+E144)*(($H$141)+1)</f>
        <v>2829.4250400000001</v>
      </c>
      <c r="I144" s="34">
        <f>24*6.25</f>
        <v>150</v>
      </c>
      <c r="L144" s="103"/>
      <c r="M144" s="103"/>
      <c r="N144" s="34"/>
    </row>
    <row r="145" spans="1:14" s="35" customFormat="1" ht="15.75" customHeight="1" x14ac:dyDescent="0.35">
      <c r="A145" s="116">
        <f>A144+1</f>
        <v>2</v>
      </c>
      <c r="B145" s="117"/>
      <c r="C145" s="58" t="s">
        <v>276</v>
      </c>
      <c r="D145" s="58">
        <f>(150.54)*10.764</f>
        <v>1620.4125599999998</v>
      </c>
      <c r="E145" s="58">
        <v>0</v>
      </c>
      <c r="F145" s="58">
        <f>D145+E145</f>
        <v>1620.4125599999998</v>
      </c>
      <c r="G145" s="58">
        <v>0</v>
      </c>
      <c r="H145" s="58">
        <f>(D145+E145)*(($H$141)+1)</f>
        <v>2430.6188399999996</v>
      </c>
      <c r="I145" s="34"/>
      <c r="L145" s="103"/>
      <c r="M145" s="103"/>
      <c r="N145" s="34"/>
    </row>
    <row r="146" spans="1:14" s="35" customFormat="1" ht="15.75" customHeight="1" x14ac:dyDescent="0.35">
      <c r="A146" s="116">
        <f>A145+1</f>
        <v>3</v>
      </c>
      <c r="B146" s="117"/>
      <c r="C146" s="58" t="s">
        <v>276</v>
      </c>
      <c r="D146" s="58">
        <f>(168.74)*10.764</f>
        <v>1816.31736</v>
      </c>
      <c r="E146" s="58">
        <v>0</v>
      </c>
      <c r="F146" s="58">
        <f>D146+E146</f>
        <v>1816.31736</v>
      </c>
      <c r="G146" s="58">
        <v>0</v>
      </c>
      <c r="H146" s="58">
        <f>(D146+E146)*(($H$141)+1)</f>
        <v>2724.47604</v>
      </c>
      <c r="I146" s="34"/>
      <c r="L146" s="103"/>
      <c r="M146" s="103"/>
      <c r="N146" s="34"/>
    </row>
    <row r="147" spans="1:14" s="55" customFormat="1" x14ac:dyDescent="0.35">
      <c r="A147" s="116">
        <f>A146+1</f>
        <v>4</v>
      </c>
      <c r="B147" s="117"/>
      <c r="C147" s="58" t="s">
        <v>276</v>
      </c>
      <c r="D147" s="58">
        <f>(119.34)*10.764</f>
        <v>1284.5757599999999</v>
      </c>
      <c r="E147" s="58">
        <v>0</v>
      </c>
      <c r="F147" s="58">
        <f>D147+E147</f>
        <v>1284.5757599999999</v>
      </c>
      <c r="G147" s="58">
        <v>0</v>
      </c>
      <c r="H147" s="58">
        <f>(D147+E147)*(($H$141)+1)</f>
        <v>1926.86364</v>
      </c>
      <c r="J147" s="34"/>
    </row>
    <row r="148" spans="1:14" s="55" customFormat="1" x14ac:dyDescent="0.35">
      <c r="A148" s="107" t="s">
        <v>333</v>
      </c>
      <c r="B148" s="108"/>
      <c r="C148" s="108"/>
      <c r="D148" s="108"/>
      <c r="E148" s="108"/>
      <c r="F148" s="108"/>
      <c r="G148" s="108"/>
      <c r="H148" s="109"/>
      <c r="J148" s="34"/>
    </row>
    <row r="149" spans="1:14" s="55" customFormat="1" x14ac:dyDescent="0.35">
      <c r="A149" s="107" t="s">
        <v>334</v>
      </c>
      <c r="B149" s="108"/>
      <c r="C149" s="108"/>
      <c r="D149" s="108"/>
      <c r="E149" s="108"/>
      <c r="F149" s="108"/>
      <c r="G149" s="108"/>
      <c r="H149" s="109"/>
      <c r="J149" s="34"/>
    </row>
    <row r="150" spans="1:14" s="55" customFormat="1" x14ac:dyDescent="0.35">
      <c r="A150" s="215" t="s">
        <v>285</v>
      </c>
      <c r="B150" s="216"/>
      <c r="C150" s="216"/>
      <c r="D150" s="216"/>
      <c r="E150" s="216"/>
      <c r="F150" s="216"/>
      <c r="G150" s="216"/>
      <c r="H150" s="217"/>
      <c r="I150" s="34"/>
    </row>
    <row r="151" spans="1:14" s="55" customFormat="1" ht="15.75" customHeight="1" x14ac:dyDescent="0.35">
      <c r="A151" s="107" t="s">
        <v>332</v>
      </c>
      <c r="B151" s="108"/>
      <c r="C151" s="108"/>
      <c r="D151" s="108"/>
      <c r="E151" s="108"/>
      <c r="F151" s="108"/>
      <c r="G151" s="108"/>
      <c r="H151" s="109"/>
      <c r="I151" s="34"/>
      <c r="L151" s="103"/>
      <c r="M151" s="103"/>
      <c r="N151" s="34"/>
    </row>
    <row r="152" spans="1:14" s="55" customFormat="1" x14ac:dyDescent="0.35">
      <c r="A152" s="116">
        <v>1</v>
      </c>
      <c r="B152" s="117"/>
      <c r="C152" s="58" t="s">
        <v>276</v>
      </c>
      <c r="D152" s="58">
        <f>(8.45*18.9)*10.764</f>
        <v>1719.0646199999996</v>
      </c>
      <c r="E152" s="58">
        <v>0</v>
      </c>
      <c r="F152" s="58">
        <f>D152+E152</f>
        <v>1719.0646199999996</v>
      </c>
      <c r="G152" s="58">
        <v>0</v>
      </c>
      <c r="H152" s="58">
        <f>(D152+E152)*(($H$141)+1)</f>
        <v>2578.5969299999997</v>
      </c>
      <c r="I152" s="34"/>
    </row>
    <row r="153" spans="1:14" s="55" customFormat="1" ht="15.75" customHeight="1" x14ac:dyDescent="0.35">
      <c r="A153" s="107" t="s">
        <v>335</v>
      </c>
      <c r="B153" s="108"/>
      <c r="C153" s="108"/>
      <c r="D153" s="108"/>
      <c r="E153" s="108"/>
      <c r="F153" s="108"/>
      <c r="G153" s="108"/>
      <c r="H153" s="109"/>
      <c r="I153" s="34">
        <f>10.4*20.7</f>
        <v>215.28</v>
      </c>
      <c r="L153" s="103"/>
      <c r="M153" s="103"/>
      <c r="N153" s="34"/>
    </row>
    <row r="154" spans="1:14" s="55" customFormat="1" ht="16.5" customHeight="1" x14ac:dyDescent="0.35">
      <c r="A154" s="116">
        <v>1</v>
      </c>
      <c r="B154" s="117"/>
      <c r="C154" s="58" t="s">
        <v>286</v>
      </c>
      <c r="D154" s="58">
        <f>(10.4*20.7)*10.764</f>
        <v>2317.2739200000001</v>
      </c>
      <c r="E154" s="58">
        <v>0</v>
      </c>
      <c r="F154" s="58">
        <f>D154+E154</f>
        <v>2317.2739200000001</v>
      </c>
      <c r="G154" s="58">
        <v>0</v>
      </c>
      <c r="H154" s="58">
        <f>(D154+E154)*(($H$141)+1)</f>
        <v>3475.9108800000004</v>
      </c>
      <c r="I154" s="34">
        <f>4.54*4+3.11*2.23</f>
        <v>25.095300000000002</v>
      </c>
      <c r="L154" s="103"/>
      <c r="M154" s="103"/>
      <c r="N154" s="34"/>
    </row>
    <row r="155" spans="1:14" s="78" customFormat="1" x14ac:dyDescent="0.35">
      <c r="A155" s="116">
        <f>A154+1</f>
        <v>2</v>
      </c>
      <c r="B155" s="117"/>
      <c r="C155" s="58" t="s">
        <v>286</v>
      </c>
      <c r="D155" s="58">
        <f>(25.58)*10.764</f>
        <v>275.34311999999994</v>
      </c>
      <c r="E155" s="58">
        <v>0</v>
      </c>
      <c r="F155" s="58">
        <f>D155+E155</f>
        <v>275.34311999999994</v>
      </c>
      <c r="G155" s="58">
        <v>0</v>
      </c>
      <c r="H155" s="58">
        <f>(D155+E155)*(($H$141)+1)</f>
        <v>413.01467999999988</v>
      </c>
      <c r="I155" s="34"/>
    </row>
    <row r="156" spans="1:14" s="78" customFormat="1" ht="15.75" customHeight="1" x14ac:dyDescent="0.35">
      <c r="A156" s="107" t="s">
        <v>326</v>
      </c>
      <c r="B156" s="108"/>
      <c r="C156" s="108"/>
      <c r="D156" s="108"/>
      <c r="E156" s="108"/>
      <c r="F156" s="108"/>
      <c r="G156" s="108"/>
      <c r="H156" s="109"/>
      <c r="I156" s="34">
        <f>8.25*5.18</f>
        <v>42.734999999999999</v>
      </c>
      <c r="L156" s="103"/>
      <c r="M156" s="103"/>
      <c r="N156" s="34"/>
    </row>
    <row r="157" spans="1:14" s="78" customFormat="1" ht="15.75" customHeight="1" x14ac:dyDescent="0.35">
      <c r="A157" s="116">
        <v>1</v>
      </c>
      <c r="B157" s="117"/>
      <c r="C157" s="58" t="s">
        <v>286</v>
      </c>
      <c r="D157" s="58">
        <f>(8.25*5.18)*10.764</f>
        <v>459.99953999999997</v>
      </c>
      <c r="E157" s="58">
        <v>0</v>
      </c>
      <c r="F157" s="58">
        <f>D157+E157</f>
        <v>459.99953999999997</v>
      </c>
      <c r="G157" s="58">
        <v>0</v>
      </c>
      <c r="H157" s="58">
        <f>(D157+E157)*(($H$141)+1)</f>
        <v>689.99930999999992</v>
      </c>
      <c r="I157" s="34"/>
      <c r="L157" s="103"/>
      <c r="M157" s="103"/>
      <c r="N157" s="34"/>
    </row>
    <row r="158" spans="1:14" s="78" customFormat="1" ht="15.75" customHeight="1" x14ac:dyDescent="0.35">
      <c r="A158" s="116">
        <f>A157+1</f>
        <v>2</v>
      </c>
      <c r="B158" s="117"/>
      <c r="C158" s="58" t="s">
        <v>286</v>
      </c>
      <c r="D158" s="58">
        <f>(8.25*5.18)*10.764</f>
        <v>459.99953999999997</v>
      </c>
      <c r="E158" s="58">
        <v>0</v>
      </c>
      <c r="F158" s="58">
        <f>D158+E158</f>
        <v>459.99953999999997</v>
      </c>
      <c r="G158" s="58">
        <v>0</v>
      </c>
      <c r="H158" s="58">
        <f>(D158+E158)*(($H$141)+1)</f>
        <v>689.99930999999992</v>
      </c>
      <c r="I158" s="58">
        <v>10.763999999999999</v>
      </c>
      <c r="L158" s="103"/>
      <c r="M158" s="103"/>
      <c r="N158" s="34"/>
    </row>
    <row r="159" spans="1:14" s="78" customFormat="1" ht="15.75" customHeight="1" x14ac:dyDescent="0.35">
      <c r="A159" s="116">
        <f t="shared" ref="A159:A160" si="0">A158+1</f>
        <v>3</v>
      </c>
      <c r="B159" s="117"/>
      <c r="C159" s="58" t="s">
        <v>286</v>
      </c>
      <c r="D159" s="58">
        <f>(8.25*5.18)*10.764</f>
        <v>459.99953999999997</v>
      </c>
      <c r="E159" s="58">
        <v>0</v>
      </c>
      <c r="F159" s="58">
        <f>D159+E159</f>
        <v>459.99953999999997</v>
      </c>
      <c r="G159" s="58">
        <v>0</v>
      </c>
      <c r="H159" s="58">
        <f>(D159+E159)*(($H$141)+1)</f>
        <v>689.99930999999992</v>
      </c>
      <c r="I159" s="34"/>
      <c r="L159" s="103"/>
      <c r="M159" s="103"/>
      <c r="N159" s="34"/>
    </row>
    <row r="160" spans="1:14" s="78" customFormat="1" x14ac:dyDescent="0.35">
      <c r="A160" s="116">
        <f t="shared" si="0"/>
        <v>4</v>
      </c>
      <c r="B160" s="117"/>
      <c r="C160" s="58" t="s">
        <v>286</v>
      </c>
      <c r="D160" s="58">
        <f>(10.4*4.71)*10.764</f>
        <v>527.26377600000001</v>
      </c>
      <c r="E160" s="58">
        <v>0</v>
      </c>
      <c r="F160" s="58">
        <f>D160+E160</f>
        <v>527.26377600000001</v>
      </c>
      <c r="G160" s="58">
        <v>0</v>
      </c>
      <c r="H160" s="58">
        <f>(D160+E160)*(($H$141)+1)</f>
        <v>790.89566400000001</v>
      </c>
      <c r="I160" s="34"/>
    </row>
    <row r="161" spans="1:14" s="78" customFormat="1" ht="15.75" customHeight="1" x14ac:dyDescent="0.35">
      <c r="A161" s="241" t="s">
        <v>324</v>
      </c>
      <c r="B161" s="241"/>
      <c r="C161" s="241"/>
      <c r="D161" s="241"/>
      <c r="E161" s="241"/>
      <c r="F161" s="241"/>
      <c r="G161" s="241"/>
      <c r="H161" s="241"/>
      <c r="I161" s="34"/>
      <c r="L161" s="103"/>
      <c r="M161" s="103"/>
      <c r="N161" s="34"/>
    </row>
    <row r="162" spans="1:14" s="78" customFormat="1" ht="15.75" customHeight="1" x14ac:dyDescent="0.35">
      <c r="A162" s="242">
        <v>1</v>
      </c>
      <c r="B162" s="242"/>
      <c r="C162" s="58" t="s">
        <v>286</v>
      </c>
      <c r="D162" s="58">
        <f>(10.4*20.7)*10.764</f>
        <v>2317.2739200000001</v>
      </c>
      <c r="E162" s="58">
        <v>0</v>
      </c>
      <c r="F162" s="58">
        <f>D162+E162</f>
        <v>2317.2739200000001</v>
      </c>
      <c r="G162" s="58">
        <v>0</v>
      </c>
      <c r="H162" s="58">
        <f>(D162+E162)*(($H$141)+1)</f>
        <v>3475.9108800000004</v>
      </c>
      <c r="I162" s="34"/>
      <c r="L162" s="103"/>
      <c r="M162" s="103"/>
      <c r="N162" s="34"/>
    </row>
    <row r="163" spans="1:14" s="78" customFormat="1" ht="15.75" customHeight="1" x14ac:dyDescent="0.35">
      <c r="A163" s="242">
        <f>A162+1</f>
        <v>2</v>
      </c>
      <c r="B163" s="242"/>
      <c r="C163" s="58" t="s">
        <v>286</v>
      </c>
      <c r="D163" s="58">
        <f>(12.16)*10.764</f>
        <v>130.89024000000001</v>
      </c>
      <c r="E163" s="58">
        <v>0</v>
      </c>
      <c r="F163" s="58">
        <f>D163+E163</f>
        <v>130.89024000000001</v>
      </c>
      <c r="G163" s="58">
        <v>0</v>
      </c>
      <c r="H163" s="58">
        <f>(D163+E163)*(($H$141)+1)</f>
        <v>196.33536000000001</v>
      </c>
      <c r="I163" s="58">
        <v>10.763999999999999</v>
      </c>
      <c r="L163" s="103"/>
      <c r="M163" s="103"/>
      <c r="N163" s="34"/>
    </row>
    <row r="164" spans="1:14" s="78" customFormat="1" x14ac:dyDescent="0.35">
      <c r="A164" s="242">
        <f t="shared" ref="A164" si="1">A163+1</f>
        <v>3</v>
      </c>
      <c r="B164" s="242"/>
      <c r="C164" s="58" t="s">
        <v>286</v>
      </c>
      <c r="D164" s="58">
        <f>(12.25)*10.764</f>
        <v>131.85899999999998</v>
      </c>
      <c r="E164" s="58">
        <v>0</v>
      </c>
      <c r="F164" s="58">
        <f>D164+E164</f>
        <v>131.85899999999998</v>
      </c>
      <c r="G164" s="58">
        <v>0</v>
      </c>
      <c r="H164" s="58">
        <f>(D164+E164)*(($H$141)+1)</f>
        <v>197.78849999999997</v>
      </c>
      <c r="I164" s="34"/>
    </row>
    <row r="165" spans="1:14" s="78" customFormat="1" ht="15.75" customHeight="1" x14ac:dyDescent="0.35">
      <c r="A165" s="241" t="s">
        <v>325</v>
      </c>
      <c r="B165" s="241"/>
      <c r="C165" s="241"/>
      <c r="D165" s="241"/>
      <c r="E165" s="241"/>
      <c r="F165" s="241"/>
      <c r="G165" s="241"/>
      <c r="H165" s="241"/>
      <c r="I165" s="34"/>
      <c r="L165" s="103"/>
      <c r="M165" s="103"/>
      <c r="N165" s="34"/>
    </row>
    <row r="166" spans="1:14" s="78" customFormat="1" ht="15.75" customHeight="1" x14ac:dyDescent="0.35">
      <c r="A166" s="242">
        <v>1</v>
      </c>
      <c r="B166" s="242"/>
      <c r="C166" s="58" t="s">
        <v>286</v>
      </c>
      <c r="D166" s="58">
        <f>(10.4*20.7)*10.764</f>
        <v>2317.2739200000001</v>
      </c>
      <c r="E166" s="58">
        <v>0</v>
      </c>
      <c r="F166" s="58">
        <f>D166+E166</f>
        <v>2317.2739200000001</v>
      </c>
      <c r="G166" s="58">
        <v>0</v>
      </c>
      <c r="H166" s="58">
        <f>(D166+E166)*(($H$141)+1)</f>
        <v>3475.9108800000004</v>
      </c>
      <c r="I166" s="34"/>
      <c r="L166" s="103"/>
      <c r="M166" s="103"/>
      <c r="N166" s="34"/>
    </row>
    <row r="167" spans="1:14" s="78" customFormat="1" ht="15.75" customHeight="1" x14ac:dyDescent="0.35">
      <c r="A167" s="242">
        <f>A166+1</f>
        <v>2</v>
      </c>
      <c r="B167" s="242"/>
      <c r="C167" s="58" t="s">
        <v>286</v>
      </c>
      <c r="D167" s="58">
        <f>(12.16)*10.764</f>
        <v>130.89024000000001</v>
      </c>
      <c r="E167" s="58">
        <v>0</v>
      </c>
      <c r="F167" s="58">
        <f>D167+E167</f>
        <v>130.89024000000001</v>
      </c>
      <c r="G167" s="58">
        <v>0</v>
      </c>
      <c r="H167" s="58">
        <f>(D167+E167)*(($H$141)+1)</f>
        <v>196.33536000000001</v>
      </c>
      <c r="I167" s="58">
        <v>10.763999999999999</v>
      </c>
      <c r="L167" s="103"/>
      <c r="M167" s="103"/>
      <c r="N167" s="34"/>
    </row>
    <row r="168" spans="1:14" s="35" customFormat="1" x14ac:dyDescent="0.35">
      <c r="A168" s="242">
        <f t="shared" ref="A168" si="2">A167+1</f>
        <v>3</v>
      </c>
      <c r="B168" s="242"/>
      <c r="C168" s="58" t="s">
        <v>286</v>
      </c>
      <c r="D168" s="58">
        <f>(12.25)*10.764</f>
        <v>131.85899999999998</v>
      </c>
      <c r="E168" s="58">
        <v>0</v>
      </c>
      <c r="F168" s="58">
        <f>D168+E168</f>
        <v>131.85899999999998</v>
      </c>
      <c r="G168" s="58">
        <v>0</v>
      </c>
      <c r="H168" s="58">
        <f>(D168+E168)*(($H$141)+1)</f>
        <v>197.78849999999997</v>
      </c>
      <c r="I168" s="53"/>
      <c r="J168" s="34"/>
      <c r="N168" s="34"/>
    </row>
    <row r="169" spans="1:14" x14ac:dyDescent="0.35">
      <c r="A169" s="102"/>
      <c r="B169" s="102"/>
      <c r="C169" s="102"/>
      <c r="D169" s="102"/>
      <c r="E169" s="102"/>
      <c r="F169" s="102"/>
      <c r="G169" s="102"/>
      <c r="H169" s="102"/>
      <c r="I169" s="35"/>
      <c r="J169" s="34"/>
    </row>
    <row r="170" spans="1:14" s="35" customFormat="1" ht="30" x14ac:dyDescent="0.35">
      <c r="A170" s="243" t="s">
        <v>113</v>
      </c>
      <c r="B170" s="243" t="s">
        <v>170</v>
      </c>
      <c r="C170" s="243" t="s">
        <v>53</v>
      </c>
      <c r="D170" s="243" t="s">
        <v>344</v>
      </c>
      <c r="E170" s="243" t="s">
        <v>337</v>
      </c>
      <c r="F170" s="243" t="s">
        <v>54</v>
      </c>
      <c r="G170" s="244" t="s">
        <v>55</v>
      </c>
      <c r="H170" s="245" t="s">
        <v>141</v>
      </c>
      <c r="I170" s="34">
        <f>2.9*4.27+2.36*3.3+2.9*2.35+1.8*1.2+1.2*1.8+0.6*1.2</f>
        <v>32.026000000000003</v>
      </c>
    </row>
    <row r="171" spans="1:14" s="53" customFormat="1" x14ac:dyDescent="0.35">
      <c r="A171" s="243"/>
      <c r="B171" s="243"/>
      <c r="C171" s="243"/>
      <c r="D171" s="243"/>
      <c r="E171" s="243"/>
      <c r="F171" s="243"/>
      <c r="G171" s="244"/>
      <c r="H171" s="246">
        <v>0.5</v>
      </c>
      <c r="I171" s="34"/>
    </row>
    <row r="172" spans="1:14" s="35" customFormat="1" x14ac:dyDescent="0.35">
      <c r="A172" s="115" t="s">
        <v>278</v>
      </c>
      <c r="B172" s="115"/>
      <c r="C172" s="115"/>
      <c r="D172" s="115"/>
      <c r="E172" s="115"/>
      <c r="F172" s="115"/>
      <c r="G172" s="115"/>
      <c r="H172" s="115"/>
      <c r="I172" s="34">
        <f>1</f>
        <v>1</v>
      </c>
    </row>
    <row r="173" spans="1:14" s="35" customFormat="1" ht="15.75" customHeight="1" x14ac:dyDescent="0.35">
      <c r="A173" s="111" t="s">
        <v>336</v>
      </c>
      <c r="B173" s="111"/>
      <c r="C173" s="111"/>
      <c r="D173" s="111"/>
      <c r="E173" s="111"/>
      <c r="F173" s="111"/>
      <c r="G173" s="111"/>
      <c r="H173" s="111"/>
      <c r="I173" s="35">
        <f>2.9*4.27+2.9*3.35+2.3*3.9+1.35*1.2+1.88*1.35+1.4*0.7</f>
        <v>36.205999999999989</v>
      </c>
      <c r="J173" s="35">
        <f>2.9+2+0.75*2.9</f>
        <v>7.0750000000000002</v>
      </c>
      <c r="K173" s="35">
        <f>I173-J173</f>
        <v>29.13099999999999</v>
      </c>
      <c r="L173" s="103"/>
      <c r="M173" s="103"/>
      <c r="N173" s="34"/>
    </row>
    <row r="174" spans="1:14" s="35" customFormat="1" ht="15.75" customHeight="1" x14ac:dyDescent="0.35">
      <c r="A174" s="102">
        <v>1</v>
      </c>
      <c r="B174" s="102"/>
      <c r="C174" s="90" t="s">
        <v>279</v>
      </c>
      <c r="D174" s="90">
        <f>(32.31+(2.9+2.3+2.9*0.72))*10.764</f>
        <v>426.23287199999999</v>
      </c>
      <c r="E174" s="90">
        <f>(2.9*1.05)*10.764</f>
        <v>32.776379999999996</v>
      </c>
      <c r="F174" s="90">
        <f t="shared" ref="F174:F181" si="3">D174+E174</f>
        <v>459.009252</v>
      </c>
      <c r="G174" s="90">
        <v>0</v>
      </c>
      <c r="H174" s="90">
        <f t="shared" ref="H174:H181" si="4">F174*(($H$171)+1)+(IF(G174&lt;101,G174,IF(G174&lt;201,G174/2,IF(G174&lt;=301,G174/3,G174/4))))</f>
        <v>688.51387799999998</v>
      </c>
      <c r="I174" s="54">
        <v>10.763999999999999</v>
      </c>
      <c r="L174" s="103"/>
      <c r="M174" s="103"/>
      <c r="N174" s="34"/>
    </row>
    <row r="175" spans="1:14" s="35" customFormat="1" ht="15.75" customHeight="1" x14ac:dyDescent="0.35">
      <c r="A175" s="102">
        <v>2</v>
      </c>
      <c r="B175" s="102"/>
      <c r="C175" s="90" t="s">
        <v>279</v>
      </c>
      <c r="D175" s="90">
        <f>(32.31+(2.9+2.3+2.9*0.72))*10.764</f>
        <v>426.23287199999999</v>
      </c>
      <c r="E175" s="90">
        <f>(2.9*1.05)*10.764</f>
        <v>32.776379999999996</v>
      </c>
      <c r="F175" s="90">
        <f t="shared" si="3"/>
        <v>459.009252</v>
      </c>
      <c r="G175" s="90">
        <v>0</v>
      </c>
      <c r="H175" s="90">
        <f t="shared" si="4"/>
        <v>688.51387799999998</v>
      </c>
      <c r="I175" s="34"/>
      <c r="L175" s="103"/>
      <c r="M175" s="103"/>
      <c r="N175" s="34"/>
    </row>
    <row r="176" spans="1:14" s="35" customFormat="1" ht="15.75" customHeight="1" x14ac:dyDescent="0.35">
      <c r="A176" s="105">
        <v>3</v>
      </c>
      <c r="B176" s="106"/>
      <c r="C176" s="79" t="s">
        <v>279</v>
      </c>
      <c r="D176" s="79">
        <f>(32.31+(2.9+2.3+2.9*0.72))*10.764</f>
        <v>426.23287199999999</v>
      </c>
      <c r="E176" s="79">
        <f>(2.9*1.05)*10.764</f>
        <v>32.776379999999996</v>
      </c>
      <c r="F176" s="51">
        <f t="shared" si="3"/>
        <v>459.009252</v>
      </c>
      <c r="G176" s="54">
        <f>(1.8*2.9+2.75*1+1.4*3.13)*10.764</f>
        <v>132.956928</v>
      </c>
      <c r="H176" s="51">
        <f t="shared" si="4"/>
        <v>754.99234200000001</v>
      </c>
      <c r="I176" s="34"/>
      <c r="L176" s="103"/>
      <c r="M176" s="103"/>
      <c r="N176" s="34"/>
    </row>
    <row r="177" spans="1:14" s="55" customFormat="1" ht="15.75" customHeight="1" x14ac:dyDescent="0.35">
      <c r="A177" s="105">
        <v>4</v>
      </c>
      <c r="B177" s="106"/>
      <c r="C177" s="79" t="s">
        <v>280</v>
      </c>
      <c r="D177" s="79">
        <f>(44.56+(3.05*0.72+2.3+2.75+2.9))*10.764</f>
        <v>588.85538399999996</v>
      </c>
      <c r="E177" s="79">
        <f>(3.05*1.05)*10.764</f>
        <v>34.471710000000002</v>
      </c>
      <c r="F177" s="51">
        <f t="shared" si="3"/>
        <v>623.32709399999999</v>
      </c>
      <c r="G177" s="54">
        <f>(1.8*2.9+2.75*1+1*2.75+1.4*2.9)*10.764</f>
        <v>159.09191999999996</v>
      </c>
      <c r="H177" s="51">
        <f t="shared" si="4"/>
        <v>1014.536601</v>
      </c>
      <c r="I177" s="34"/>
      <c r="L177" s="103"/>
      <c r="M177" s="103"/>
      <c r="N177" s="34"/>
    </row>
    <row r="178" spans="1:14" s="55" customFormat="1" ht="15.75" customHeight="1" x14ac:dyDescent="0.35">
      <c r="A178" s="105">
        <v>5</v>
      </c>
      <c r="B178" s="106"/>
      <c r="C178" s="79" t="s">
        <v>280</v>
      </c>
      <c r="D178" s="79">
        <f>(44.73+(3.05*0.72+2.3+2.75+2.9))*10.764</f>
        <v>590.68526399999996</v>
      </c>
      <c r="E178" s="79">
        <f>(3.05*1.05)*10.764</f>
        <v>34.471710000000002</v>
      </c>
      <c r="F178" s="54">
        <f t="shared" si="3"/>
        <v>625.15697399999999</v>
      </c>
      <c r="G178" s="54">
        <f>(1.8*2.9+2.75*1+1*2.75+1.4*2.9)*10.764</f>
        <v>159.09191999999996</v>
      </c>
      <c r="H178" s="54">
        <f t="shared" si="4"/>
        <v>1017.2814209999999</v>
      </c>
      <c r="I178" s="34"/>
      <c r="L178" s="103"/>
      <c r="M178" s="103"/>
      <c r="N178" s="34"/>
    </row>
    <row r="179" spans="1:14" s="55" customFormat="1" ht="15.75" customHeight="1" x14ac:dyDescent="0.35">
      <c r="A179" s="105">
        <v>6</v>
      </c>
      <c r="B179" s="106"/>
      <c r="C179" s="79" t="s">
        <v>281</v>
      </c>
      <c r="D179" s="79">
        <f>(58.21+(3.05*1.05+2.3+2.75+2.9+3.21*1.05))*10.764</f>
        <v>782.89801199999999</v>
      </c>
      <c r="E179" s="79">
        <f>(3.05*1.05)*10.764</f>
        <v>34.471710000000002</v>
      </c>
      <c r="F179" s="54">
        <f t="shared" si="3"/>
        <v>817.36972200000002</v>
      </c>
      <c r="G179" s="54">
        <f>(1.4*3.21+1*3.05+3.05*0.8)*10.764</f>
        <v>107.46777599999999</v>
      </c>
      <c r="H179" s="54">
        <f t="shared" si="4"/>
        <v>1279.7884710000001</v>
      </c>
      <c r="I179" s="34"/>
      <c r="L179" s="103"/>
      <c r="M179" s="103"/>
      <c r="N179" s="34"/>
    </row>
    <row r="180" spans="1:14" s="55" customFormat="1" ht="15.75" customHeight="1" x14ac:dyDescent="0.35">
      <c r="A180" s="105">
        <v>7</v>
      </c>
      <c r="B180" s="106"/>
      <c r="C180" s="79" t="s">
        <v>280</v>
      </c>
      <c r="D180" s="79">
        <f>(44.59+(3.05*1.05+2.3+2.75+2.9*1.1))*10.764</f>
        <v>603.13382999999999</v>
      </c>
      <c r="E180" s="79">
        <f>(3.05*1.05)*10.764</f>
        <v>34.471710000000002</v>
      </c>
      <c r="F180" s="54">
        <f t="shared" si="3"/>
        <v>637.60554000000002</v>
      </c>
      <c r="G180" s="54">
        <f>(1*3.05)*10.764</f>
        <v>32.830199999999998</v>
      </c>
      <c r="H180" s="54">
        <f t="shared" si="4"/>
        <v>989.23851000000002</v>
      </c>
      <c r="I180" s="34"/>
      <c r="J180" s="35">
        <v>7500</v>
      </c>
      <c r="L180" s="103"/>
      <c r="M180" s="103"/>
      <c r="N180" s="34"/>
    </row>
    <row r="181" spans="1:14" s="35" customFormat="1" x14ac:dyDescent="0.35">
      <c r="A181" s="105">
        <v>8</v>
      </c>
      <c r="B181" s="106"/>
      <c r="C181" s="79" t="s">
        <v>279</v>
      </c>
      <c r="D181" s="79">
        <f>(32.31+(2.9*0.75+2.3*1.1+2.9*1.1))*10.764</f>
        <v>432.76661999999993</v>
      </c>
      <c r="E181" s="79">
        <f>(2.9*1.05)*10.764</f>
        <v>32.776379999999996</v>
      </c>
      <c r="F181" s="54">
        <f t="shared" si="3"/>
        <v>465.54299999999995</v>
      </c>
      <c r="G181" s="54">
        <v>0</v>
      </c>
      <c r="H181" s="54">
        <f t="shared" si="4"/>
        <v>698.31449999999995</v>
      </c>
      <c r="I181" s="34">
        <f>20</f>
        <v>20</v>
      </c>
      <c r="L181" s="103"/>
      <c r="M181" s="103"/>
    </row>
    <row r="182" spans="1:14" s="35" customFormat="1" x14ac:dyDescent="0.35">
      <c r="A182" s="111" t="s">
        <v>345</v>
      </c>
      <c r="B182" s="111"/>
      <c r="C182" s="111"/>
      <c r="D182" s="111"/>
      <c r="E182" s="111"/>
      <c r="F182" s="111"/>
      <c r="G182" s="111"/>
      <c r="H182" s="111"/>
      <c r="I182" s="34"/>
      <c r="J182" s="68"/>
      <c r="N182" s="34"/>
    </row>
    <row r="183" spans="1:14" s="35" customFormat="1" x14ac:dyDescent="0.35">
      <c r="A183" s="102">
        <v>1</v>
      </c>
      <c r="B183" s="102"/>
      <c r="C183" s="79" t="s">
        <v>279</v>
      </c>
      <c r="D183" s="79">
        <f>(32.31+(2.9+2.3+2.9*0.72))*10.764</f>
        <v>426.23287199999999</v>
      </c>
      <c r="E183" s="79">
        <f>(2.9*1.05)*10.764</f>
        <v>32.776379999999996</v>
      </c>
      <c r="F183" s="51">
        <f t="shared" ref="F183:F190" si="5">D183+E183</f>
        <v>459.009252</v>
      </c>
      <c r="G183" s="51">
        <v>0</v>
      </c>
      <c r="H183" s="51">
        <f t="shared" ref="H183:H190" si="6">F183*(($H$171)+1)+(IF(G183&lt;101,G183,IF(G183&lt;201,G183/2,IF(G183&lt;=301,G183/3,G183/4))))</f>
        <v>688.51387799999998</v>
      </c>
      <c r="I183" s="34"/>
      <c r="J183" s="68"/>
      <c r="N183" s="34"/>
    </row>
    <row r="184" spans="1:14" s="35" customFormat="1" x14ac:dyDescent="0.35">
      <c r="A184" s="102">
        <f t="shared" ref="A184:A190" si="7">A183+1</f>
        <v>2</v>
      </c>
      <c r="B184" s="102"/>
      <c r="C184" s="79" t="s">
        <v>279</v>
      </c>
      <c r="D184" s="79">
        <f>(32.31+(2.9+2.3+2.9*0.72))*10.764</f>
        <v>426.23287199999999</v>
      </c>
      <c r="E184" s="79">
        <f>(2.9*1.05)*10.764</f>
        <v>32.776379999999996</v>
      </c>
      <c r="F184" s="51">
        <f t="shared" si="5"/>
        <v>459.009252</v>
      </c>
      <c r="G184" s="51">
        <v>0</v>
      </c>
      <c r="H184" s="51">
        <f t="shared" si="6"/>
        <v>688.51387799999998</v>
      </c>
      <c r="I184" s="34"/>
      <c r="J184" s="68"/>
      <c r="N184" s="34"/>
    </row>
    <row r="185" spans="1:14" s="35" customFormat="1" x14ac:dyDescent="0.35">
      <c r="A185" s="102">
        <f t="shared" si="7"/>
        <v>3</v>
      </c>
      <c r="B185" s="102"/>
      <c r="C185" s="79" t="s">
        <v>279</v>
      </c>
      <c r="D185" s="79">
        <f>(32.31+(2.9+2.3+2.9*0.72))*10.764</f>
        <v>426.23287199999999</v>
      </c>
      <c r="E185" s="79">
        <f>(2.9*1.05)*10.764</f>
        <v>32.776379999999996</v>
      </c>
      <c r="F185" s="51">
        <f t="shared" si="5"/>
        <v>459.009252</v>
      </c>
      <c r="G185" s="51">
        <v>0</v>
      </c>
      <c r="H185" s="51">
        <f t="shared" si="6"/>
        <v>688.51387799999998</v>
      </c>
      <c r="I185" s="34"/>
      <c r="J185" s="68"/>
      <c r="N185" s="34"/>
    </row>
    <row r="186" spans="1:14" s="86" customFormat="1" x14ac:dyDescent="0.35">
      <c r="A186" s="212">
        <f t="shared" si="7"/>
        <v>4</v>
      </c>
      <c r="B186" s="212"/>
      <c r="C186" s="87" t="s">
        <v>280</v>
      </c>
      <c r="D186" s="87">
        <f>(44.56+(3.05*0.72+2.3+2.75+2.9))*10.764</f>
        <v>588.85538399999996</v>
      </c>
      <c r="E186" s="87">
        <f>(3.05*1.05)*10.764</f>
        <v>34.471710000000002</v>
      </c>
      <c r="F186" s="87">
        <f t="shared" si="5"/>
        <v>623.32709399999999</v>
      </c>
      <c r="G186" s="87">
        <v>0</v>
      </c>
      <c r="H186" s="87">
        <f t="shared" si="6"/>
        <v>934.99064099999998</v>
      </c>
      <c r="I186" s="88">
        <f>7750*H186</f>
        <v>7246177.4677499998</v>
      </c>
      <c r="J186" s="88">
        <f>I186+255000</f>
        <v>7501177.4677499998</v>
      </c>
      <c r="K186" s="89">
        <f>7500000</f>
        <v>7500000</v>
      </c>
      <c r="N186" s="85"/>
    </row>
    <row r="187" spans="1:14" s="55" customFormat="1" x14ac:dyDescent="0.35">
      <c r="A187" s="102">
        <f t="shared" si="7"/>
        <v>5</v>
      </c>
      <c r="B187" s="102"/>
      <c r="C187" s="79" t="s">
        <v>280</v>
      </c>
      <c r="D187" s="79">
        <f>(44.73+(3.05*0.72+2.3+2.75+2.9))*10.764</f>
        <v>590.68526399999996</v>
      </c>
      <c r="E187" s="79">
        <f>(3.05*1.05)*10.764</f>
        <v>34.471710000000002</v>
      </c>
      <c r="F187" s="51">
        <f t="shared" si="5"/>
        <v>625.15697399999999</v>
      </c>
      <c r="G187" s="51">
        <v>0</v>
      </c>
      <c r="H187" s="51">
        <f t="shared" si="6"/>
        <v>937.73546099999999</v>
      </c>
      <c r="I187" s="34"/>
      <c r="J187" s="68"/>
      <c r="K187" s="34">
        <f>K186-J186</f>
        <v>-1177.4677499998361</v>
      </c>
      <c r="N187" s="34"/>
    </row>
    <row r="188" spans="1:14" s="55" customFormat="1" x14ac:dyDescent="0.35">
      <c r="A188" s="102">
        <f t="shared" si="7"/>
        <v>6</v>
      </c>
      <c r="B188" s="102"/>
      <c r="C188" s="79" t="s">
        <v>281</v>
      </c>
      <c r="D188" s="79">
        <f>(58.21+(3.05*1.05+2.3+2.75+2.9+3.21*1.05))*10.764</f>
        <v>782.89801199999999</v>
      </c>
      <c r="E188" s="79">
        <f>(3.05*1.05)*10.764</f>
        <v>34.471710000000002</v>
      </c>
      <c r="F188" s="54">
        <f t="shared" si="5"/>
        <v>817.36972200000002</v>
      </c>
      <c r="G188" s="54">
        <v>0</v>
      </c>
      <c r="H188" s="54">
        <f t="shared" si="6"/>
        <v>1226.0545830000001</v>
      </c>
      <c r="I188" s="34"/>
      <c r="J188" s="68"/>
      <c r="N188" s="34"/>
    </row>
    <row r="189" spans="1:14" s="55" customFormat="1" x14ac:dyDescent="0.35">
      <c r="A189" s="102">
        <f t="shared" si="7"/>
        <v>7</v>
      </c>
      <c r="B189" s="102"/>
      <c r="C189" s="79" t="s">
        <v>280</v>
      </c>
      <c r="D189" s="79">
        <f>(44.59+(3.05*1.05+2.3+2.75+2.9*1.1))*10.764</f>
        <v>603.13382999999999</v>
      </c>
      <c r="E189" s="79">
        <f>(3.05*1.05)*10.764</f>
        <v>34.471710000000002</v>
      </c>
      <c r="F189" s="54">
        <f t="shared" si="5"/>
        <v>637.60554000000002</v>
      </c>
      <c r="G189" s="54">
        <v>0</v>
      </c>
      <c r="H189" s="54">
        <f t="shared" si="6"/>
        <v>956.40831000000003</v>
      </c>
      <c r="I189" s="34"/>
      <c r="J189" s="68"/>
      <c r="N189" s="34"/>
    </row>
    <row r="190" spans="1:14" s="35" customFormat="1" ht="15.75" customHeight="1" x14ac:dyDescent="0.35">
      <c r="A190" s="102">
        <f t="shared" si="7"/>
        <v>8</v>
      </c>
      <c r="B190" s="102"/>
      <c r="C190" s="79" t="s">
        <v>279</v>
      </c>
      <c r="D190" s="79">
        <f>(32.31+(2.9*0.75+2.3*1.1+2.9*1.1))*10.764</f>
        <v>432.76661999999993</v>
      </c>
      <c r="E190" s="79">
        <f>(2.9*1.05)*10.764</f>
        <v>32.776379999999996</v>
      </c>
      <c r="F190" s="54">
        <f t="shared" si="5"/>
        <v>465.54299999999995</v>
      </c>
      <c r="G190" s="54">
        <v>0</v>
      </c>
      <c r="H190" s="54">
        <f t="shared" si="6"/>
        <v>698.31449999999995</v>
      </c>
      <c r="I190" s="34">
        <f>2</f>
        <v>2</v>
      </c>
    </row>
    <row r="191" spans="1:14" s="35" customFormat="1" ht="15.75" customHeight="1" x14ac:dyDescent="0.35">
      <c r="A191" s="112" t="s">
        <v>283</v>
      </c>
      <c r="B191" s="113"/>
      <c r="C191" s="113"/>
      <c r="D191" s="113"/>
      <c r="E191" s="113"/>
      <c r="F191" s="113"/>
      <c r="G191" s="113"/>
      <c r="H191" s="114"/>
      <c r="I191" s="34"/>
    </row>
    <row r="192" spans="1:14" s="35" customFormat="1" ht="15.75" customHeight="1" x14ac:dyDescent="0.35">
      <c r="A192" s="105">
        <v>1</v>
      </c>
      <c r="B192" s="106"/>
      <c r="C192" s="79" t="s">
        <v>279</v>
      </c>
      <c r="D192" s="79">
        <f>(32.31+(2.9+2.3+2.9*0.72))*10.764</f>
        <v>426.23287199999999</v>
      </c>
      <c r="E192" s="79">
        <f>(2.9*1.05)*10.764</f>
        <v>32.776379999999996</v>
      </c>
      <c r="F192" s="51">
        <f>D192+E192</f>
        <v>459.009252</v>
      </c>
      <c r="G192" s="51">
        <v>0</v>
      </c>
      <c r="H192" s="51">
        <f>F192*(($H$171)+1)+(IF(G192&lt;101,G192,IF(G192&lt;201,G192/2,IF(G192&lt;=301,G192/3,G192/4))))</f>
        <v>688.51387799999998</v>
      </c>
      <c r="I192" s="34"/>
    </row>
    <row r="193" spans="1:14" s="35" customFormat="1" ht="15.75" customHeight="1" x14ac:dyDescent="0.35">
      <c r="A193" s="105">
        <f>A192+1</f>
        <v>2</v>
      </c>
      <c r="B193" s="106"/>
      <c r="C193" s="79" t="s">
        <v>279</v>
      </c>
      <c r="D193" s="79">
        <f>(32.31+(2.9+2.3+2.9*0.72))*10.764</f>
        <v>426.23287199999999</v>
      </c>
      <c r="E193" s="79">
        <f>(2.9*1.05)*10.764</f>
        <v>32.776379999999996</v>
      </c>
      <c r="F193" s="51">
        <f>D193+E193</f>
        <v>459.009252</v>
      </c>
      <c r="G193" s="51">
        <v>0</v>
      </c>
      <c r="H193" s="51">
        <f>F193*(($H$171)+1)+(IF(G193&lt;101,G193,IF(G193&lt;201,G193/2,IF(G193&lt;=301,G193/3,G193/4))))</f>
        <v>688.51387799999998</v>
      </c>
      <c r="I193" s="34"/>
      <c r="J193" s="55"/>
    </row>
    <row r="194" spans="1:14" s="35" customFormat="1" ht="15.75" customHeight="1" x14ac:dyDescent="0.35">
      <c r="A194" s="105">
        <f t="shared" ref="A194:A196" si="8">A193+1</f>
        <v>3</v>
      </c>
      <c r="B194" s="106"/>
      <c r="C194" s="79" t="s">
        <v>279</v>
      </c>
      <c r="D194" s="79">
        <f>(32.31+(2.9+2.3+2.9*0.72))*10.764</f>
        <v>426.23287199999999</v>
      </c>
      <c r="E194" s="79">
        <f>(2.9*1.05)*10.764</f>
        <v>32.776379999999996</v>
      </c>
      <c r="F194" s="51">
        <f>D194+E194</f>
        <v>459.009252</v>
      </c>
      <c r="G194" s="51">
        <v>0</v>
      </c>
      <c r="H194" s="51">
        <f>F194*(($H$171)+1)+(IF(G194&lt;101,G194,IF(G194&lt;201,G194/2,IF(G194&lt;=301,G194/3,G194/4))))</f>
        <v>688.51387799999998</v>
      </c>
      <c r="I194" s="34"/>
      <c r="J194" s="55"/>
    </row>
    <row r="195" spans="1:14" s="35" customFormat="1" ht="15.75" customHeight="1" x14ac:dyDescent="0.35">
      <c r="A195" s="105">
        <f t="shared" si="8"/>
        <v>4</v>
      </c>
      <c r="B195" s="106"/>
      <c r="C195" s="79" t="s">
        <v>280</v>
      </c>
      <c r="D195" s="79">
        <f>(44.56+(3.05*0.72+2.3+2.75+2.9))*10.764</f>
        <v>588.85538399999996</v>
      </c>
      <c r="E195" s="79">
        <f>(3.05*1.05)*10.764</f>
        <v>34.471710000000002</v>
      </c>
      <c r="F195" s="51">
        <f>D195+E195</f>
        <v>623.32709399999999</v>
      </c>
      <c r="G195" s="51">
        <v>0</v>
      </c>
      <c r="H195" s="51">
        <f>F195*(($H$171)+1)+(IF(G195&lt;101,G195,IF(G195&lt;201,G195/2,IF(G195&lt;=301,G195/3,G195/4))))</f>
        <v>934.99064099999998</v>
      </c>
      <c r="I195" s="34"/>
      <c r="J195" s="55"/>
    </row>
    <row r="196" spans="1:14" s="55" customFormat="1" ht="15.75" customHeight="1" x14ac:dyDescent="0.35">
      <c r="A196" s="105">
        <f t="shared" si="8"/>
        <v>5</v>
      </c>
      <c r="B196" s="106"/>
      <c r="C196" s="105" t="s">
        <v>282</v>
      </c>
      <c r="D196" s="110"/>
      <c r="E196" s="110"/>
      <c r="F196" s="110"/>
      <c r="G196" s="110"/>
      <c r="H196" s="106"/>
      <c r="I196" s="34"/>
    </row>
    <row r="197" spans="1:14" s="55" customFormat="1" ht="15.75" customHeight="1" x14ac:dyDescent="0.35">
      <c r="A197" s="105">
        <f t="shared" ref="A197:A199" si="9">A196+1</f>
        <v>6</v>
      </c>
      <c r="B197" s="106"/>
      <c r="C197" s="79" t="s">
        <v>281</v>
      </c>
      <c r="D197" s="79">
        <f>(58.21+(3.05*1.05+2.3+2.75+2.9+3.21*1.05))*10.764</f>
        <v>782.89801199999999</v>
      </c>
      <c r="E197" s="79">
        <f>(3.05*1.05)*10.764</f>
        <v>34.471710000000002</v>
      </c>
      <c r="F197" s="54">
        <f>D197+E197</f>
        <v>817.36972200000002</v>
      </c>
      <c r="G197" s="54">
        <v>0</v>
      </c>
      <c r="H197" s="54">
        <f>F197*(($H$171)+1)+(IF(G197&lt;101,G197,IF(G197&lt;201,G197/2,IF(G197&lt;=301,G197/3,G197/4))))</f>
        <v>1226.0545830000001</v>
      </c>
      <c r="I197" s="34"/>
    </row>
    <row r="198" spans="1:14" s="55" customFormat="1" ht="15.75" customHeight="1" x14ac:dyDescent="0.35">
      <c r="A198" s="105">
        <f t="shared" si="9"/>
        <v>7</v>
      </c>
      <c r="B198" s="106"/>
      <c r="C198" s="79" t="s">
        <v>280</v>
      </c>
      <c r="D198" s="79">
        <f>(44.59+(3.05*1.05+2.3+2.75+2.9*1.1))*10.764</f>
        <v>603.13382999999999</v>
      </c>
      <c r="E198" s="79">
        <f>(3.05*1.05)*10.764</f>
        <v>34.471710000000002</v>
      </c>
      <c r="F198" s="54">
        <f>D198+E198</f>
        <v>637.60554000000002</v>
      </c>
      <c r="G198" s="54">
        <v>0</v>
      </c>
      <c r="H198" s="54">
        <f>F198*(($H$171)+1)+(IF(G198&lt;101,G198,IF(G198&lt;201,G198/2,IF(G198&lt;=301,G198/3,G198/4))))</f>
        <v>956.40831000000003</v>
      </c>
      <c r="I198" s="34"/>
    </row>
    <row r="199" spans="1:14" s="78" customFormat="1" x14ac:dyDescent="0.35">
      <c r="A199" s="105">
        <f t="shared" si="9"/>
        <v>8</v>
      </c>
      <c r="B199" s="106"/>
      <c r="C199" s="79" t="s">
        <v>279</v>
      </c>
      <c r="D199" s="79">
        <f>(32.31+(2.9*0.75+2.3*1.1+2.9*1.1))*10.764</f>
        <v>432.76661999999993</v>
      </c>
      <c r="E199" s="79">
        <f>(2.9*1.05)*10.764</f>
        <v>32.776379999999996</v>
      </c>
      <c r="F199" s="54">
        <f>D199+E199</f>
        <v>465.54299999999995</v>
      </c>
      <c r="G199" s="54">
        <v>0</v>
      </c>
      <c r="H199" s="54">
        <f>F199*(($H$171)+1)+(IF(G199&lt;101,G199,IF(G199&lt;201,G199/2,IF(G199&lt;=301,G199/3,G199/4))))</f>
        <v>698.31449999999995</v>
      </c>
      <c r="I199" s="34">
        <f>3</f>
        <v>3</v>
      </c>
      <c r="L199" s="103"/>
      <c r="M199" s="103"/>
    </row>
    <row r="200" spans="1:14" s="78" customFormat="1" x14ac:dyDescent="0.35">
      <c r="A200" s="111" t="s">
        <v>338</v>
      </c>
      <c r="B200" s="111"/>
      <c r="C200" s="111"/>
      <c r="D200" s="111"/>
      <c r="E200" s="111"/>
      <c r="F200" s="111"/>
      <c r="G200" s="111"/>
      <c r="H200" s="111"/>
      <c r="I200" s="34"/>
      <c r="J200" s="68"/>
      <c r="N200" s="34"/>
    </row>
    <row r="201" spans="1:14" s="78" customFormat="1" x14ac:dyDescent="0.35">
      <c r="A201" s="102">
        <v>1</v>
      </c>
      <c r="B201" s="102"/>
      <c r="C201" s="79" t="s">
        <v>279</v>
      </c>
      <c r="D201" s="79">
        <f>(32.31+(2.9+2.3+2.9*0.72))*10.764</f>
        <v>426.23287199999999</v>
      </c>
      <c r="E201" s="79">
        <f>(2.9*1.05)*10.764</f>
        <v>32.776379999999996</v>
      </c>
      <c r="F201" s="77">
        <f t="shared" ref="F201:F209" si="10">D201+E201</f>
        <v>459.009252</v>
      </c>
      <c r="G201" s="77">
        <v>0</v>
      </c>
      <c r="H201" s="77">
        <f t="shared" ref="H201:H209" si="11">F201*(($H$171)+1)+(IF(G201&lt;101,G201,IF(G201&lt;201,G201/2,IF(G201&lt;=301,G201/3,G201/4))))</f>
        <v>688.51387799999998</v>
      </c>
      <c r="I201" s="34"/>
      <c r="J201" s="68"/>
      <c r="N201" s="34"/>
    </row>
    <row r="202" spans="1:14" s="78" customFormat="1" x14ac:dyDescent="0.35">
      <c r="A202" s="102">
        <f t="shared" ref="A202:A209" si="12">A201+1</f>
        <v>2</v>
      </c>
      <c r="B202" s="102"/>
      <c r="C202" s="79" t="s">
        <v>279</v>
      </c>
      <c r="D202" s="79">
        <f>(32.31+(2.9+2.3+2.9*0.72))*10.764</f>
        <v>426.23287199999999</v>
      </c>
      <c r="E202" s="79">
        <f>(2.9*1.05)*10.764</f>
        <v>32.776379999999996</v>
      </c>
      <c r="F202" s="77">
        <f t="shared" si="10"/>
        <v>459.009252</v>
      </c>
      <c r="G202" s="77">
        <v>0</v>
      </c>
      <c r="H202" s="77">
        <f t="shared" si="11"/>
        <v>688.51387799999998</v>
      </c>
      <c r="I202" s="34"/>
      <c r="J202" s="68"/>
      <c r="N202" s="34"/>
    </row>
    <row r="203" spans="1:14" s="78" customFormat="1" x14ac:dyDescent="0.35">
      <c r="A203" s="102">
        <f t="shared" si="12"/>
        <v>3</v>
      </c>
      <c r="B203" s="102"/>
      <c r="C203" s="79" t="s">
        <v>279</v>
      </c>
      <c r="D203" s="79">
        <f>(32.31+(2.9+2.3+2.9*0.72))*10.764</f>
        <v>426.23287199999999</v>
      </c>
      <c r="E203" s="79">
        <f>(2.9*1.05)*10.764</f>
        <v>32.776379999999996</v>
      </c>
      <c r="F203" s="77">
        <f t="shared" si="10"/>
        <v>459.009252</v>
      </c>
      <c r="G203" s="77">
        <v>0</v>
      </c>
      <c r="H203" s="77">
        <f t="shared" si="11"/>
        <v>688.51387799999998</v>
      </c>
      <c r="I203" s="34"/>
      <c r="J203" s="68"/>
      <c r="N203" s="34"/>
    </row>
    <row r="204" spans="1:14" s="80" customFormat="1" x14ac:dyDescent="0.35">
      <c r="A204" s="102">
        <f t="shared" si="12"/>
        <v>4</v>
      </c>
      <c r="B204" s="102"/>
      <c r="C204" s="79" t="s">
        <v>280</v>
      </c>
      <c r="D204" s="79">
        <f>(44.56+(3.05*0.72+2.3+2.75+2.9))*10.764</f>
        <v>588.85538399999996</v>
      </c>
      <c r="E204" s="79">
        <f>(3.05*1.05)*10.764</f>
        <v>34.471710000000002</v>
      </c>
      <c r="F204" s="77">
        <f t="shared" si="10"/>
        <v>623.32709399999999</v>
      </c>
      <c r="G204" s="77">
        <v>0</v>
      </c>
      <c r="H204" s="77">
        <f t="shared" si="11"/>
        <v>934.99064099999998</v>
      </c>
      <c r="I204" s="34"/>
      <c r="J204" s="68"/>
      <c r="N204" s="34"/>
    </row>
    <row r="205" spans="1:14" s="78" customFormat="1" x14ac:dyDescent="0.35">
      <c r="A205" s="102">
        <f>A204+1</f>
        <v>5</v>
      </c>
      <c r="B205" s="102"/>
      <c r="C205" s="79" t="s">
        <v>279</v>
      </c>
      <c r="D205" s="79">
        <f>(36.93+(3.05*1.05+2.3+2.75))*10.764</f>
        <v>486.34442999999993</v>
      </c>
      <c r="E205" s="79">
        <f>(3.05*1.05)*10.764</f>
        <v>34.471710000000002</v>
      </c>
      <c r="F205" s="77">
        <f t="shared" si="10"/>
        <v>520.8161399999999</v>
      </c>
      <c r="G205" s="77">
        <v>0</v>
      </c>
      <c r="H205" s="77">
        <f t="shared" si="11"/>
        <v>781.22420999999986</v>
      </c>
      <c r="I205" s="34"/>
      <c r="J205" s="68"/>
      <c r="N205" s="34"/>
    </row>
    <row r="206" spans="1:14" s="78" customFormat="1" x14ac:dyDescent="0.35">
      <c r="A206" s="102" t="s">
        <v>339</v>
      </c>
      <c r="B206" s="102"/>
      <c r="C206" s="102" t="s">
        <v>282</v>
      </c>
      <c r="D206" s="102"/>
      <c r="E206" s="102"/>
      <c r="F206" s="102"/>
      <c r="G206" s="102"/>
      <c r="H206" s="102"/>
      <c r="I206" s="34"/>
      <c r="J206" s="68"/>
      <c r="N206" s="34"/>
    </row>
    <row r="207" spans="1:14" s="78" customFormat="1" x14ac:dyDescent="0.35">
      <c r="A207" s="102">
        <f>A205+1</f>
        <v>6</v>
      </c>
      <c r="B207" s="102"/>
      <c r="C207" s="90" t="s">
        <v>281</v>
      </c>
      <c r="D207" s="90">
        <f>(58.21+(3.05*1.05+2.3+2.75+2.9+3.21*1.05))*10.764</f>
        <v>782.89801199999999</v>
      </c>
      <c r="E207" s="90">
        <f>(3.05*1.05)*10.764</f>
        <v>34.471710000000002</v>
      </c>
      <c r="F207" s="90">
        <f t="shared" si="10"/>
        <v>817.36972200000002</v>
      </c>
      <c r="G207" s="90">
        <v>0</v>
      </c>
      <c r="H207" s="90">
        <f t="shared" si="11"/>
        <v>1226.0545830000001</v>
      </c>
      <c r="I207" s="34"/>
      <c r="J207" s="68"/>
      <c r="N207" s="34"/>
    </row>
    <row r="208" spans="1:14" s="78" customFormat="1" x14ac:dyDescent="0.35">
      <c r="A208" s="102">
        <f t="shared" si="12"/>
        <v>7</v>
      </c>
      <c r="B208" s="102"/>
      <c r="C208" s="90" t="s">
        <v>280</v>
      </c>
      <c r="D208" s="90">
        <f>(44.59+(3.05*1.05+2.3+2.75+2.9*1.1))*10.764</f>
        <v>603.13382999999999</v>
      </c>
      <c r="E208" s="90">
        <f>(3.05*1.05)*10.764</f>
        <v>34.471710000000002</v>
      </c>
      <c r="F208" s="90">
        <f t="shared" si="10"/>
        <v>637.60554000000002</v>
      </c>
      <c r="G208" s="90">
        <v>0</v>
      </c>
      <c r="H208" s="90">
        <f t="shared" si="11"/>
        <v>956.40831000000003</v>
      </c>
      <c r="I208" s="34"/>
      <c r="J208" s="68"/>
      <c r="N208" s="34"/>
    </row>
    <row r="209" spans="1:14" s="55" customFormat="1" x14ac:dyDescent="0.35">
      <c r="A209" s="102">
        <f t="shared" si="12"/>
        <v>8</v>
      </c>
      <c r="B209" s="102"/>
      <c r="C209" s="90" t="s">
        <v>279</v>
      </c>
      <c r="D209" s="90">
        <f>(32.31+(2.9*0.75+2.3*1.1+2.9*1.1))*10.764</f>
        <v>432.76661999999993</v>
      </c>
      <c r="E209" s="90">
        <f>(2.9*1.05)*10.764</f>
        <v>32.776379999999996</v>
      </c>
      <c r="F209" s="90">
        <f t="shared" si="10"/>
        <v>465.54299999999995</v>
      </c>
      <c r="G209" s="90">
        <v>0</v>
      </c>
      <c r="H209" s="90">
        <f t="shared" si="11"/>
        <v>698.31449999999995</v>
      </c>
      <c r="I209" s="77">
        <v>10.763999999999999</v>
      </c>
      <c r="J209" s="34"/>
    </row>
    <row r="210" spans="1:14" s="55" customFormat="1" x14ac:dyDescent="0.35">
      <c r="A210" s="115" t="s">
        <v>284</v>
      </c>
      <c r="B210" s="115"/>
      <c r="C210" s="115"/>
      <c r="D210" s="115"/>
      <c r="E210" s="115"/>
      <c r="F210" s="115"/>
      <c r="G210" s="115"/>
      <c r="H210" s="115"/>
      <c r="I210" s="54">
        <f>21</f>
        <v>21</v>
      </c>
    </row>
    <row r="211" spans="1:14" s="55" customFormat="1" ht="15.75" customHeight="1" x14ac:dyDescent="0.35">
      <c r="A211" s="111" t="s">
        <v>340</v>
      </c>
      <c r="B211" s="111"/>
      <c r="C211" s="111"/>
      <c r="D211" s="111"/>
      <c r="E211" s="111"/>
      <c r="F211" s="111"/>
      <c r="G211" s="111"/>
      <c r="H211" s="111"/>
      <c r="K211" s="103"/>
      <c r="L211" s="103"/>
      <c r="M211" s="34"/>
    </row>
    <row r="212" spans="1:14" s="55" customFormat="1" ht="15.75" customHeight="1" x14ac:dyDescent="0.35">
      <c r="A212" s="102">
        <v>1</v>
      </c>
      <c r="B212" s="102"/>
      <c r="C212" s="90" t="s">
        <v>279</v>
      </c>
      <c r="D212" s="90">
        <f>(32.31+(2.9+2.3+2.9*0.72))*10.764</f>
        <v>426.23287199999999</v>
      </c>
      <c r="E212" s="90">
        <f>(2.9*1.05)*10.764</f>
        <v>32.776379999999996</v>
      </c>
      <c r="F212" s="90">
        <f t="shared" ref="F212:F218" si="13">D212+E212</f>
        <v>459.009252</v>
      </c>
      <c r="G212" s="90">
        <v>0</v>
      </c>
      <c r="H212" s="90">
        <f t="shared" ref="H212:H218" si="14">F212*(($H$171)+1)+(IF(G212&lt;101,G212,IF(G212&lt;201,G212/2,IF(G212&lt;=301,G212/3,G212/4))))</f>
        <v>688.51387799999998</v>
      </c>
      <c r="K212" s="103"/>
      <c r="L212" s="103"/>
      <c r="M212" s="34"/>
    </row>
    <row r="213" spans="1:14" s="55" customFormat="1" ht="15.75" customHeight="1" x14ac:dyDescent="0.35">
      <c r="A213" s="102">
        <v>2</v>
      </c>
      <c r="B213" s="102"/>
      <c r="C213" s="90" t="s">
        <v>280</v>
      </c>
      <c r="D213" s="90">
        <f>(44.51+(3.05*0.72+2.35+2.75+2.9))*10.764</f>
        <v>588.85538399999996</v>
      </c>
      <c r="E213" s="90">
        <f>(2.9*1.05)*10.764</f>
        <v>32.776379999999996</v>
      </c>
      <c r="F213" s="90">
        <f t="shared" si="13"/>
        <v>621.63176399999998</v>
      </c>
      <c r="G213" s="90">
        <v>0</v>
      </c>
      <c r="H213" s="90">
        <f t="shared" si="14"/>
        <v>932.44764599999996</v>
      </c>
      <c r="K213" s="103"/>
      <c r="L213" s="103"/>
      <c r="M213" s="34"/>
    </row>
    <row r="214" spans="1:14" s="55" customFormat="1" ht="15.75" customHeight="1" x14ac:dyDescent="0.35">
      <c r="A214" s="102">
        <v>3</v>
      </c>
      <c r="B214" s="102"/>
      <c r="C214" s="90" t="s">
        <v>280</v>
      </c>
      <c r="D214" s="90">
        <f>(47.01+(3.05*0.72+2.3+2.75+3.27))*10.764</f>
        <v>619.20986399999992</v>
      </c>
      <c r="E214" s="90">
        <f>(3.05*1.05)*10.764</f>
        <v>34.471710000000002</v>
      </c>
      <c r="F214" s="90">
        <f t="shared" si="13"/>
        <v>653.68157399999996</v>
      </c>
      <c r="G214" s="90">
        <v>0</v>
      </c>
      <c r="H214" s="90">
        <f t="shared" si="14"/>
        <v>980.52236099999993</v>
      </c>
      <c r="I214" s="34"/>
      <c r="K214" s="103"/>
      <c r="L214" s="103"/>
      <c r="M214" s="34"/>
    </row>
    <row r="215" spans="1:14" s="55" customFormat="1" ht="15.75" customHeight="1" x14ac:dyDescent="0.35">
      <c r="A215" s="102">
        <v>4</v>
      </c>
      <c r="B215" s="102"/>
      <c r="C215" s="90" t="s">
        <v>279</v>
      </c>
      <c r="D215" s="90">
        <f>(34.2+(2.3+2.9))*10.764</f>
        <v>424.10160000000002</v>
      </c>
      <c r="E215" s="90">
        <f>(2.9*1.05)*10.764</f>
        <v>32.776379999999996</v>
      </c>
      <c r="F215" s="90">
        <f t="shared" si="13"/>
        <v>456.87798000000004</v>
      </c>
      <c r="G215" s="90">
        <v>0</v>
      </c>
      <c r="H215" s="90">
        <f t="shared" si="14"/>
        <v>685.31697000000008</v>
      </c>
      <c r="J215" s="34"/>
      <c r="K215" s="103"/>
      <c r="L215" s="103"/>
      <c r="M215" s="34"/>
    </row>
    <row r="216" spans="1:14" s="55" customFormat="1" ht="15.75" customHeight="1" x14ac:dyDescent="0.35">
      <c r="A216" s="102">
        <v>5</v>
      </c>
      <c r="B216" s="102"/>
      <c r="C216" s="71" t="s">
        <v>279</v>
      </c>
      <c r="D216" s="79">
        <f>(34.2+(2.3+2.9))*10.764</f>
        <v>424.10160000000002</v>
      </c>
      <c r="E216" s="79">
        <f>(2.9*1.05)*10.764</f>
        <v>32.776379999999996</v>
      </c>
      <c r="F216" s="71">
        <f t="shared" si="13"/>
        <v>456.87798000000004</v>
      </c>
      <c r="G216" s="71">
        <v>0</v>
      </c>
      <c r="H216" s="71">
        <f t="shared" si="14"/>
        <v>685.31697000000008</v>
      </c>
      <c r="K216" s="103"/>
      <c r="L216" s="103"/>
      <c r="M216" s="34"/>
    </row>
    <row r="217" spans="1:14" s="55" customFormat="1" ht="15.75" customHeight="1" x14ac:dyDescent="0.35">
      <c r="A217" s="102">
        <v>6</v>
      </c>
      <c r="B217" s="102"/>
      <c r="C217" s="71" t="s">
        <v>280</v>
      </c>
      <c r="D217" s="71">
        <f>(44.38+(2.3+2.75+2.9))*10.764</f>
        <v>563.2801199999999</v>
      </c>
      <c r="E217" s="77">
        <f>(3.05*1.05)*10.764</f>
        <v>34.471710000000002</v>
      </c>
      <c r="F217" s="71">
        <f t="shared" si="13"/>
        <v>597.75182999999993</v>
      </c>
      <c r="G217" s="71">
        <v>0</v>
      </c>
      <c r="H217" s="71">
        <f t="shared" si="14"/>
        <v>896.62774499999989</v>
      </c>
      <c r="L217" s="103"/>
      <c r="M217" s="103"/>
      <c r="N217" s="34"/>
    </row>
    <row r="218" spans="1:14" s="55" customFormat="1" x14ac:dyDescent="0.35">
      <c r="A218" s="102">
        <v>7</v>
      </c>
      <c r="B218" s="102"/>
      <c r="C218" s="71" t="s">
        <v>280</v>
      </c>
      <c r="D218" s="79">
        <f>(44.38+(2.3+2.75+2.9))*10.764</f>
        <v>563.2801199999999</v>
      </c>
      <c r="E218" s="79">
        <f>(3.05*1.05)*10.764</f>
        <v>34.471710000000002</v>
      </c>
      <c r="F218" s="71">
        <f t="shared" si="13"/>
        <v>597.75182999999993</v>
      </c>
      <c r="G218" s="71">
        <v>0</v>
      </c>
      <c r="H218" s="71">
        <f t="shared" si="14"/>
        <v>896.62774499999989</v>
      </c>
      <c r="I218" s="55">
        <f>5</f>
        <v>5</v>
      </c>
    </row>
    <row r="219" spans="1:14" s="55" customFormat="1" ht="15.75" customHeight="1" x14ac:dyDescent="0.35">
      <c r="A219" s="107" t="s">
        <v>341</v>
      </c>
      <c r="B219" s="108"/>
      <c r="C219" s="108"/>
      <c r="D219" s="108"/>
      <c r="E219" s="108"/>
      <c r="F219" s="108"/>
      <c r="G219" s="108"/>
      <c r="H219" s="109"/>
      <c r="K219" s="103"/>
      <c r="L219" s="103"/>
      <c r="M219" s="34"/>
    </row>
    <row r="220" spans="1:14" s="55" customFormat="1" ht="15.75" customHeight="1" x14ac:dyDescent="0.35">
      <c r="A220" s="105">
        <v>1</v>
      </c>
      <c r="B220" s="106"/>
      <c r="C220" s="79" t="s">
        <v>279</v>
      </c>
      <c r="D220" s="79">
        <f>(32.31+(2.9+2.3+2.9*0.72))*10.764</f>
        <v>426.23287199999999</v>
      </c>
      <c r="E220" s="79">
        <f>(2.9*1.05)*10.764</f>
        <v>32.776379999999996</v>
      </c>
      <c r="F220" s="54">
        <f t="shared" ref="F220:F227" si="15">D220+E220</f>
        <v>459.009252</v>
      </c>
      <c r="G220" s="54">
        <v>0</v>
      </c>
      <c r="H220" s="54">
        <f t="shared" ref="H220:H227" si="16">F220*(($H$171)+1)+(IF(G220&lt;101,G220,IF(G220&lt;201,G220/2,IF(G220&lt;=301,G220/3,G220/4))))</f>
        <v>688.51387799999998</v>
      </c>
      <c r="K220" s="103"/>
      <c r="L220" s="103"/>
      <c r="M220" s="34"/>
    </row>
    <row r="221" spans="1:14" s="55" customFormat="1" ht="15.75" customHeight="1" x14ac:dyDescent="0.35">
      <c r="A221" s="105">
        <v>2</v>
      </c>
      <c r="B221" s="106"/>
      <c r="C221" s="79" t="s">
        <v>280</v>
      </c>
      <c r="D221" s="79">
        <f>(44.51+(3.05*0.72+2.35+2.75+2.9))*10.764</f>
        <v>588.85538399999996</v>
      </c>
      <c r="E221" s="79">
        <f>(2.9*1.05)*10.764</f>
        <v>32.776379999999996</v>
      </c>
      <c r="F221" s="54">
        <f t="shared" si="15"/>
        <v>621.63176399999998</v>
      </c>
      <c r="G221" s="54">
        <v>0</v>
      </c>
      <c r="H221" s="54">
        <f t="shared" si="16"/>
        <v>932.44764599999996</v>
      </c>
      <c r="K221" s="103"/>
      <c r="L221" s="103"/>
      <c r="M221" s="34"/>
    </row>
    <row r="222" spans="1:14" s="55" customFormat="1" ht="15.75" customHeight="1" x14ac:dyDescent="0.35">
      <c r="A222" s="105">
        <v>3</v>
      </c>
      <c r="B222" s="106"/>
      <c r="C222" s="79" t="s">
        <v>280</v>
      </c>
      <c r="D222" s="79">
        <f>(47.01+(3.05*0.72+2.3+2.75+3.27))*10.764</f>
        <v>619.20986399999992</v>
      </c>
      <c r="E222" s="79">
        <f>(3.05*1.05)*10.764</f>
        <v>34.471710000000002</v>
      </c>
      <c r="F222" s="54">
        <f t="shared" si="15"/>
        <v>653.68157399999996</v>
      </c>
      <c r="G222" s="54">
        <v>0</v>
      </c>
      <c r="H222" s="54">
        <f t="shared" si="16"/>
        <v>980.52236099999993</v>
      </c>
      <c r="I222" s="34"/>
      <c r="K222" s="103"/>
      <c r="L222" s="103"/>
      <c r="M222" s="34"/>
    </row>
    <row r="223" spans="1:14" s="55" customFormat="1" ht="15.75" customHeight="1" x14ac:dyDescent="0.35">
      <c r="A223" s="105">
        <v>4</v>
      </c>
      <c r="B223" s="106"/>
      <c r="C223" s="79" t="s">
        <v>279</v>
      </c>
      <c r="D223" s="79">
        <f>(34.2+(2.3+2.9))*10.764</f>
        <v>424.10160000000002</v>
      </c>
      <c r="E223" s="79">
        <f>(2.9*1.05)*10.764</f>
        <v>32.776379999999996</v>
      </c>
      <c r="F223" s="54">
        <f t="shared" si="15"/>
        <v>456.87798000000004</v>
      </c>
      <c r="G223" s="54">
        <v>0</v>
      </c>
      <c r="H223" s="54">
        <f t="shared" si="16"/>
        <v>685.31697000000008</v>
      </c>
      <c r="I223" s="34"/>
      <c r="K223" s="103"/>
      <c r="L223" s="103"/>
      <c r="M223" s="34"/>
    </row>
    <row r="224" spans="1:14" s="55" customFormat="1" ht="15.75" customHeight="1" x14ac:dyDescent="0.35">
      <c r="A224" s="105">
        <v>5</v>
      </c>
      <c r="B224" s="106"/>
      <c r="C224" s="79" t="s">
        <v>279</v>
      </c>
      <c r="D224" s="79">
        <f>(34.2+(2.3+2.9))*10.764</f>
        <v>424.10160000000002</v>
      </c>
      <c r="E224" s="79">
        <f>(2.9*1.05)*10.764</f>
        <v>32.776379999999996</v>
      </c>
      <c r="F224" s="54">
        <f t="shared" si="15"/>
        <v>456.87798000000004</v>
      </c>
      <c r="G224" s="54">
        <v>0</v>
      </c>
      <c r="H224" s="54">
        <f t="shared" si="16"/>
        <v>685.31697000000008</v>
      </c>
      <c r="J224" s="34"/>
      <c r="K224" s="103"/>
      <c r="L224" s="103"/>
      <c r="M224" s="34"/>
    </row>
    <row r="225" spans="1:16" s="78" customFormat="1" ht="15.75" customHeight="1" x14ac:dyDescent="0.35">
      <c r="A225" s="105">
        <v>6</v>
      </c>
      <c r="B225" s="106"/>
      <c r="C225" s="54" t="s">
        <v>279</v>
      </c>
      <c r="D225" s="77">
        <f>(36.72+(2.3+2.75))*10.764</f>
        <v>449.61227999999994</v>
      </c>
      <c r="E225" s="77">
        <f>(3.05*1.05)*10.764</f>
        <v>34.471710000000002</v>
      </c>
      <c r="F225" s="54">
        <f t="shared" si="15"/>
        <v>484.08398999999997</v>
      </c>
      <c r="G225" s="54">
        <v>0</v>
      </c>
      <c r="H225" s="54">
        <f t="shared" si="16"/>
        <v>726.1259849999999</v>
      </c>
      <c r="J225" s="34"/>
      <c r="K225" s="103"/>
      <c r="L225" s="103"/>
      <c r="M225" s="34"/>
    </row>
    <row r="226" spans="1:16" s="55" customFormat="1" ht="15.75" customHeight="1" x14ac:dyDescent="0.35">
      <c r="A226" s="105" t="s">
        <v>323</v>
      </c>
      <c r="B226" s="106"/>
      <c r="C226" s="105" t="s">
        <v>282</v>
      </c>
      <c r="D226" s="110"/>
      <c r="E226" s="110"/>
      <c r="F226" s="110"/>
      <c r="G226" s="110"/>
      <c r="H226" s="106"/>
      <c r="I226" s="33"/>
      <c r="J226" s="33"/>
      <c r="L226" s="103"/>
      <c r="M226" s="103"/>
      <c r="N226" s="34"/>
    </row>
    <row r="227" spans="1:16" s="33" customFormat="1" x14ac:dyDescent="0.35">
      <c r="A227" s="105">
        <v>7</v>
      </c>
      <c r="B227" s="106"/>
      <c r="C227" s="79" t="s">
        <v>280</v>
      </c>
      <c r="D227" s="79">
        <f>(44.38+(2.3+2.75+2.9))*10.764</f>
        <v>563.2801199999999</v>
      </c>
      <c r="E227" s="79">
        <f>(3.05*1.05)*10.764</f>
        <v>34.471710000000002</v>
      </c>
      <c r="F227" s="54">
        <f t="shared" si="15"/>
        <v>597.75182999999993</v>
      </c>
      <c r="G227" s="54">
        <v>0</v>
      </c>
      <c r="H227" s="54">
        <f t="shared" si="16"/>
        <v>896.62774499999989</v>
      </c>
    </row>
    <row r="228" spans="1:16" s="33" customFormat="1" x14ac:dyDescent="0.35">
      <c r="A228" s="104" t="s">
        <v>63</v>
      </c>
      <c r="B228" s="104"/>
      <c r="C228" s="104"/>
      <c r="D228" s="104"/>
      <c r="E228" s="104"/>
      <c r="F228" s="104"/>
      <c r="G228" s="104"/>
      <c r="H228" s="104"/>
    </row>
    <row r="229" spans="1:16" s="33" customFormat="1" ht="31.5" customHeight="1" x14ac:dyDescent="0.35">
      <c r="A229" s="41" t="s">
        <v>145</v>
      </c>
      <c r="B229" s="93" t="s">
        <v>356</v>
      </c>
      <c r="C229" s="94"/>
      <c r="D229" s="94"/>
      <c r="E229" s="94"/>
      <c r="F229" s="94"/>
      <c r="G229" s="94"/>
      <c r="H229" s="95"/>
    </row>
    <row r="230" spans="1:16" s="33" customFormat="1" x14ac:dyDescent="0.35">
      <c r="A230" s="41" t="s">
        <v>145</v>
      </c>
      <c r="B230" s="93" t="str">
        <f>(IF(H170="Saleable area Loading :","We have considered Saleable area of Flats as per our Calculation.","We considered Saleable area of Flat as per Builder area Sheet."))</f>
        <v>We have considered Saleable area of Flats as per our Calculation.</v>
      </c>
      <c r="C230" s="94"/>
      <c r="D230" s="94"/>
      <c r="E230" s="94"/>
      <c r="F230" s="94"/>
      <c r="G230" s="94"/>
      <c r="H230" s="95"/>
    </row>
    <row r="231" spans="1:16" s="33" customFormat="1" x14ac:dyDescent="0.35">
      <c r="A231" s="41" t="s">
        <v>145</v>
      </c>
      <c r="B231" s="93" t="str">
        <f>(IF(H140="Saleable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1" s="94"/>
      <c r="D231" s="94"/>
      <c r="E231" s="94"/>
      <c r="F231" s="94"/>
      <c r="G231" s="94"/>
      <c r="H231" s="95"/>
    </row>
    <row r="232" spans="1:16" s="33" customFormat="1" x14ac:dyDescent="0.35">
      <c r="A232" s="41" t="s">
        <v>145</v>
      </c>
      <c r="B232" s="99" t="s">
        <v>115</v>
      </c>
      <c r="C232" s="100"/>
      <c r="D232" s="100"/>
      <c r="E232" s="100"/>
      <c r="F232" s="100"/>
      <c r="G232" s="100"/>
      <c r="H232" s="101"/>
    </row>
    <row r="233" spans="1:16" s="33" customFormat="1" x14ac:dyDescent="0.35">
      <c r="A233" s="41" t="s">
        <v>145</v>
      </c>
      <c r="B233" s="99" t="s">
        <v>351</v>
      </c>
      <c r="C233" s="100"/>
      <c r="D233" s="100"/>
      <c r="E233" s="100"/>
      <c r="F233" s="100"/>
      <c r="G233" s="100"/>
      <c r="H233" s="101"/>
    </row>
    <row r="234" spans="1:16" s="33" customFormat="1" x14ac:dyDescent="0.35">
      <c r="A234" s="41" t="s">
        <v>145</v>
      </c>
      <c r="B234" s="99" t="s">
        <v>144</v>
      </c>
      <c r="C234" s="100"/>
      <c r="D234" s="100"/>
      <c r="E234" s="100"/>
      <c r="F234" s="100"/>
      <c r="G234" s="100"/>
      <c r="H234" s="101"/>
    </row>
    <row r="235" spans="1:16" s="33" customFormat="1" x14ac:dyDescent="0.35">
      <c r="A235" s="41" t="s">
        <v>145</v>
      </c>
      <c r="B235" s="99" t="s">
        <v>116</v>
      </c>
      <c r="C235" s="100"/>
      <c r="D235" s="100"/>
      <c r="E235" s="100"/>
      <c r="F235" s="100"/>
      <c r="G235" s="100"/>
      <c r="H235" s="101"/>
    </row>
    <row r="236" spans="1:16" s="33" customFormat="1" ht="32.25" customHeight="1" x14ac:dyDescent="0.35">
      <c r="A236" s="41" t="s">
        <v>145</v>
      </c>
      <c r="B236" s="99" t="s">
        <v>146</v>
      </c>
      <c r="C236" s="100"/>
      <c r="D236" s="100"/>
      <c r="E236" s="100"/>
      <c r="F236" s="100"/>
      <c r="G236" s="100"/>
      <c r="H236" s="101"/>
      <c r="I236" s="19"/>
      <c r="J236" s="19"/>
    </row>
    <row r="237" spans="1:16" s="33" customFormat="1" x14ac:dyDescent="0.35">
      <c r="A237" s="41" t="s">
        <v>145</v>
      </c>
      <c r="B237" s="99" t="s">
        <v>117</v>
      </c>
      <c r="C237" s="100"/>
      <c r="D237" s="100"/>
      <c r="E237" s="100"/>
      <c r="F237" s="100"/>
      <c r="G237" s="100"/>
      <c r="H237" s="101"/>
      <c r="I237" s="19"/>
      <c r="J237" s="19"/>
    </row>
    <row r="238" spans="1:16" s="33" customFormat="1" ht="30.75" customHeight="1" x14ac:dyDescent="0.35">
      <c r="A238" s="76" t="s">
        <v>145</v>
      </c>
      <c r="B238" s="93" t="s">
        <v>347</v>
      </c>
      <c r="C238" s="94"/>
      <c r="D238" s="94"/>
      <c r="E238" s="94"/>
      <c r="F238" s="94"/>
      <c r="G238" s="94"/>
      <c r="H238" s="95"/>
      <c r="I238" s="81" t="s">
        <v>145</v>
      </c>
      <c r="J238" s="96" t="s">
        <v>225</v>
      </c>
      <c r="K238" s="97"/>
      <c r="L238" s="97"/>
      <c r="M238" s="97"/>
      <c r="N238" s="97"/>
      <c r="O238" s="97"/>
      <c r="P238" s="98"/>
    </row>
    <row r="239" spans="1:16" x14ac:dyDescent="0.35">
      <c r="A239" s="70" t="s">
        <v>145</v>
      </c>
      <c r="B239" s="93" t="s">
        <v>350</v>
      </c>
      <c r="C239" s="94"/>
      <c r="D239" s="94"/>
      <c r="E239" s="94"/>
      <c r="F239" s="94"/>
      <c r="G239" s="94"/>
      <c r="H239" s="95"/>
    </row>
    <row r="240" spans="1:16" x14ac:dyDescent="0.35">
      <c r="A240" s="81" t="s">
        <v>145</v>
      </c>
      <c r="B240" s="93" t="s">
        <v>349</v>
      </c>
      <c r="C240" s="94"/>
      <c r="D240" s="94"/>
      <c r="E240" s="94"/>
      <c r="F240" s="94"/>
      <c r="G240" s="94"/>
      <c r="H240" s="95"/>
      <c r="I240" s="99" t="s">
        <v>320</v>
      </c>
      <c r="J240" s="100"/>
      <c r="K240" s="100"/>
      <c r="L240" s="100"/>
      <c r="M240" s="100"/>
      <c r="N240" s="100"/>
      <c r="O240" s="101"/>
    </row>
    <row r="241" spans="1:8" ht="15.75" customHeight="1" x14ac:dyDescent="0.35">
      <c r="A241" s="84" t="s">
        <v>145</v>
      </c>
      <c r="B241" s="93" t="s">
        <v>352</v>
      </c>
      <c r="C241" s="94"/>
      <c r="D241" s="94"/>
      <c r="E241" s="94"/>
      <c r="F241" s="94"/>
      <c r="G241" s="94"/>
      <c r="H241" s="95"/>
    </row>
    <row r="242" spans="1:8" ht="15.75" customHeight="1" x14ac:dyDescent="0.35">
      <c r="A242" s="83" t="s">
        <v>145</v>
      </c>
      <c r="B242" s="93" t="s">
        <v>354</v>
      </c>
      <c r="C242" s="94"/>
      <c r="D242" s="94"/>
      <c r="E242" s="94"/>
      <c r="F242" s="94"/>
      <c r="G242" s="94"/>
      <c r="H242" s="95"/>
    </row>
    <row r="243" spans="1:8" x14ac:dyDescent="0.35">
      <c r="A243" s="141" t="s">
        <v>56</v>
      </c>
      <c r="B243" s="141"/>
      <c r="C243" s="141"/>
      <c r="D243" s="141"/>
      <c r="E243" s="141"/>
      <c r="F243" s="141"/>
      <c r="G243" s="141"/>
      <c r="H243" s="141"/>
    </row>
    <row r="244" spans="1:8" x14ac:dyDescent="0.35">
      <c r="A244" s="121" t="s">
        <v>57</v>
      </c>
      <c r="B244" s="121"/>
      <c r="C244" s="121"/>
      <c r="D244" s="121"/>
      <c r="E244" s="121"/>
      <c r="F244" s="121"/>
      <c r="G244" s="121"/>
      <c r="H244" s="121"/>
    </row>
    <row r="245" spans="1:8" x14ac:dyDescent="0.35">
      <c r="A245" s="161" t="s">
        <v>58</v>
      </c>
      <c r="B245" s="161"/>
      <c r="C245" s="161"/>
      <c r="D245" s="161"/>
      <c r="E245" s="161"/>
      <c r="F245" s="161"/>
      <c r="G245" s="161"/>
      <c r="H245" s="161"/>
    </row>
    <row r="246" spans="1:8" x14ac:dyDescent="0.35">
      <c r="A246" s="121" t="s">
        <v>59</v>
      </c>
      <c r="B246" s="121"/>
      <c r="C246" s="121"/>
      <c r="D246" s="121"/>
      <c r="E246" s="121"/>
      <c r="F246" s="121"/>
      <c r="G246" s="121"/>
      <c r="H246" s="121"/>
    </row>
    <row r="247" spans="1:8" x14ac:dyDescent="0.35">
      <c r="A247" s="121" t="s">
        <v>60</v>
      </c>
      <c r="B247" s="121"/>
      <c r="C247" s="121"/>
      <c r="D247" s="121"/>
      <c r="E247" s="121"/>
      <c r="F247" s="121"/>
      <c r="G247" s="121"/>
      <c r="H247" s="121"/>
    </row>
    <row r="248" spans="1:8" x14ac:dyDescent="0.35">
      <c r="A248" s="121" t="s">
        <v>118</v>
      </c>
      <c r="B248" s="121"/>
      <c r="C248" s="121"/>
      <c r="D248" s="121"/>
      <c r="E248" s="121"/>
      <c r="F248" s="121"/>
      <c r="G248" s="121"/>
      <c r="H248" s="121"/>
    </row>
    <row r="249" spans="1:8" x14ac:dyDescent="0.35">
      <c r="A249" s="125" t="s">
        <v>119</v>
      </c>
      <c r="B249" s="125"/>
      <c r="C249" s="125"/>
      <c r="D249" s="125"/>
      <c r="E249" s="125"/>
      <c r="F249" s="125"/>
      <c r="G249" s="125"/>
      <c r="H249" s="125"/>
    </row>
    <row r="250" spans="1:8" x14ac:dyDescent="0.35">
      <c r="A250" s="168" t="s">
        <v>72</v>
      </c>
      <c r="B250" s="168"/>
      <c r="C250" s="168" t="s">
        <v>358</v>
      </c>
      <c r="D250" s="168"/>
      <c r="E250" s="168" t="s">
        <v>100</v>
      </c>
      <c r="F250" s="168"/>
      <c r="G250" s="168" t="s">
        <v>357</v>
      </c>
      <c r="H250" s="168"/>
    </row>
    <row r="251" spans="1:8" x14ac:dyDescent="0.35">
      <c r="A251" s="167" t="s">
        <v>74</v>
      </c>
      <c r="B251" s="167"/>
      <c r="C251" s="167"/>
      <c r="D251" s="167"/>
      <c r="E251" s="167"/>
      <c r="F251" s="167"/>
      <c r="G251" s="167"/>
      <c r="H251" s="167"/>
    </row>
    <row r="252" spans="1:8" x14ac:dyDescent="0.35">
      <c r="A252" s="167"/>
      <c r="B252" s="167"/>
      <c r="C252" s="167"/>
      <c r="D252" s="167"/>
      <c r="E252" s="167"/>
      <c r="F252" s="167"/>
      <c r="G252" s="167"/>
      <c r="H252" s="167"/>
    </row>
    <row r="253" spans="1:8" x14ac:dyDescent="0.35">
      <c r="A253" s="167"/>
      <c r="B253" s="167"/>
      <c r="C253" s="167"/>
      <c r="D253" s="167"/>
      <c r="E253" s="167"/>
      <c r="F253" s="167"/>
      <c r="G253" s="167"/>
      <c r="H253" s="167"/>
    </row>
    <row r="254" spans="1:8" x14ac:dyDescent="0.35">
      <c r="A254" s="167"/>
      <c r="B254" s="167"/>
      <c r="C254" s="167"/>
      <c r="D254" s="167"/>
      <c r="E254" s="167"/>
      <c r="F254" s="167"/>
      <c r="G254" s="167"/>
      <c r="H254" s="167"/>
    </row>
    <row r="255" spans="1:8" ht="15" customHeight="1" x14ac:dyDescent="0.35">
      <c r="A255" s="36" t="s">
        <v>61</v>
      </c>
      <c r="B255" s="37"/>
      <c r="C255" s="37"/>
      <c r="D255" s="36" t="str">
        <f>E9</f>
        <v xml:space="preserve">Balaji Sarvoday </v>
      </c>
      <c r="F255" s="37"/>
      <c r="G255" s="37"/>
      <c r="H255" s="37"/>
    </row>
    <row r="256" spans="1:8" x14ac:dyDescent="0.35">
      <c r="A256" s="37"/>
      <c r="B256" s="37"/>
      <c r="C256" s="37"/>
      <c r="D256" s="37"/>
      <c r="E256" s="37"/>
      <c r="F256" s="37"/>
      <c r="G256" s="37"/>
      <c r="H256" s="37"/>
    </row>
    <row r="257" spans="1:8" x14ac:dyDescent="0.35">
      <c r="A257" s="37"/>
      <c r="B257" s="37"/>
      <c r="C257" s="37"/>
      <c r="D257" s="37"/>
      <c r="E257" s="37"/>
      <c r="F257" s="37"/>
      <c r="G257" s="37"/>
      <c r="H257" s="37"/>
    </row>
    <row r="299" spans="1:1" x14ac:dyDescent="0.35">
      <c r="A299" s="39" t="s">
        <v>156</v>
      </c>
    </row>
    <row r="341" spans="1:1" x14ac:dyDescent="0.35">
      <c r="A341" s="39" t="s">
        <v>62</v>
      </c>
    </row>
  </sheetData>
  <mergeCells count="446">
    <mergeCell ref="B242:H242"/>
    <mergeCell ref="L156:M156"/>
    <mergeCell ref="A158:B158"/>
    <mergeCell ref="L157:M157"/>
    <mergeCell ref="A159:B159"/>
    <mergeCell ref="L158:M158"/>
    <mergeCell ref="A161:H161"/>
    <mergeCell ref="A162:B162"/>
    <mergeCell ref="L161:M161"/>
    <mergeCell ref="A163:B163"/>
    <mergeCell ref="L162:M162"/>
    <mergeCell ref="A164:B164"/>
    <mergeCell ref="L163:M163"/>
    <mergeCell ref="A160:B160"/>
    <mergeCell ref="L159:M159"/>
    <mergeCell ref="A166:B166"/>
    <mergeCell ref="L165:M165"/>
    <mergeCell ref="A165:H165"/>
    <mergeCell ref="A167:B167"/>
    <mergeCell ref="L166:M166"/>
    <mergeCell ref="L167:M167"/>
    <mergeCell ref="A210:H210"/>
    <mergeCell ref="A206:B206"/>
    <mergeCell ref="A208:B208"/>
    <mergeCell ref="A209:B209"/>
    <mergeCell ref="B229:H229"/>
    <mergeCell ref="B230:H230"/>
    <mergeCell ref="B232:H232"/>
    <mergeCell ref="B238:H238"/>
    <mergeCell ref="A168:B168"/>
    <mergeCell ref="A156:H156"/>
    <mergeCell ref="I12:L12"/>
    <mergeCell ref="A122:E122"/>
    <mergeCell ref="E130:F130"/>
    <mergeCell ref="G130:H130"/>
    <mergeCell ref="A129:A130"/>
    <mergeCell ref="G89:H98"/>
    <mergeCell ref="C206:H206"/>
    <mergeCell ref="E135:F135"/>
    <mergeCell ref="G135:H135"/>
    <mergeCell ref="A150:H150"/>
    <mergeCell ref="A151:H151"/>
    <mergeCell ref="A118:E118"/>
    <mergeCell ref="A147:B147"/>
    <mergeCell ref="A146:B146"/>
    <mergeCell ref="A138:H138"/>
    <mergeCell ref="A137:B137"/>
    <mergeCell ref="C137:D137"/>
    <mergeCell ref="E137:F137"/>
    <mergeCell ref="A123:E123"/>
    <mergeCell ref="G136:H136"/>
    <mergeCell ref="C129:D129"/>
    <mergeCell ref="E129:F129"/>
    <mergeCell ref="G129:H129"/>
    <mergeCell ref="A131:B131"/>
    <mergeCell ref="C131:D131"/>
    <mergeCell ref="E131:F131"/>
    <mergeCell ref="G131:H131"/>
    <mergeCell ref="A135:B135"/>
    <mergeCell ref="C135:D135"/>
    <mergeCell ref="E133:F133"/>
    <mergeCell ref="A85:B85"/>
    <mergeCell ref="A90:B90"/>
    <mergeCell ref="A91:B91"/>
    <mergeCell ref="A92:B92"/>
    <mergeCell ref="F115:H115"/>
    <mergeCell ref="A115:E115"/>
    <mergeCell ref="B236:H236"/>
    <mergeCell ref="A203:B203"/>
    <mergeCell ref="A186:B186"/>
    <mergeCell ref="A175:B175"/>
    <mergeCell ref="G137:H137"/>
    <mergeCell ref="A176:B176"/>
    <mergeCell ref="A177:B177"/>
    <mergeCell ref="D140:D141"/>
    <mergeCell ref="A145:B145"/>
    <mergeCell ref="A142:H142"/>
    <mergeCell ref="A148:H148"/>
    <mergeCell ref="A149:H149"/>
    <mergeCell ref="A178:B178"/>
    <mergeCell ref="A144:B144"/>
    <mergeCell ref="A179:B179"/>
    <mergeCell ref="A157:B157"/>
    <mergeCell ref="A98:B98"/>
    <mergeCell ref="A103:B103"/>
    <mergeCell ref="C54:E54"/>
    <mergeCell ref="A61:C63"/>
    <mergeCell ref="D61:H61"/>
    <mergeCell ref="D62:H62"/>
    <mergeCell ref="A74:B74"/>
    <mergeCell ref="A77:B77"/>
    <mergeCell ref="A60:C60"/>
    <mergeCell ref="A53:B53"/>
    <mergeCell ref="C53:E53"/>
    <mergeCell ref="G53:H53"/>
    <mergeCell ref="D67:H67"/>
    <mergeCell ref="A70:C70"/>
    <mergeCell ref="D70:H70"/>
    <mergeCell ref="A68:C68"/>
    <mergeCell ref="D69:H69"/>
    <mergeCell ref="A75:B75"/>
    <mergeCell ref="G74:H74"/>
    <mergeCell ref="C73:H73"/>
    <mergeCell ref="D63:H63"/>
    <mergeCell ref="D68:H68"/>
    <mergeCell ref="A69:C69"/>
    <mergeCell ref="A41:B41"/>
    <mergeCell ref="C41:H41"/>
    <mergeCell ref="F140:F141"/>
    <mergeCell ref="C128:D128"/>
    <mergeCell ref="E128:F128"/>
    <mergeCell ref="B140:B141"/>
    <mergeCell ref="A140:A141"/>
    <mergeCell ref="A50:B50"/>
    <mergeCell ref="C50:H50"/>
    <mergeCell ref="F117:H117"/>
    <mergeCell ref="G102:H102"/>
    <mergeCell ref="A101:B101"/>
    <mergeCell ref="G140:G141"/>
    <mergeCell ref="C55:H55"/>
    <mergeCell ref="A73:B73"/>
    <mergeCell ref="A71:B71"/>
    <mergeCell ref="C71:H71"/>
    <mergeCell ref="A79:B79"/>
    <mergeCell ref="A66:C66"/>
    <mergeCell ref="D66:H66"/>
    <mergeCell ref="E48:H48"/>
    <mergeCell ref="A87:B87"/>
    <mergeCell ref="C87:H87"/>
    <mergeCell ref="A46:D46"/>
    <mergeCell ref="A40:B40"/>
    <mergeCell ref="C40:H40"/>
    <mergeCell ref="A47:D47"/>
    <mergeCell ref="L146:M146"/>
    <mergeCell ref="L145:M145"/>
    <mergeCell ref="L144:M144"/>
    <mergeCell ref="L143:M143"/>
    <mergeCell ref="A82:B82"/>
    <mergeCell ref="C134:D134"/>
    <mergeCell ref="E134:F134"/>
    <mergeCell ref="G134:H134"/>
    <mergeCell ref="A114:E114"/>
    <mergeCell ref="A99:B99"/>
    <mergeCell ref="C99:H99"/>
    <mergeCell ref="A143:H143"/>
    <mergeCell ref="E140:E141"/>
    <mergeCell ref="A89:B89"/>
    <mergeCell ref="A48:D48"/>
    <mergeCell ref="A49:H49"/>
    <mergeCell ref="D60:H60"/>
    <mergeCell ref="A76:B76"/>
    <mergeCell ref="A78:B78"/>
    <mergeCell ref="E74:F74"/>
    <mergeCell ref="A67:C67"/>
    <mergeCell ref="A35:B35"/>
    <mergeCell ref="A34:B34"/>
    <mergeCell ref="C35:E35"/>
    <mergeCell ref="A36:B36"/>
    <mergeCell ref="A39:H39"/>
    <mergeCell ref="A38:B38"/>
    <mergeCell ref="C38:E38"/>
    <mergeCell ref="G103:H112"/>
    <mergeCell ref="A43:D43"/>
    <mergeCell ref="E43:H43"/>
    <mergeCell ref="A42:H42"/>
    <mergeCell ref="A64:C64"/>
    <mergeCell ref="A65:C65"/>
    <mergeCell ref="D64:H64"/>
    <mergeCell ref="E75:F84"/>
    <mergeCell ref="G75:H84"/>
    <mergeCell ref="A83:B83"/>
    <mergeCell ref="A84:B84"/>
    <mergeCell ref="D65:H65"/>
    <mergeCell ref="A45:D45"/>
    <mergeCell ref="E45:H45"/>
    <mergeCell ref="E46:H46"/>
    <mergeCell ref="E47:H47"/>
    <mergeCell ref="A88:B88"/>
    <mergeCell ref="E23:F23"/>
    <mergeCell ref="G23:H23"/>
    <mergeCell ref="F35:H35"/>
    <mergeCell ref="F36:H36"/>
    <mergeCell ref="F38:H38"/>
    <mergeCell ref="E28:H28"/>
    <mergeCell ref="A30:D30"/>
    <mergeCell ref="E30:H30"/>
    <mergeCell ref="A27:D27"/>
    <mergeCell ref="E27:H27"/>
    <mergeCell ref="A31:D31"/>
    <mergeCell ref="E31:H31"/>
    <mergeCell ref="A28:D28"/>
    <mergeCell ref="A37:B37"/>
    <mergeCell ref="C37:E37"/>
    <mergeCell ref="A32:D32"/>
    <mergeCell ref="E32:H32"/>
    <mergeCell ref="A33:D33"/>
    <mergeCell ref="E33:H33"/>
    <mergeCell ref="A29:D29"/>
    <mergeCell ref="E29:H29"/>
    <mergeCell ref="C34:E34"/>
    <mergeCell ref="F37:H37"/>
    <mergeCell ref="F34:H34"/>
    <mergeCell ref="E15:H15"/>
    <mergeCell ref="A16:D16"/>
    <mergeCell ref="A12:D12"/>
    <mergeCell ref="E12:H12"/>
    <mergeCell ref="A24:D25"/>
    <mergeCell ref="E24:H25"/>
    <mergeCell ref="E16:H16"/>
    <mergeCell ref="A17:B17"/>
    <mergeCell ref="C17:H17"/>
    <mergeCell ref="C18:H18"/>
    <mergeCell ref="A19:B19"/>
    <mergeCell ref="C19:H19"/>
    <mergeCell ref="A14:D14"/>
    <mergeCell ref="E14:H14"/>
    <mergeCell ref="A13:D13"/>
    <mergeCell ref="E13:H13"/>
    <mergeCell ref="A18:B18"/>
    <mergeCell ref="A15:D15"/>
    <mergeCell ref="A20:B20"/>
    <mergeCell ref="C20:D20"/>
    <mergeCell ref="E20:F20"/>
    <mergeCell ref="G20:H20"/>
    <mergeCell ref="A21:B21"/>
    <mergeCell ref="C21:D21"/>
    <mergeCell ref="A1:H1"/>
    <mergeCell ref="A2:H2"/>
    <mergeCell ref="A3:D3"/>
    <mergeCell ref="E3:H3"/>
    <mergeCell ref="A5:D5"/>
    <mergeCell ref="A9:D9"/>
    <mergeCell ref="E9:H9"/>
    <mergeCell ref="A11:D11"/>
    <mergeCell ref="E11:H11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10:D10"/>
    <mergeCell ref="E10:H10"/>
    <mergeCell ref="F121:H121"/>
    <mergeCell ref="A119:E119"/>
    <mergeCell ref="F119:H119"/>
    <mergeCell ref="A121:E121"/>
    <mergeCell ref="F116:H116"/>
    <mergeCell ref="A251:H254"/>
    <mergeCell ref="A250:B250"/>
    <mergeCell ref="E250:F250"/>
    <mergeCell ref="C250:D250"/>
    <mergeCell ref="G250:H250"/>
    <mergeCell ref="A126:H126"/>
    <mergeCell ref="A124:E124"/>
    <mergeCell ref="F124:H124"/>
    <mergeCell ref="A125:E125"/>
    <mergeCell ref="F125:H125"/>
    <mergeCell ref="A182:H182"/>
    <mergeCell ref="A134:B134"/>
    <mergeCell ref="A194:B194"/>
    <mergeCell ref="A246:H246"/>
    <mergeCell ref="A132:H132"/>
    <mergeCell ref="A249:H249"/>
    <mergeCell ref="A247:H247"/>
    <mergeCell ref="A243:H243"/>
    <mergeCell ref="G133:H133"/>
    <mergeCell ref="G127:H127"/>
    <mergeCell ref="F122:H122"/>
    <mergeCell ref="E127:F127"/>
    <mergeCell ref="A127:B127"/>
    <mergeCell ref="A248:H248"/>
    <mergeCell ref="A245:H245"/>
    <mergeCell ref="A183:B183"/>
    <mergeCell ref="A133:B133"/>
    <mergeCell ref="D170:D171"/>
    <mergeCell ref="E170:E171"/>
    <mergeCell ref="G128:H128"/>
    <mergeCell ref="C127:D127"/>
    <mergeCell ref="C136:D136"/>
    <mergeCell ref="A173:H173"/>
    <mergeCell ref="A195:B195"/>
    <mergeCell ref="F123:H123"/>
    <mergeCell ref="A196:B196"/>
    <mergeCell ref="C140:C141"/>
    <mergeCell ref="B170:B171"/>
    <mergeCell ref="A244:H244"/>
    <mergeCell ref="A187:B187"/>
    <mergeCell ref="C133:D133"/>
    <mergeCell ref="A136:B136"/>
    <mergeCell ref="E136:F136"/>
    <mergeCell ref="G88:H88"/>
    <mergeCell ref="A120:E120"/>
    <mergeCell ref="A106:B106"/>
    <mergeCell ref="A107:B107"/>
    <mergeCell ref="E89:F98"/>
    <mergeCell ref="A96:B96"/>
    <mergeCell ref="A97:B97"/>
    <mergeCell ref="E102:F102"/>
    <mergeCell ref="E103:F112"/>
    <mergeCell ref="A117:E117"/>
    <mergeCell ref="A108:B108"/>
    <mergeCell ref="A110:B110"/>
    <mergeCell ref="A111:B111"/>
    <mergeCell ref="A116:E116"/>
    <mergeCell ref="A93:B93"/>
    <mergeCell ref="A94:B94"/>
    <mergeCell ref="A95:B95"/>
    <mergeCell ref="A109:B109"/>
    <mergeCell ref="F114:H114"/>
    <mergeCell ref="A112:B112"/>
    <mergeCell ref="F120:H120"/>
    <mergeCell ref="C101:H101"/>
    <mergeCell ref="A102:B102"/>
    <mergeCell ref="A113:E113"/>
    <mergeCell ref="F113:H113"/>
    <mergeCell ref="A104:B104"/>
    <mergeCell ref="A105:B105"/>
    <mergeCell ref="G52:H52"/>
    <mergeCell ref="A54:B55"/>
    <mergeCell ref="A81:B81"/>
    <mergeCell ref="A152:B152"/>
    <mergeCell ref="G51:H51"/>
    <mergeCell ref="G54:H54"/>
    <mergeCell ref="A52:B52"/>
    <mergeCell ref="A57:H57"/>
    <mergeCell ref="A58:C58"/>
    <mergeCell ref="A59:C59"/>
    <mergeCell ref="D59:H59"/>
    <mergeCell ref="G56:H56"/>
    <mergeCell ref="A56:B56"/>
    <mergeCell ref="C56:E56"/>
    <mergeCell ref="D58:H58"/>
    <mergeCell ref="C52:E52"/>
    <mergeCell ref="C85:H85"/>
    <mergeCell ref="A80:B80"/>
    <mergeCell ref="C130:D130"/>
    <mergeCell ref="E88:F88"/>
    <mergeCell ref="L151:M151"/>
    <mergeCell ref="A154:B154"/>
    <mergeCell ref="L153:M153"/>
    <mergeCell ref="A155:B155"/>
    <mergeCell ref="L154:M154"/>
    <mergeCell ref="A153:H153"/>
    <mergeCell ref="I16:P16"/>
    <mergeCell ref="E44:H44"/>
    <mergeCell ref="A44:D44"/>
    <mergeCell ref="A51:B51"/>
    <mergeCell ref="C51:E51"/>
    <mergeCell ref="C36:E36"/>
    <mergeCell ref="A26:D26"/>
    <mergeCell ref="E26:H26"/>
    <mergeCell ref="E21:F21"/>
    <mergeCell ref="G21:H21"/>
    <mergeCell ref="A22:B22"/>
    <mergeCell ref="C22:D22"/>
    <mergeCell ref="E22:F22"/>
    <mergeCell ref="G22:H22"/>
    <mergeCell ref="A23:B23"/>
    <mergeCell ref="C23:D23"/>
    <mergeCell ref="A139:H139"/>
    <mergeCell ref="F118:H118"/>
    <mergeCell ref="L176:M176"/>
    <mergeCell ref="C170:C171"/>
    <mergeCell ref="G170:G171"/>
    <mergeCell ref="F170:F171"/>
    <mergeCell ref="A174:B174"/>
    <mergeCell ref="A169:H169"/>
    <mergeCell ref="A170:A171"/>
    <mergeCell ref="A172:H172"/>
    <mergeCell ref="A180:B180"/>
    <mergeCell ref="L179:M179"/>
    <mergeCell ref="L178:M178"/>
    <mergeCell ref="L173:M173"/>
    <mergeCell ref="L174:M174"/>
    <mergeCell ref="L175:M175"/>
    <mergeCell ref="L177:M177"/>
    <mergeCell ref="A207:B207"/>
    <mergeCell ref="L180:M180"/>
    <mergeCell ref="A188:B188"/>
    <mergeCell ref="A189:B189"/>
    <mergeCell ref="A190:B190"/>
    <mergeCell ref="A197:B197"/>
    <mergeCell ref="A198:B198"/>
    <mergeCell ref="A199:B199"/>
    <mergeCell ref="C196:H196"/>
    <mergeCell ref="A192:B192"/>
    <mergeCell ref="L181:M181"/>
    <mergeCell ref="A193:B193"/>
    <mergeCell ref="A204:B204"/>
    <mergeCell ref="A205:B205"/>
    <mergeCell ref="A200:H200"/>
    <mergeCell ref="A191:H191"/>
    <mergeCell ref="A184:B184"/>
    <mergeCell ref="A185:B185"/>
    <mergeCell ref="L199:M199"/>
    <mergeCell ref="A201:B201"/>
    <mergeCell ref="A202:B202"/>
    <mergeCell ref="A181:B181"/>
    <mergeCell ref="A212:B212"/>
    <mergeCell ref="A213:B213"/>
    <mergeCell ref="K211:L211"/>
    <mergeCell ref="K212:L212"/>
    <mergeCell ref="K213:L213"/>
    <mergeCell ref="A225:B225"/>
    <mergeCell ref="K224:L224"/>
    <mergeCell ref="A227:B227"/>
    <mergeCell ref="L226:M226"/>
    <mergeCell ref="A219:H219"/>
    <mergeCell ref="A220:B220"/>
    <mergeCell ref="K219:L219"/>
    <mergeCell ref="A221:B221"/>
    <mergeCell ref="K220:L220"/>
    <mergeCell ref="A222:B222"/>
    <mergeCell ref="K221:L221"/>
    <mergeCell ref="A223:B223"/>
    <mergeCell ref="K222:L222"/>
    <mergeCell ref="A224:B224"/>
    <mergeCell ref="K223:L223"/>
    <mergeCell ref="A226:B226"/>
    <mergeCell ref="K225:L225"/>
    <mergeCell ref="C226:H226"/>
    <mergeCell ref="A211:H211"/>
    <mergeCell ref="B241:H241"/>
    <mergeCell ref="J238:P238"/>
    <mergeCell ref="I240:O240"/>
    <mergeCell ref="B240:H240"/>
    <mergeCell ref="A215:B215"/>
    <mergeCell ref="K214:L214"/>
    <mergeCell ref="A216:B216"/>
    <mergeCell ref="K215:L215"/>
    <mergeCell ref="A217:B217"/>
    <mergeCell ref="K216:L216"/>
    <mergeCell ref="A218:B218"/>
    <mergeCell ref="L217:M217"/>
    <mergeCell ref="A214:B214"/>
    <mergeCell ref="B233:H233"/>
    <mergeCell ref="A228:H228"/>
    <mergeCell ref="B234:H234"/>
    <mergeCell ref="B239:H239"/>
    <mergeCell ref="B237:H237"/>
    <mergeCell ref="B235:H235"/>
    <mergeCell ref="B231:H231"/>
  </mergeCells>
  <dataValidations count="14">
    <dataValidation type="list" allowBlank="1" showInputMessage="1" showErrorMessage="1" sqref="E5:H5">
      <formula1>OFFSET($L$3,1,MATCH($E4,$L$3:$P$3,0)-1,10,1)</formula1>
    </dataValidation>
    <dataValidation type="list" allowBlank="1" showInputMessage="1" showErrorMessage="1" sqref="A18:B18">
      <formula1>"CTS No,Survey No,Plot No,Gut No,FP No,"</formula1>
    </dataValidation>
    <dataValidation type="list" allowBlank="1" showInputMessage="1" showErrorMessage="1" sqref="G21:H21">
      <formula1>$S$14:$W$14</formula1>
    </dataValidation>
    <dataValidation type="list" allowBlank="1" showInputMessage="1" showErrorMessage="1" sqref="E140:E141">
      <formula1>"Attached Loft area,Attached Otla area,Attached Mezzanine area"</formula1>
    </dataValidation>
    <dataValidation type="list" allowBlank="1" showInputMessage="1" showErrorMessage="1" sqref="F113:H113">
      <formula1>"On Saleable Area,On Builtup Area,On Carpet Area,On Plot Area"</formula1>
    </dataValidation>
    <dataValidation type="list" allowBlank="1" showInputMessage="1" showErrorMessage="1" sqref="F124:H124">
      <formula1>"100000,150000,200000,250000,300000,350000,400000,500000,600000,700000,800000,900000,1000000,1200000,1400000,1500000"</formula1>
    </dataValidation>
    <dataValidation type="list" allowBlank="1" showInputMessage="1" showErrorMessage="1" sqref="B140:B141">
      <formula1>"Shop No. (Sale Plan),Sale / Rehab,Sale / Mhada"</formula1>
    </dataValidation>
    <dataValidation type="list" allowBlank="1" showInputMessage="1" showErrorMessage="1" sqref="B170:B171">
      <formula1>"Flat No. (Sale Plan),Sale / Rehab,Sale / Mhada"</formula1>
    </dataValidation>
    <dataValidation type="list" allowBlank="1" showInputMessage="1" showErrorMessage="1" sqref="C22:D22">
      <formula1>OFFSET($S$14,1,MATCH($G21,$S$14:$W$14,0)-1,15,1)</formula1>
    </dataValidation>
    <dataValidation type="list" allowBlank="1" showInputMessage="1" showErrorMessage="1" sqref="Y14">
      <formula1>$D$5:$H$5</formula1>
    </dataValidation>
    <dataValidation type="list" allowBlank="1" showInputMessage="1" showErrorMessage="1" sqref="E170:E171">
      <formula1>"Balcony + Enclosed Balcony Area, Fungible area,Balcony Area,Chajja Area,Cornice Area,AP Area,Open Balcony Area"</formula1>
    </dataValidation>
    <dataValidation type="list" allowBlank="1" showInputMessage="1" showErrorMessage="1" sqref="H171 H141">
      <formula1>".45,.50,.55,.60"</formula1>
    </dataValidation>
    <dataValidation type="list" allowBlank="1" showInputMessage="1" showErrorMessage="1" sqref="E4:H4">
      <formula1>$L$3:$P$3</formula1>
    </dataValidation>
    <dataValidation type="list" allowBlank="1" showInputMessage="1" showErrorMessage="1" sqref="C50:H50">
      <formula1>OFFSET($S$50,1,MATCH($G21,$S$50:$W$50,0)-1,15,1)</formula1>
    </dataValidation>
  </dataValidations>
  <hyperlinks>
    <hyperlink ref="C41" r:id="rId1"/>
    <hyperlink ref="I136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70" max="7" man="1"/>
    <brk id="209" max="16383" man="1"/>
    <brk id="254" max="7" man="1"/>
    <brk id="298" max="7" man="1"/>
    <brk id="340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H18" sqref="H18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33" t="s">
        <v>101</v>
      </c>
      <c r="C3" s="233"/>
      <c r="D3" s="233"/>
      <c r="E3" s="233"/>
      <c r="F3" s="233"/>
      <c r="G3" s="233"/>
      <c r="H3" s="233"/>
    </row>
    <row r="4" spans="1:9" x14ac:dyDescent="0.35">
      <c r="A4" s="2"/>
      <c r="B4" s="3" t="s">
        <v>102</v>
      </c>
      <c r="C4" s="3" t="s">
        <v>103</v>
      </c>
      <c r="D4" s="3" t="s">
        <v>64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4.5" x14ac:dyDescent="0.35"/>
  <cols>
    <col min="4" max="4" width="13.81640625" bestFit="1" customWidth="1"/>
    <col min="5" max="5" width="10.453125" bestFit="1" customWidth="1"/>
    <col min="6" max="6" width="12.453125" bestFit="1" customWidth="1"/>
    <col min="7" max="7" width="18.1796875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9"/>
      <c r="C4" s="49" t="s">
        <v>11</v>
      </c>
      <c r="D4" s="50" t="s">
        <v>171</v>
      </c>
      <c r="E4" s="50" t="s">
        <v>181</v>
      </c>
      <c r="F4" s="50" t="s">
        <v>165</v>
      </c>
      <c r="G4" s="50" t="s">
        <v>186</v>
      </c>
      <c r="H4" s="50" t="s">
        <v>204</v>
      </c>
      <c r="J4" t="s">
        <v>186</v>
      </c>
      <c r="K4" t="s">
        <v>202</v>
      </c>
    </row>
    <row r="5" spans="2:11" x14ac:dyDescent="0.35">
      <c r="B5" s="49"/>
      <c r="C5" s="49"/>
      <c r="D5" s="50" t="s">
        <v>172</v>
      </c>
      <c r="E5" s="50" t="s">
        <v>179</v>
      </c>
      <c r="F5" s="50" t="s">
        <v>201</v>
      </c>
      <c r="G5" s="50" t="s">
        <v>187</v>
      </c>
      <c r="H5" s="50" t="s">
        <v>205</v>
      </c>
    </row>
    <row r="6" spans="2:11" x14ac:dyDescent="0.35">
      <c r="B6" s="49"/>
      <c r="C6" s="49"/>
      <c r="D6" s="50" t="s">
        <v>173</v>
      </c>
      <c r="E6" s="50" t="s">
        <v>180</v>
      </c>
      <c r="F6" s="50" t="s">
        <v>202</v>
      </c>
      <c r="G6" s="50" t="s">
        <v>188</v>
      </c>
      <c r="H6" s="50" t="s">
        <v>218</v>
      </c>
    </row>
    <row r="7" spans="2:11" x14ac:dyDescent="0.35">
      <c r="B7" s="49"/>
      <c r="C7" s="49"/>
      <c r="D7" s="50" t="s">
        <v>174</v>
      </c>
      <c r="E7" s="50" t="s">
        <v>182</v>
      </c>
      <c r="F7" s="50" t="s">
        <v>203</v>
      </c>
      <c r="G7" s="50" t="s">
        <v>189</v>
      </c>
      <c r="H7" s="50" t="s">
        <v>206</v>
      </c>
    </row>
    <row r="8" spans="2:11" x14ac:dyDescent="0.35">
      <c r="B8" s="49"/>
      <c r="C8" s="49"/>
      <c r="D8" s="50" t="s">
        <v>175</v>
      </c>
      <c r="E8" s="50" t="s">
        <v>183</v>
      </c>
      <c r="F8" s="50"/>
      <c r="G8" s="50" t="s">
        <v>190</v>
      </c>
      <c r="H8" s="50" t="s">
        <v>207</v>
      </c>
    </row>
    <row r="9" spans="2:11" x14ac:dyDescent="0.35">
      <c r="B9" s="49"/>
      <c r="C9" s="49"/>
      <c r="D9" s="50" t="s">
        <v>176</v>
      </c>
      <c r="E9" s="50" t="s">
        <v>181</v>
      </c>
      <c r="F9" s="50"/>
      <c r="G9" s="50" t="s">
        <v>191</v>
      </c>
      <c r="H9" s="50" t="s">
        <v>208</v>
      </c>
    </row>
    <row r="10" spans="2:11" x14ac:dyDescent="0.35">
      <c r="B10" s="49"/>
      <c r="C10" s="49"/>
      <c r="D10" s="50" t="s">
        <v>177</v>
      </c>
      <c r="E10" s="50" t="s">
        <v>184</v>
      </c>
      <c r="F10" s="50"/>
      <c r="G10" s="50" t="s">
        <v>192</v>
      </c>
      <c r="H10" s="50" t="s">
        <v>209</v>
      </c>
    </row>
    <row r="11" spans="2:11" x14ac:dyDescent="0.35">
      <c r="B11" s="49"/>
      <c r="C11" s="49"/>
      <c r="D11" s="50" t="s">
        <v>178</v>
      </c>
      <c r="E11" s="50" t="s">
        <v>185</v>
      </c>
      <c r="F11" s="50"/>
      <c r="G11" s="50" t="s">
        <v>193</v>
      </c>
      <c r="H11" s="50" t="s">
        <v>210</v>
      </c>
    </row>
    <row r="12" spans="2:11" x14ac:dyDescent="0.35">
      <c r="B12" s="49"/>
      <c r="C12" s="49"/>
      <c r="D12" s="50"/>
      <c r="E12" s="50"/>
      <c r="F12" s="50"/>
      <c r="G12" s="50" t="s">
        <v>194</v>
      </c>
      <c r="H12" s="50" t="s">
        <v>211</v>
      </c>
    </row>
    <row r="13" spans="2:11" x14ac:dyDescent="0.35">
      <c r="B13" s="49"/>
      <c r="C13" s="49"/>
      <c r="D13" s="50"/>
      <c r="E13" s="50"/>
      <c r="F13" s="50"/>
      <c r="G13" s="50" t="s">
        <v>195</v>
      </c>
      <c r="H13" s="50" t="s">
        <v>212</v>
      </c>
    </row>
    <row r="14" spans="2:11" x14ac:dyDescent="0.35">
      <c r="B14" s="49"/>
      <c r="C14" s="49"/>
      <c r="D14" s="50"/>
      <c r="E14" s="50"/>
      <c r="F14" s="50"/>
      <c r="G14" s="50" t="s">
        <v>196</v>
      </c>
      <c r="H14" s="50" t="s">
        <v>213</v>
      </c>
    </row>
    <row r="15" spans="2:11" x14ac:dyDescent="0.35">
      <c r="B15" s="49"/>
      <c r="C15" s="49"/>
      <c r="D15" s="50"/>
      <c r="E15" s="50"/>
      <c r="F15" s="50"/>
      <c r="G15" s="50" t="s">
        <v>197</v>
      </c>
      <c r="H15" s="50" t="s">
        <v>214</v>
      </c>
    </row>
    <row r="16" spans="2:11" x14ac:dyDescent="0.35">
      <c r="B16" s="49"/>
      <c r="C16" s="49"/>
      <c r="D16" s="50"/>
      <c r="E16" s="50"/>
      <c r="F16" s="50"/>
      <c r="G16" s="50" t="s">
        <v>198</v>
      </c>
      <c r="H16" s="50" t="s">
        <v>215</v>
      </c>
    </row>
    <row r="17" spans="2:8" x14ac:dyDescent="0.35">
      <c r="B17" s="49"/>
      <c r="C17" s="49"/>
      <c r="D17" s="50"/>
      <c r="E17" s="50"/>
      <c r="F17" s="50"/>
      <c r="G17" s="50" t="s">
        <v>199</v>
      </c>
      <c r="H17" s="50" t="s">
        <v>216</v>
      </c>
    </row>
    <row r="18" spans="2:8" x14ac:dyDescent="0.35">
      <c r="B18" s="49"/>
      <c r="C18" s="49"/>
      <c r="D18" s="50"/>
      <c r="E18" s="50"/>
      <c r="F18" s="50"/>
      <c r="G18" s="50" t="s">
        <v>200</v>
      </c>
      <c r="H18" s="50" t="s">
        <v>217</v>
      </c>
    </row>
    <row r="24" spans="2:8" x14ac:dyDescent="0.35">
      <c r="C24" t="s">
        <v>162</v>
      </c>
    </row>
    <row r="25" spans="2:8" x14ac:dyDescent="0.35">
      <c r="C25" t="s">
        <v>219</v>
      </c>
    </row>
    <row r="26" spans="2:8" x14ac:dyDescent="0.35">
      <c r="C26" t="s">
        <v>220</v>
      </c>
    </row>
    <row r="27" spans="2:8" x14ac:dyDescent="0.35">
      <c r="C27" t="s">
        <v>221</v>
      </c>
    </row>
    <row r="28" spans="2:8" x14ac:dyDescent="0.35">
      <c r="C28" t="s">
        <v>222</v>
      </c>
    </row>
    <row r="29" spans="2:8" x14ac:dyDescent="0.35">
      <c r="C29" t="s">
        <v>223</v>
      </c>
    </row>
    <row r="30" spans="2:8" x14ac:dyDescent="0.35">
      <c r="C30" t="s">
        <v>162</v>
      </c>
    </row>
    <row r="33" spans="3:11" x14ac:dyDescent="0.35">
      <c r="J33">
        <v>1</v>
      </c>
      <c r="K33">
        <v>2</v>
      </c>
    </row>
    <row r="34" spans="3:11" x14ac:dyDescent="0.35">
      <c r="C34" s="52" t="s">
        <v>229</v>
      </c>
      <c r="D34" s="50" t="s">
        <v>227</v>
      </c>
      <c r="E34" s="50" t="s">
        <v>232</v>
      </c>
      <c r="F34" s="50" t="s">
        <v>230</v>
      </c>
      <c r="G34" s="50" t="s">
        <v>231</v>
      </c>
      <c r="H34" s="50" t="s">
        <v>233</v>
      </c>
      <c r="J34" t="s">
        <v>186</v>
      </c>
      <c r="K34" t="s">
        <v>202</v>
      </c>
    </row>
    <row r="35" spans="3:11" x14ac:dyDescent="0.35">
      <c r="C35" s="49" t="s">
        <v>228</v>
      </c>
      <c r="D35" s="50" t="s">
        <v>163</v>
      </c>
      <c r="E35" s="50" t="s">
        <v>237</v>
      </c>
      <c r="F35" s="50" t="s">
        <v>239</v>
      </c>
      <c r="G35" s="50" t="s">
        <v>241</v>
      </c>
      <c r="H35" s="50"/>
    </row>
    <row r="36" spans="3:11" x14ac:dyDescent="0.35">
      <c r="C36" s="49"/>
      <c r="D36" s="50" t="s">
        <v>234</v>
      </c>
      <c r="E36" s="50" t="s">
        <v>238</v>
      </c>
      <c r="F36" s="50" t="s">
        <v>240</v>
      </c>
      <c r="G36" s="50" t="s">
        <v>242</v>
      </c>
      <c r="H36" s="50"/>
    </row>
    <row r="37" spans="3:11" x14ac:dyDescent="0.35">
      <c r="C37" s="49"/>
      <c r="D37" s="50" t="s">
        <v>235</v>
      </c>
      <c r="E37" s="50"/>
      <c r="F37" s="50"/>
      <c r="G37" s="50" t="s">
        <v>243</v>
      </c>
      <c r="H37" s="50"/>
    </row>
    <row r="38" spans="3:11" x14ac:dyDescent="0.35">
      <c r="C38" s="49"/>
      <c r="D38" s="50" t="s">
        <v>236</v>
      </c>
      <c r="E38" s="50"/>
      <c r="F38" s="50"/>
      <c r="G38" s="50" t="s">
        <v>243</v>
      </c>
      <c r="H38" s="50"/>
    </row>
    <row r="39" spans="3:11" x14ac:dyDescent="0.35">
      <c r="C39" s="49"/>
      <c r="D39" s="50"/>
      <c r="E39" s="50"/>
      <c r="F39" s="50"/>
      <c r="G39" s="50" t="s">
        <v>244</v>
      </c>
      <c r="H39" s="50"/>
    </row>
    <row r="40" spans="3:11" x14ac:dyDescent="0.35">
      <c r="C40" s="49"/>
      <c r="D40" s="50"/>
      <c r="E40" s="50"/>
      <c r="F40" s="50"/>
      <c r="G40" s="50" t="s">
        <v>245</v>
      </c>
      <c r="H40" s="50"/>
    </row>
    <row r="41" spans="3:11" x14ac:dyDescent="0.35">
      <c r="C41" s="49"/>
      <c r="D41" s="50"/>
      <c r="E41" s="50"/>
      <c r="F41" s="50"/>
      <c r="G41" s="50"/>
      <c r="H41" s="50"/>
    </row>
    <row r="43" spans="3:11" x14ac:dyDescent="0.35">
      <c r="C43" t="s">
        <v>246</v>
      </c>
    </row>
    <row r="44" spans="3:11" x14ac:dyDescent="0.35">
      <c r="C44" t="s">
        <v>165</v>
      </c>
      <c r="D44" t="s">
        <v>247</v>
      </c>
    </row>
    <row r="45" spans="3:11" x14ac:dyDescent="0.35">
      <c r="D45" t="s">
        <v>248</v>
      </c>
    </row>
    <row r="46" spans="3:11" x14ac:dyDescent="0.35">
      <c r="D46" t="s">
        <v>249</v>
      </c>
    </row>
    <row r="47" spans="3:11" x14ac:dyDescent="0.35">
      <c r="D47" t="s">
        <v>250</v>
      </c>
    </row>
    <row r="48" spans="3:11" x14ac:dyDescent="0.35">
      <c r="D48" t="s">
        <v>251</v>
      </c>
    </row>
    <row r="49" spans="3:4" x14ac:dyDescent="0.35">
      <c r="C49" t="s">
        <v>171</v>
      </c>
      <c r="D49" t="s">
        <v>252</v>
      </c>
    </row>
    <row r="50" spans="3:4" x14ac:dyDescent="0.35">
      <c r="D50" t="s">
        <v>253</v>
      </c>
    </row>
    <row r="51" spans="3:4" x14ac:dyDescent="0.35">
      <c r="D51" t="s">
        <v>254</v>
      </c>
    </row>
    <row r="52" spans="3:4" x14ac:dyDescent="0.35">
      <c r="D52" t="s">
        <v>257</v>
      </c>
    </row>
    <row r="53" spans="3:4" x14ac:dyDescent="0.35">
      <c r="D53" t="s">
        <v>255</v>
      </c>
    </row>
    <row r="54" spans="3:4" x14ac:dyDescent="0.35">
      <c r="D54" t="s">
        <v>256</v>
      </c>
    </row>
    <row r="55" spans="3:4" x14ac:dyDescent="0.35">
      <c r="D55" t="s">
        <v>258</v>
      </c>
    </row>
    <row r="56" spans="3:4" x14ac:dyDescent="0.35">
      <c r="D56" t="s">
        <v>259</v>
      </c>
    </row>
    <row r="57" spans="3:4" x14ac:dyDescent="0.35">
      <c r="D57" t="s">
        <v>260</v>
      </c>
    </row>
    <row r="58" spans="3:4" x14ac:dyDescent="0.35">
      <c r="D58" t="s">
        <v>262</v>
      </c>
    </row>
    <row r="59" spans="3:4" x14ac:dyDescent="0.35">
      <c r="D59" t="s">
        <v>271</v>
      </c>
    </row>
    <row r="60" spans="3:4" x14ac:dyDescent="0.35">
      <c r="C60" t="s">
        <v>186</v>
      </c>
      <c r="D60" t="s">
        <v>263</v>
      </c>
    </row>
    <row r="61" spans="3:4" x14ac:dyDescent="0.35">
      <c r="D61" t="s">
        <v>261</v>
      </c>
    </row>
    <row r="62" spans="3:4" x14ac:dyDescent="0.35">
      <c r="D62" t="s">
        <v>251</v>
      </c>
    </row>
    <row r="63" spans="3:4" x14ac:dyDescent="0.35">
      <c r="D63" t="s">
        <v>264</v>
      </c>
    </row>
    <row r="64" spans="3:4" x14ac:dyDescent="0.35">
      <c r="D64" t="s">
        <v>265</v>
      </c>
    </row>
    <row r="65" spans="3:4" x14ac:dyDescent="0.35">
      <c r="D65" t="s">
        <v>266</v>
      </c>
    </row>
    <row r="66" spans="3:4" x14ac:dyDescent="0.35">
      <c r="D66" t="s">
        <v>267</v>
      </c>
    </row>
    <row r="67" spans="3:4" x14ac:dyDescent="0.35">
      <c r="C67" t="s">
        <v>181</v>
      </c>
      <c r="D67" t="s">
        <v>268</v>
      </c>
    </row>
    <row r="68" spans="3:4" x14ac:dyDescent="0.35">
      <c r="D68" t="s">
        <v>269</v>
      </c>
    </row>
    <row r="69" spans="3:4" x14ac:dyDescent="0.35">
      <c r="D69" t="s">
        <v>270</v>
      </c>
    </row>
  </sheetData>
  <dataValidations count="2">
    <dataValidation type="list" allowBlank="1" showInputMessage="1" showErrorMessage="1" sqref="J4 J34">
      <formula1>$D$4:$H$4</formula1>
    </dataValidation>
    <dataValidation type="list" allowBlank="1" showInputMessage="1" showErrorMessage="1" sqref="K4 K34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2025-06-06T05:55:15Z</cp:lastPrinted>
  <dcterms:created xsi:type="dcterms:W3CDTF">2019-07-16T09:29:46Z</dcterms:created>
  <dcterms:modified xsi:type="dcterms:W3CDTF">2025-09-09T05:29:59Z</dcterms:modified>
</cp:coreProperties>
</file>