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F151" i="1" s="1"/>
  <c r="L150" i="1"/>
  <c r="D150" i="1"/>
  <c r="F150" i="1" s="1"/>
  <c r="D148" i="1"/>
  <c r="F148" i="1" s="1"/>
  <c r="D147" i="1"/>
  <c r="F147" i="1" s="1"/>
  <c r="K143" i="1" s="1"/>
  <c r="L146" i="1"/>
  <c r="J146" i="1"/>
  <c r="D146" i="1"/>
  <c r="F146" i="1" s="1"/>
  <c r="D145" i="1"/>
  <c r="F145" i="1" s="1"/>
  <c r="D144" i="1"/>
  <c r="F144" i="1" s="1"/>
  <c r="G143" i="1"/>
  <c r="G144" i="1" s="1"/>
  <c r="G145" i="1" s="1"/>
  <c r="G146" i="1" s="1"/>
  <c r="G147" i="1" s="1"/>
  <c r="G148" i="1" s="1"/>
  <c r="G149" i="1" s="1"/>
  <c r="G150" i="1" s="1"/>
  <c r="G151" i="1" s="1"/>
  <c r="D143" i="1"/>
  <c r="F143" i="1" s="1"/>
  <c r="I143" i="1" s="1"/>
  <c r="M144" i="1" l="1"/>
  <c r="D141" i="1"/>
  <c r="F141" i="1" s="1"/>
  <c r="L140" i="1"/>
  <c r="D140" i="1"/>
  <c r="F140" i="1" s="1"/>
  <c r="D139" i="1"/>
  <c r="F139" i="1" s="1"/>
  <c r="D138" i="1"/>
  <c r="F138" i="1" s="1"/>
  <c r="D137" i="1"/>
  <c r="F137" i="1" s="1"/>
  <c r="K133" i="1" s="1"/>
  <c r="L136" i="1"/>
  <c r="J136" i="1"/>
  <c r="D136" i="1"/>
  <c r="F136" i="1" s="1"/>
  <c r="D135" i="1"/>
  <c r="F135" i="1" s="1"/>
  <c r="D134" i="1"/>
  <c r="F134" i="1" s="1"/>
  <c r="G133" i="1"/>
  <c r="G134" i="1" s="1"/>
  <c r="G135" i="1" s="1"/>
  <c r="G136" i="1" s="1"/>
  <c r="G137" i="1" s="1"/>
  <c r="G138" i="1" s="1"/>
  <c r="G139" i="1" s="1"/>
  <c r="G140" i="1" s="1"/>
  <c r="G141" i="1" s="1"/>
  <c r="D133" i="1"/>
  <c r="F133" i="1" s="1"/>
  <c r="I133" i="1" s="1"/>
  <c r="D131" i="1"/>
  <c r="D130" i="1"/>
  <c r="F130" i="1" s="1"/>
  <c r="D129" i="1"/>
  <c r="D126" i="1"/>
  <c r="F126" i="1" s="1"/>
  <c r="D125" i="1"/>
  <c r="F125" i="1" s="1"/>
  <c r="D124" i="1"/>
  <c r="F124" i="1" s="1"/>
  <c r="D123" i="1"/>
  <c r="J126" i="1"/>
  <c r="D127" i="1"/>
  <c r="F127" i="1" s="1"/>
  <c r="L130" i="1"/>
  <c r="F129" i="1"/>
  <c r="L126" i="1"/>
  <c r="G123" i="1"/>
  <c r="G124" i="1" s="1"/>
  <c r="G125" i="1" s="1"/>
  <c r="G126" i="1" s="1"/>
  <c r="G127" i="1" s="1"/>
  <c r="G128" i="1" s="1"/>
  <c r="G129" i="1" s="1"/>
  <c r="G130" i="1" s="1"/>
  <c r="G131" i="1" s="1"/>
  <c r="C68" i="1"/>
  <c r="J79" i="1"/>
  <c r="J78" i="1"/>
  <c r="J77" i="1"/>
  <c r="J76" i="1"/>
  <c r="C82" i="1"/>
  <c r="G51" i="1"/>
  <c r="G52" i="1" s="1"/>
  <c r="C52" i="1"/>
  <c r="H69" i="1"/>
  <c r="F123" i="1" l="1"/>
  <c r="C113" i="1"/>
  <c r="E113" i="1"/>
  <c r="F131" i="1"/>
  <c r="K123" i="1"/>
  <c r="J73" i="1"/>
  <c r="C72" i="1" s="1"/>
  <c r="D72" i="1" s="1"/>
  <c r="J71" i="1"/>
  <c r="D81" i="1"/>
  <c r="D79" i="1"/>
  <c r="D77" i="1"/>
  <c r="D75" i="1"/>
  <c r="J74" i="1"/>
  <c r="J75" i="1" s="1"/>
  <c r="J80" i="1" s="1"/>
  <c r="J81" i="1" s="1"/>
  <c r="C73" i="1" s="1"/>
  <c r="D80" i="1"/>
  <c r="D78" i="1"/>
  <c r="D76" i="1"/>
  <c r="D74" i="1"/>
  <c r="J72" i="1"/>
  <c r="E3" i="1"/>
  <c r="I123" i="1" l="1"/>
  <c r="G113" i="1"/>
  <c r="E72" i="1"/>
  <c r="I68" i="1" s="1"/>
  <c r="C70" i="1" s="1"/>
  <c r="D73" i="1"/>
  <c r="G72" i="1"/>
  <c r="D66" i="1" s="1"/>
  <c r="L158" i="1"/>
  <c r="D159" i="1" l="1"/>
  <c r="J158" i="1" s="1"/>
  <c r="D157" i="1"/>
  <c r="D158" i="1"/>
  <c r="J159" i="1" s="1"/>
  <c r="D156" i="1"/>
  <c r="D155" i="1"/>
  <c r="C112" i="1" l="1"/>
  <c r="C114" i="1" s="1"/>
  <c r="E112" i="1"/>
  <c r="E114" i="1" s="1"/>
  <c r="B162" i="1"/>
  <c r="A155" i="1"/>
  <c r="C13" i="1" l="1"/>
  <c r="A156" i="1"/>
  <c r="E27" i="1" l="1"/>
  <c r="A157" i="1"/>
  <c r="F159" i="1" l="1"/>
  <c r="F158" i="1"/>
  <c r="I158" i="1" s="1"/>
  <c r="F157" i="1"/>
  <c r="I157" i="1" s="1"/>
  <c r="F156" i="1"/>
  <c r="I156" i="1" s="1"/>
  <c r="F155" i="1"/>
  <c r="I155" i="1" s="1"/>
  <c r="A158" i="1"/>
  <c r="I159" i="1" l="1"/>
  <c r="K155" i="1"/>
  <c r="G112" i="1"/>
  <c r="G114" i="1" s="1"/>
  <c r="A15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3" i="1"/>
  <c r="G155" i="1"/>
  <c r="G156" i="1" s="1"/>
  <c r="G157" i="1" s="1"/>
  <c r="G158" i="1" s="1"/>
  <c r="G159" i="1" s="1"/>
  <c r="F109" i="1"/>
  <c r="J93" i="1"/>
  <c r="J92" i="1"/>
  <c r="J91" i="1"/>
  <c r="J90" i="1"/>
  <c r="D56" i="1"/>
  <c r="G48" i="1"/>
  <c r="G49" i="1" s="1"/>
  <c r="C48" i="1"/>
  <c r="C49" i="1" s="1"/>
  <c r="E40" i="1"/>
  <c r="E41" i="1" s="1"/>
  <c r="E24" i="1"/>
  <c r="E22" i="1"/>
  <c r="E7" i="1"/>
  <c r="D62" i="1"/>
  <c r="H83" i="1"/>
  <c r="D88" i="1" l="1"/>
  <c r="J86" i="1"/>
  <c r="D95" i="1"/>
  <c r="D93" i="1"/>
  <c r="D91" i="1"/>
  <c r="D89" i="1"/>
  <c r="J87" i="1"/>
  <c r="C86" i="1" s="1"/>
  <c r="D86" i="1" s="1"/>
  <c r="J85" i="1"/>
  <c r="J88" i="1"/>
  <c r="J89" i="1" s="1"/>
  <c r="J94" i="1" s="1"/>
  <c r="J95" i="1" s="1"/>
  <c r="C87" i="1" s="1"/>
  <c r="D94" i="1"/>
  <c r="D90" i="1"/>
  <c r="D92" i="1"/>
  <c r="E86" i="1" l="1"/>
  <c r="I82" i="1" s="1"/>
  <c r="D87" i="1"/>
  <c r="G86" i="1"/>
  <c r="C84" i="1" l="1"/>
  <c r="F67" i="1"/>
  <c r="D67" i="1"/>
</calcChain>
</file>

<file path=xl/sharedStrings.xml><?xml version="1.0" encoding="utf-8"?>
<sst xmlns="http://schemas.openxmlformats.org/spreadsheetml/2006/main" count="330" uniqueCount="226">
  <si>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</si>
  <si>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</si>
  <si>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</si>
  <si>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</si>
  <si>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</si>
  <si>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</si>
  <si>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</si>
  <si>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</si>
  <si>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</si>
  <si>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</si>
  <si>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</si>
  <si>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</si>
  <si>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</si>
  <si>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</si>
  <si>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</si>
  <si>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</si>
  <si>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</si>
  <si>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</si>
  <si>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</si>
  <si>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</si>
  <si>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</si>
  <si>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</si>
  <si>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</si>
  <si>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</si>
  <si>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</si>
  <si>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</si>
  <si>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</si>
  <si>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</si>
  <si>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</si>
  <si>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</si>
  <si>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</si>
  <si>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</si>
  <si>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</si>
  <si>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</si>
  <si>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</si>
  <si>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</si>
  <si>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</si>
  <si>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</si>
  <si>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</si>
  <si>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</si>
  <si>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</si>
  <si>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</si>
  <si>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</si>
  <si>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</si>
  <si>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</si>
  <si>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</si>
  <si>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</si>
  <si>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</si>
  <si>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</si>
  <si>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</si>
  <si>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</si>
  <si>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</si>
  <si>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</si>
  <si>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</si>
  <si>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</si>
  <si>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</si>
  <si>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</si>
  <si>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</si>
  <si>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</si>
  <si>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</si>
  <si>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</si>
  <si>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</si>
  <si>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</si>
  <si>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</si>
  <si>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</si>
  <si>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</si>
  <si>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</si>
  <si>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</si>
  <si>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</si>
  <si>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</si>
  <si>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</si>
  <si>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</si>
  <si>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</si>
  <si>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</si>
  <si>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</si>
  <si>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</si>
  <si>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</si>
  <si>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</si>
  <si>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</si>
  <si>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</si>
  <si>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</si>
  <si>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</si>
  <si>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</si>
  <si>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</si>
  <si>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</si>
  <si>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</si>
  <si>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</si>
  <si>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</si>
  <si>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</si>
  <si>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</si>
  <si>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</si>
  <si>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</si>
  <si>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</si>
  <si>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</si>
  <si>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</si>
  <si>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</si>
  <si>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</si>
  <si>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</si>
  <si>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</si>
  <si>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</si>
  <si>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</si>
  <si>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</si>
  <si>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</si>
  <si>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</si>
  <si>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</si>
  <si>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</si>
  <si>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</si>
  <si>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</si>
  <si>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</si>
  <si>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</si>
  <si>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</si>
  <si>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</si>
  <si>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</si>
  <si>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</si>
  <si>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</si>
  <si>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</si>
  <si>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</si>
  <si>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</si>
  <si>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</si>
  <si>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</si>
  <si>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</si>
  <si>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</si>
  <si>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</si>
  <si>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</si>
  <si>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</si>
  <si>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</si>
  <si>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</si>
  <si>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</si>
  <si>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</si>
  <si>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</si>
  <si>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</si>
  <si>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</si>
  <si>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</si>
  <si>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</si>
  <si>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</si>
  <si>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</si>
  <si>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</si>
  <si>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</si>
  <si>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</si>
  <si>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</si>
  <si>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</si>
  <si>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</si>
  <si>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</si>
  <si>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</si>
  <si>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</si>
  <si>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</si>
  <si>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</si>
  <si>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</si>
  <si>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</si>
  <si>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</si>
  <si>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</si>
  <si>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</si>
  <si>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</si>
  <si>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</si>
  <si>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</si>
  <si>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</si>
  <si>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</si>
  <si>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</si>
  <si>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</si>
  <si>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</si>
  <si>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</si>
  <si>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</si>
  <si>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</si>
  <si>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</si>
  <si>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Ground Floor for Parking</t>
  </si>
  <si>
    <t>Wing - C</t>
  </si>
  <si>
    <t>1st to 6th Floor for Residential</t>
  </si>
  <si>
    <t>1BHK</t>
  </si>
  <si>
    <t>1RK</t>
  </si>
  <si>
    <t>No. of Flats</t>
  </si>
  <si>
    <t>C Wing</t>
  </si>
  <si>
    <t>Axis Sanpada</t>
  </si>
  <si>
    <t>M/s. Bhawani Shankar Builders &amp; Developers</t>
  </si>
  <si>
    <t>Bhawani Shankar Heights</t>
  </si>
  <si>
    <t>Sonivali</t>
  </si>
  <si>
    <t>Ambarnath</t>
  </si>
  <si>
    <t>Thane</t>
  </si>
  <si>
    <t>Badlapur west</t>
  </si>
  <si>
    <t>3.4 Km from Badlapur Railway Station</t>
  </si>
  <si>
    <t>Internal road</t>
  </si>
  <si>
    <t>Survey No</t>
  </si>
  <si>
    <t>Open plot</t>
  </si>
  <si>
    <t>Under Construction Building</t>
  </si>
  <si>
    <t>Kulgaon Badlapur Nagar Palika (KBNP)</t>
  </si>
  <si>
    <t>KBNP/NRV/BP/0079-53</t>
  </si>
  <si>
    <t>Valid Up to:  C Wing = G/St + 1st to 6th Floor.</t>
  </si>
  <si>
    <t>C Wing = G/St + 1st to 6th Floor.</t>
  </si>
  <si>
    <t>As per RERA - 31/12/2027</t>
  </si>
  <si>
    <t>We considered Gross carpet area = Net carpet.</t>
  </si>
  <si>
    <t>On Site, we meet Mr. Yogesh (Sales) (8390666867).</t>
  </si>
  <si>
    <t>Atmiya Heights</t>
  </si>
  <si>
    <t>Approved Plans, CC, Cost Sheet</t>
  </si>
  <si>
    <t>Other Charges</t>
  </si>
  <si>
    <t>Cost sheet match</t>
  </si>
  <si>
    <t>Gaurav Patil</t>
  </si>
  <si>
    <t>Other charges add</t>
  </si>
  <si>
    <t xml:space="preserve">B Wing - P51700049045
C Wing - P51700031599
</t>
  </si>
  <si>
    <t>B &amp; C Wing</t>
  </si>
  <si>
    <t>KBNP/NRV/BP/6031-64</t>
  </si>
  <si>
    <t xml:space="preserve">Approved Floor plan No.  C Wing </t>
  </si>
  <si>
    <t xml:space="preserve">Approved Floor plan No. B Wing </t>
  </si>
  <si>
    <t>C Wing = G/St + 1st to 6th Floor.
B Wing = G/St + 1st to 8th Floor.</t>
  </si>
  <si>
    <t>B Wing = G/St + 1st to 8th Floor.</t>
  </si>
  <si>
    <t>Wing B</t>
  </si>
  <si>
    <t>1st Floor for Residential</t>
  </si>
  <si>
    <t>2BHK</t>
  </si>
  <si>
    <t>Drivers Room</t>
  </si>
  <si>
    <t>2nd to 7th Floor for Residential</t>
  </si>
  <si>
    <t>71 (P) &amp; 75 Hissa No.1(P)</t>
  </si>
  <si>
    <t>Latitude &amp; Longitude</t>
  </si>
  <si>
    <t>Location Link</t>
  </si>
  <si>
    <t>https://goo.gl/maps/FrTK8sUdVdfjDx4j6</t>
  </si>
  <si>
    <t>8th Floor for Residential (Part Refuge Area)</t>
  </si>
  <si>
    <t>Refuge Area</t>
  </si>
  <si>
    <t>Total</t>
  </si>
  <si>
    <t>B Wing</t>
  </si>
  <si>
    <t>Flats - 100</t>
  </si>
  <si>
    <t>Layout Plan</t>
  </si>
  <si>
    <t>We have updated revised approved floor plan &amp; C.C For B Wing (on25/03/2023).</t>
  </si>
  <si>
    <t>2 Building</t>
  </si>
  <si>
    <t>Office No. 1031, Wing J, Akshar Business Park, Plot No. 03 Sector 25, Near APMC Market, 
Vashi, Navi Mumbai, Maharashtra 400703 TEL: 022-46090378/79/8
E mail : vsjcapf@gmail.com. Web site : www.vsjadon.com</t>
  </si>
  <si>
    <t>Valid Up to:  B Wing = G/St + 1st to 8th Floor.
                     C Wing = G/St + 1st to 6th Floor.</t>
  </si>
  <si>
    <t>19.1740294,73.2557721</t>
  </si>
  <si>
    <t>Sudhir Bhosale</t>
  </si>
  <si>
    <t>Wing B = Construction work is in process at the time of visit (Slow Speed) (Labour found).
Wing C = All work Completed. Please provide OC.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</si>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</sst>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2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5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0" fontId="12" fillId="0" borderId="6" xfId="1" applyFont="1" applyFill="1" applyBorder="1" applyAlignment="1" applyProtection="1">
      <alignment horizontal="center" wrapText="1"/>
      <protection locked="0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vertical="top" wrapText="1"/>
      <protection locked="0"/>
    </xf>
    <xf numFmtId="0" fontId="10" fillId="0" borderId="0" xfId="1" applyFont="1" applyFill="1" applyProtection="1">
      <protection locked="0"/>
    </xf>
    <xf numFmtId="14" fontId="14" fillId="2" borderId="0" xfId="1" applyNumberFormat="1" applyFont="1" applyFill="1"/>
    <xf numFmtId="0" fontId="14" fillId="2" borderId="0" xfId="1" applyFont="1" applyFill="1"/>
    <xf numFmtId="0" fontId="24" fillId="2" borderId="0" xfId="0" applyFont="1" applyFill="1"/>
    <xf numFmtId="0" fontId="12" fillId="0" borderId="1" xfId="1" applyFont="1" applyFill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center" vertical="center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19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19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19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10" fillId="0" borderId="1" xfId="1" applyFont="1" applyFill="1" applyBorder="1" applyAlignment="1" applyProtection="1">
      <alignment horizontal="left"/>
      <protection locked="0"/>
    </xf>
    <xf numFmtId="0" fontId="25" fillId="0" borderId="1" xfId="10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microsoft.com/office/2007/relationships/hdphoto" Target="../media/hdphoto1.wdp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258</xdr:row>
      <xdr:rowOff>28575</xdr:rowOff>
    </xdr:from>
    <xdr:to>
      <xdr:col>7</xdr:col>
      <xdr:colOff>191578</xdr:colOff>
      <xdr:row>276</xdr:row>
      <xdr:rowOff>137483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7700" y="44577000"/>
          <a:ext cx="5658928" cy="37093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664953</xdr:colOff>
      <xdr:row>277</xdr:row>
      <xdr:rowOff>151182</xdr:rowOff>
    </xdr:from>
    <xdr:to>
      <xdr:col>7</xdr:col>
      <xdr:colOff>191578</xdr:colOff>
      <xdr:row>296</xdr:row>
      <xdr:rowOff>77318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4953" y="48500082"/>
          <a:ext cx="5641675" cy="372661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121228</xdr:colOff>
      <xdr:row>109</xdr:row>
      <xdr:rowOff>138547</xdr:rowOff>
    </xdr:from>
    <xdr:to>
      <xdr:col>13</xdr:col>
      <xdr:colOff>105536</xdr:colOff>
      <xdr:row>122</xdr:row>
      <xdr:rowOff>50319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41523" y="17984933"/>
          <a:ext cx="4582286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226</xdr:row>
      <xdr:rowOff>51954</xdr:rowOff>
    </xdr:from>
    <xdr:to>
      <xdr:col>6</xdr:col>
      <xdr:colOff>45661</xdr:colOff>
      <xdr:row>253</xdr:row>
      <xdr:rowOff>83318</xdr:rowOff>
    </xdr:to>
    <xdr:pic>
      <xdr:nvPicPr>
        <xdr:cNvPr id="37" name="Picture 3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8490" b="5283"/>
        <a:stretch/>
      </xdr:blipFill>
      <xdr:spPr>
        <a:xfrm>
          <a:off x="1428750" y="46265522"/>
          <a:ext cx="3526616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654741</xdr:colOff>
      <xdr:row>227</xdr:row>
      <xdr:rowOff>59830</xdr:rowOff>
    </xdr:from>
    <xdr:to>
      <xdr:col>3</xdr:col>
      <xdr:colOff>875826</xdr:colOff>
      <xdr:row>231</xdr:row>
      <xdr:rowOff>134494</xdr:rowOff>
    </xdr:to>
    <xdr:sp macro="" textlink="">
      <xdr:nvSpPr>
        <xdr:cNvPr id="38" name="TextBox 3"/>
        <xdr:cNvSpPr txBox="1"/>
      </xdr:nvSpPr>
      <xdr:spPr>
        <a:xfrm>
          <a:off x="2213377" y="46472557"/>
          <a:ext cx="1069676" cy="862642"/>
        </a:xfrm>
        <a:prstGeom prst="rect">
          <a:avLst/>
        </a:prstGeom>
        <a:noFill/>
        <a:ln w="38100">
          <a:solidFill>
            <a:schemeClr val="accent1">
              <a:lumMod val="75000"/>
            </a:schemeClr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2</xdr:col>
      <xdr:colOff>792765</xdr:colOff>
      <xdr:row>231</xdr:row>
      <xdr:rowOff>134494</xdr:rowOff>
    </xdr:from>
    <xdr:to>
      <xdr:col>4</xdr:col>
      <xdr:colOff>328800</xdr:colOff>
      <xdr:row>235</xdr:row>
      <xdr:rowOff>183247</xdr:rowOff>
    </xdr:to>
    <xdr:sp macro="" textlink="">
      <xdr:nvSpPr>
        <xdr:cNvPr id="39" name="TextBox 4"/>
        <xdr:cNvSpPr txBox="1"/>
      </xdr:nvSpPr>
      <xdr:spPr>
        <a:xfrm>
          <a:off x="2351401" y="47335199"/>
          <a:ext cx="1328467" cy="845389"/>
        </a:xfrm>
        <a:prstGeom prst="rect">
          <a:avLst/>
        </a:prstGeom>
        <a:noFill/>
        <a:ln w="57150">
          <a:solidFill>
            <a:srgbClr val="FFFF0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3</xdr:col>
      <xdr:colOff>866364</xdr:colOff>
      <xdr:row>226</xdr:row>
      <xdr:rowOff>136312</xdr:rowOff>
    </xdr:from>
    <xdr:to>
      <xdr:col>5</xdr:col>
      <xdr:colOff>54032</xdr:colOff>
      <xdr:row>228</xdr:row>
      <xdr:rowOff>107326</xdr:rowOff>
    </xdr:to>
    <xdr:sp macro="" textlink="">
      <xdr:nvSpPr>
        <xdr:cNvPr id="40" name="Rectangle 39"/>
        <xdr:cNvSpPr/>
      </xdr:nvSpPr>
      <xdr:spPr>
        <a:xfrm>
          <a:off x="3273591" y="46349880"/>
          <a:ext cx="91082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4</xdr:col>
      <xdr:colOff>466824</xdr:colOff>
      <xdr:row>232</xdr:row>
      <xdr:rowOff>173363</xdr:rowOff>
    </xdr:from>
    <xdr:to>
      <xdr:col>5</xdr:col>
      <xdr:colOff>606347</xdr:colOff>
      <xdr:row>234</xdr:row>
      <xdr:rowOff>144377</xdr:rowOff>
    </xdr:to>
    <xdr:sp macro="" textlink="">
      <xdr:nvSpPr>
        <xdr:cNvPr id="41" name="Rectangle 40"/>
        <xdr:cNvSpPr/>
      </xdr:nvSpPr>
      <xdr:spPr>
        <a:xfrm>
          <a:off x="3817892" y="47573227"/>
          <a:ext cx="91884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2</xdr:col>
      <xdr:colOff>792764</xdr:colOff>
      <xdr:row>236</xdr:row>
      <xdr:rowOff>44404</xdr:rowOff>
    </xdr:from>
    <xdr:to>
      <xdr:col>4</xdr:col>
      <xdr:colOff>328799</xdr:colOff>
      <xdr:row>241</xdr:row>
      <xdr:rowOff>170043</xdr:rowOff>
    </xdr:to>
    <xdr:sp macro="" textlink="">
      <xdr:nvSpPr>
        <xdr:cNvPr id="42" name="TextBox 7"/>
        <xdr:cNvSpPr txBox="1"/>
      </xdr:nvSpPr>
      <xdr:spPr>
        <a:xfrm>
          <a:off x="2351400" y="48240904"/>
          <a:ext cx="1328467" cy="1121434"/>
        </a:xfrm>
        <a:prstGeom prst="rect">
          <a:avLst/>
        </a:prstGeom>
        <a:noFill/>
        <a:ln w="57150">
          <a:solidFill>
            <a:srgbClr val="00B05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4</xdr:col>
      <xdr:colOff>507128</xdr:colOff>
      <xdr:row>238</xdr:row>
      <xdr:rowOff>17090</xdr:rowOff>
    </xdr:from>
    <xdr:to>
      <xdr:col>5</xdr:col>
      <xdr:colOff>656269</xdr:colOff>
      <xdr:row>239</xdr:row>
      <xdr:rowOff>187263</xdr:rowOff>
    </xdr:to>
    <xdr:sp macro="" textlink="">
      <xdr:nvSpPr>
        <xdr:cNvPr id="43" name="Rectangle 42"/>
        <xdr:cNvSpPr/>
      </xdr:nvSpPr>
      <xdr:spPr>
        <a:xfrm>
          <a:off x="3858196" y="48611908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oneCellAnchor>
    <xdr:from>
      <xdr:col>8</xdr:col>
      <xdr:colOff>1050925</xdr:colOff>
      <xdr:row>184</xdr:row>
      <xdr:rowOff>127000</xdr:rowOff>
    </xdr:from>
    <xdr:ext cx="591700" cy="264560"/>
    <xdr:sp macro="" textlink="">
      <xdr:nvSpPr>
        <xdr:cNvPr id="32" name="TextBox 31"/>
        <xdr:cNvSpPr txBox="1"/>
      </xdr:nvSpPr>
      <xdr:spPr>
        <a:xfrm>
          <a:off x="7575550" y="38103175"/>
          <a:ext cx="591700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oneCellAnchor>
    <xdr:from>
      <xdr:col>13</xdr:col>
      <xdr:colOff>287402</xdr:colOff>
      <xdr:row>184</xdr:row>
      <xdr:rowOff>127000</xdr:rowOff>
    </xdr:from>
    <xdr:ext cx="593304" cy="264560"/>
    <xdr:sp macro="" textlink="">
      <xdr:nvSpPr>
        <xdr:cNvPr id="33" name="TextBox 32"/>
        <xdr:cNvSpPr txBox="1"/>
      </xdr:nvSpPr>
      <xdr:spPr>
        <a:xfrm>
          <a:off x="11412602" y="38103175"/>
          <a:ext cx="593304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 WIng</a:t>
          </a:r>
        </a:p>
      </xdr:txBody>
    </xdr:sp>
    <xdr:clientData/>
  </xdr:oneCellAnchor>
  <xdr:twoCellAnchor>
    <xdr:from>
      <xdr:col>0</xdr:col>
      <xdr:colOff>209550</xdr:colOff>
      <xdr:row>183</xdr:row>
      <xdr:rowOff>120650</xdr:rowOff>
    </xdr:from>
    <xdr:to>
      <xdr:col>7</xdr:col>
      <xdr:colOff>689270</xdr:colOff>
      <xdr:row>223</xdr:row>
      <xdr:rowOff>112514</xdr:rowOff>
    </xdr:to>
    <xdr:grpSp>
      <xdr:nvGrpSpPr>
        <xdr:cNvPr id="5" name="Group 4"/>
        <xdr:cNvGrpSpPr/>
      </xdr:nvGrpSpPr>
      <xdr:grpSpPr>
        <a:xfrm>
          <a:off x="209550" y="37071300"/>
          <a:ext cx="6455070" cy="7859514"/>
          <a:chOff x="209550" y="37071300"/>
          <a:chExt cx="6455070" cy="7859514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6896" y="3992105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3992105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8223" y="37071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37071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3950" y="42770814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40384" y="4277081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6896" y="37071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8223" y="3992105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5" name="TextBox 44"/>
          <xdr:cNvSpPr txBox="1"/>
        </xdr:nvSpPr>
        <xdr:spPr>
          <a:xfrm>
            <a:off x="850900" y="38398450"/>
            <a:ext cx="591700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6" name="TextBox 45"/>
          <xdr:cNvSpPr txBox="1"/>
        </xdr:nvSpPr>
        <xdr:spPr>
          <a:xfrm>
            <a:off x="2833673" y="38754050"/>
            <a:ext cx="591700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7" name="TextBox 46"/>
          <xdr:cNvSpPr txBox="1"/>
        </xdr:nvSpPr>
        <xdr:spPr>
          <a:xfrm>
            <a:off x="5330796" y="38138100"/>
            <a:ext cx="591700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8" name="TextBox 47"/>
          <xdr:cNvSpPr txBox="1"/>
        </xdr:nvSpPr>
        <xdr:spPr>
          <a:xfrm>
            <a:off x="901700" y="41146607"/>
            <a:ext cx="591700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9" name="TextBox 48"/>
          <xdr:cNvSpPr txBox="1"/>
        </xdr:nvSpPr>
        <xdr:spPr>
          <a:xfrm>
            <a:off x="2459023" y="40708457"/>
            <a:ext cx="591700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5419696" y="42061007"/>
            <a:ext cx="591700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rTK8sUdVdfjDx4j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99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8" customWidth="1"/>
    <col min="2" max="2" width="12" style="8" customWidth="1"/>
    <col min="3" max="3" width="12.7265625" style="8" customWidth="1"/>
    <col min="4" max="4" width="14.1796875" style="8" customWidth="1"/>
    <col min="5" max="7" width="11.7265625" style="8" customWidth="1"/>
    <col min="8" max="8" width="12.453125" style="8" customWidth="1"/>
    <col min="9" max="9" width="17.453125" style="3" customWidth="1"/>
    <col min="10" max="10" width="11.453125" style="3" customWidth="1"/>
    <col min="11" max="11" width="12.54296875" style="3" customWidth="1"/>
    <col min="12" max="12" width="15.7265625" style="3" bestFit="1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22" t="s">
        <v>220</v>
      </c>
      <c r="B1" s="122"/>
      <c r="C1" s="122"/>
      <c r="D1" s="122"/>
      <c r="E1" s="122"/>
      <c r="F1" s="122"/>
      <c r="G1" s="122"/>
      <c r="H1" s="122"/>
    </row>
    <row r="2" spans="1:8" ht="16.5" customHeight="1" x14ac:dyDescent="0.35">
      <c r="A2" s="93" t="s">
        <v>0</v>
      </c>
      <c r="B2" s="93"/>
      <c r="C2" s="93"/>
      <c r="D2" s="93"/>
      <c r="E2" s="93"/>
      <c r="F2" s="93"/>
      <c r="G2" s="93"/>
      <c r="H2" s="93"/>
    </row>
    <row r="3" spans="1:8" x14ac:dyDescent="0.35">
      <c r="A3" s="74" t="s">
        <v>1</v>
      </c>
      <c r="B3" s="74"/>
      <c r="C3" s="74"/>
      <c r="D3" s="74"/>
      <c r="E3" s="123" t="str">
        <f ca="1">TEXT(TODAY(),"DD/MM/YYYY")</f>
        <v>09/09/2025</v>
      </c>
      <c r="F3" s="123"/>
      <c r="G3" s="123"/>
      <c r="H3" s="123"/>
    </row>
    <row r="4" spans="1:8" ht="15" customHeight="1" x14ac:dyDescent="0.35">
      <c r="A4" s="74" t="s">
        <v>2</v>
      </c>
      <c r="B4" s="74"/>
      <c r="C4" s="74"/>
      <c r="D4" s="74"/>
      <c r="E4" s="124" t="s">
        <v>171</v>
      </c>
      <c r="F4" s="124"/>
      <c r="G4" s="124"/>
      <c r="H4" s="124"/>
    </row>
    <row r="5" spans="1:8" x14ac:dyDescent="0.35">
      <c r="A5" s="74" t="s">
        <v>3</v>
      </c>
      <c r="B5" s="74"/>
      <c r="C5" s="74"/>
      <c r="D5" s="74"/>
      <c r="E5" s="123">
        <v>45906</v>
      </c>
      <c r="F5" s="123"/>
      <c r="G5" s="123"/>
      <c r="H5" s="123"/>
    </row>
    <row r="6" spans="1:8" ht="16.5" customHeight="1" x14ac:dyDescent="0.35">
      <c r="A6" s="74" t="s">
        <v>4</v>
      </c>
      <c r="B6" s="74"/>
      <c r="C6" s="74"/>
      <c r="D6" s="74"/>
      <c r="E6" s="120" t="s">
        <v>172</v>
      </c>
      <c r="F6" s="120"/>
      <c r="G6" s="120"/>
      <c r="H6" s="120"/>
    </row>
    <row r="7" spans="1:8" ht="15" customHeight="1" x14ac:dyDescent="0.35">
      <c r="A7" s="74" t="s">
        <v>5</v>
      </c>
      <c r="B7" s="74"/>
      <c r="C7" s="74"/>
      <c r="D7" s="74"/>
      <c r="E7" s="120" t="str">
        <f>E6</f>
        <v>M/s. Bhawani Shankar Builders &amp; Developers</v>
      </c>
      <c r="F7" s="120"/>
      <c r="G7" s="120"/>
      <c r="H7" s="120"/>
    </row>
    <row r="8" spans="1:8" x14ac:dyDescent="0.35">
      <c r="A8" s="74" t="s">
        <v>6</v>
      </c>
      <c r="B8" s="74"/>
      <c r="C8" s="74"/>
      <c r="D8" s="74"/>
      <c r="E8" s="107" t="s">
        <v>173</v>
      </c>
      <c r="F8" s="107"/>
      <c r="G8" s="107"/>
      <c r="H8" s="107"/>
    </row>
    <row r="9" spans="1:8" x14ac:dyDescent="0.35">
      <c r="A9" s="74" t="s">
        <v>127</v>
      </c>
      <c r="B9" s="74"/>
      <c r="C9" s="74"/>
      <c r="D9" s="74"/>
      <c r="E9" s="74">
        <v>9130739515</v>
      </c>
      <c r="F9" s="74"/>
      <c r="G9" s="74"/>
      <c r="H9" s="74"/>
    </row>
    <row r="10" spans="1:8" x14ac:dyDescent="0.35">
      <c r="A10" s="100" t="s">
        <v>7</v>
      </c>
      <c r="B10" s="100"/>
      <c r="C10" s="100"/>
      <c r="D10" s="100"/>
      <c r="E10" s="100" t="s">
        <v>197</v>
      </c>
      <c r="F10" s="100"/>
      <c r="G10" s="100"/>
      <c r="H10" s="100"/>
    </row>
    <row r="11" spans="1:8" x14ac:dyDescent="0.35">
      <c r="A11" s="100" t="s">
        <v>8</v>
      </c>
      <c r="B11" s="100"/>
      <c r="C11" s="100"/>
      <c r="D11" s="100"/>
      <c r="E11" s="75" t="s">
        <v>191</v>
      </c>
      <c r="F11" s="75"/>
      <c r="G11" s="75"/>
      <c r="H11" s="75"/>
    </row>
    <row r="12" spans="1:8" ht="30" customHeight="1" x14ac:dyDescent="0.35">
      <c r="A12" s="100" t="s">
        <v>9</v>
      </c>
      <c r="B12" s="100"/>
      <c r="C12" s="100"/>
      <c r="D12" s="100"/>
      <c r="E12" s="75" t="s">
        <v>196</v>
      </c>
      <c r="F12" s="100"/>
      <c r="G12" s="100"/>
      <c r="H12" s="100"/>
    </row>
    <row r="13" spans="1:8" ht="34.5" customHeight="1" x14ac:dyDescent="0.35">
      <c r="A13" s="75" t="s">
        <v>10</v>
      </c>
      <c r="B13" s="75"/>
      <c r="C13" s="7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Bhawani Shankar Heights, Survey No.71 (P) &amp; 75 Hissa No.1(P), near Atmiya Heights, Internal road, Sonivali, Badlapur west, Ambarnath, Thane - 421503.</v>
      </c>
      <c r="D13" s="75"/>
      <c r="E13" s="75"/>
      <c r="F13" s="75"/>
      <c r="G13" s="75"/>
      <c r="H13" s="75"/>
    </row>
    <row r="14" spans="1:8" x14ac:dyDescent="0.35">
      <c r="A14" s="75" t="s">
        <v>180</v>
      </c>
      <c r="B14" s="75"/>
      <c r="C14" s="75" t="s">
        <v>208</v>
      </c>
      <c r="D14" s="75"/>
      <c r="E14" s="75"/>
      <c r="F14" s="75"/>
      <c r="G14" s="75"/>
      <c r="H14" s="75"/>
    </row>
    <row r="15" spans="1:8" ht="15.75" customHeight="1" x14ac:dyDescent="0.35">
      <c r="A15" s="120" t="s">
        <v>11</v>
      </c>
      <c r="B15" s="120"/>
      <c r="C15" s="100" t="s">
        <v>179</v>
      </c>
      <c r="D15" s="100"/>
      <c r="E15" s="120" t="s">
        <v>77</v>
      </c>
      <c r="F15" s="120"/>
      <c r="G15" s="75" t="s">
        <v>174</v>
      </c>
      <c r="H15" s="75"/>
    </row>
    <row r="16" spans="1:8" x14ac:dyDescent="0.35">
      <c r="A16" s="74" t="s">
        <v>13</v>
      </c>
      <c r="B16" s="74"/>
      <c r="C16" s="75" t="s">
        <v>177</v>
      </c>
      <c r="D16" s="75"/>
      <c r="E16" s="120" t="s">
        <v>12</v>
      </c>
      <c r="F16" s="120"/>
      <c r="G16" s="125" t="s">
        <v>176</v>
      </c>
      <c r="H16" s="125"/>
    </row>
    <row r="17" spans="1:8" x14ac:dyDescent="0.35">
      <c r="A17" s="74" t="s">
        <v>78</v>
      </c>
      <c r="B17" s="74"/>
      <c r="C17" s="75" t="s">
        <v>175</v>
      </c>
      <c r="D17" s="75"/>
      <c r="E17" s="120" t="s">
        <v>14</v>
      </c>
      <c r="F17" s="120"/>
      <c r="G17" s="75">
        <v>421503</v>
      </c>
      <c r="H17" s="75"/>
    </row>
    <row r="18" spans="1:8" ht="32.25" customHeight="1" x14ac:dyDescent="0.35">
      <c r="A18" s="74" t="s">
        <v>128</v>
      </c>
      <c r="B18" s="74"/>
      <c r="C18" s="120" t="s">
        <v>190</v>
      </c>
      <c r="D18" s="120"/>
      <c r="E18" s="120" t="s">
        <v>15</v>
      </c>
      <c r="F18" s="120"/>
      <c r="G18" s="75" t="s">
        <v>178</v>
      </c>
      <c r="H18" s="75"/>
    </row>
    <row r="19" spans="1:8" ht="15" customHeight="1" x14ac:dyDescent="0.35">
      <c r="A19" s="120" t="s">
        <v>80</v>
      </c>
      <c r="B19" s="120"/>
      <c r="C19" s="120"/>
      <c r="D19" s="120"/>
      <c r="E19" s="100" t="s">
        <v>16</v>
      </c>
      <c r="F19" s="100"/>
      <c r="G19" s="100"/>
      <c r="H19" s="100"/>
    </row>
    <row r="20" spans="1:8" ht="18.75" customHeight="1" x14ac:dyDescent="0.35">
      <c r="A20" s="120"/>
      <c r="B20" s="120"/>
      <c r="C20" s="120"/>
      <c r="D20" s="120"/>
      <c r="E20" s="100"/>
      <c r="F20" s="100"/>
      <c r="G20" s="100"/>
      <c r="H20" s="100"/>
    </row>
    <row r="21" spans="1:8" ht="15" customHeight="1" x14ac:dyDescent="0.35">
      <c r="A21" s="120" t="s">
        <v>17</v>
      </c>
      <c r="B21" s="120"/>
      <c r="C21" s="120"/>
      <c r="D21" s="120"/>
      <c r="E21" s="75" t="s">
        <v>18</v>
      </c>
      <c r="F21" s="75"/>
      <c r="G21" s="75"/>
      <c r="H21" s="75"/>
    </row>
    <row r="22" spans="1:8" ht="15" customHeight="1" x14ac:dyDescent="0.35">
      <c r="A22" s="74" t="s">
        <v>19</v>
      </c>
      <c r="B22" s="74"/>
      <c r="C22" s="74"/>
      <c r="D22" s="74"/>
      <c r="E22" s="75" t="str">
        <f>IF(AND(G16="Mumbai"),"Upper Class","Middle Class")</f>
        <v>Middle Class</v>
      </c>
      <c r="F22" s="75"/>
      <c r="G22" s="75"/>
      <c r="H22" s="75"/>
    </row>
    <row r="23" spans="1:8" x14ac:dyDescent="0.35">
      <c r="A23" s="74" t="s">
        <v>20</v>
      </c>
      <c r="B23" s="74"/>
      <c r="C23" s="74"/>
      <c r="D23" s="74"/>
      <c r="E23" s="75" t="s">
        <v>21</v>
      </c>
      <c r="F23" s="75"/>
      <c r="G23" s="75"/>
      <c r="H23" s="75"/>
    </row>
    <row r="24" spans="1:8" ht="15.75" customHeight="1" x14ac:dyDescent="0.35">
      <c r="A24" s="74" t="s">
        <v>22</v>
      </c>
      <c r="B24" s="74"/>
      <c r="C24" s="74"/>
      <c r="D24" s="74"/>
      <c r="E24" s="75" t="str">
        <f>IF(AND(G16="Mumbai"),"Developed","Developing")</f>
        <v>Developing</v>
      </c>
      <c r="F24" s="75"/>
      <c r="G24" s="75"/>
      <c r="H24" s="75"/>
    </row>
    <row r="25" spans="1:8" x14ac:dyDescent="0.35">
      <c r="A25" s="74" t="s">
        <v>23</v>
      </c>
      <c r="B25" s="74"/>
      <c r="C25" s="74"/>
      <c r="D25" s="74"/>
      <c r="E25" s="75" t="s">
        <v>24</v>
      </c>
      <c r="F25" s="75"/>
      <c r="G25" s="75"/>
      <c r="H25" s="75"/>
    </row>
    <row r="26" spans="1:8" x14ac:dyDescent="0.35">
      <c r="A26" s="74" t="s">
        <v>84</v>
      </c>
      <c r="B26" s="74"/>
      <c r="C26" s="74"/>
      <c r="D26" s="74"/>
      <c r="E26" s="75" t="s">
        <v>85</v>
      </c>
      <c r="F26" s="75"/>
      <c r="G26" s="75"/>
      <c r="H26" s="75"/>
    </row>
    <row r="27" spans="1:8" ht="15" customHeight="1" x14ac:dyDescent="0.35">
      <c r="A27" s="120" t="s">
        <v>33</v>
      </c>
      <c r="B27" s="120"/>
      <c r="C27" s="120"/>
      <c r="D27" s="120"/>
      <c r="E27" s="124" t="str">
        <f>IF(ISNUMBER(SEARCH("Shop",D57)),"Residential + Commercial",IF(ISNUMBER(SEARCH("Office",D57)),"Residential + Commercial",IF(SEARCH("Flats",D57),"Residential","")))</f>
        <v>Residential</v>
      </c>
      <c r="F27" s="124"/>
      <c r="G27" s="124"/>
      <c r="H27" s="124"/>
    </row>
    <row r="28" spans="1:8" x14ac:dyDescent="0.35">
      <c r="A28" s="120" t="s">
        <v>96</v>
      </c>
      <c r="B28" s="120"/>
      <c r="C28" s="120"/>
      <c r="D28" s="120"/>
      <c r="E28" s="120" t="s">
        <v>34</v>
      </c>
      <c r="F28" s="120"/>
      <c r="G28" s="120"/>
      <c r="H28" s="120"/>
    </row>
    <row r="29" spans="1:8" s="6" customFormat="1" x14ac:dyDescent="0.35">
      <c r="A29" s="129" t="s">
        <v>97</v>
      </c>
      <c r="B29" s="129"/>
      <c r="C29" s="128" t="s">
        <v>29</v>
      </c>
      <c r="D29" s="128"/>
      <c r="E29" s="128"/>
      <c r="F29" s="128" t="s">
        <v>31</v>
      </c>
      <c r="G29" s="128"/>
      <c r="H29" s="128"/>
    </row>
    <row r="30" spans="1:8" s="6" customFormat="1" x14ac:dyDescent="0.35">
      <c r="A30" s="126" t="s">
        <v>25</v>
      </c>
      <c r="B30" s="126" t="s">
        <v>30</v>
      </c>
      <c r="C30" s="127" t="s">
        <v>30</v>
      </c>
      <c r="D30" s="127"/>
      <c r="E30" s="127"/>
      <c r="F30" s="127" t="s">
        <v>181</v>
      </c>
      <c r="G30" s="127"/>
      <c r="H30" s="127"/>
    </row>
    <row r="31" spans="1:8" x14ac:dyDescent="0.35">
      <c r="A31" s="126" t="s">
        <v>26</v>
      </c>
      <c r="B31" s="126" t="s">
        <v>30</v>
      </c>
      <c r="C31" s="127" t="s">
        <v>30</v>
      </c>
      <c r="D31" s="127"/>
      <c r="E31" s="127"/>
      <c r="F31" s="127" t="s">
        <v>182</v>
      </c>
      <c r="G31" s="127"/>
      <c r="H31" s="127"/>
    </row>
    <row r="32" spans="1:8" s="6" customFormat="1" x14ac:dyDescent="0.35">
      <c r="A32" s="126" t="s">
        <v>28</v>
      </c>
      <c r="B32" s="126" t="s">
        <v>30</v>
      </c>
      <c r="C32" s="127" t="s">
        <v>30</v>
      </c>
      <c r="D32" s="127"/>
      <c r="E32" s="127"/>
      <c r="F32" s="127" t="s">
        <v>181</v>
      </c>
      <c r="G32" s="127"/>
      <c r="H32" s="127"/>
    </row>
    <row r="33" spans="1:8" x14ac:dyDescent="0.35">
      <c r="A33" s="126" t="s">
        <v>27</v>
      </c>
      <c r="B33" s="126" t="s">
        <v>30</v>
      </c>
      <c r="C33" s="127" t="s">
        <v>30</v>
      </c>
      <c r="D33" s="127"/>
      <c r="E33" s="127"/>
      <c r="F33" s="127" t="s">
        <v>181</v>
      </c>
      <c r="G33" s="127"/>
      <c r="H33" s="127"/>
    </row>
    <row r="34" spans="1:8" x14ac:dyDescent="0.35">
      <c r="A34" s="74" t="s">
        <v>32</v>
      </c>
      <c r="B34" s="74"/>
      <c r="C34" s="74"/>
      <c r="D34" s="74"/>
      <c r="E34" s="74"/>
      <c r="F34" s="74"/>
      <c r="G34" s="74"/>
      <c r="H34" s="74"/>
    </row>
    <row r="35" spans="1:8" ht="15.75" customHeight="1" x14ac:dyDescent="0.35">
      <c r="A35" s="74" t="s">
        <v>209</v>
      </c>
      <c r="B35" s="74"/>
      <c r="C35" s="155" t="s">
        <v>222</v>
      </c>
      <c r="D35" s="155"/>
      <c r="E35" s="155"/>
      <c r="F35" s="155"/>
      <c r="G35" s="155"/>
      <c r="H35" s="155"/>
    </row>
    <row r="36" spans="1:8" ht="15.75" customHeight="1" x14ac:dyDescent="0.35">
      <c r="A36" s="74" t="s">
        <v>210</v>
      </c>
      <c r="B36" s="74"/>
      <c r="C36" s="156" t="s">
        <v>211</v>
      </c>
      <c r="D36" s="157"/>
      <c r="E36" s="157"/>
      <c r="F36" s="157"/>
      <c r="G36" s="157"/>
      <c r="H36" s="157"/>
    </row>
    <row r="37" spans="1:8" x14ac:dyDescent="0.35">
      <c r="A37" s="107" t="s">
        <v>35</v>
      </c>
      <c r="B37" s="107"/>
      <c r="C37" s="107"/>
      <c r="D37" s="107"/>
      <c r="E37" s="107"/>
      <c r="F37" s="107"/>
      <c r="G37" s="107"/>
      <c r="H37" s="107"/>
    </row>
    <row r="38" spans="1:8" x14ac:dyDescent="0.35">
      <c r="A38" s="74" t="s">
        <v>36</v>
      </c>
      <c r="B38" s="74"/>
      <c r="C38" s="74"/>
      <c r="D38" s="74"/>
      <c r="E38" s="133">
        <v>3000</v>
      </c>
      <c r="F38" s="133"/>
      <c r="G38" s="133"/>
      <c r="H38" s="133"/>
    </row>
    <row r="39" spans="1:8" x14ac:dyDescent="0.35">
      <c r="A39" s="74" t="s">
        <v>37</v>
      </c>
      <c r="B39" s="74"/>
      <c r="C39" s="74"/>
      <c r="D39" s="74"/>
      <c r="E39" s="134">
        <v>1.1000000000000001</v>
      </c>
      <c r="F39" s="134"/>
      <c r="G39" s="134"/>
      <c r="H39" s="134"/>
    </row>
    <row r="40" spans="1:8" x14ac:dyDescent="0.35">
      <c r="A40" s="74" t="s">
        <v>38</v>
      </c>
      <c r="B40" s="74"/>
      <c r="C40" s="74"/>
      <c r="D40" s="74"/>
      <c r="E40" s="134">
        <f>E42/E38-E39</f>
        <v>2.5435833333333333</v>
      </c>
      <c r="F40" s="134"/>
      <c r="G40" s="134"/>
      <c r="H40" s="134"/>
    </row>
    <row r="41" spans="1:8" x14ac:dyDescent="0.35">
      <c r="A41" s="74" t="s">
        <v>39</v>
      </c>
      <c r="B41" s="74"/>
      <c r="C41" s="74"/>
      <c r="D41" s="74"/>
      <c r="E41" s="134">
        <f>E39+E40</f>
        <v>3.6435833333333334</v>
      </c>
      <c r="F41" s="134"/>
      <c r="G41" s="134"/>
      <c r="H41" s="134"/>
    </row>
    <row r="42" spans="1:8" x14ac:dyDescent="0.35">
      <c r="A42" s="100" t="s">
        <v>95</v>
      </c>
      <c r="B42" s="100"/>
      <c r="C42" s="100"/>
      <c r="D42" s="100"/>
      <c r="E42" s="135">
        <v>10930.75</v>
      </c>
      <c r="F42" s="135"/>
      <c r="G42" s="135"/>
      <c r="H42" s="135"/>
    </row>
    <row r="43" spans="1:8" x14ac:dyDescent="0.35">
      <c r="A43" s="100" t="s">
        <v>40</v>
      </c>
      <c r="B43" s="100"/>
      <c r="C43" s="100"/>
      <c r="D43" s="100"/>
      <c r="E43" s="100" t="s">
        <v>219</v>
      </c>
      <c r="F43" s="100"/>
      <c r="G43" s="100"/>
      <c r="H43" s="100"/>
    </row>
    <row r="44" spans="1:8" x14ac:dyDescent="0.35">
      <c r="A44" s="136" t="s">
        <v>41</v>
      </c>
      <c r="B44" s="136"/>
      <c r="C44" s="136"/>
      <c r="D44" s="136"/>
      <c r="E44" s="136"/>
      <c r="F44" s="136"/>
      <c r="G44" s="136"/>
      <c r="H44" s="136"/>
    </row>
    <row r="45" spans="1:8" ht="33.75" customHeight="1" x14ac:dyDescent="0.35">
      <c r="A45" s="140" t="s">
        <v>157</v>
      </c>
      <c r="B45" s="142"/>
      <c r="C45" s="143" t="s">
        <v>183</v>
      </c>
      <c r="D45" s="144"/>
      <c r="E45" s="144"/>
      <c r="F45" s="144"/>
      <c r="G45" s="144"/>
      <c r="H45" s="145"/>
    </row>
    <row r="46" spans="1:8" x14ac:dyDescent="0.35">
      <c r="A46" s="75" t="s">
        <v>42</v>
      </c>
      <c r="B46" s="75"/>
      <c r="C46" s="75" t="s">
        <v>198</v>
      </c>
      <c r="D46" s="75"/>
      <c r="E46" s="75"/>
      <c r="F46" s="67" t="s">
        <v>43</v>
      </c>
      <c r="G46" s="76">
        <v>44742</v>
      </c>
      <c r="H46" s="76"/>
    </row>
    <row r="47" spans="1:8" hidden="1" x14ac:dyDescent="0.35">
      <c r="A47" s="75" t="s">
        <v>42</v>
      </c>
      <c r="B47" s="75"/>
      <c r="C47" s="75" t="s">
        <v>184</v>
      </c>
      <c r="D47" s="75"/>
      <c r="E47" s="75"/>
      <c r="F47" s="50" t="s">
        <v>43</v>
      </c>
      <c r="G47" s="76">
        <v>44200</v>
      </c>
      <c r="H47" s="76"/>
    </row>
    <row r="48" spans="1:8" ht="32.25" customHeight="1" x14ac:dyDescent="0.35">
      <c r="A48" s="75" t="s">
        <v>199</v>
      </c>
      <c r="B48" s="100"/>
      <c r="C48" s="75" t="str">
        <f>C47</f>
        <v>KBNP/NRV/BP/0079-53</v>
      </c>
      <c r="D48" s="75"/>
      <c r="E48" s="75"/>
      <c r="F48" s="50" t="s">
        <v>43</v>
      </c>
      <c r="G48" s="76">
        <f>G47</f>
        <v>44200</v>
      </c>
      <c r="H48" s="76"/>
    </row>
    <row r="49" spans="1:14" s="5" customFormat="1" hidden="1" x14ac:dyDescent="0.35">
      <c r="A49" s="75" t="s">
        <v>44</v>
      </c>
      <c r="B49" s="75"/>
      <c r="C49" s="75" t="str">
        <f>C48</f>
        <v>KBNP/NRV/BP/0079-53</v>
      </c>
      <c r="D49" s="100"/>
      <c r="E49" s="100"/>
      <c r="F49" s="53" t="s">
        <v>43</v>
      </c>
      <c r="G49" s="76">
        <f>G48</f>
        <v>44200</v>
      </c>
      <c r="H49" s="76"/>
    </row>
    <row r="50" spans="1:14" s="5" customFormat="1" hidden="1" x14ac:dyDescent="0.35">
      <c r="A50" s="75"/>
      <c r="B50" s="75"/>
      <c r="C50" s="140" t="s">
        <v>185</v>
      </c>
      <c r="D50" s="141"/>
      <c r="E50" s="141"/>
      <c r="F50" s="141"/>
      <c r="G50" s="141"/>
      <c r="H50" s="142"/>
    </row>
    <row r="51" spans="1:14" ht="32.25" customHeight="1" x14ac:dyDescent="0.35">
      <c r="A51" s="75" t="s">
        <v>200</v>
      </c>
      <c r="B51" s="100"/>
      <c r="C51" s="75" t="s">
        <v>198</v>
      </c>
      <c r="D51" s="75"/>
      <c r="E51" s="75"/>
      <c r="F51" s="67" t="s">
        <v>43</v>
      </c>
      <c r="G51" s="76">
        <f>G46</f>
        <v>44742</v>
      </c>
      <c r="H51" s="76"/>
    </row>
    <row r="52" spans="1:14" s="5" customFormat="1" x14ac:dyDescent="0.35">
      <c r="A52" s="75" t="s">
        <v>44</v>
      </c>
      <c r="B52" s="75"/>
      <c r="C52" s="75" t="str">
        <f>C51</f>
        <v>KBNP/NRV/BP/6031-64</v>
      </c>
      <c r="D52" s="100"/>
      <c r="E52" s="100"/>
      <c r="F52" s="53" t="s">
        <v>43</v>
      </c>
      <c r="G52" s="76">
        <f>G51</f>
        <v>44742</v>
      </c>
      <c r="H52" s="76"/>
    </row>
    <row r="53" spans="1:14" s="5" customFormat="1" ht="33" customHeight="1" x14ac:dyDescent="0.35">
      <c r="A53" s="75"/>
      <c r="B53" s="75"/>
      <c r="C53" s="140" t="s">
        <v>221</v>
      </c>
      <c r="D53" s="141"/>
      <c r="E53" s="141"/>
      <c r="F53" s="141"/>
      <c r="G53" s="141"/>
      <c r="H53" s="142"/>
    </row>
    <row r="54" spans="1:14" x14ac:dyDescent="0.35">
      <c r="A54" s="101" t="s">
        <v>45</v>
      </c>
      <c r="B54" s="101"/>
      <c r="C54" s="101" t="s">
        <v>111</v>
      </c>
      <c r="D54" s="136"/>
      <c r="E54" s="136" t="s">
        <v>46</v>
      </c>
      <c r="F54" s="51" t="s">
        <v>43</v>
      </c>
      <c r="G54" s="138" t="s">
        <v>30</v>
      </c>
      <c r="H54" s="138"/>
    </row>
    <row r="55" spans="1:14" x14ac:dyDescent="0.35">
      <c r="A55" s="137" t="s">
        <v>48</v>
      </c>
      <c r="B55" s="137"/>
      <c r="C55" s="137"/>
      <c r="D55" s="137"/>
      <c r="E55" s="137"/>
      <c r="F55" s="137"/>
      <c r="G55" s="137"/>
      <c r="H55" s="137"/>
    </row>
    <row r="56" spans="1:14" x14ac:dyDescent="0.35">
      <c r="A56" s="120" t="s">
        <v>94</v>
      </c>
      <c r="B56" s="120"/>
      <c r="C56" s="120"/>
      <c r="D56" s="74">
        <f>E42</f>
        <v>10930.75</v>
      </c>
      <c r="E56" s="74"/>
      <c r="F56" s="74"/>
      <c r="G56" s="74"/>
      <c r="H56" s="74"/>
    </row>
    <row r="57" spans="1:14" x14ac:dyDescent="0.35">
      <c r="A57" s="75" t="s">
        <v>49</v>
      </c>
      <c r="B57" s="100"/>
      <c r="C57" s="100"/>
      <c r="D57" s="100" t="s">
        <v>216</v>
      </c>
      <c r="E57" s="100"/>
      <c r="F57" s="100"/>
      <c r="G57" s="100"/>
      <c r="H57" s="100"/>
      <c r="I57" s="32"/>
    </row>
    <row r="58" spans="1:14" ht="31.5" customHeight="1" x14ac:dyDescent="0.35">
      <c r="A58" s="130" t="s">
        <v>50</v>
      </c>
      <c r="B58" s="131"/>
      <c r="C58" s="132"/>
      <c r="D58" s="146" t="s">
        <v>201</v>
      </c>
      <c r="E58" s="147"/>
      <c r="F58" s="147"/>
      <c r="G58" s="147"/>
      <c r="H58" s="147"/>
      <c r="I58" s="33"/>
    </row>
    <row r="59" spans="1:14" ht="15.75" customHeight="1" x14ac:dyDescent="0.35">
      <c r="A59" s="75" t="s">
        <v>92</v>
      </c>
      <c r="B59" s="75"/>
      <c r="C59" s="75"/>
      <c r="D59" s="100" t="s">
        <v>202</v>
      </c>
      <c r="E59" s="100"/>
      <c r="F59" s="100"/>
      <c r="G59" s="100"/>
      <c r="H59" s="100"/>
      <c r="I59" s="33"/>
    </row>
    <row r="60" spans="1:14" ht="15.75" customHeight="1" x14ac:dyDescent="0.35">
      <c r="A60" s="75"/>
      <c r="B60" s="75"/>
      <c r="C60" s="75"/>
      <c r="D60" s="100" t="s">
        <v>186</v>
      </c>
      <c r="E60" s="100"/>
      <c r="F60" s="100"/>
      <c r="G60" s="100"/>
      <c r="H60" s="100"/>
      <c r="I60" s="33"/>
    </row>
    <row r="61" spans="1:14" ht="15.75" customHeight="1" x14ac:dyDescent="0.35">
      <c r="A61" s="74" t="s">
        <v>47</v>
      </c>
      <c r="B61" s="74"/>
      <c r="C61" s="74"/>
      <c r="D61" s="75" t="s">
        <v>187</v>
      </c>
      <c r="E61" s="75"/>
      <c r="F61" s="75"/>
      <c r="G61" s="75"/>
      <c r="H61" s="75"/>
      <c r="J61" s="31"/>
      <c r="K61" s="32"/>
      <c r="N61" s="32"/>
    </row>
    <row r="62" spans="1:14" ht="15.75" customHeight="1" x14ac:dyDescent="0.35">
      <c r="A62" s="74" t="s">
        <v>90</v>
      </c>
      <c r="B62" s="74"/>
      <c r="C62" s="74"/>
      <c r="D62" s="139" t="str">
        <f>(IF(G54="NA","60 Years After Completion",IF(G54&lt;&gt;"NA",""&amp;60-ROUNDDOWN((E3-G54)/360,0)&amp;" Years"," ")))</f>
        <v>60 Years After Completion</v>
      </c>
      <c r="E62" s="139"/>
      <c r="F62" s="139"/>
      <c r="G62" s="139"/>
      <c r="H62" s="139"/>
      <c r="N62" s="32"/>
    </row>
    <row r="63" spans="1:14" ht="15.75" customHeight="1" x14ac:dyDescent="0.35">
      <c r="A63" s="74" t="s">
        <v>91</v>
      </c>
      <c r="B63" s="74"/>
      <c r="C63" s="74"/>
      <c r="D63" s="120" t="s">
        <v>24</v>
      </c>
      <c r="E63" s="120"/>
      <c r="F63" s="120"/>
      <c r="G63" s="120"/>
      <c r="H63" s="120"/>
      <c r="J63" s="9"/>
      <c r="K63" s="9"/>
    </row>
    <row r="64" spans="1:14" ht="15" hidden="1" customHeight="1" x14ac:dyDescent="0.35">
      <c r="A64" s="74" t="s">
        <v>79</v>
      </c>
      <c r="B64" s="74"/>
      <c r="C64" s="74"/>
      <c r="D64" s="75" t="s">
        <v>154</v>
      </c>
      <c r="E64" s="120"/>
      <c r="F64" s="120"/>
      <c r="G64" s="120"/>
      <c r="H64" s="120"/>
    </row>
    <row r="65" spans="1:14" x14ac:dyDescent="0.35">
      <c r="A65" s="120" t="s">
        <v>155</v>
      </c>
      <c r="B65" s="120"/>
      <c r="C65" s="120"/>
      <c r="D65" s="120" t="s">
        <v>30</v>
      </c>
      <c r="E65" s="120"/>
      <c r="F65" s="120"/>
      <c r="G65" s="120"/>
      <c r="H65" s="120"/>
      <c r="I65" s="45"/>
      <c r="J65" s="45"/>
      <c r="K65" s="45"/>
      <c r="L65" s="45"/>
      <c r="M65" s="45"/>
      <c r="N65" s="45"/>
    </row>
    <row r="66" spans="1:14" ht="15.75" customHeight="1" x14ac:dyDescent="0.35">
      <c r="A66" s="74" t="s">
        <v>89</v>
      </c>
      <c r="B66" s="74"/>
      <c r="C66" s="74"/>
      <c r="D66" s="75" t="str">
        <f ca="1">(IF(G72&gt;95%,"Nothing",IF(G72&gt;0%,"Cement, Aggregate, Steel, etc",IF(G72=0%,"Work not yet Started"))))</f>
        <v>Cement, Aggregate, Steel, etc</v>
      </c>
      <c r="E66" s="75"/>
      <c r="F66" s="75"/>
      <c r="G66" s="75"/>
      <c r="H66" s="75"/>
      <c r="J66" s="9"/>
    </row>
    <row r="67" spans="1:14" ht="33.75" customHeight="1" thickBot="1" x14ac:dyDescent="0.4">
      <c r="A67" s="120" t="s">
        <v>124</v>
      </c>
      <c r="B67" s="120"/>
      <c r="C67" s="120"/>
      <c r="D67" s="75" t="str">
        <f ca="1">(IF(D66="Nothing","Yes",IF(D66="Cement, Aggregate, Steel, etc","Under Construction",IF(D66="Work not yet Started","Work not yet Started"))))</f>
        <v>Under Construction</v>
      </c>
      <c r="E67" s="75"/>
      <c r="F67" s="75" t="str">
        <f ca="1">(IF(D66="Nothing","Yes",IF(D66="Cement, Aggregate, Steel, etc","Under Construction",IF(D66="Work not yet Started","Work not yet Started"))))</f>
        <v>Under Construction</v>
      </c>
      <c r="G67" s="75"/>
      <c r="H67" s="75"/>
    </row>
    <row r="68" spans="1:14" ht="15.75" customHeight="1" x14ac:dyDescent="0.35">
      <c r="A68" s="101" t="s">
        <v>146</v>
      </c>
      <c r="B68" s="101"/>
      <c r="C68" s="101" t="str">
        <f>D59</f>
        <v>B Wing = G/St + 1st to 8th Floor.</v>
      </c>
      <c r="D68" s="101"/>
      <c r="E68" s="101"/>
      <c r="F68" s="101"/>
      <c r="G68" s="101"/>
      <c r="H68" s="101"/>
      <c r="I68" s="36" t="str">
        <f ca="1">(IF(E72&gt;99%,"All work completed. Please provide OC.",IF(E72&gt;89.8%,"Plinth, RCC, Brick, Plaster, Flooring, Painting work Completed. Finishing work is in process.",IF(E72&lt;94%,(IF(C72=0,"Work not yet Started.",IF(D72=25%,"Piling work in process",IF(D72=50%,"Excavation work in process",IF(D72=100%,"Excavation work Completed. ","0")))&amp;(IF(C73=0%,"",IF(C73=J74,"Footing work is process",IF(C73=J75,"Footing work Completed",IF(C73=J76,"1st Basement Completed",IF(C73=J77,"1st &amp; 2nd Basement Completed",IF(C73=J78,"1st to 3rd Basement Completed",IF(C73=J79,"1st to 4th Basement Completed",IF(C73=J80,"Plinth work is process",IF(C73=J81,"Plinth work completed","0")))))))))))&amp;(IF(C74=(D69+F69+H69),", RCC Slab Completed",IF(C74&gt;0,", RCC upto "&amp;C74&amp;" Slab Completed",""))&amp;(IF(C75=H69,", Brickwork Completed",IF(C75&gt;0,", Brickwork upto "&amp;C75&amp;" Floor Completed",""))&amp;(IF(C76=H69,", Internal Plaster Completed",IF(C76&gt;0,", Internal Plaster upto "&amp;C76&amp;" Floor Completed",""))&amp;(IF(C77=H69,", External Plaster Completed",IF(C77&gt;0,", External Plaster upto "&amp;C77&amp;" Floor Completed",""))&amp;(IF(C78=H69,", Flooring Completed",IF(C78&gt;0,", Flooring upto "&amp;C78&amp;" Floor Completed",""))&amp;(IF(C79=H69,", Painting Completed",IF(C79&gt;0,", Painting upto "&amp;C79&amp;" Floor Completed",""))&amp;(IF(C80&gt;0,", Finishing upto "&amp;C80&amp;" Floor Completed","")&amp;(IF(C74&gt;0.5,".",""))))))))))))))</f>
        <v>Excavation work Completed. Plinth work completed, RCC upto 7 Slab Completed.</v>
      </c>
      <c r="J68" s="10"/>
    </row>
    <row r="69" spans="1:14" x14ac:dyDescent="0.35">
      <c r="A69" s="71" t="s">
        <v>148</v>
      </c>
      <c r="B69" s="71">
        <v>0</v>
      </c>
      <c r="C69" s="71" t="s">
        <v>76</v>
      </c>
      <c r="D69" s="71">
        <v>1</v>
      </c>
      <c r="E69" s="71" t="s">
        <v>75</v>
      </c>
      <c r="F69" s="71">
        <v>0</v>
      </c>
      <c r="G69" s="71" t="s">
        <v>83</v>
      </c>
      <c r="H69" s="71">
        <f ca="1">--TRIM(RIGHT(SUBSTITUTE(LEFT(C68,_xlfn.AGGREGATE(16,6,FIND({0,1,2,3,4,5,6,7,8,9},C68,ROW(INDIRECT("1:"&amp;LEN(C68)))),1))," ",REPT(" ",LEN(C68))),LEN(C68)))</f>
        <v>8</v>
      </c>
      <c r="I69" s="37"/>
      <c r="J69" s="11"/>
    </row>
    <row r="70" spans="1:14" ht="31.5" customHeight="1" x14ac:dyDescent="0.35">
      <c r="A70" s="136" t="s">
        <v>93</v>
      </c>
      <c r="B70" s="136"/>
      <c r="C70" s="101" t="str">
        <f ca="1">(IF($G$54="NA",I68,"All work Completed. OC Received."))</f>
        <v>Excavation work Completed. Plinth work completed, RCC upto 7 Slab Completed.</v>
      </c>
      <c r="D70" s="101"/>
      <c r="E70" s="101"/>
      <c r="F70" s="101"/>
      <c r="G70" s="101"/>
      <c r="H70" s="101"/>
      <c r="I70" s="37" t="s">
        <v>110</v>
      </c>
      <c r="J70" s="11"/>
    </row>
    <row r="71" spans="1:14" ht="15.75" customHeight="1" x14ac:dyDescent="0.35">
      <c r="A71" s="102" t="s">
        <v>51</v>
      </c>
      <c r="B71" s="102"/>
      <c r="C71" s="70" t="s">
        <v>145</v>
      </c>
      <c r="D71" s="70" t="s">
        <v>86</v>
      </c>
      <c r="E71" s="102" t="s">
        <v>88</v>
      </c>
      <c r="F71" s="102"/>
      <c r="G71" s="102" t="s">
        <v>87</v>
      </c>
      <c r="H71" s="102"/>
      <c r="I71" s="30" t="s">
        <v>147</v>
      </c>
      <c r="J71" s="12">
        <f ca="1">H69*25%</f>
        <v>2</v>
      </c>
    </row>
    <row r="72" spans="1:14" x14ac:dyDescent="0.35">
      <c r="A72" s="102" t="s">
        <v>134</v>
      </c>
      <c r="B72" s="102"/>
      <c r="C72" s="54">
        <f ca="1">J73</f>
        <v>8</v>
      </c>
      <c r="D72" s="73">
        <f ca="1">((100/H69)*C72)/100</f>
        <v>1</v>
      </c>
      <c r="E72" s="104">
        <f ca="1">(((C73/H69*10)+(40/(D69+F69+H69)*C74)+(7.5/(H69)*C75)+(7.5/(H69)*C76)+(10/H69*C77)+(10/H69*C78)+(5/H69*C79)+(5/H69*C80)+(5/H69*C81))/100)</f>
        <v>0.41111111111111115</v>
      </c>
      <c r="F72" s="104"/>
      <c r="G72" s="104">
        <f ca="1">((((C72/H69)*20)+((C73/H69)*25)+(30/(H69+F69+D69)*C74)+(5/H69*C75)+(5/H69*C76)+(5/H69*C77)+(5/H69*C78)+(0/H69*C79)+(0/H69*C80)+(5/H69*C81))/100)</f>
        <v>0.68333333333333346</v>
      </c>
      <c r="H72" s="104"/>
      <c r="I72" s="30" t="s">
        <v>105</v>
      </c>
      <c r="J72" s="35">
        <f ca="1">H69*50%</f>
        <v>4</v>
      </c>
    </row>
    <row r="73" spans="1:14" x14ac:dyDescent="0.35">
      <c r="A73" s="102" t="s">
        <v>52</v>
      </c>
      <c r="B73" s="102"/>
      <c r="C73" s="56">
        <f ca="1">J81</f>
        <v>8</v>
      </c>
      <c r="D73" s="73">
        <f ca="1">((100/H69)*C73)/100</f>
        <v>1</v>
      </c>
      <c r="E73" s="104"/>
      <c r="F73" s="104"/>
      <c r="G73" s="104"/>
      <c r="H73" s="104"/>
      <c r="I73" s="30" t="s">
        <v>106</v>
      </c>
      <c r="J73" s="35">
        <f ca="1">H69</f>
        <v>8</v>
      </c>
    </row>
    <row r="74" spans="1:14" ht="15.75" customHeight="1" x14ac:dyDescent="0.35">
      <c r="A74" s="102" t="s">
        <v>135</v>
      </c>
      <c r="B74" s="102"/>
      <c r="C74" s="56">
        <v>7</v>
      </c>
      <c r="D74" s="73">
        <f ca="1">((100/(D69+F69+H69))*C74)/100</f>
        <v>0.77777777777777768</v>
      </c>
      <c r="E74" s="104"/>
      <c r="F74" s="104"/>
      <c r="G74" s="104"/>
      <c r="H74" s="104"/>
      <c r="I74" s="30" t="s">
        <v>107</v>
      </c>
      <c r="J74" s="39">
        <f ca="1">(IF(B69&gt;1,(H69/(B69+2)),H69/4))</f>
        <v>2</v>
      </c>
    </row>
    <row r="75" spans="1:14" ht="15.75" customHeight="1" x14ac:dyDescent="0.35">
      <c r="A75" s="102" t="s">
        <v>142</v>
      </c>
      <c r="B75" s="102" t="s">
        <v>136</v>
      </c>
      <c r="C75" s="54">
        <v>0</v>
      </c>
      <c r="D75" s="73">
        <f ca="1">((100/H69)*C75)/100</f>
        <v>0</v>
      </c>
      <c r="E75" s="104"/>
      <c r="F75" s="104"/>
      <c r="G75" s="104"/>
      <c r="H75" s="104"/>
      <c r="I75" s="30" t="s">
        <v>108</v>
      </c>
      <c r="J75" s="39">
        <f ca="1">(IF(B69&gt;1,(H69/(B69+2)+J74),H69/4+J74))</f>
        <v>4</v>
      </c>
    </row>
    <row r="76" spans="1:14" ht="15.75" customHeight="1" x14ac:dyDescent="0.35">
      <c r="A76" s="102" t="s">
        <v>143</v>
      </c>
      <c r="B76" s="102" t="s">
        <v>136</v>
      </c>
      <c r="C76" s="54">
        <v>0</v>
      </c>
      <c r="D76" s="73">
        <f ca="1">((100/H69)*C76)/100</f>
        <v>0</v>
      </c>
      <c r="E76" s="104"/>
      <c r="F76" s="104"/>
      <c r="G76" s="104"/>
      <c r="H76" s="104"/>
      <c r="I76" s="30" t="s">
        <v>152</v>
      </c>
      <c r="J76" s="39">
        <f>(IF(B69&gt;1,(H69/(B69+2)+J75),0))</f>
        <v>0</v>
      </c>
    </row>
    <row r="77" spans="1:14" ht="15" customHeight="1" x14ac:dyDescent="0.35">
      <c r="A77" s="102" t="s">
        <v>141</v>
      </c>
      <c r="B77" s="102" t="s">
        <v>138</v>
      </c>
      <c r="C77" s="54">
        <v>0</v>
      </c>
      <c r="D77" s="73">
        <f ca="1">((100/(H69))*C77)/100</f>
        <v>0</v>
      </c>
      <c r="E77" s="104"/>
      <c r="F77" s="104"/>
      <c r="G77" s="104"/>
      <c r="H77" s="104"/>
      <c r="I77" s="30" t="s">
        <v>149</v>
      </c>
      <c r="J77" s="39">
        <f>(IF(B69&gt;2,(H69/(B69+2)+J76),0))</f>
        <v>0</v>
      </c>
    </row>
    <row r="78" spans="1:14" ht="15.75" customHeight="1" x14ac:dyDescent="0.35">
      <c r="A78" s="102" t="s">
        <v>137</v>
      </c>
      <c r="B78" s="102" t="s">
        <v>137</v>
      </c>
      <c r="C78" s="54">
        <v>0</v>
      </c>
      <c r="D78" s="73">
        <f ca="1">((100/H69)*C78)/100</f>
        <v>0</v>
      </c>
      <c r="E78" s="104"/>
      <c r="F78" s="104"/>
      <c r="G78" s="104"/>
      <c r="H78" s="104"/>
      <c r="I78" s="30" t="s">
        <v>150</v>
      </c>
      <c r="J78" s="40">
        <f>(IF(B69&gt;3,(H69/(B69+2)+J77),0))</f>
        <v>0</v>
      </c>
    </row>
    <row r="79" spans="1:14" ht="15.75" customHeight="1" x14ac:dyDescent="0.35">
      <c r="A79" s="102" t="s">
        <v>144</v>
      </c>
      <c r="B79" s="102"/>
      <c r="C79" s="54">
        <v>0</v>
      </c>
      <c r="D79" s="73">
        <f ca="1">((100/H69)*C79)/100</f>
        <v>0</v>
      </c>
      <c r="E79" s="104"/>
      <c r="F79" s="104"/>
      <c r="G79" s="104"/>
      <c r="H79" s="104"/>
      <c r="I79" s="30" t="s">
        <v>151</v>
      </c>
      <c r="J79" s="39">
        <f>(IF(B69&gt;4,(H69/(B69+2)+J78),0))</f>
        <v>0</v>
      </c>
    </row>
    <row r="80" spans="1:14" ht="15.75" customHeight="1" x14ac:dyDescent="0.35">
      <c r="A80" s="102" t="s">
        <v>139</v>
      </c>
      <c r="B80" s="102" t="s">
        <v>139</v>
      </c>
      <c r="C80" s="54">
        <v>0</v>
      </c>
      <c r="D80" s="73">
        <f ca="1">((100/(H69))*C80)/100</f>
        <v>0</v>
      </c>
      <c r="E80" s="104"/>
      <c r="F80" s="104"/>
      <c r="G80" s="104"/>
      <c r="H80" s="104"/>
      <c r="I80" s="30" t="s">
        <v>153</v>
      </c>
      <c r="J80" s="39">
        <f ca="1">(IF(B69=1,(H69/(B69+3)+J75),IF(B69=0,(H69/4+J75),IF(B69&gt;1,0))))</f>
        <v>6</v>
      </c>
    </row>
    <row r="81" spans="1:10" ht="16" thickBot="1" x14ac:dyDescent="0.4">
      <c r="A81" s="102" t="s">
        <v>140</v>
      </c>
      <c r="B81" s="102"/>
      <c r="C81" s="54">
        <v>0</v>
      </c>
      <c r="D81" s="73">
        <f ca="1">((100/(H69))*C81)/100</f>
        <v>0</v>
      </c>
      <c r="E81" s="104"/>
      <c r="F81" s="104"/>
      <c r="G81" s="104"/>
      <c r="H81" s="104"/>
      <c r="I81" s="38" t="s">
        <v>109</v>
      </c>
      <c r="J81" s="41">
        <f ca="1">(IF(B69&gt;1.5,(H69/(B69+2)+J75+MAX(0,J76-J75)+MAX(0,J77-J76)+MAX(0,J78-J77)+MAX(0,J79-J78)+MAX(0,J80-J79)),IF(B69=1,(H69/(B69+3)+J80),IF(B69=0,H69/4+J80))))</f>
        <v>8</v>
      </c>
    </row>
    <row r="82" spans="1:10" ht="15.75" customHeight="1" x14ac:dyDescent="0.35">
      <c r="A82" s="149" t="s">
        <v>146</v>
      </c>
      <c r="B82" s="150"/>
      <c r="C82" s="151" t="str">
        <f>D60</f>
        <v>C Wing = G/St + 1st to 6th Floor.</v>
      </c>
      <c r="D82" s="152"/>
      <c r="E82" s="152"/>
      <c r="F82" s="152"/>
      <c r="G82" s="152"/>
      <c r="H82" s="153"/>
      <c r="I82" s="36" t="str">
        <f ca="1">(IF(E86&gt;99%,"All work completed. Please provide OC.",IF(E86&gt;89.8%,"Plinth, RCC, Brick, Plaster, Flooring, Painting work Completed. Finishing work is in process.",IF(E86&lt;94%,(IF(C86=0,"Work not yet Started.",IF(D86=25%,"Piling work in process",IF(D86=50%,"Excavation work in process",IF(D86=100%,"Excavation work Completed. ","0")))&amp;(IF(C87=0%,"",IF(C87=J88,"Footing work is process",IF(C87=J89,"Footing work Completed",IF(C87=J90,"1st Basement Completed",IF(C87=J91,"1st &amp; 2nd Basement Completed",IF(C87=J92,"1st to 3rd Basement Completed",IF(C87=J93,"1st to 4th Basement Completed",IF(C87=J94,"Plinth work is process",IF(C87=J95,"Plinth work completed","0")))))))))))&amp;(IF(C88=(D83+F83+H83),", RCC Slab Completed",IF(C88&gt;0,", RCC upto "&amp;C88&amp;" Slab Completed",""))&amp;(IF(C89=H83,", Brickwork Completed",IF(C89&gt;0,", Brickwork upto "&amp;C89&amp;" Floor Completed",""))&amp;(IF(C90=H83,", Internal Plaster Completed",IF(C90&gt;0,", Internal Plaster upto "&amp;C90&amp;" Floor Completed",""))&amp;(IF(C91=H83,", External Plaster Completed",IF(C91&gt;0,", External Plaster upto "&amp;C91&amp;" Floor Completed",""))&amp;(IF(C92=H83,", Flooring Completed",IF(C92&gt;0,", Flooring upto "&amp;C92&amp;" Floor Completed",""))&amp;(IF(C93=H83,", Painting Completed",IF(C93&gt;0,", Painting upto "&amp;C93&amp;" Floor Completed",""))&amp;(IF(C94&gt;0,", Finishing upto "&amp;C94&amp;" Floor Completed","")&amp;(IF(C88&gt;0.5,".",""))))))))))))))</f>
        <v>All work completed. Please provide OC.</v>
      </c>
      <c r="J82" s="10"/>
    </row>
    <row r="83" spans="1:10" x14ac:dyDescent="0.35">
      <c r="A83" s="42" t="s">
        <v>148</v>
      </c>
      <c r="B83" s="49">
        <v>0</v>
      </c>
      <c r="C83" s="49" t="s">
        <v>76</v>
      </c>
      <c r="D83" s="49">
        <v>1</v>
      </c>
      <c r="E83" s="49" t="s">
        <v>75</v>
      </c>
      <c r="F83" s="49">
        <v>0</v>
      </c>
      <c r="G83" s="49" t="s">
        <v>83</v>
      </c>
      <c r="H83" s="44">
        <f ca="1">--TRIM(RIGHT(SUBSTITUTE(LEFT(C82,_xlfn.AGGREGATE(16,6,FIND({0,1,2,3,4,5,6,7,8,9},C82,ROW(INDIRECT("1:"&amp;LEN(C82)))),1))," ",REPT(" ",LEN(C82))),LEN(C82)))</f>
        <v>6</v>
      </c>
      <c r="I83" s="37"/>
      <c r="J83" s="11"/>
    </row>
    <row r="84" spans="1:10" x14ac:dyDescent="0.35">
      <c r="A84" s="148" t="s">
        <v>93</v>
      </c>
      <c r="B84" s="136"/>
      <c r="C84" s="101" t="str">
        <f ca="1">(IF($G$54="NA",I82,"All work Completed. OC Received."))</f>
        <v>All work completed. Please provide OC.</v>
      </c>
      <c r="D84" s="101"/>
      <c r="E84" s="101"/>
      <c r="F84" s="101"/>
      <c r="G84" s="101"/>
      <c r="H84" s="105"/>
      <c r="I84" s="37" t="s">
        <v>110</v>
      </c>
      <c r="J84" s="11"/>
    </row>
    <row r="85" spans="1:10" ht="15.75" customHeight="1" x14ac:dyDescent="0.35">
      <c r="A85" s="106" t="s">
        <v>51</v>
      </c>
      <c r="B85" s="102"/>
      <c r="C85" s="48" t="s">
        <v>145</v>
      </c>
      <c r="D85" s="48" t="s">
        <v>86</v>
      </c>
      <c r="E85" s="102" t="s">
        <v>88</v>
      </c>
      <c r="F85" s="102"/>
      <c r="G85" s="102" t="s">
        <v>87</v>
      </c>
      <c r="H85" s="117"/>
      <c r="I85" s="30" t="s">
        <v>147</v>
      </c>
      <c r="J85" s="12">
        <f ca="1">H83*25%</f>
        <v>1.5</v>
      </c>
    </row>
    <row r="86" spans="1:10" x14ac:dyDescent="0.35">
      <c r="A86" s="106" t="s">
        <v>134</v>
      </c>
      <c r="B86" s="102"/>
      <c r="C86" s="54">
        <f ca="1">J87</f>
        <v>6</v>
      </c>
      <c r="D86" s="55">
        <f ca="1">((100/H83)*C86)/100</f>
        <v>1</v>
      </c>
      <c r="E86" s="104">
        <f ca="1">(((C87/H83*10)+(40/(D83+F83+H83)*C88)+(7.5/(H83)*C89)+(7.5/(H83)*C90)+(10/H83*C91)+(10/H83*C92)+(5/H83*C93)+(5/H83*C94)+(5/H83*C95))/100)</f>
        <v>1</v>
      </c>
      <c r="F86" s="104"/>
      <c r="G86" s="104">
        <f ca="1">((((C86/H83)*20)+((C87/H83)*25)+(30/(H83+F83+D83)*C88)+(5/H83*C89)+(5/H83*C90)+(5/H83*C91)+(5/H83*C92)+(0/H83*C93)+(0/H83*C94)+(5/H83*C95))/100)</f>
        <v>1</v>
      </c>
      <c r="H86" s="113"/>
      <c r="I86" s="30" t="s">
        <v>105</v>
      </c>
      <c r="J86" s="35">
        <f ca="1">H83*50%</f>
        <v>3</v>
      </c>
    </row>
    <row r="87" spans="1:10" x14ac:dyDescent="0.35">
      <c r="A87" s="106" t="s">
        <v>52</v>
      </c>
      <c r="B87" s="102"/>
      <c r="C87" s="56">
        <f ca="1">J95</f>
        <v>6</v>
      </c>
      <c r="D87" s="55">
        <f ca="1">((100/H83)*C87)/100</f>
        <v>1</v>
      </c>
      <c r="E87" s="104"/>
      <c r="F87" s="104"/>
      <c r="G87" s="104"/>
      <c r="H87" s="113"/>
      <c r="I87" s="30" t="s">
        <v>106</v>
      </c>
      <c r="J87" s="35">
        <f ca="1">H83</f>
        <v>6</v>
      </c>
    </row>
    <row r="88" spans="1:10" ht="15.75" customHeight="1" x14ac:dyDescent="0.35">
      <c r="A88" s="106" t="s">
        <v>135</v>
      </c>
      <c r="B88" s="102"/>
      <c r="C88" s="56">
        <v>7</v>
      </c>
      <c r="D88" s="55">
        <f ca="1">((100/(D83+F83+H83))*C88)/100</f>
        <v>1</v>
      </c>
      <c r="E88" s="104"/>
      <c r="F88" s="104"/>
      <c r="G88" s="104"/>
      <c r="H88" s="113"/>
      <c r="I88" s="30" t="s">
        <v>107</v>
      </c>
      <c r="J88" s="39">
        <f ca="1">(IF(B83&gt;1,(H83/(B83+2)),H83/4))</f>
        <v>1.5</v>
      </c>
    </row>
    <row r="89" spans="1:10" ht="15.75" customHeight="1" x14ac:dyDescent="0.35">
      <c r="A89" s="106" t="s">
        <v>142</v>
      </c>
      <c r="B89" s="102" t="s">
        <v>136</v>
      </c>
      <c r="C89" s="54">
        <v>6</v>
      </c>
      <c r="D89" s="55">
        <f ca="1">((100/H83)*C89)/100</f>
        <v>1</v>
      </c>
      <c r="E89" s="104"/>
      <c r="F89" s="104"/>
      <c r="G89" s="104"/>
      <c r="H89" s="113"/>
      <c r="I89" s="30" t="s">
        <v>108</v>
      </c>
      <c r="J89" s="39">
        <f ca="1">(IF(B83&gt;1,(H83/(B83+2)+J88),H83/4+J88))</f>
        <v>3</v>
      </c>
    </row>
    <row r="90" spans="1:10" ht="15.75" customHeight="1" x14ac:dyDescent="0.35">
      <c r="A90" s="106" t="s">
        <v>143</v>
      </c>
      <c r="B90" s="102" t="s">
        <v>136</v>
      </c>
      <c r="C90" s="54">
        <v>6</v>
      </c>
      <c r="D90" s="55">
        <f ca="1">((100/H83)*C90)/100</f>
        <v>1</v>
      </c>
      <c r="E90" s="104"/>
      <c r="F90" s="104"/>
      <c r="G90" s="104"/>
      <c r="H90" s="113"/>
      <c r="I90" s="30" t="s">
        <v>152</v>
      </c>
      <c r="J90" s="39">
        <f>(IF(B83&gt;1,(H83/(B83+2)+J89),0))</f>
        <v>0</v>
      </c>
    </row>
    <row r="91" spans="1:10" ht="15" customHeight="1" x14ac:dyDescent="0.35">
      <c r="A91" s="106" t="s">
        <v>141</v>
      </c>
      <c r="B91" s="102" t="s">
        <v>138</v>
      </c>
      <c r="C91" s="54">
        <v>6</v>
      </c>
      <c r="D91" s="55">
        <f ca="1">((100/(H83))*C91)/100</f>
        <v>1</v>
      </c>
      <c r="E91" s="104"/>
      <c r="F91" s="104"/>
      <c r="G91" s="104"/>
      <c r="H91" s="113"/>
      <c r="I91" s="30" t="s">
        <v>149</v>
      </c>
      <c r="J91" s="39">
        <f>(IF(B83&gt;2,(H83/(B83+2)+J90),0))</f>
        <v>0</v>
      </c>
    </row>
    <row r="92" spans="1:10" ht="15.75" customHeight="1" x14ac:dyDescent="0.35">
      <c r="A92" s="106" t="s">
        <v>137</v>
      </c>
      <c r="B92" s="102" t="s">
        <v>137</v>
      </c>
      <c r="C92" s="54">
        <v>6</v>
      </c>
      <c r="D92" s="55">
        <f ca="1">((100/H83)*C92)/100</f>
        <v>1</v>
      </c>
      <c r="E92" s="104"/>
      <c r="F92" s="104"/>
      <c r="G92" s="104"/>
      <c r="H92" s="113"/>
      <c r="I92" s="30" t="s">
        <v>150</v>
      </c>
      <c r="J92" s="40">
        <f>(IF(B83&gt;3,(H83/(B83+2)+J91),0))</f>
        <v>0</v>
      </c>
    </row>
    <row r="93" spans="1:10" ht="15.75" customHeight="1" x14ac:dyDescent="0.35">
      <c r="A93" s="106" t="s">
        <v>144</v>
      </c>
      <c r="B93" s="102"/>
      <c r="C93" s="54">
        <v>6</v>
      </c>
      <c r="D93" s="55">
        <f ca="1">((100/H83)*C93)/100</f>
        <v>1</v>
      </c>
      <c r="E93" s="104"/>
      <c r="F93" s="104"/>
      <c r="G93" s="104"/>
      <c r="H93" s="113"/>
      <c r="I93" s="30" t="s">
        <v>151</v>
      </c>
      <c r="J93" s="39">
        <f>(IF(B83&gt;4,(H83/(B83+2)+J92),0))</f>
        <v>0</v>
      </c>
    </row>
    <row r="94" spans="1:10" ht="15.75" customHeight="1" x14ac:dyDescent="0.35">
      <c r="A94" s="106" t="s">
        <v>139</v>
      </c>
      <c r="B94" s="102" t="s">
        <v>139</v>
      </c>
      <c r="C94" s="54">
        <v>6</v>
      </c>
      <c r="D94" s="55">
        <f ca="1">((100/(H83))*C94)/100</f>
        <v>1</v>
      </c>
      <c r="E94" s="104"/>
      <c r="F94" s="104"/>
      <c r="G94" s="104"/>
      <c r="H94" s="113"/>
      <c r="I94" s="30" t="s">
        <v>153</v>
      </c>
      <c r="J94" s="39">
        <f ca="1">(IF(B83=1,(H83/(B83+3)+J89),IF(B83=0,(H83/4+J89),IF(B83&gt;1,0))))</f>
        <v>4.5</v>
      </c>
    </row>
    <row r="95" spans="1:10" ht="16" thickBot="1" x14ac:dyDescent="0.4">
      <c r="A95" s="115" t="s">
        <v>140</v>
      </c>
      <c r="B95" s="116"/>
      <c r="C95" s="57">
        <v>6</v>
      </c>
      <c r="D95" s="58">
        <f ca="1">((100/(H83))*C95)/100</f>
        <v>1</v>
      </c>
      <c r="E95" s="112"/>
      <c r="F95" s="112"/>
      <c r="G95" s="112"/>
      <c r="H95" s="114"/>
      <c r="I95" s="38" t="s">
        <v>109</v>
      </c>
      <c r="J95" s="41">
        <f ca="1">(IF(B83&gt;1.5,(H83/(B83+2)+J89+MAX(0,J90-J89)+MAX(0,J91-J90)+MAX(0,J92-J91)+MAX(0,J93-J92)+MAX(0,J94-J93)),IF(B83=1,(H83/(B83+3)+J94),IF(B83=0,H83/4+J94))))</f>
        <v>6</v>
      </c>
    </row>
    <row r="96" spans="1:10" x14ac:dyDescent="0.35">
      <c r="A96" s="107" t="s">
        <v>53</v>
      </c>
      <c r="B96" s="107"/>
      <c r="C96" s="107"/>
      <c r="D96" s="107"/>
      <c r="E96" s="107"/>
      <c r="F96" s="107"/>
      <c r="G96" s="107"/>
      <c r="H96" s="107"/>
    </row>
    <row r="97" spans="1:13" x14ac:dyDescent="0.35">
      <c r="A97" s="74" t="s">
        <v>160</v>
      </c>
      <c r="B97" s="74"/>
      <c r="C97" s="74"/>
      <c r="D97" s="74"/>
      <c r="E97" s="74"/>
      <c r="F97" s="103">
        <v>3400</v>
      </c>
      <c r="G97" s="103"/>
      <c r="H97" s="103"/>
    </row>
    <row r="98" spans="1:13" hidden="1" x14ac:dyDescent="0.35">
      <c r="A98" s="74" t="s">
        <v>161</v>
      </c>
      <c r="B98" s="74"/>
      <c r="C98" s="74"/>
      <c r="D98" s="74"/>
      <c r="E98" s="74"/>
      <c r="F98" s="103"/>
      <c r="G98" s="103"/>
      <c r="H98" s="103"/>
    </row>
    <row r="99" spans="1:13" hidden="1" x14ac:dyDescent="0.35">
      <c r="A99" s="74" t="s">
        <v>162</v>
      </c>
      <c r="B99" s="74"/>
      <c r="C99" s="74"/>
      <c r="D99" s="74"/>
      <c r="E99" s="74"/>
      <c r="F99" s="103"/>
      <c r="G99" s="103"/>
      <c r="H99" s="103"/>
    </row>
    <row r="100" spans="1:13" s="7" customFormat="1" hidden="1" x14ac:dyDescent="0.3">
      <c r="A100" s="74" t="s">
        <v>98</v>
      </c>
      <c r="B100" s="74"/>
      <c r="C100" s="74"/>
      <c r="D100" s="74"/>
      <c r="E100" s="74"/>
      <c r="F100" s="103"/>
      <c r="G100" s="103"/>
      <c r="H100" s="103"/>
    </row>
    <row r="101" spans="1:13" s="7" customFormat="1" x14ac:dyDescent="0.35">
      <c r="A101" s="74" t="s">
        <v>99</v>
      </c>
      <c r="B101" s="74"/>
      <c r="C101" s="74"/>
      <c r="D101" s="74"/>
      <c r="E101" s="74"/>
      <c r="F101" s="103">
        <v>150000</v>
      </c>
      <c r="G101" s="103"/>
      <c r="H101" s="103"/>
      <c r="J101" s="64">
        <v>44883</v>
      </c>
      <c r="K101" s="66" t="s">
        <v>194</v>
      </c>
      <c r="L101" s="65" t="s">
        <v>193</v>
      </c>
      <c r="M101" s="65" t="s">
        <v>195</v>
      </c>
    </row>
    <row r="102" spans="1:13" s="7" customFormat="1" x14ac:dyDescent="0.3">
      <c r="A102" s="74" t="s">
        <v>192</v>
      </c>
      <c r="B102" s="74"/>
      <c r="C102" s="74"/>
      <c r="D102" s="74"/>
      <c r="E102" s="74"/>
      <c r="F102" s="103">
        <v>20000</v>
      </c>
      <c r="G102" s="103"/>
      <c r="H102" s="103"/>
    </row>
    <row r="103" spans="1:13" s="7" customFormat="1" hidden="1" x14ac:dyDescent="0.3">
      <c r="A103" s="74" t="s">
        <v>100</v>
      </c>
      <c r="B103" s="74"/>
      <c r="C103" s="74"/>
      <c r="D103" s="74"/>
      <c r="E103" s="74"/>
      <c r="F103" s="103"/>
      <c r="G103" s="103"/>
      <c r="H103" s="103"/>
    </row>
    <row r="104" spans="1:13" s="7" customFormat="1" hidden="1" x14ac:dyDescent="0.3">
      <c r="A104" s="74" t="s">
        <v>101</v>
      </c>
      <c r="B104" s="74"/>
      <c r="C104" s="74"/>
      <c r="D104" s="74"/>
      <c r="E104" s="74"/>
      <c r="F104" s="103"/>
      <c r="G104" s="103"/>
      <c r="H104" s="103"/>
    </row>
    <row r="105" spans="1:13" s="7" customFormat="1" hidden="1" x14ac:dyDescent="0.3">
      <c r="A105" s="74" t="s">
        <v>102</v>
      </c>
      <c r="B105" s="74"/>
      <c r="C105" s="74"/>
      <c r="D105" s="74"/>
      <c r="E105" s="74"/>
      <c r="F105" s="103"/>
      <c r="G105" s="103"/>
      <c r="H105" s="103"/>
    </row>
    <row r="106" spans="1:13" s="7" customFormat="1" hidden="1" x14ac:dyDescent="0.3">
      <c r="A106" s="74" t="s">
        <v>103</v>
      </c>
      <c r="B106" s="74"/>
      <c r="C106" s="74"/>
      <c r="D106" s="74"/>
      <c r="E106" s="74"/>
      <c r="F106" s="103"/>
      <c r="G106" s="103"/>
      <c r="H106" s="103"/>
    </row>
    <row r="107" spans="1:13" s="7" customFormat="1" hidden="1" x14ac:dyDescent="0.3">
      <c r="A107" s="74" t="s">
        <v>104</v>
      </c>
      <c r="B107" s="74"/>
      <c r="C107" s="74"/>
      <c r="D107" s="74"/>
      <c r="E107" s="74"/>
      <c r="F107" s="103"/>
      <c r="G107" s="103"/>
      <c r="H107" s="103"/>
    </row>
    <row r="108" spans="1:13" x14ac:dyDescent="0.35">
      <c r="A108" s="74" t="s">
        <v>54</v>
      </c>
      <c r="B108" s="74"/>
      <c r="C108" s="74"/>
      <c r="D108" s="74"/>
      <c r="E108" s="74"/>
      <c r="F108" s="103">
        <v>100000</v>
      </c>
      <c r="G108" s="103"/>
      <c r="H108" s="103"/>
    </row>
    <row r="109" spans="1:13" s="4" customFormat="1" x14ac:dyDescent="0.35">
      <c r="A109" s="107" t="s">
        <v>55</v>
      </c>
      <c r="B109" s="107"/>
      <c r="C109" s="107"/>
      <c r="D109" s="107"/>
      <c r="E109" s="107"/>
      <c r="F109" s="103">
        <f>F97*0.8</f>
        <v>2720</v>
      </c>
      <c r="G109" s="103"/>
      <c r="H109" s="103"/>
    </row>
    <row r="110" spans="1:13" s="1" customFormat="1" x14ac:dyDescent="0.35">
      <c r="A110" s="97" t="s">
        <v>74</v>
      </c>
      <c r="B110" s="97"/>
      <c r="C110" s="97"/>
      <c r="D110" s="97"/>
      <c r="E110" s="97"/>
      <c r="F110" s="97"/>
      <c r="G110" s="97"/>
      <c r="H110" s="97"/>
    </row>
    <row r="111" spans="1:13" s="1" customFormat="1" ht="15.75" customHeight="1" x14ac:dyDescent="0.35">
      <c r="A111" s="89" t="s">
        <v>56</v>
      </c>
      <c r="B111" s="89"/>
      <c r="C111" s="98" t="s">
        <v>169</v>
      </c>
      <c r="D111" s="98"/>
      <c r="E111" s="86" t="s">
        <v>57</v>
      </c>
      <c r="F111" s="86"/>
      <c r="G111" s="89" t="s">
        <v>58</v>
      </c>
      <c r="H111" s="89"/>
    </row>
    <row r="112" spans="1:13" s="1" customFormat="1" x14ac:dyDescent="0.35">
      <c r="A112" s="83" t="s">
        <v>170</v>
      </c>
      <c r="B112" s="83"/>
      <c r="C112" s="84">
        <f>COUNT(D155:D159)*6</f>
        <v>30</v>
      </c>
      <c r="D112" s="84"/>
      <c r="E112" s="85">
        <f>SUM(D155:D159)*6</f>
        <v>8390.753279999999</v>
      </c>
      <c r="F112" s="85"/>
      <c r="G112" s="85">
        <f>SUM(F155:F159)*6</f>
        <v>12166.592256</v>
      </c>
      <c r="H112" s="85"/>
    </row>
    <row r="113" spans="1:16" s="1" customFormat="1" x14ac:dyDescent="0.35">
      <c r="A113" s="83" t="s">
        <v>215</v>
      </c>
      <c r="B113" s="83"/>
      <c r="C113" s="84">
        <f>COUNT(D123:D127,D129:D131)+COUNT(D133:D141)*6+COUNT(D143:D148,D150:D151)</f>
        <v>70</v>
      </c>
      <c r="D113" s="84"/>
      <c r="E113" s="85">
        <f t="shared" ref="E113" si="0">SUM(D123:D127,D129:D131)+SUM(D133:D141)*6+SUM(D143:D148,D150:D151)</f>
        <v>26936.802359999998</v>
      </c>
      <c r="F113" s="85"/>
      <c r="G113" s="85">
        <f>SUM(F123:F127,F129:F131)+SUM(F133:F141)*6+SUM(F143:F148,F150:F151)</f>
        <v>39058.363421999995</v>
      </c>
      <c r="H113" s="85"/>
    </row>
    <row r="114" spans="1:16" s="68" customFormat="1" ht="15" x14ac:dyDescent="0.35">
      <c r="A114" s="97" t="s">
        <v>214</v>
      </c>
      <c r="B114" s="97"/>
      <c r="C114" s="98">
        <f t="shared" ref="C114" si="1">SUM(C112:D113)</f>
        <v>100</v>
      </c>
      <c r="D114" s="98"/>
      <c r="E114" s="99">
        <f>SUM(E112:F113)</f>
        <v>35327.555639999999</v>
      </c>
      <c r="F114" s="99"/>
      <c r="G114" s="99">
        <f>SUM(G112:H113)</f>
        <v>51224.955677999998</v>
      </c>
      <c r="H114" s="99"/>
    </row>
    <row r="115" spans="1:16" s="4" customFormat="1" x14ac:dyDescent="0.35">
      <c r="A115" s="93" t="s">
        <v>59</v>
      </c>
      <c r="B115" s="93"/>
      <c r="C115" s="93"/>
      <c r="D115" s="93"/>
      <c r="E115" s="93"/>
      <c r="F115" s="93"/>
      <c r="G115" s="93"/>
      <c r="H115" s="93"/>
    </row>
    <row r="116" spans="1:16" x14ac:dyDescent="0.35">
      <c r="A116" s="93" t="s">
        <v>60</v>
      </c>
      <c r="B116" s="93"/>
      <c r="C116" s="93"/>
      <c r="D116" s="93"/>
      <c r="E116" s="93"/>
      <c r="F116" s="93"/>
      <c r="G116" s="93"/>
      <c r="H116" s="93"/>
    </row>
    <row r="117" spans="1:16" s="29" customFormat="1" hidden="1" x14ac:dyDescent="0.35">
      <c r="A117" s="88"/>
      <c r="B117" s="88"/>
      <c r="C117" s="88"/>
      <c r="D117" s="88"/>
      <c r="E117" s="88"/>
      <c r="F117" s="88"/>
      <c r="G117" s="88"/>
      <c r="H117" s="88"/>
      <c r="I117" s="27"/>
      <c r="N117" s="27"/>
    </row>
    <row r="118" spans="1:16" ht="47.25" customHeight="1" x14ac:dyDescent="0.35">
      <c r="A118" s="90" t="s">
        <v>125</v>
      </c>
      <c r="B118" s="90" t="s">
        <v>126</v>
      </c>
      <c r="C118" s="90" t="s">
        <v>61</v>
      </c>
      <c r="D118" s="90" t="s">
        <v>62</v>
      </c>
      <c r="E118" s="91" t="s">
        <v>63</v>
      </c>
      <c r="F118" s="72" t="s">
        <v>156</v>
      </c>
      <c r="G118" s="90" t="s">
        <v>64</v>
      </c>
      <c r="H118" s="90"/>
      <c r="I118" s="27"/>
    </row>
    <row r="119" spans="1:16" s="29" customFormat="1" x14ac:dyDescent="0.35">
      <c r="A119" s="90"/>
      <c r="B119" s="90"/>
      <c r="C119" s="90"/>
      <c r="D119" s="90"/>
      <c r="E119" s="91"/>
      <c r="F119" s="69">
        <v>0.45</v>
      </c>
      <c r="G119" s="90"/>
      <c r="H119" s="90"/>
      <c r="I119" s="27"/>
    </row>
    <row r="120" spans="1:16" x14ac:dyDescent="0.35">
      <c r="A120" s="93" t="s">
        <v>203</v>
      </c>
      <c r="B120" s="93"/>
      <c r="C120" s="93"/>
      <c r="D120" s="93"/>
      <c r="E120" s="93"/>
      <c r="F120" s="93"/>
      <c r="G120" s="93"/>
      <c r="H120" s="93"/>
    </row>
    <row r="121" spans="1:16" x14ac:dyDescent="0.35">
      <c r="A121" s="93" t="s">
        <v>164</v>
      </c>
      <c r="B121" s="93"/>
      <c r="C121" s="93"/>
      <c r="D121" s="93"/>
      <c r="E121" s="93"/>
      <c r="F121" s="93"/>
      <c r="G121" s="93"/>
      <c r="H121" s="93"/>
    </row>
    <row r="122" spans="1:16" s="43" customFormat="1" x14ac:dyDescent="0.35">
      <c r="A122" s="111" t="s">
        <v>204</v>
      </c>
      <c r="B122" s="111"/>
      <c r="C122" s="111"/>
      <c r="D122" s="111"/>
      <c r="E122" s="111"/>
      <c r="F122" s="111"/>
      <c r="G122" s="111"/>
      <c r="H122" s="111"/>
      <c r="I122" s="27"/>
      <c r="P122" s="28"/>
    </row>
    <row r="123" spans="1:16" s="43" customFormat="1" x14ac:dyDescent="0.35">
      <c r="A123" s="80">
        <v>1</v>
      </c>
      <c r="B123" s="81"/>
      <c r="C123" s="46" t="s">
        <v>167</v>
      </c>
      <c r="D123" s="46">
        <f>(28.74+3.3+0.75*2.6)*10.764</f>
        <v>365.86836</v>
      </c>
      <c r="E123" s="46">
        <v>0</v>
      </c>
      <c r="F123" s="46">
        <f>D123*(($F$119)+1)+(IF(E123&lt;101,E123,IF(E123&lt;201,E123/2,IF(E123&lt;=301,E123/3,E123/4))))</f>
        <v>530.50912199999993</v>
      </c>
      <c r="G123" s="80" t="str">
        <f>A122</f>
        <v>1st Floor for Residential</v>
      </c>
      <c r="H123" s="81"/>
      <c r="I123" s="27">
        <f>1450000/F123</f>
        <v>2733.2235014801504</v>
      </c>
      <c r="K123" s="43">
        <f>1116000/F127</f>
        <v>2364.5076118839238</v>
      </c>
    </row>
    <row r="124" spans="1:16" s="43" customFormat="1" x14ac:dyDescent="0.35">
      <c r="A124" s="80">
        <v>2</v>
      </c>
      <c r="B124" s="81"/>
      <c r="C124" s="46" t="s">
        <v>167</v>
      </c>
      <c r="D124" s="46">
        <f>(28.74+3.3+0.75*2.6)*10.764</f>
        <v>365.86836</v>
      </c>
      <c r="E124" s="46">
        <v>0</v>
      </c>
      <c r="F124" s="46">
        <f>D124*(($F$119)+1)+(IF(E124&lt;101,E124,IF(E124&lt;201,E124/2,IF(E124&lt;=301,E124/3,E124/4))))</f>
        <v>530.50912199999993</v>
      </c>
      <c r="G124" s="80" t="str">
        <f t="shared" ref="G124:G131" si="2">G123</f>
        <v>1st Floor for Residential</v>
      </c>
      <c r="H124" s="81"/>
      <c r="I124" s="27"/>
    </row>
    <row r="125" spans="1:16" s="43" customFormat="1" x14ac:dyDescent="0.35">
      <c r="A125" s="80">
        <v>3</v>
      </c>
      <c r="B125" s="81"/>
      <c r="C125" s="46" t="s">
        <v>205</v>
      </c>
      <c r="D125" s="46">
        <f>(37.33+3.3+0.75*2.6+0.75*2.4)*10.764</f>
        <v>477.70631999999995</v>
      </c>
      <c r="E125" s="46">
        <v>0</v>
      </c>
      <c r="F125" s="46">
        <f>D125*(($F$119)+1)+(IF(E125&lt;101,E125,IF(E125&lt;201,E125/2,IF(E125&lt;=301,E125/3,E125/4))))</f>
        <v>692.67416399999991</v>
      </c>
      <c r="G125" s="80" t="str">
        <f t="shared" si="2"/>
        <v>1st Floor for Residential</v>
      </c>
      <c r="H125" s="81"/>
      <c r="I125" s="27"/>
    </row>
    <row r="126" spans="1:16" s="43" customFormat="1" x14ac:dyDescent="0.35">
      <c r="A126" s="80">
        <v>4</v>
      </c>
      <c r="B126" s="81"/>
      <c r="C126" s="46" t="s">
        <v>205</v>
      </c>
      <c r="D126" s="46">
        <f>(40.18+1.5+0.75*3.1+2.7*0.75)*10.764</f>
        <v>495.46691999999996</v>
      </c>
      <c r="E126" s="46">
        <v>0</v>
      </c>
      <c r="F126" s="46">
        <f>D126*(($F$119)+1)+(IF(E126&lt;101,E126,IF(E126&lt;201,E126/2,IF(E126&lt;=301,E126/3,E126/4))))</f>
        <v>718.42703399999994</v>
      </c>
      <c r="G126" s="80" t="str">
        <f t="shared" si="2"/>
        <v>1st Floor for Residential</v>
      </c>
      <c r="H126" s="81"/>
      <c r="I126" s="27"/>
      <c r="J126" s="43">
        <f>3.1*3.45+1.65*1.2+1.25*0.9+2.7*2.6+2.7*1.8+1.2*0.9+1*1.8+1*1.8</f>
        <v>30.36</v>
      </c>
      <c r="L126" s="43">
        <f>3400*423</f>
        <v>1438200</v>
      </c>
    </row>
    <row r="127" spans="1:16" s="43" customFormat="1" x14ac:dyDescent="0.35">
      <c r="A127" s="80">
        <v>5</v>
      </c>
      <c r="B127" s="81"/>
      <c r="C127" s="46" t="s">
        <v>167</v>
      </c>
      <c r="D127" s="46">
        <f>(28.74+1.5)*10.764</f>
        <v>325.50335999999999</v>
      </c>
      <c r="E127" s="46">
        <v>0</v>
      </c>
      <c r="F127" s="46">
        <f>D127*(($F$119)+1)+(IF(E127&lt;101,E127,IF(E127&lt;201,E127/2,IF(E127&lt;=301,E127/3,E127/4))))</f>
        <v>471.97987199999994</v>
      </c>
      <c r="G127" s="80" t="str">
        <f t="shared" si="2"/>
        <v>1st Floor for Residential</v>
      </c>
      <c r="H127" s="81"/>
      <c r="I127" s="27"/>
    </row>
    <row r="128" spans="1:16" s="43" customFormat="1" x14ac:dyDescent="0.35">
      <c r="A128" s="80">
        <v>6</v>
      </c>
      <c r="B128" s="81"/>
      <c r="C128" s="80" t="s">
        <v>206</v>
      </c>
      <c r="D128" s="82"/>
      <c r="E128" s="82"/>
      <c r="F128" s="81"/>
      <c r="G128" s="80" t="str">
        <f t="shared" si="2"/>
        <v>1st Floor for Residential</v>
      </c>
      <c r="H128" s="81"/>
      <c r="I128" s="27"/>
    </row>
    <row r="129" spans="1:16" s="43" customFormat="1" x14ac:dyDescent="0.35">
      <c r="A129" s="80">
        <v>7</v>
      </c>
      <c r="B129" s="81"/>
      <c r="C129" s="46" t="s">
        <v>167</v>
      </c>
      <c r="D129" s="46">
        <f>(28.74+3.3+0.75*2.6)*10.764</f>
        <v>365.86836</v>
      </c>
      <c r="E129" s="46">
        <v>0</v>
      </c>
      <c r="F129" s="46">
        <f>D129*(($F$119)+1)+(IF(E129&lt;101,E129,IF(E129&lt;201,E129/2,IF(E129&lt;=301,E129/3,E129/4))))</f>
        <v>530.50912199999993</v>
      </c>
      <c r="G129" s="80" t="str">
        <f t="shared" si="2"/>
        <v>1st Floor for Residential</v>
      </c>
      <c r="H129" s="81"/>
      <c r="I129" s="27"/>
    </row>
    <row r="130" spans="1:16" s="43" customFormat="1" x14ac:dyDescent="0.35">
      <c r="A130" s="80">
        <v>8</v>
      </c>
      <c r="B130" s="81"/>
      <c r="C130" s="46" t="s">
        <v>167</v>
      </c>
      <c r="D130" s="46">
        <f>(28.74+3.3+0.75*2.6)*10.764</f>
        <v>365.86836</v>
      </c>
      <c r="E130" s="46">
        <v>0</v>
      </c>
      <c r="F130" s="46">
        <f>D130*(($F$119)+1)+(IF(E130&lt;101,E130,IF(E130&lt;201,E130/2,IF(E130&lt;=301,E130/3,E130/4))))</f>
        <v>530.50912199999993</v>
      </c>
      <c r="G130" s="80" t="str">
        <f t="shared" si="2"/>
        <v>1st Floor for Residential</v>
      </c>
      <c r="H130" s="81"/>
      <c r="I130" s="27"/>
      <c r="L130" s="43">
        <f>3400*423</f>
        <v>1438200</v>
      </c>
    </row>
    <row r="131" spans="1:16" s="43" customFormat="1" x14ac:dyDescent="0.35">
      <c r="A131" s="80">
        <v>9</v>
      </c>
      <c r="B131" s="81"/>
      <c r="C131" s="46" t="s">
        <v>167</v>
      </c>
      <c r="D131" s="46">
        <f>(28.74+3.3+0.75*2.6)*10.764</f>
        <v>365.86836</v>
      </c>
      <c r="E131" s="46">
        <v>0</v>
      </c>
      <c r="F131" s="46">
        <f>D131*(($F$119)+1)+(IF(E131&lt;101,E131,IF(E131&lt;201,E131/2,IF(E131&lt;=301,E131/3,E131/4))))</f>
        <v>530.50912199999993</v>
      </c>
      <c r="G131" s="80" t="str">
        <f t="shared" si="2"/>
        <v>1st Floor for Residential</v>
      </c>
      <c r="H131" s="81"/>
      <c r="I131" s="27"/>
    </row>
    <row r="132" spans="1:16" s="43" customFormat="1" x14ac:dyDescent="0.35">
      <c r="A132" s="94" t="s">
        <v>207</v>
      </c>
      <c r="B132" s="95"/>
      <c r="C132" s="95"/>
      <c r="D132" s="95"/>
      <c r="E132" s="95"/>
      <c r="F132" s="95"/>
      <c r="G132" s="95"/>
      <c r="H132" s="96"/>
      <c r="I132" s="27"/>
      <c r="P132" s="28"/>
    </row>
    <row r="133" spans="1:16" s="43" customFormat="1" x14ac:dyDescent="0.35">
      <c r="A133" s="80">
        <v>1</v>
      </c>
      <c r="B133" s="81"/>
      <c r="C133" s="46" t="s">
        <v>167</v>
      </c>
      <c r="D133" s="46">
        <f>(28.74+3.3+0.75*2.6)*10.764</f>
        <v>365.86836</v>
      </c>
      <c r="E133" s="46">
        <v>0</v>
      </c>
      <c r="F133" s="46">
        <f t="shared" ref="F133:F141" si="3">D133*(($F$119)+1)+(IF(E133&lt;101,E133,IF(E133&lt;201,E133/2,IF(E133&lt;=301,E133/3,E133/4))))</f>
        <v>530.50912199999993</v>
      </c>
      <c r="G133" s="80" t="str">
        <f>A132</f>
        <v>2nd to 7th Floor for Residential</v>
      </c>
      <c r="H133" s="81"/>
      <c r="I133" s="27">
        <f>1450000/F133</f>
        <v>2733.2235014801504</v>
      </c>
      <c r="K133" s="43">
        <f>1116000/F137</f>
        <v>2364.5076118839238</v>
      </c>
    </row>
    <row r="134" spans="1:16" s="43" customFormat="1" x14ac:dyDescent="0.35">
      <c r="A134" s="80">
        <v>2</v>
      </c>
      <c r="B134" s="81"/>
      <c r="C134" s="46" t="s">
        <v>167</v>
      </c>
      <c r="D134" s="46">
        <f>(28.74+3.3+0.75*2.6)*10.764</f>
        <v>365.86836</v>
      </c>
      <c r="E134" s="46">
        <v>0</v>
      </c>
      <c r="F134" s="46">
        <f t="shared" si="3"/>
        <v>530.50912199999993</v>
      </c>
      <c r="G134" s="80" t="str">
        <f t="shared" ref="G134:G141" si="4">G133</f>
        <v>2nd to 7th Floor for Residential</v>
      </c>
      <c r="H134" s="81"/>
      <c r="I134" s="27"/>
    </row>
    <row r="135" spans="1:16" s="43" customFormat="1" x14ac:dyDescent="0.35">
      <c r="A135" s="80">
        <v>3</v>
      </c>
      <c r="B135" s="81"/>
      <c r="C135" s="46" t="s">
        <v>205</v>
      </c>
      <c r="D135" s="46">
        <f>(37.33+3.3+0.75*2.6+0.75*2.4)*10.764</f>
        <v>477.70631999999995</v>
      </c>
      <c r="E135" s="46">
        <v>0</v>
      </c>
      <c r="F135" s="46">
        <f t="shared" si="3"/>
        <v>692.67416399999991</v>
      </c>
      <c r="G135" s="80" t="str">
        <f t="shared" si="4"/>
        <v>2nd to 7th Floor for Residential</v>
      </c>
      <c r="H135" s="81"/>
      <c r="I135" s="27"/>
    </row>
    <row r="136" spans="1:16" s="43" customFormat="1" x14ac:dyDescent="0.35">
      <c r="A136" s="80">
        <v>4</v>
      </c>
      <c r="B136" s="81"/>
      <c r="C136" s="46" t="s">
        <v>205</v>
      </c>
      <c r="D136" s="46">
        <f>(40.18+1.5+0.75*3.1+2.7*0.75)*10.764</f>
        <v>495.46691999999996</v>
      </c>
      <c r="E136" s="46">
        <v>0</v>
      </c>
      <c r="F136" s="46">
        <f t="shared" si="3"/>
        <v>718.42703399999994</v>
      </c>
      <c r="G136" s="80" t="str">
        <f t="shared" si="4"/>
        <v>2nd to 7th Floor for Residential</v>
      </c>
      <c r="H136" s="81"/>
      <c r="I136" s="27"/>
      <c r="J136" s="43">
        <f>3.1*3.45+1.65*1.2+1.25*0.9+2.7*2.6+2.7*1.8+1.2*0.9+1*1.8+1*1.8</f>
        <v>30.36</v>
      </c>
      <c r="L136" s="43">
        <f>3400*423</f>
        <v>1438200</v>
      </c>
    </row>
    <row r="137" spans="1:16" s="43" customFormat="1" x14ac:dyDescent="0.35">
      <c r="A137" s="80">
        <v>5</v>
      </c>
      <c r="B137" s="81"/>
      <c r="C137" s="46" t="s">
        <v>167</v>
      </c>
      <c r="D137" s="46">
        <f>(28.74+1.5)*10.764</f>
        <v>325.50335999999999</v>
      </c>
      <c r="E137" s="46">
        <v>0</v>
      </c>
      <c r="F137" s="46">
        <f t="shared" si="3"/>
        <v>471.97987199999994</v>
      </c>
      <c r="G137" s="80" t="str">
        <f t="shared" si="4"/>
        <v>2nd to 7th Floor for Residential</v>
      </c>
      <c r="H137" s="81"/>
      <c r="I137" s="27"/>
    </row>
    <row r="138" spans="1:16" s="43" customFormat="1" x14ac:dyDescent="0.35">
      <c r="A138" s="80">
        <v>6</v>
      </c>
      <c r="B138" s="81"/>
      <c r="C138" s="46" t="s">
        <v>167</v>
      </c>
      <c r="D138" s="46">
        <f>(28.74+1.5)*10.764</f>
        <v>325.50335999999999</v>
      </c>
      <c r="E138" s="46">
        <v>0</v>
      </c>
      <c r="F138" s="46">
        <f t="shared" si="3"/>
        <v>471.97987199999994</v>
      </c>
      <c r="G138" s="80" t="str">
        <f t="shared" si="4"/>
        <v>2nd to 7th Floor for Residential</v>
      </c>
      <c r="H138" s="81"/>
      <c r="I138" s="27"/>
    </row>
    <row r="139" spans="1:16" s="43" customFormat="1" x14ac:dyDescent="0.35">
      <c r="A139" s="80">
        <v>7</v>
      </c>
      <c r="B139" s="81"/>
      <c r="C139" s="46" t="s">
        <v>167</v>
      </c>
      <c r="D139" s="46">
        <f>(28.74+3.3+0.75*2.6)*10.764</f>
        <v>365.86836</v>
      </c>
      <c r="E139" s="46">
        <v>0</v>
      </c>
      <c r="F139" s="46">
        <f t="shared" si="3"/>
        <v>530.50912199999993</v>
      </c>
      <c r="G139" s="80" t="str">
        <f t="shared" si="4"/>
        <v>2nd to 7th Floor for Residential</v>
      </c>
      <c r="H139" s="81"/>
      <c r="I139" s="27"/>
    </row>
    <row r="140" spans="1:16" s="43" customFormat="1" x14ac:dyDescent="0.35">
      <c r="A140" s="80">
        <v>8</v>
      </c>
      <c r="B140" s="81"/>
      <c r="C140" s="46" t="s">
        <v>167</v>
      </c>
      <c r="D140" s="46">
        <f>(28.74+3.3+0.75*2.6)*10.764</f>
        <v>365.86836</v>
      </c>
      <c r="E140" s="46">
        <v>0</v>
      </c>
      <c r="F140" s="46">
        <f t="shared" si="3"/>
        <v>530.50912199999993</v>
      </c>
      <c r="G140" s="80" t="str">
        <f t="shared" si="4"/>
        <v>2nd to 7th Floor for Residential</v>
      </c>
      <c r="H140" s="81"/>
      <c r="I140" s="27"/>
      <c r="L140" s="43">
        <f>3400*423</f>
        <v>1438200</v>
      </c>
    </row>
    <row r="141" spans="1:16" s="43" customFormat="1" x14ac:dyDescent="0.35">
      <c r="A141" s="80">
        <v>9</v>
      </c>
      <c r="B141" s="81"/>
      <c r="C141" s="46" t="s">
        <v>167</v>
      </c>
      <c r="D141" s="46">
        <f>(28.74+3.3+0.75*2.6)*10.764</f>
        <v>365.86836</v>
      </c>
      <c r="E141" s="46">
        <v>0</v>
      </c>
      <c r="F141" s="46">
        <f t="shared" si="3"/>
        <v>530.50912199999993</v>
      </c>
      <c r="G141" s="80" t="str">
        <f t="shared" si="4"/>
        <v>2nd to 7th Floor for Residential</v>
      </c>
      <c r="H141" s="81"/>
      <c r="I141" s="27"/>
    </row>
    <row r="142" spans="1:16" s="43" customFormat="1" x14ac:dyDescent="0.35">
      <c r="A142" s="94" t="s">
        <v>212</v>
      </c>
      <c r="B142" s="95"/>
      <c r="C142" s="95"/>
      <c r="D142" s="95"/>
      <c r="E142" s="95"/>
      <c r="F142" s="95"/>
      <c r="G142" s="95"/>
      <c r="H142" s="96"/>
      <c r="I142" s="27"/>
      <c r="P142" s="28"/>
    </row>
    <row r="143" spans="1:16" s="43" customFormat="1" x14ac:dyDescent="0.35">
      <c r="A143" s="80">
        <v>1</v>
      </c>
      <c r="B143" s="81"/>
      <c r="C143" s="46" t="s">
        <v>167</v>
      </c>
      <c r="D143" s="46">
        <f>(28.74+3.3+0.75*2.6)*10.764</f>
        <v>365.86836</v>
      </c>
      <c r="E143" s="46">
        <v>0</v>
      </c>
      <c r="F143" s="46">
        <f t="shared" ref="F143:F148" si="5">D143*(($F$119)+1)+(IF(E143&lt;101,E143,IF(E143&lt;201,E143/2,IF(E143&lt;=301,E143/3,E143/4))))</f>
        <v>530.50912199999993</v>
      </c>
      <c r="G143" s="80" t="str">
        <f>A142</f>
        <v>8th Floor for Residential (Part Refuge Area)</v>
      </c>
      <c r="H143" s="81"/>
      <c r="I143" s="27">
        <f>1450000/F143</f>
        <v>2733.2235014801504</v>
      </c>
      <c r="K143" s="43">
        <f>1116000/F147</f>
        <v>2364.5076118839238</v>
      </c>
    </row>
    <row r="144" spans="1:16" s="43" customFormat="1" x14ac:dyDescent="0.35">
      <c r="A144" s="80">
        <v>2</v>
      </c>
      <c r="B144" s="81"/>
      <c r="C144" s="46" t="s">
        <v>167</v>
      </c>
      <c r="D144" s="46">
        <f>(28.74+3.3+0.75*2.6)*10.764</f>
        <v>365.86836</v>
      </c>
      <c r="E144" s="46">
        <v>0</v>
      </c>
      <c r="F144" s="46">
        <f t="shared" si="5"/>
        <v>530.50912199999993</v>
      </c>
      <c r="G144" s="80" t="str">
        <f t="shared" ref="G144:G151" si="6">G143</f>
        <v>8th Floor for Residential (Part Refuge Area)</v>
      </c>
      <c r="H144" s="81"/>
      <c r="I144" s="27"/>
      <c r="M144" s="43">
        <f>3400*F143</f>
        <v>1803731.0147999998</v>
      </c>
    </row>
    <row r="145" spans="1:16" s="43" customFormat="1" x14ac:dyDescent="0.35">
      <c r="A145" s="80">
        <v>3</v>
      </c>
      <c r="B145" s="81"/>
      <c r="C145" s="46" t="s">
        <v>205</v>
      </c>
      <c r="D145" s="46">
        <f>(37.33+3.3+0.75*2.6+0.75*2.4)*10.764</f>
        <v>477.70631999999995</v>
      </c>
      <c r="E145" s="46">
        <v>0</v>
      </c>
      <c r="F145" s="46">
        <f t="shared" si="5"/>
        <v>692.67416399999991</v>
      </c>
      <c r="G145" s="80" t="str">
        <f t="shared" si="6"/>
        <v>8th Floor for Residential (Part Refuge Area)</v>
      </c>
      <c r="H145" s="81"/>
      <c r="I145" s="27"/>
    </row>
    <row r="146" spans="1:16" s="43" customFormat="1" x14ac:dyDescent="0.35">
      <c r="A146" s="80">
        <v>4</v>
      </c>
      <c r="B146" s="81"/>
      <c r="C146" s="46" t="s">
        <v>205</v>
      </c>
      <c r="D146" s="46">
        <f>(40.18+1.5+0.75*3.1+2.7*0.75)*10.764</f>
        <v>495.46691999999996</v>
      </c>
      <c r="E146" s="46">
        <v>0</v>
      </c>
      <c r="F146" s="46">
        <f t="shared" si="5"/>
        <v>718.42703399999994</v>
      </c>
      <c r="G146" s="80" t="str">
        <f t="shared" si="6"/>
        <v>8th Floor for Residential (Part Refuge Area)</v>
      </c>
      <c r="H146" s="81"/>
      <c r="I146" s="27"/>
      <c r="J146" s="43">
        <f>3.1*3.45+1.65*1.2+1.25*0.9+2.7*2.6+2.7*1.8+1.2*0.9+1*1.8+1*1.8</f>
        <v>30.36</v>
      </c>
      <c r="L146" s="43">
        <f>3400*423</f>
        <v>1438200</v>
      </c>
    </row>
    <row r="147" spans="1:16" s="43" customFormat="1" x14ac:dyDescent="0.35">
      <c r="A147" s="80">
        <v>5</v>
      </c>
      <c r="B147" s="81"/>
      <c r="C147" s="46" t="s">
        <v>167</v>
      </c>
      <c r="D147" s="46">
        <f>(28.74+1.5)*10.764</f>
        <v>325.50335999999999</v>
      </c>
      <c r="E147" s="46">
        <v>0</v>
      </c>
      <c r="F147" s="46">
        <f t="shared" si="5"/>
        <v>471.97987199999994</v>
      </c>
      <c r="G147" s="80" t="str">
        <f t="shared" si="6"/>
        <v>8th Floor for Residential (Part Refuge Area)</v>
      </c>
      <c r="H147" s="81"/>
      <c r="I147" s="27"/>
    </row>
    <row r="148" spans="1:16" s="43" customFormat="1" x14ac:dyDescent="0.35">
      <c r="A148" s="80">
        <v>6</v>
      </c>
      <c r="B148" s="81"/>
      <c r="C148" s="46" t="s">
        <v>167</v>
      </c>
      <c r="D148" s="46">
        <f>(28.74+1.5)*10.764</f>
        <v>325.50335999999999</v>
      </c>
      <c r="E148" s="46">
        <v>0</v>
      </c>
      <c r="F148" s="46">
        <f t="shared" si="5"/>
        <v>471.97987199999994</v>
      </c>
      <c r="G148" s="80" t="str">
        <f t="shared" si="6"/>
        <v>8th Floor for Residential (Part Refuge Area)</v>
      </c>
      <c r="H148" s="81"/>
      <c r="I148" s="27"/>
    </row>
    <row r="149" spans="1:16" s="43" customFormat="1" x14ac:dyDescent="0.35">
      <c r="A149" s="80">
        <v>7</v>
      </c>
      <c r="B149" s="81"/>
      <c r="C149" s="80" t="s">
        <v>213</v>
      </c>
      <c r="D149" s="82"/>
      <c r="E149" s="82"/>
      <c r="F149" s="81"/>
      <c r="G149" s="80" t="str">
        <f t="shared" si="6"/>
        <v>8th Floor for Residential (Part Refuge Area)</v>
      </c>
      <c r="H149" s="81"/>
      <c r="I149" s="27"/>
    </row>
    <row r="150" spans="1:16" s="43" customFormat="1" x14ac:dyDescent="0.35">
      <c r="A150" s="80">
        <v>8</v>
      </c>
      <c r="B150" s="81"/>
      <c r="C150" s="46" t="s">
        <v>167</v>
      </c>
      <c r="D150" s="46">
        <f>(28.74+3.3+0.75*2.6)*10.764</f>
        <v>365.86836</v>
      </c>
      <c r="E150" s="46">
        <v>0</v>
      </c>
      <c r="F150" s="46">
        <f>D150*(($F$119)+1)+(IF(E150&lt;101,E150,IF(E150&lt;201,E150/2,IF(E150&lt;=301,E150/3,E150/4))))</f>
        <v>530.50912199999993</v>
      </c>
      <c r="G150" s="80" t="str">
        <f t="shared" si="6"/>
        <v>8th Floor for Residential (Part Refuge Area)</v>
      </c>
      <c r="H150" s="81"/>
      <c r="I150" s="27"/>
      <c r="L150" s="43">
        <f>3400*423</f>
        <v>1438200</v>
      </c>
    </row>
    <row r="151" spans="1:16" s="43" customFormat="1" x14ac:dyDescent="0.35">
      <c r="A151" s="80">
        <v>9</v>
      </c>
      <c r="B151" s="81"/>
      <c r="C151" s="46" t="s">
        <v>167</v>
      </c>
      <c r="D151" s="46">
        <f>(28.74+3.3+0.75*2.6)*10.764</f>
        <v>365.86836</v>
      </c>
      <c r="E151" s="46">
        <v>0</v>
      </c>
      <c r="F151" s="46">
        <f>D151*(($F$119)+1)+(IF(E151&lt;101,E151,IF(E151&lt;201,E151/2,IF(E151&lt;=301,E151/3,E151/4))))</f>
        <v>530.50912199999993</v>
      </c>
      <c r="G151" s="80" t="str">
        <f t="shared" si="6"/>
        <v>8th Floor for Residential (Part Refuge Area)</v>
      </c>
      <c r="H151" s="81"/>
      <c r="I151" s="27"/>
    </row>
    <row r="152" spans="1:16" x14ac:dyDescent="0.35">
      <c r="A152" s="93" t="s">
        <v>165</v>
      </c>
      <c r="B152" s="93"/>
      <c r="C152" s="93"/>
      <c r="D152" s="93"/>
      <c r="E152" s="93"/>
      <c r="F152" s="93"/>
      <c r="G152" s="93"/>
      <c r="H152" s="93"/>
    </row>
    <row r="153" spans="1:16" x14ac:dyDescent="0.35">
      <c r="A153" s="93" t="s">
        <v>164</v>
      </c>
      <c r="B153" s="93"/>
      <c r="C153" s="93"/>
      <c r="D153" s="93"/>
      <c r="E153" s="93"/>
      <c r="F153" s="93"/>
      <c r="G153" s="93"/>
      <c r="H153" s="93"/>
    </row>
    <row r="154" spans="1:16" s="2" customFormat="1" x14ac:dyDescent="0.35">
      <c r="A154" s="111" t="s">
        <v>166</v>
      </c>
      <c r="B154" s="111"/>
      <c r="C154" s="111"/>
      <c r="D154" s="111"/>
      <c r="E154" s="111"/>
      <c r="F154" s="111"/>
      <c r="G154" s="111"/>
      <c r="H154" s="111"/>
      <c r="I154" s="27"/>
      <c r="M154" s="34"/>
      <c r="N154" s="34"/>
      <c r="P154" s="28"/>
    </row>
    <row r="155" spans="1:16" s="2" customFormat="1" x14ac:dyDescent="0.35">
      <c r="A155" s="88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101 to 601</v>
      </c>
      <c r="B155" s="88"/>
      <c r="C155" s="46" t="s">
        <v>167</v>
      </c>
      <c r="D155" s="46">
        <f>(27.08)*10.764</f>
        <v>291.48911999999996</v>
      </c>
      <c r="E155" s="46">
        <v>0</v>
      </c>
      <c r="F155" s="46">
        <f>D155*(($F$119)+1)+(IF(E155&lt;101,E155,IF(E155&lt;201,E155/2,IF(E155&lt;=301,E155/3,E155/4))))</f>
        <v>422.65922399999994</v>
      </c>
      <c r="G155" s="88" t="str">
        <f>A154</f>
        <v>1st to 6th Floor for Residential</v>
      </c>
      <c r="H155" s="88"/>
      <c r="I155" s="27">
        <f>1450000/F155</f>
        <v>3430.6597789996422</v>
      </c>
      <c r="K155" s="2">
        <f>1116000/F159</f>
        <v>3310.3106566374936</v>
      </c>
      <c r="M155" s="34"/>
      <c r="N155" s="34"/>
      <c r="O155" s="43"/>
      <c r="P155" s="43"/>
    </row>
    <row r="156" spans="1:16" s="2" customFormat="1" x14ac:dyDescent="0.35">
      <c r="A156" s="88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102 to 602</v>
      </c>
      <c r="B156" s="88"/>
      <c r="C156" s="46" t="s">
        <v>167</v>
      </c>
      <c r="D156" s="46">
        <f>(27.08)*10.764</f>
        <v>291.48911999999996</v>
      </c>
      <c r="E156" s="46">
        <v>0</v>
      </c>
      <c r="F156" s="46">
        <f>D156*(($F$119)+1)+(IF(E156&lt;101,E156,IF(E156&lt;201,E156/2,IF(E156&lt;=301,E156/3,E156/4))))</f>
        <v>422.65922399999994</v>
      </c>
      <c r="G156" s="88" t="str">
        <f>G155</f>
        <v>1st to 6th Floor for Residential</v>
      </c>
      <c r="H156" s="88"/>
      <c r="I156" s="27">
        <f t="shared" ref="I156:I158" si="7">1450000/F156</f>
        <v>3430.6597789996422</v>
      </c>
      <c r="M156" s="34"/>
      <c r="N156" s="43"/>
    </row>
    <row r="157" spans="1:16" s="2" customFormat="1" x14ac:dyDescent="0.35">
      <c r="A157" s="88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103 to 603</v>
      </c>
      <c r="B157" s="88"/>
      <c r="C157" s="46" t="s">
        <v>167</v>
      </c>
      <c r="D157" s="46">
        <f t="shared" ref="D157:D158" si="8">(27.08)*10.764</f>
        <v>291.48911999999996</v>
      </c>
      <c r="E157" s="46">
        <v>0</v>
      </c>
      <c r="F157" s="46">
        <f>D157*(($F$119)+1)+(IF(E157&lt;101,E157,IF(E157&lt;201,E157/2,IF(E157&lt;=301,E157/3,E157/4))))</f>
        <v>422.65922399999994</v>
      </c>
      <c r="G157" s="88" t="str">
        <f>G156</f>
        <v>1st to 6th Floor for Residential</v>
      </c>
      <c r="H157" s="88"/>
      <c r="I157" s="27">
        <f t="shared" si="7"/>
        <v>3430.6597789996422</v>
      </c>
      <c r="M157" s="34"/>
      <c r="N157" s="43"/>
    </row>
    <row r="158" spans="1:16" s="2" customFormat="1" x14ac:dyDescent="0.35">
      <c r="A158" s="88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104 to 604</v>
      </c>
      <c r="B158" s="88"/>
      <c r="C158" s="46" t="s">
        <v>167</v>
      </c>
      <c r="D158" s="46">
        <f t="shared" si="8"/>
        <v>291.48911999999996</v>
      </c>
      <c r="E158" s="46">
        <v>0</v>
      </c>
      <c r="F158" s="46">
        <f>D158*(($F$119)+1)+(IF(E158&lt;101,E158,IF(E158&lt;201,E158/2,IF(E158&lt;=301,E158/3,E158/4))))</f>
        <v>422.65922399999994</v>
      </c>
      <c r="G158" s="88" t="str">
        <f>G157</f>
        <v>1st to 6th Floor for Residential</v>
      </c>
      <c r="H158" s="88"/>
      <c r="I158" s="27">
        <f t="shared" si="7"/>
        <v>3430.6597789996422</v>
      </c>
      <c r="J158" s="2">
        <f>360/D159</f>
        <v>1.548371113588505</v>
      </c>
      <c r="L158" s="2">
        <f>3400*423</f>
        <v>1438200</v>
      </c>
      <c r="M158" s="34"/>
      <c r="N158" s="43"/>
    </row>
    <row r="159" spans="1:16" s="2" customFormat="1" x14ac:dyDescent="0.35">
      <c r="A159" s="88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to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105 to 605</v>
      </c>
      <c r="B159" s="88"/>
      <c r="C159" s="46" t="s">
        <v>168</v>
      </c>
      <c r="D159" s="46">
        <f>(21.6)*10.764</f>
        <v>232.50239999999999</v>
      </c>
      <c r="E159" s="46">
        <v>0</v>
      </c>
      <c r="F159" s="46">
        <f>D159*(($F$119)+1)+(IF(E159&lt;101,E159,IF(E159&lt;201,E159/2,IF(E159&lt;=301,E159/3,E159/4))))</f>
        <v>337.12847999999997</v>
      </c>
      <c r="G159" s="88" t="str">
        <f>G158</f>
        <v>1st to 6th Floor for Residential</v>
      </c>
      <c r="H159" s="88"/>
      <c r="I159" s="27">
        <f>1250000/F159</f>
        <v>3707.7852336889487</v>
      </c>
      <c r="J159" s="2">
        <f>455/D158</f>
        <v>1.5609501994448371</v>
      </c>
      <c r="M159" s="34"/>
      <c r="N159" s="43"/>
    </row>
    <row r="160" spans="1:16" s="1" customFormat="1" x14ac:dyDescent="0.35">
      <c r="A160" s="121" t="s">
        <v>72</v>
      </c>
      <c r="B160" s="121"/>
      <c r="C160" s="121"/>
      <c r="D160" s="121"/>
      <c r="E160" s="121"/>
      <c r="F160" s="121"/>
      <c r="G160" s="121"/>
      <c r="H160" s="121"/>
    </row>
    <row r="161" spans="1:8" s="1" customFormat="1" ht="34.5" customHeight="1" x14ac:dyDescent="0.35">
      <c r="A161" s="47" t="s">
        <v>159</v>
      </c>
      <c r="B161" s="77" t="s">
        <v>224</v>
      </c>
      <c r="C161" s="78"/>
      <c r="D161" s="78"/>
      <c r="E161" s="78"/>
      <c r="F161" s="78"/>
      <c r="G161" s="78"/>
      <c r="H161" s="79"/>
    </row>
    <row r="162" spans="1:8" s="1" customFormat="1" x14ac:dyDescent="0.35">
      <c r="A162" s="47" t="s">
        <v>159</v>
      </c>
      <c r="B162" s="77" t="str">
        <f>(IF(F118="Saleable area Loading :","We have considered Saleable area of Flats as per our Calculation.","We considered Saleable area of Flat as per Builder area Sheet."))</f>
        <v>We have considered Saleable area of Flats as per our Calculation.</v>
      </c>
      <c r="C162" s="78"/>
      <c r="D162" s="78"/>
      <c r="E162" s="78"/>
      <c r="F162" s="78"/>
      <c r="G162" s="78"/>
      <c r="H162" s="79"/>
    </row>
    <row r="163" spans="1:8" s="1" customFormat="1" x14ac:dyDescent="0.35">
      <c r="A163" s="47" t="s">
        <v>159</v>
      </c>
      <c r="B163" s="77" t="s">
        <v>129</v>
      </c>
      <c r="C163" s="78"/>
      <c r="D163" s="78"/>
      <c r="E163" s="78"/>
      <c r="F163" s="78"/>
      <c r="G163" s="78"/>
      <c r="H163" s="79"/>
    </row>
    <row r="164" spans="1:8" s="1" customFormat="1" x14ac:dyDescent="0.35">
      <c r="A164" s="52" t="s">
        <v>159</v>
      </c>
      <c r="B164" s="108" t="s">
        <v>188</v>
      </c>
      <c r="C164" s="109"/>
      <c r="D164" s="109"/>
      <c r="E164" s="109"/>
      <c r="F164" s="109"/>
      <c r="G164" s="109"/>
      <c r="H164" s="110"/>
    </row>
    <row r="165" spans="1:8" s="1" customFormat="1" x14ac:dyDescent="0.35">
      <c r="A165" s="52" t="s">
        <v>159</v>
      </c>
      <c r="B165" s="108" t="s">
        <v>158</v>
      </c>
      <c r="C165" s="109"/>
      <c r="D165" s="109"/>
      <c r="E165" s="109"/>
      <c r="F165" s="109"/>
      <c r="G165" s="109"/>
      <c r="H165" s="110"/>
    </row>
    <row r="166" spans="1:8" s="1" customFormat="1" x14ac:dyDescent="0.35">
      <c r="A166" s="52" t="s">
        <v>159</v>
      </c>
      <c r="B166" s="108" t="s">
        <v>130</v>
      </c>
      <c r="C166" s="109"/>
      <c r="D166" s="109"/>
      <c r="E166" s="109"/>
      <c r="F166" s="109"/>
      <c r="G166" s="109"/>
      <c r="H166" s="110"/>
    </row>
    <row r="167" spans="1:8" s="1" customFormat="1" ht="34.5" customHeight="1" x14ac:dyDescent="0.35">
      <c r="A167" s="52" t="s">
        <v>159</v>
      </c>
      <c r="B167" s="108" t="s">
        <v>163</v>
      </c>
      <c r="C167" s="109"/>
      <c r="D167" s="109"/>
      <c r="E167" s="109"/>
      <c r="F167" s="109"/>
      <c r="G167" s="109"/>
      <c r="H167" s="110"/>
    </row>
    <row r="168" spans="1:8" s="1" customFormat="1" x14ac:dyDescent="0.35">
      <c r="A168" s="52" t="s">
        <v>159</v>
      </c>
      <c r="B168" s="108" t="s">
        <v>131</v>
      </c>
      <c r="C168" s="109"/>
      <c r="D168" s="109"/>
      <c r="E168" s="109"/>
      <c r="F168" s="109"/>
      <c r="G168" s="109"/>
      <c r="H168" s="110"/>
    </row>
    <row r="169" spans="1:8" s="1" customFormat="1" hidden="1" x14ac:dyDescent="0.35">
      <c r="A169" s="47" t="s">
        <v>159</v>
      </c>
      <c r="B169" s="77" t="s">
        <v>189</v>
      </c>
      <c r="C169" s="78"/>
      <c r="D169" s="78"/>
      <c r="E169" s="78"/>
      <c r="F169" s="78"/>
      <c r="G169" s="78"/>
      <c r="H169" s="79"/>
    </row>
    <row r="170" spans="1:8" s="1" customFormat="1" x14ac:dyDescent="0.35">
      <c r="A170" s="47" t="s">
        <v>159</v>
      </c>
      <c r="B170" s="77" t="s">
        <v>218</v>
      </c>
      <c r="C170" s="78"/>
      <c r="D170" s="78"/>
      <c r="E170" s="78"/>
      <c r="F170" s="78"/>
      <c r="G170" s="78"/>
      <c r="H170" s="79"/>
    </row>
    <row r="171" spans="1:8" x14ac:dyDescent="0.35">
      <c r="A171" s="92" t="s">
        <v>65</v>
      </c>
      <c r="B171" s="92"/>
      <c r="C171" s="92"/>
      <c r="D171" s="92"/>
      <c r="E171" s="92"/>
      <c r="F171" s="92"/>
      <c r="G171" s="92"/>
      <c r="H171" s="92"/>
    </row>
    <row r="172" spans="1:8" x14ac:dyDescent="0.35">
      <c r="A172" s="74" t="s">
        <v>66</v>
      </c>
      <c r="B172" s="74"/>
      <c r="C172" s="74"/>
      <c r="D172" s="74"/>
      <c r="E172" s="74"/>
      <c r="F172" s="74"/>
      <c r="G172" s="74"/>
      <c r="H172" s="74"/>
    </row>
    <row r="173" spans="1:8" ht="15.75" customHeight="1" x14ac:dyDescent="0.35">
      <c r="A173" s="87" t="s">
        <v>67</v>
      </c>
      <c r="B173" s="87"/>
      <c r="C173" s="87"/>
      <c r="D173" s="87"/>
      <c r="E173" s="87"/>
      <c r="F173" s="87"/>
      <c r="G173" s="87"/>
      <c r="H173" s="87"/>
    </row>
    <row r="174" spans="1:8" x14ac:dyDescent="0.35">
      <c r="A174" s="74" t="s">
        <v>68</v>
      </c>
      <c r="B174" s="74"/>
      <c r="C174" s="74"/>
      <c r="D174" s="74"/>
      <c r="E174" s="74"/>
      <c r="F174" s="74"/>
      <c r="G174" s="74"/>
      <c r="H174" s="74"/>
    </row>
    <row r="175" spans="1:8" x14ac:dyDescent="0.35">
      <c r="A175" s="74" t="s">
        <v>69</v>
      </c>
      <c r="B175" s="74"/>
      <c r="C175" s="74"/>
      <c r="D175" s="74"/>
      <c r="E175" s="74"/>
      <c r="F175" s="74"/>
      <c r="G175" s="74"/>
      <c r="H175" s="74"/>
    </row>
    <row r="176" spans="1:8" x14ac:dyDescent="0.35">
      <c r="A176" s="74" t="s">
        <v>132</v>
      </c>
      <c r="B176" s="74"/>
      <c r="C176" s="74"/>
      <c r="D176" s="74"/>
      <c r="E176" s="74"/>
      <c r="F176" s="74"/>
      <c r="G176" s="74"/>
      <c r="H176" s="74"/>
    </row>
    <row r="177" spans="1:8" ht="35.25" customHeight="1" x14ac:dyDescent="0.35">
      <c r="A177" s="120" t="s">
        <v>133</v>
      </c>
      <c r="B177" s="120"/>
      <c r="C177" s="120"/>
      <c r="D177" s="120"/>
      <c r="E177" s="120"/>
      <c r="F177" s="120"/>
      <c r="G177" s="120"/>
      <c r="H177" s="120"/>
    </row>
    <row r="178" spans="1:8" x14ac:dyDescent="0.35">
      <c r="A178" s="119" t="s">
        <v>81</v>
      </c>
      <c r="B178" s="119"/>
      <c r="C178" s="119" t="s">
        <v>223</v>
      </c>
      <c r="D178" s="119"/>
      <c r="E178" s="119" t="s">
        <v>112</v>
      </c>
      <c r="F178" s="119"/>
      <c r="G178" s="119" t="s">
        <v>225</v>
      </c>
      <c r="H178" s="119"/>
    </row>
    <row r="179" spans="1:8" x14ac:dyDescent="0.35">
      <c r="A179" s="118" t="s">
        <v>82</v>
      </c>
      <c r="B179" s="118"/>
      <c r="C179" s="118"/>
      <c r="D179" s="118"/>
      <c r="E179" s="118"/>
      <c r="F179" s="118"/>
      <c r="G179" s="118"/>
      <c r="H179" s="118"/>
    </row>
    <row r="180" spans="1:8" x14ac:dyDescent="0.35">
      <c r="A180" s="118"/>
      <c r="B180" s="118"/>
      <c r="C180" s="118"/>
      <c r="D180" s="118"/>
      <c r="E180" s="118"/>
      <c r="F180" s="118"/>
      <c r="G180" s="118"/>
      <c r="H180" s="118"/>
    </row>
    <row r="181" spans="1:8" x14ac:dyDescent="0.35">
      <c r="A181" s="118"/>
      <c r="B181" s="118"/>
      <c r="C181" s="118"/>
      <c r="D181" s="118"/>
      <c r="E181" s="118"/>
      <c r="F181" s="118"/>
      <c r="G181" s="118"/>
      <c r="H181" s="118"/>
    </row>
    <row r="182" spans="1:8" x14ac:dyDescent="0.35">
      <c r="A182" s="118"/>
      <c r="B182" s="118"/>
      <c r="C182" s="118"/>
      <c r="D182" s="118"/>
      <c r="E182" s="118"/>
      <c r="F182" s="118"/>
      <c r="G182" s="118"/>
      <c r="H182" s="118"/>
    </row>
    <row r="183" spans="1:8" x14ac:dyDescent="0.35">
      <c r="A183" s="59" t="s">
        <v>70</v>
      </c>
      <c r="B183" s="60"/>
      <c r="C183" s="60"/>
      <c r="D183" s="59" t="str">
        <f>E8</f>
        <v>Bhawani Shankar Heights</v>
      </c>
      <c r="E183" s="61"/>
      <c r="F183" s="60"/>
      <c r="G183" s="60"/>
      <c r="H183" s="60"/>
    </row>
    <row r="184" spans="1:8" x14ac:dyDescent="0.35">
      <c r="A184" s="60"/>
      <c r="B184" s="60"/>
      <c r="C184" s="60"/>
      <c r="D184" s="60"/>
      <c r="E184" s="60"/>
      <c r="F184" s="60"/>
      <c r="G184" s="60"/>
      <c r="H184" s="60"/>
    </row>
    <row r="185" spans="1:8" x14ac:dyDescent="0.35">
      <c r="A185" s="60"/>
      <c r="B185" s="62"/>
      <c r="C185" s="60"/>
      <c r="D185" s="60"/>
      <c r="E185" s="60"/>
      <c r="F185" s="60"/>
      <c r="G185" s="60"/>
      <c r="H185" s="60"/>
    </row>
    <row r="186" spans="1:8" ht="15" customHeight="1" x14ac:dyDescent="0.35">
      <c r="A186" s="61"/>
      <c r="B186" s="61"/>
      <c r="C186" s="61"/>
      <c r="D186" s="61"/>
      <c r="E186" s="61"/>
      <c r="F186" s="61"/>
      <c r="G186" s="61"/>
      <c r="H186" s="61"/>
    </row>
    <row r="187" spans="1:8" x14ac:dyDescent="0.35">
      <c r="A187" s="61"/>
      <c r="B187" s="61"/>
      <c r="C187" s="61"/>
      <c r="D187" s="61"/>
      <c r="E187" s="61"/>
      <c r="F187" s="61"/>
      <c r="G187" s="61"/>
      <c r="H187" s="61"/>
    </row>
    <row r="188" spans="1:8" x14ac:dyDescent="0.35">
      <c r="A188" s="61"/>
      <c r="B188" s="61"/>
      <c r="C188" s="61"/>
      <c r="D188" s="61"/>
      <c r="E188" s="61"/>
      <c r="F188" s="61"/>
      <c r="G188" s="61"/>
      <c r="H188" s="61"/>
    </row>
    <row r="189" spans="1:8" x14ac:dyDescent="0.35">
      <c r="A189" s="61"/>
      <c r="B189" s="61"/>
      <c r="C189" s="61"/>
      <c r="D189" s="61"/>
      <c r="E189" s="61"/>
      <c r="F189" s="61"/>
      <c r="G189" s="61"/>
      <c r="H189" s="61"/>
    </row>
    <row r="190" spans="1:8" x14ac:dyDescent="0.35">
      <c r="A190" s="61"/>
      <c r="B190" s="61"/>
      <c r="C190" s="61"/>
      <c r="D190" s="61"/>
      <c r="E190" s="61"/>
      <c r="F190" s="61"/>
      <c r="G190" s="61"/>
      <c r="H190" s="61"/>
    </row>
    <row r="191" spans="1:8" x14ac:dyDescent="0.35">
      <c r="A191" s="61"/>
      <c r="B191" s="61"/>
      <c r="C191" s="61"/>
      <c r="D191" s="61"/>
      <c r="E191" s="61"/>
      <c r="F191" s="61"/>
      <c r="G191" s="61"/>
      <c r="H191" s="61"/>
    </row>
    <row r="192" spans="1:8" x14ac:dyDescent="0.35">
      <c r="A192" s="61"/>
      <c r="B192" s="61"/>
      <c r="C192" s="61"/>
      <c r="D192" s="61"/>
      <c r="E192" s="61"/>
      <c r="F192" s="61"/>
      <c r="G192" s="61"/>
      <c r="H192" s="61"/>
    </row>
    <row r="193" spans="1:8" x14ac:dyDescent="0.35">
      <c r="A193" s="61"/>
      <c r="B193" s="61"/>
      <c r="C193" s="61"/>
      <c r="D193" s="61"/>
      <c r="E193" s="61"/>
      <c r="F193" s="61"/>
      <c r="G193" s="61"/>
      <c r="H193" s="61"/>
    </row>
    <row r="194" spans="1:8" x14ac:dyDescent="0.35">
      <c r="A194" s="61"/>
      <c r="B194" s="61"/>
      <c r="C194" s="61"/>
      <c r="D194" s="61"/>
      <c r="E194" s="61"/>
      <c r="F194" s="61"/>
      <c r="G194" s="61"/>
      <c r="H194" s="61"/>
    </row>
    <row r="195" spans="1:8" x14ac:dyDescent="0.35">
      <c r="A195" s="61"/>
      <c r="B195" s="61"/>
      <c r="C195" s="61"/>
      <c r="D195" s="61"/>
      <c r="E195" s="61"/>
      <c r="F195" s="61"/>
      <c r="G195" s="61"/>
      <c r="H195" s="61"/>
    </row>
    <row r="196" spans="1:8" x14ac:dyDescent="0.35">
      <c r="A196" s="61"/>
      <c r="B196" s="61"/>
      <c r="C196" s="61"/>
      <c r="D196" s="61"/>
      <c r="E196" s="61"/>
      <c r="F196" s="61"/>
      <c r="G196" s="61"/>
      <c r="H196" s="61"/>
    </row>
    <row r="197" spans="1:8" x14ac:dyDescent="0.35">
      <c r="A197" s="61"/>
      <c r="B197" s="61"/>
      <c r="C197" s="61"/>
      <c r="D197" s="61"/>
      <c r="E197" s="61"/>
      <c r="F197" s="61"/>
      <c r="G197" s="61"/>
      <c r="H197" s="61"/>
    </row>
    <row r="198" spans="1:8" x14ac:dyDescent="0.35">
      <c r="A198" s="61"/>
      <c r="B198" s="61"/>
      <c r="C198" s="61"/>
      <c r="D198" s="61"/>
      <c r="E198" s="61"/>
      <c r="F198" s="61"/>
      <c r="G198" s="61"/>
      <c r="H198" s="61"/>
    </row>
    <row r="199" spans="1:8" x14ac:dyDescent="0.35">
      <c r="A199" s="61"/>
      <c r="B199" s="61"/>
      <c r="C199" s="61"/>
      <c r="D199" s="61"/>
      <c r="E199" s="61"/>
      <c r="F199" s="61"/>
      <c r="G199" s="61"/>
      <c r="H199" s="61"/>
    </row>
    <row r="200" spans="1:8" x14ac:dyDescent="0.35">
      <c r="A200" s="61"/>
      <c r="B200" s="61"/>
      <c r="C200" s="61"/>
      <c r="D200" s="61"/>
      <c r="E200" s="61"/>
      <c r="F200" s="61"/>
      <c r="G200" s="61"/>
      <c r="H200" s="61"/>
    </row>
    <row r="201" spans="1:8" x14ac:dyDescent="0.35">
      <c r="A201" s="61"/>
      <c r="B201" s="61"/>
      <c r="C201" s="61"/>
      <c r="D201" s="61"/>
      <c r="E201" s="61"/>
      <c r="F201" s="61"/>
      <c r="G201" s="61"/>
      <c r="H201" s="61"/>
    </row>
    <row r="202" spans="1:8" x14ac:dyDescent="0.35">
      <c r="A202" s="61"/>
      <c r="B202" s="61"/>
      <c r="C202" s="61"/>
      <c r="D202" s="61"/>
      <c r="E202" s="61"/>
      <c r="F202" s="61"/>
      <c r="G202" s="61"/>
      <c r="H202" s="61"/>
    </row>
    <row r="203" spans="1:8" x14ac:dyDescent="0.35">
      <c r="A203" s="61"/>
      <c r="B203" s="61"/>
      <c r="C203" s="61"/>
      <c r="D203" s="61"/>
      <c r="E203" s="61"/>
      <c r="F203" s="61"/>
      <c r="G203" s="61"/>
      <c r="H203" s="61"/>
    </row>
    <row r="204" spans="1:8" x14ac:dyDescent="0.35">
      <c r="A204" s="61"/>
      <c r="B204" s="61"/>
      <c r="C204" s="61"/>
      <c r="D204" s="61"/>
      <c r="E204" s="61"/>
      <c r="F204" s="61"/>
      <c r="G204" s="61"/>
      <c r="H204" s="61"/>
    </row>
    <row r="205" spans="1:8" x14ac:dyDescent="0.35">
      <c r="A205" s="61"/>
      <c r="B205" s="61"/>
      <c r="C205" s="61"/>
      <c r="D205" s="61"/>
      <c r="E205" s="61"/>
      <c r="F205" s="61"/>
      <c r="G205" s="61"/>
      <c r="H205" s="61"/>
    </row>
    <row r="206" spans="1:8" x14ac:dyDescent="0.35">
      <c r="A206" s="61"/>
      <c r="B206" s="61"/>
      <c r="C206" s="61"/>
      <c r="D206" s="61"/>
      <c r="E206" s="61"/>
      <c r="F206" s="61"/>
      <c r="G206" s="61"/>
      <c r="H206" s="61"/>
    </row>
    <row r="207" spans="1:8" x14ac:dyDescent="0.35">
      <c r="A207" s="61"/>
      <c r="B207" s="61"/>
      <c r="C207" s="61"/>
      <c r="D207" s="61"/>
      <c r="E207" s="61"/>
      <c r="F207" s="61"/>
      <c r="G207" s="61"/>
      <c r="H207" s="61"/>
    </row>
    <row r="208" spans="1:8" x14ac:dyDescent="0.35">
      <c r="A208" s="61"/>
      <c r="B208" s="61"/>
      <c r="C208" s="61"/>
      <c r="D208" s="61"/>
      <c r="E208" s="61"/>
      <c r="F208" s="61"/>
      <c r="G208" s="61"/>
      <c r="H208" s="61"/>
    </row>
    <row r="209" spans="1:8" x14ac:dyDescent="0.35">
      <c r="A209" s="61"/>
      <c r="B209" s="61"/>
      <c r="C209" s="61"/>
      <c r="D209" s="61"/>
      <c r="E209" s="61"/>
      <c r="F209" s="61"/>
      <c r="G209" s="61"/>
      <c r="H209" s="61"/>
    </row>
    <row r="210" spans="1:8" x14ac:dyDescent="0.35">
      <c r="A210" s="61"/>
      <c r="B210" s="61"/>
      <c r="C210" s="61"/>
      <c r="D210" s="61"/>
      <c r="E210" s="61"/>
      <c r="F210" s="61"/>
      <c r="G210" s="61"/>
      <c r="H210" s="61"/>
    </row>
    <row r="211" spans="1:8" x14ac:dyDescent="0.35">
      <c r="A211" s="61"/>
      <c r="B211" s="61"/>
      <c r="C211" s="61"/>
      <c r="D211" s="61"/>
      <c r="E211" s="61"/>
      <c r="F211" s="61"/>
      <c r="G211" s="61"/>
      <c r="H211" s="61"/>
    </row>
    <row r="212" spans="1:8" x14ac:dyDescent="0.35">
      <c r="A212" s="61"/>
      <c r="B212" s="61"/>
      <c r="C212" s="61"/>
      <c r="D212" s="61"/>
      <c r="E212" s="61"/>
      <c r="F212" s="61"/>
      <c r="G212" s="61"/>
      <c r="H212" s="61"/>
    </row>
    <row r="213" spans="1:8" x14ac:dyDescent="0.35">
      <c r="A213" s="61"/>
      <c r="B213" s="61"/>
      <c r="C213" s="61"/>
      <c r="D213" s="61"/>
      <c r="E213" s="61"/>
      <c r="F213" s="61"/>
      <c r="G213" s="61"/>
      <c r="H213" s="61"/>
    </row>
    <row r="214" spans="1:8" x14ac:dyDescent="0.35">
      <c r="A214" s="61"/>
      <c r="B214" s="61"/>
      <c r="C214" s="61"/>
      <c r="D214" s="61"/>
      <c r="E214" s="61"/>
      <c r="F214" s="61"/>
      <c r="G214" s="61"/>
      <c r="H214" s="61"/>
    </row>
    <row r="215" spans="1:8" x14ac:dyDescent="0.35">
      <c r="A215" s="61"/>
      <c r="B215" s="61"/>
      <c r="C215" s="61"/>
      <c r="D215" s="61"/>
      <c r="E215" s="61"/>
      <c r="F215" s="61"/>
      <c r="G215" s="61"/>
      <c r="H215" s="61"/>
    </row>
    <row r="216" spans="1:8" x14ac:dyDescent="0.35">
      <c r="A216" s="61"/>
      <c r="B216" s="61"/>
      <c r="C216" s="61"/>
      <c r="D216" s="61"/>
      <c r="E216" s="61"/>
      <c r="F216" s="61"/>
      <c r="G216" s="61"/>
      <c r="H216" s="61"/>
    </row>
    <row r="217" spans="1:8" x14ac:dyDescent="0.35">
      <c r="A217" s="61"/>
      <c r="B217" s="61"/>
      <c r="C217" s="61"/>
      <c r="D217" s="61"/>
      <c r="E217" s="61"/>
      <c r="F217" s="61"/>
      <c r="G217" s="61"/>
      <c r="H217" s="61"/>
    </row>
    <row r="218" spans="1:8" x14ac:dyDescent="0.35">
      <c r="A218" s="61"/>
      <c r="B218" s="61"/>
      <c r="C218" s="61"/>
      <c r="D218" s="61"/>
      <c r="E218" s="61"/>
      <c r="F218" s="61"/>
      <c r="G218" s="61"/>
      <c r="H218" s="61"/>
    </row>
    <row r="219" spans="1:8" x14ac:dyDescent="0.35">
      <c r="A219" s="61"/>
      <c r="B219" s="61"/>
      <c r="C219" s="61"/>
      <c r="D219" s="61"/>
      <c r="E219" s="61"/>
      <c r="F219" s="61"/>
      <c r="G219" s="61"/>
      <c r="H219" s="61"/>
    </row>
    <row r="220" spans="1:8" x14ac:dyDescent="0.35">
      <c r="A220" s="61"/>
      <c r="B220" s="61"/>
      <c r="C220" s="61"/>
      <c r="D220" s="61"/>
      <c r="E220" s="61"/>
      <c r="F220" s="61"/>
      <c r="G220" s="61"/>
      <c r="H220" s="61"/>
    </row>
    <row r="221" spans="1:8" x14ac:dyDescent="0.35">
      <c r="A221" s="61"/>
      <c r="B221" s="61"/>
      <c r="C221" s="61"/>
      <c r="D221" s="61"/>
      <c r="E221" s="61"/>
      <c r="F221" s="61"/>
      <c r="G221" s="61"/>
      <c r="H221" s="61"/>
    </row>
    <row r="222" spans="1:8" x14ac:dyDescent="0.35">
      <c r="A222" s="61"/>
      <c r="B222" s="61"/>
      <c r="C222" s="61"/>
      <c r="D222" s="61"/>
      <c r="E222" s="61"/>
      <c r="F222" s="61"/>
      <c r="G222" s="61"/>
      <c r="H222" s="61"/>
    </row>
    <row r="223" spans="1:8" x14ac:dyDescent="0.35">
      <c r="A223" s="61"/>
      <c r="B223" s="61"/>
      <c r="C223" s="61"/>
      <c r="D223" s="61"/>
      <c r="E223" s="61"/>
      <c r="F223" s="61"/>
      <c r="G223" s="61"/>
      <c r="H223" s="61"/>
    </row>
    <row r="224" spans="1:8" x14ac:dyDescent="0.35">
      <c r="A224" s="61"/>
      <c r="B224" s="61"/>
      <c r="C224" s="61"/>
      <c r="D224" s="61"/>
      <c r="E224" s="61"/>
      <c r="F224" s="61"/>
      <c r="G224" s="61"/>
      <c r="H224" s="61"/>
    </row>
    <row r="225" spans="1:8" x14ac:dyDescent="0.35">
      <c r="A225" s="61"/>
      <c r="B225" s="61"/>
      <c r="C225" s="61"/>
      <c r="D225" s="61"/>
      <c r="E225" s="61"/>
      <c r="F225" s="61"/>
      <c r="G225" s="61"/>
      <c r="H225" s="61"/>
    </row>
    <row r="226" spans="1:8" x14ac:dyDescent="0.35">
      <c r="A226" s="59" t="s">
        <v>217</v>
      </c>
      <c r="B226" s="60"/>
      <c r="C226" s="60"/>
      <c r="D226" s="59"/>
      <c r="E226" s="61"/>
      <c r="F226" s="60"/>
      <c r="G226" s="60"/>
      <c r="H226" s="60"/>
    </row>
    <row r="227" spans="1:8" x14ac:dyDescent="0.35">
      <c r="A227" s="60"/>
      <c r="B227" s="60"/>
      <c r="C227" s="60"/>
      <c r="D227" s="60"/>
      <c r="E227" s="60"/>
      <c r="F227" s="60"/>
      <c r="G227" s="60"/>
      <c r="H227" s="60"/>
    </row>
    <row r="228" spans="1:8" x14ac:dyDescent="0.35">
      <c r="A228" s="60"/>
      <c r="B228" s="62"/>
      <c r="C228" s="60"/>
      <c r="D228" s="60"/>
      <c r="E228" s="60"/>
      <c r="F228" s="60"/>
      <c r="G228" s="60"/>
      <c r="H228" s="60"/>
    </row>
    <row r="229" spans="1:8" ht="15" customHeight="1" x14ac:dyDescent="0.35">
      <c r="A229" s="61"/>
      <c r="B229" s="61"/>
      <c r="C229" s="61"/>
      <c r="D229" s="61"/>
      <c r="E229" s="61"/>
      <c r="F229" s="61"/>
      <c r="G229" s="61"/>
      <c r="H229" s="61"/>
    </row>
    <row r="230" spans="1:8" x14ac:dyDescent="0.35">
      <c r="A230" s="61"/>
      <c r="B230" s="61"/>
      <c r="C230" s="61"/>
      <c r="D230" s="61"/>
      <c r="E230" s="61"/>
      <c r="F230" s="61"/>
      <c r="G230" s="61"/>
      <c r="H230" s="61"/>
    </row>
    <row r="231" spans="1:8" x14ac:dyDescent="0.35">
      <c r="A231" s="61"/>
      <c r="B231" s="61"/>
      <c r="C231" s="61"/>
      <c r="D231" s="61"/>
      <c r="E231" s="61"/>
      <c r="F231" s="61"/>
      <c r="G231" s="61"/>
      <c r="H231" s="61"/>
    </row>
    <row r="232" spans="1:8" x14ac:dyDescent="0.35">
      <c r="A232" s="61"/>
      <c r="B232" s="61"/>
      <c r="C232" s="61"/>
      <c r="D232" s="61"/>
      <c r="E232" s="61"/>
      <c r="F232" s="61"/>
      <c r="G232" s="61"/>
      <c r="H232" s="61"/>
    </row>
    <row r="233" spans="1:8" x14ac:dyDescent="0.35">
      <c r="A233" s="61"/>
      <c r="B233" s="61"/>
      <c r="C233" s="61"/>
      <c r="D233" s="61"/>
      <c r="E233" s="61"/>
      <c r="F233" s="61"/>
      <c r="G233" s="61"/>
      <c r="H233" s="61"/>
    </row>
    <row r="234" spans="1:8" x14ac:dyDescent="0.35">
      <c r="A234" s="61"/>
      <c r="B234" s="61"/>
      <c r="C234" s="61"/>
      <c r="D234" s="61"/>
      <c r="E234" s="61"/>
      <c r="F234" s="61"/>
      <c r="G234" s="61"/>
      <c r="H234" s="61"/>
    </row>
    <row r="235" spans="1:8" x14ac:dyDescent="0.35">
      <c r="A235" s="61"/>
      <c r="B235" s="61"/>
      <c r="C235" s="61"/>
      <c r="D235" s="61"/>
      <c r="E235" s="61"/>
      <c r="F235" s="61"/>
      <c r="G235" s="61"/>
      <c r="H235" s="61"/>
    </row>
    <row r="236" spans="1:8" x14ac:dyDescent="0.35">
      <c r="A236" s="61"/>
      <c r="B236" s="61"/>
      <c r="C236" s="61"/>
      <c r="D236" s="61"/>
      <c r="E236" s="61"/>
      <c r="F236" s="61"/>
      <c r="G236" s="61"/>
      <c r="H236" s="61"/>
    </row>
    <row r="237" spans="1:8" x14ac:dyDescent="0.35">
      <c r="A237" s="61"/>
      <c r="B237" s="61"/>
      <c r="C237" s="61"/>
      <c r="D237" s="61"/>
      <c r="E237" s="61"/>
      <c r="F237" s="61"/>
      <c r="G237" s="61"/>
      <c r="H237" s="61"/>
    </row>
    <row r="238" spans="1:8" x14ac:dyDescent="0.35">
      <c r="A238" s="61"/>
      <c r="B238" s="61"/>
      <c r="C238" s="61"/>
      <c r="D238" s="61"/>
      <c r="E238" s="61"/>
      <c r="F238" s="61"/>
      <c r="G238" s="61"/>
      <c r="H238" s="61"/>
    </row>
    <row r="239" spans="1:8" x14ac:dyDescent="0.35">
      <c r="A239" s="61"/>
      <c r="B239" s="61"/>
      <c r="C239" s="61"/>
      <c r="D239" s="61"/>
      <c r="E239" s="61"/>
      <c r="F239" s="61"/>
      <c r="G239" s="61"/>
      <c r="H239" s="61"/>
    </row>
    <row r="240" spans="1:8" x14ac:dyDescent="0.35">
      <c r="A240" s="61"/>
      <c r="B240" s="61"/>
      <c r="C240" s="61"/>
      <c r="D240" s="61"/>
      <c r="E240" s="61"/>
      <c r="F240" s="61"/>
      <c r="G240" s="61"/>
      <c r="H240" s="61"/>
    </row>
    <row r="241" spans="1:8" x14ac:dyDescent="0.35">
      <c r="A241" s="61"/>
      <c r="B241" s="61"/>
      <c r="C241" s="61"/>
      <c r="D241" s="61"/>
      <c r="E241" s="61"/>
      <c r="F241" s="61"/>
      <c r="G241" s="61"/>
      <c r="H241" s="61"/>
    </row>
    <row r="242" spans="1:8" x14ac:dyDescent="0.35">
      <c r="A242" s="61"/>
      <c r="B242" s="61"/>
      <c r="C242" s="61"/>
      <c r="D242" s="61"/>
      <c r="E242" s="61"/>
      <c r="F242" s="61"/>
      <c r="G242" s="61"/>
      <c r="H242" s="61"/>
    </row>
    <row r="243" spans="1:8" x14ac:dyDescent="0.35">
      <c r="A243" s="61"/>
      <c r="B243" s="61"/>
      <c r="C243" s="61"/>
      <c r="D243" s="61"/>
      <c r="E243" s="61"/>
      <c r="F243" s="61"/>
      <c r="G243" s="61"/>
      <c r="H243" s="61"/>
    </row>
    <row r="244" spans="1:8" x14ac:dyDescent="0.35">
      <c r="A244" s="61"/>
      <c r="B244" s="61"/>
      <c r="C244" s="61"/>
      <c r="D244" s="61"/>
      <c r="E244" s="61"/>
      <c r="F244" s="61"/>
      <c r="G244" s="61"/>
      <c r="H244" s="61"/>
    </row>
    <row r="245" spans="1:8" x14ac:dyDescent="0.35">
      <c r="A245" s="61"/>
      <c r="B245" s="61"/>
      <c r="C245" s="61"/>
      <c r="D245" s="61"/>
      <c r="E245" s="61"/>
      <c r="F245" s="61"/>
      <c r="G245" s="61"/>
      <c r="H245" s="61"/>
    </row>
    <row r="246" spans="1:8" x14ac:dyDescent="0.35">
      <c r="A246" s="61"/>
      <c r="B246" s="61"/>
      <c r="C246" s="61"/>
      <c r="D246" s="61"/>
      <c r="E246" s="61"/>
      <c r="F246" s="61"/>
      <c r="G246" s="61"/>
      <c r="H246" s="61"/>
    </row>
    <row r="247" spans="1:8" x14ac:dyDescent="0.35">
      <c r="A247" s="61"/>
      <c r="B247" s="61"/>
      <c r="C247" s="61"/>
      <c r="D247" s="61"/>
      <c r="E247" s="61"/>
      <c r="F247" s="61"/>
      <c r="G247" s="61"/>
      <c r="H247" s="61"/>
    </row>
    <row r="248" spans="1:8" x14ac:dyDescent="0.35">
      <c r="A248" s="61"/>
      <c r="B248" s="61"/>
      <c r="C248" s="61"/>
      <c r="D248" s="61"/>
      <c r="E248" s="61"/>
      <c r="F248" s="61"/>
      <c r="G248" s="61"/>
      <c r="H248" s="61"/>
    </row>
    <row r="249" spans="1:8" x14ac:dyDescent="0.35">
      <c r="A249" s="61"/>
      <c r="B249" s="61"/>
      <c r="C249" s="61"/>
      <c r="D249" s="61"/>
      <c r="E249" s="61"/>
      <c r="F249" s="61"/>
      <c r="G249" s="61"/>
      <c r="H249" s="61"/>
    </row>
    <row r="250" spans="1:8" x14ac:dyDescent="0.35">
      <c r="A250" s="61"/>
      <c r="B250" s="61"/>
      <c r="C250" s="61"/>
      <c r="D250" s="61"/>
      <c r="E250" s="61"/>
      <c r="F250" s="61"/>
      <c r="G250" s="61"/>
      <c r="H250" s="61"/>
    </row>
    <row r="251" spans="1:8" x14ac:dyDescent="0.35">
      <c r="A251" s="61"/>
      <c r="B251" s="61"/>
      <c r="C251" s="61"/>
      <c r="D251" s="61"/>
      <c r="E251" s="61"/>
      <c r="F251" s="61"/>
      <c r="G251" s="61"/>
      <c r="H251" s="61"/>
    </row>
    <row r="252" spans="1:8" x14ac:dyDescent="0.35">
      <c r="A252" s="61"/>
      <c r="B252" s="61"/>
      <c r="C252" s="61"/>
      <c r="D252" s="61"/>
      <c r="E252" s="61"/>
      <c r="F252" s="61"/>
      <c r="G252" s="61"/>
      <c r="H252" s="61"/>
    </row>
    <row r="253" spans="1:8" x14ac:dyDescent="0.35">
      <c r="A253" s="61"/>
      <c r="B253" s="61"/>
      <c r="C253" s="61"/>
      <c r="D253" s="61"/>
      <c r="E253" s="61"/>
      <c r="F253" s="61"/>
      <c r="G253" s="61"/>
      <c r="H253" s="61"/>
    </row>
    <row r="254" spans="1:8" x14ac:dyDescent="0.35">
      <c r="A254" s="61"/>
      <c r="B254" s="61"/>
      <c r="C254" s="61"/>
      <c r="D254" s="61"/>
      <c r="E254" s="61"/>
      <c r="F254" s="61"/>
      <c r="G254" s="61"/>
      <c r="H254" s="61"/>
    </row>
    <row r="255" spans="1:8" x14ac:dyDescent="0.35">
      <c r="A255" s="61"/>
      <c r="B255" s="61"/>
      <c r="C255" s="61"/>
      <c r="D255" s="61"/>
      <c r="E255" s="61"/>
      <c r="F255" s="61"/>
      <c r="G255" s="61"/>
      <c r="H255" s="61"/>
    </row>
    <row r="256" spans="1:8" x14ac:dyDescent="0.35">
      <c r="A256" s="61"/>
      <c r="B256" s="61"/>
      <c r="C256" s="61"/>
      <c r="D256" s="61"/>
      <c r="E256" s="61"/>
      <c r="F256" s="61"/>
      <c r="G256" s="61"/>
      <c r="H256" s="61"/>
    </row>
    <row r="257" spans="1:8" x14ac:dyDescent="0.35">
      <c r="A257" s="63" t="s">
        <v>71</v>
      </c>
      <c r="B257" s="61"/>
      <c r="C257" s="61"/>
      <c r="D257" s="61"/>
      <c r="E257" s="61"/>
      <c r="F257" s="61"/>
      <c r="G257" s="61"/>
      <c r="H257" s="61"/>
    </row>
    <row r="258" spans="1:8" x14ac:dyDescent="0.35">
      <c r="A258" s="61"/>
      <c r="B258" s="61"/>
      <c r="C258" s="61"/>
      <c r="D258" s="61"/>
      <c r="E258" s="61"/>
      <c r="F258" s="61"/>
      <c r="G258" s="61"/>
      <c r="H258" s="61"/>
    </row>
    <row r="259" spans="1:8" x14ac:dyDescent="0.35">
      <c r="A259" s="61"/>
      <c r="B259" s="61"/>
      <c r="C259" s="61"/>
      <c r="D259" s="61"/>
      <c r="E259" s="61"/>
      <c r="F259" s="61"/>
      <c r="G259" s="61"/>
      <c r="H259" s="61"/>
    </row>
    <row r="260" spans="1:8" x14ac:dyDescent="0.35">
      <c r="A260" s="61"/>
      <c r="B260" s="61"/>
      <c r="C260" s="61"/>
      <c r="D260" s="61"/>
      <c r="E260" s="61"/>
      <c r="F260" s="61"/>
      <c r="G260" s="61"/>
      <c r="H260" s="61"/>
    </row>
    <row r="261" spans="1:8" x14ac:dyDescent="0.35">
      <c r="A261" s="61"/>
      <c r="B261" s="61"/>
      <c r="C261" s="61"/>
      <c r="D261" s="61"/>
      <c r="E261" s="61"/>
      <c r="F261" s="61"/>
      <c r="G261" s="61"/>
      <c r="H261" s="61"/>
    </row>
    <row r="262" spans="1:8" x14ac:dyDescent="0.35">
      <c r="A262" s="61"/>
      <c r="B262" s="61"/>
      <c r="C262" s="61"/>
      <c r="D262" s="61"/>
      <c r="E262" s="61"/>
      <c r="F262" s="61"/>
      <c r="G262" s="61"/>
      <c r="H262" s="61"/>
    </row>
    <row r="263" spans="1:8" x14ac:dyDescent="0.35">
      <c r="A263" s="61"/>
      <c r="B263" s="61"/>
      <c r="C263" s="61"/>
      <c r="D263" s="61"/>
      <c r="E263" s="61"/>
      <c r="F263" s="61"/>
      <c r="G263" s="61"/>
      <c r="H263" s="61"/>
    </row>
    <row r="264" spans="1:8" x14ac:dyDescent="0.35">
      <c r="A264" s="61"/>
      <c r="B264" s="61"/>
      <c r="C264" s="61"/>
      <c r="D264" s="61"/>
      <c r="E264" s="61"/>
      <c r="F264" s="61"/>
      <c r="G264" s="61"/>
      <c r="H264" s="61"/>
    </row>
    <row r="265" spans="1:8" x14ac:dyDescent="0.35">
      <c r="A265" s="61"/>
      <c r="B265" s="61"/>
      <c r="C265" s="61"/>
      <c r="D265" s="61"/>
      <c r="E265" s="61"/>
      <c r="F265" s="61"/>
      <c r="G265" s="61"/>
      <c r="H265" s="61"/>
    </row>
    <row r="266" spans="1:8" x14ac:dyDescent="0.35">
      <c r="A266" s="61"/>
      <c r="B266" s="61"/>
      <c r="C266" s="61"/>
      <c r="D266" s="61"/>
      <c r="E266" s="61"/>
      <c r="F266" s="61"/>
      <c r="G266" s="61"/>
      <c r="H266" s="61"/>
    </row>
    <row r="267" spans="1:8" x14ac:dyDescent="0.35">
      <c r="A267" s="61"/>
      <c r="B267" s="61"/>
      <c r="C267" s="61"/>
      <c r="D267" s="61"/>
      <c r="E267" s="61"/>
      <c r="F267" s="61"/>
      <c r="G267" s="61"/>
      <c r="H267" s="61"/>
    </row>
    <row r="268" spans="1:8" x14ac:dyDescent="0.35">
      <c r="A268" s="61"/>
      <c r="B268" s="61"/>
      <c r="C268" s="61"/>
      <c r="D268" s="61"/>
      <c r="E268" s="61"/>
      <c r="F268" s="61"/>
      <c r="G268" s="61"/>
      <c r="H268" s="61"/>
    </row>
    <row r="269" spans="1:8" x14ac:dyDescent="0.35">
      <c r="A269" s="61"/>
      <c r="B269" s="61"/>
      <c r="C269" s="61"/>
      <c r="D269" s="61"/>
      <c r="E269" s="61"/>
      <c r="F269" s="61"/>
      <c r="G269" s="61"/>
      <c r="H269" s="61"/>
    </row>
    <row r="270" spans="1:8" x14ac:dyDescent="0.35">
      <c r="A270" s="61"/>
      <c r="B270" s="61"/>
      <c r="C270" s="61"/>
      <c r="D270" s="61"/>
      <c r="E270" s="61"/>
      <c r="F270" s="61"/>
      <c r="G270" s="61"/>
      <c r="H270" s="61"/>
    </row>
    <row r="271" spans="1:8" x14ac:dyDescent="0.35">
      <c r="A271" s="61"/>
      <c r="B271" s="61"/>
      <c r="C271" s="61"/>
      <c r="D271" s="61"/>
      <c r="E271" s="61"/>
      <c r="F271" s="61"/>
      <c r="G271" s="61"/>
      <c r="H271" s="61"/>
    </row>
    <row r="272" spans="1:8" x14ac:dyDescent="0.35">
      <c r="A272" s="61"/>
      <c r="B272" s="61"/>
      <c r="C272" s="61"/>
      <c r="D272" s="61"/>
      <c r="E272" s="61"/>
      <c r="F272" s="61"/>
      <c r="G272" s="61"/>
      <c r="H272" s="61"/>
    </row>
    <row r="273" spans="1:8" x14ac:dyDescent="0.35">
      <c r="A273" s="61"/>
      <c r="B273" s="61"/>
      <c r="C273" s="61"/>
      <c r="D273" s="61"/>
      <c r="E273" s="61"/>
      <c r="F273" s="61"/>
      <c r="G273" s="61"/>
      <c r="H273" s="61"/>
    </row>
    <row r="274" spans="1:8" x14ac:dyDescent="0.35">
      <c r="A274" s="61"/>
      <c r="B274" s="61"/>
      <c r="C274" s="61"/>
      <c r="D274" s="61"/>
      <c r="E274" s="61"/>
      <c r="F274" s="61"/>
      <c r="G274" s="61"/>
      <c r="H274" s="61"/>
    </row>
    <row r="275" spans="1:8" x14ac:dyDescent="0.35">
      <c r="A275" s="61"/>
      <c r="B275" s="61"/>
      <c r="C275" s="61"/>
      <c r="D275" s="61"/>
      <c r="E275" s="61"/>
      <c r="F275" s="61"/>
      <c r="G275" s="61"/>
      <c r="H275" s="61"/>
    </row>
    <row r="276" spans="1:8" x14ac:dyDescent="0.35">
      <c r="A276" s="61"/>
      <c r="B276" s="61"/>
      <c r="C276" s="61"/>
      <c r="D276" s="61"/>
      <c r="E276" s="61"/>
      <c r="F276" s="61"/>
      <c r="G276" s="61"/>
      <c r="H276" s="61"/>
    </row>
    <row r="277" spans="1:8" x14ac:dyDescent="0.35">
      <c r="A277" s="61"/>
      <c r="B277" s="61"/>
      <c r="C277" s="61"/>
      <c r="D277" s="61"/>
      <c r="E277" s="61"/>
      <c r="F277" s="61"/>
      <c r="G277" s="61"/>
      <c r="H277" s="61"/>
    </row>
    <row r="278" spans="1:8" x14ac:dyDescent="0.35">
      <c r="A278" s="61"/>
      <c r="B278" s="61"/>
      <c r="C278" s="61"/>
      <c r="D278" s="61"/>
      <c r="E278" s="61"/>
      <c r="F278" s="61"/>
      <c r="G278" s="61"/>
      <c r="H278" s="61"/>
    </row>
    <row r="279" spans="1:8" x14ac:dyDescent="0.35">
      <c r="A279" s="61"/>
      <c r="B279" s="61"/>
      <c r="C279" s="61"/>
      <c r="D279" s="61"/>
      <c r="E279" s="61"/>
      <c r="F279" s="61"/>
      <c r="G279" s="61"/>
      <c r="H279" s="61"/>
    </row>
    <row r="280" spans="1:8" x14ac:dyDescent="0.35">
      <c r="A280" s="61"/>
      <c r="B280" s="61"/>
      <c r="C280" s="61"/>
      <c r="D280" s="61"/>
      <c r="E280" s="61"/>
      <c r="F280" s="61"/>
      <c r="G280" s="61"/>
      <c r="H280" s="61"/>
    </row>
    <row r="281" spans="1:8" x14ac:dyDescent="0.35">
      <c r="A281" s="61"/>
      <c r="B281" s="61"/>
      <c r="C281" s="61"/>
      <c r="D281" s="61"/>
      <c r="E281" s="61"/>
      <c r="F281" s="61"/>
      <c r="G281" s="61"/>
      <c r="H281" s="61"/>
    </row>
    <row r="282" spans="1:8" x14ac:dyDescent="0.35">
      <c r="A282" s="61"/>
      <c r="B282" s="61"/>
      <c r="C282" s="61"/>
      <c r="D282" s="61"/>
      <c r="E282" s="61"/>
      <c r="F282" s="61"/>
      <c r="G282" s="61"/>
      <c r="H282" s="61"/>
    </row>
    <row r="283" spans="1:8" x14ac:dyDescent="0.35">
      <c r="A283" s="61"/>
      <c r="B283" s="61"/>
      <c r="C283" s="61"/>
      <c r="D283" s="61"/>
      <c r="E283" s="61"/>
      <c r="F283" s="61"/>
      <c r="G283" s="61"/>
      <c r="H283" s="61"/>
    </row>
    <row r="284" spans="1:8" x14ac:dyDescent="0.35">
      <c r="A284" s="61"/>
      <c r="B284" s="61"/>
      <c r="C284" s="61"/>
      <c r="D284" s="61"/>
      <c r="E284" s="61"/>
      <c r="F284" s="61"/>
      <c r="G284" s="61"/>
      <c r="H284" s="61"/>
    </row>
    <row r="285" spans="1:8" x14ac:dyDescent="0.35">
      <c r="A285" s="61"/>
      <c r="B285" s="61"/>
      <c r="C285" s="61"/>
      <c r="D285" s="61"/>
      <c r="E285" s="61"/>
      <c r="F285" s="61"/>
      <c r="G285" s="61"/>
      <c r="H285" s="61"/>
    </row>
    <row r="286" spans="1:8" x14ac:dyDescent="0.35">
      <c r="A286" s="61"/>
      <c r="B286" s="61"/>
      <c r="C286" s="61"/>
      <c r="D286" s="61"/>
      <c r="E286" s="61"/>
      <c r="F286" s="61"/>
      <c r="G286" s="61"/>
      <c r="H286" s="61"/>
    </row>
    <row r="287" spans="1:8" x14ac:dyDescent="0.35">
      <c r="A287" s="61"/>
      <c r="B287" s="61"/>
      <c r="C287" s="61"/>
      <c r="D287" s="61"/>
      <c r="E287" s="61"/>
      <c r="F287" s="61"/>
      <c r="G287" s="61"/>
      <c r="H287" s="61"/>
    </row>
    <row r="288" spans="1:8" x14ac:dyDescent="0.35">
      <c r="A288" s="61"/>
      <c r="B288" s="61"/>
      <c r="C288" s="61"/>
      <c r="D288" s="61"/>
      <c r="E288" s="61"/>
      <c r="F288" s="61"/>
      <c r="G288" s="61"/>
      <c r="H288" s="61"/>
    </row>
    <row r="289" spans="1:8" x14ac:dyDescent="0.35">
      <c r="A289" s="61"/>
      <c r="B289" s="61"/>
      <c r="C289" s="61"/>
      <c r="D289" s="61"/>
      <c r="E289" s="61"/>
      <c r="F289" s="61"/>
      <c r="G289" s="61"/>
      <c r="H289" s="61"/>
    </row>
    <row r="290" spans="1:8" x14ac:dyDescent="0.35">
      <c r="A290" s="61"/>
      <c r="B290" s="61"/>
      <c r="C290" s="61"/>
      <c r="D290" s="61"/>
      <c r="E290" s="61"/>
      <c r="F290" s="61"/>
      <c r="G290" s="61"/>
      <c r="H290" s="61"/>
    </row>
    <row r="291" spans="1:8" x14ac:dyDescent="0.35">
      <c r="A291" s="61"/>
      <c r="B291" s="61"/>
      <c r="C291" s="61"/>
      <c r="D291" s="61"/>
      <c r="E291" s="61"/>
      <c r="F291" s="61"/>
      <c r="G291" s="61"/>
      <c r="H291" s="61"/>
    </row>
    <row r="292" spans="1:8" x14ac:dyDescent="0.35">
      <c r="A292" s="61"/>
      <c r="B292" s="61"/>
      <c r="C292" s="61"/>
      <c r="D292" s="61"/>
      <c r="E292" s="61"/>
      <c r="F292" s="61"/>
      <c r="G292" s="61"/>
      <c r="H292" s="61"/>
    </row>
    <row r="293" spans="1:8" x14ac:dyDescent="0.35">
      <c r="A293" s="61"/>
      <c r="B293" s="61"/>
      <c r="C293" s="61"/>
      <c r="D293" s="61"/>
      <c r="E293" s="61"/>
      <c r="F293" s="61"/>
      <c r="G293" s="61"/>
      <c r="H293" s="61"/>
    </row>
    <row r="294" spans="1:8" x14ac:dyDescent="0.35">
      <c r="A294" s="61"/>
      <c r="B294" s="61"/>
      <c r="C294" s="61"/>
      <c r="D294" s="61"/>
      <c r="E294" s="61"/>
      <c r="F294" s="61"/>
      <c r="G294" s="61"/>
      <c r="H294" s="61"/>
    </row>
    <row r="295" spans="1:8" x14ac:dyDescent="0.35">
      <c r="A295" s="61"/>
      <c r="B295" s="61"/>
      <c r="C295" s="61"/>
      <c r="D295" s="61"/>
      <c r="E295" s="61"/>
      <c r="F295" s="61"/>
      <c r="G295" s="61"/>
      <c r="H295" s="61"/>
    </row>
    <row r="296" spans="1:8" x14ac:dyDescent="0.35">
      <c r="A296" s="61"/>
      <c r="B296" s="61"/>
      <c r="C296" s="61"/>
      <c r="D296" s="61"/>
      <c r="E296" s="61"/>
      <c r="F296" s="61"/>
      <c r="G296" s="61"/>
      <c r="H296" s="61"/>
    </row>
    <row r="297" spans="1:8" x14ac:dyDescent="0.35">
      <c r="A297" s="61"/>
      <c r="B297" s="61"/>
      <c r="C297" s="61"/>
      <c r="D297" s="61"/>
      <c r="E297" s="61"/>
      <c r="F297" s="61"/>
      <c r="G297" s="61"/>
      <c r="H297" s="61"/>
    </row>
    <row r="298" spans="1:8" x14ac:dyDescent="0.35">
      <c r="A298" s="61"/>
      <c r="B298" s="61"/>
      <c r="C298" s="61"/>
      <c r="D298" s="61"/>
      <c r="E298" s="61"/>
      <c r="F298" s="61"/>
      <c r="G298" s="61"/>
      <c r="H298" s="61"/>
    </row>
    <row r="299" spans="1:8" x14ac:dyDescent="0.35">
      <c r="A299" s="61"/>
      <c r="B299" s="61"/>
      <c r="C299" s="61"/>
      <c r="D299" s="61"/>
      <c r="E299" s="61"/>
      <c r="F299" s="61"/>
      <c r="G299" s="61"/>
      <c r="H299" s="61"/>
    </row>
  </sheetData>
  <mergeCells count="331">
    <mergeCell ref="A137:B137"/>
    <mergeCell ref="G137:H137"/>
    <mergeCell ref="G138:H138"/>
    <mergeCell ref="G139:H139"/>
    <mergeCell ref="G140:H140"/>
    <mergeCell ref="A93:B93"/>
    <mergeCell ref="A103:E103"/>
    <mergeCell ref="A105:E105"/>
    <mergeCell ref="F99:H99"/>
    <mergeCell ref="A104:E104"/>
    <mergeCell ref="A99:E99"/>
    <mergeCell ref="A133:B133"/>
    <mergeCell ref="G133:H133"/>
    <mergeCell ref="A136:B136"/>
    <mergeCell ref="G136:H136"/>
    <mergeCell ref="F104:H104"/>
    <mergeCell ref="F107:H107"/>
    <mergeCell ref="F105:H105"/>
    <mergeCell ref="A106:E106"/>
    <mergeCell ref="F101:H101"/>
    <mergeCell ref="F100:H100"/>
    <mergeCell ref="F106:H106"/>
    <mergeCell ref="A107:E107"/>
    <mergeCell ref="F103:H103"/>
    <mergeCell ref="A42:D42"/>
    <mergeCell ref="A43:D43"/>
    <mergeCell ref="A44:H44"/>
    <mergeCell ref="D58:H58"/>
    <mergeCell ref="A131:B131"/>
    <mergeCell ref="A84:B84"/>
    <mergeCell ref="G131:H131"/>
    <mergeCell ref="A82:B82"/>
    <mergeCell ref="A132:H132"/>
    <mergeCell ref="C82:H82"/>
    <mergeCell ref="A90:B90"/>
    <mergeCell ref="C128:F128"/>
    <mergeCell ref="C52:E52"/>
    <mergeCell ref="G52:H52"/>
    <mergeCell ref="C53:H53"/>
    <mergeCell ref="A68:B68"/>
    <mergeCell ref="C68:H68"/>
    <mergeCell ref="A70:B70"/>
    <mergeCell ref="C70:H70"/>
    <mergeCell ref="A71:B71"/>
    <mergeCell ref="E71:F71"/>
    <mergeCell ref="G71:H71"/>
    <mergeCell ref="A61:C61"/>
    <mergeCell ref="A62:C62"/>
    <mergeCell ref="A45:B45"/>
    <mergeCell ref="C45:H45"/>
    <mergeCell ref="A46:B46"/>
    <mergeCell ref="C46:E46"/>
    <mergeCell ref="G46:H46"/>
    <mergeCell ref="A51:B51"/>
    <mergeCell ref="C51:E51"/>
    <mergeCell ref="G51:H51"/>
    <mergeCell ref="A52:B53"/>
    <mergeCell ref="D67:H67"/>
    <mergeCell ref="A65:C65"/>
    <mergeCell ref="D65:H65"/>
    <mergeCell ref="D60:H60"/>
    <mergeCell ref="A59:C60"/>
    <mergeCell ref="C54:E54"/>
    <mergeCell ref="A48:B48"/>
    <mergeCell ref="A55:H55"/>
    <mergeCell ref="A56:C56"/>
    <mergeCell ref="A57:C57"/>
    <mergeCell ref="D57:H57"/>
    <mergeCell ref="G54:H54"/>
    <mergeCell ref="C48:E48"/>
    <mergeCell ref="A63:C63"/>
    <mergeCell ref="D63:H63"/>
    <mergeCell ref="A64:C64"/>
    <mergeCell ref="D64:H64"/>
    <mergeCell ref="A67:C67"/>
    <mergeCell ref="D61:H61"/>
    <mergeCell ref="D62:H62"/>
    <mergeCell ref="A66:C66"/>
    <mergeCell ref="D66:H66"/>
    <mergeCell ref="C49:E49"/>
    <mergeCell ref="C50:H50"/>
    <mergeCell ref="A37:H37"/>
    <mergeCell ref="F33:H33"/>
    <mergeCell ref="A35:B35"/>
    <mergeCell ref="A36:B36"/>
    <mergeCell ref="C36:H36"/>
    <mergeCell ref="E23:H23"/>
    <mergeCell ref="A25:D25"/>
    <mergeCell ref="E25:H25"/>
    <mergeCell ref="A58:C58"/>
    <mergeCell ref="G48:H48"/>
    <mergeCell ref="A49:B50"/>
    <mergeCell ref="A34:H34"/>
    <mergeCell ref="A33:B33"/>
    <mergeCell ref="C33:E33"/>
    <mergeCell ref="C35:H35"/>
    <mergeCell ref="A38:D38"/>
    <mergeCell ref="E38:H38"/>
    <mergeCell ref="E39:H39"/>
    <mergeCell ref="A40:D40"/>
    <mergeCell ref="E40:H40"/>
    <mergeCell ref="E41:H41"/>
    <mergeCell ref="E42:H42"/>
    <mergeCell ref="E43:H43"/>
    <mergeCell ref="A41:D41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F30:H30"/>
    <mergeCell ref="F31:H31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79:H182"/>
    <mergeCell ref="A178:B178"/>
    <mergeCell ref="E178:F178"/>
    <mergeCell ref="C178:D178"/>
    <mergeCell ref="G178:H178"/>
    <mergeCell ref="A108:E108"/>
    <mergeCell ref="F108:H108"/>
    <mergeCell ref="A109:E109"/>
    <mergeCell ref="F109:H109"/>
    <mergeCell ref="A112:B112"/>
    <mergeCell ref="A174:H174"/>
    <mergeCell ref="A110:H110"/>
    <mergeCell ref="A177:H177"/>
    <mergeCell ref="A175:H175"/>
    <mergeCell ref="A160:H160"/>
    <mergeCell ref="G157:H157"/>
    <mergeCell ref="B118:B119"/>
    <mergeCell ref="A154:H154"/>
    <mergeCell ref="B165:H165"/>
    <mergeCell ref="E112:F112"/>
    <mergeCell ref="A134:B134"/>
    <mergeCell ref="G134:H134"/>
    <mergeCell ref="A135:B135"/>
    <mergeCell ref="G135:H135"/>
    <mergeCell ref="A77:B77"/>
    <mergeCell ref="A78:B78"/>
    <mergeCell ref="A79:B79"/>
    <mergeCell ref="A80:B80"/>
    <mergeCell ref="A81:B81"/>
    <mergeCell ref="E86:F95"/>
    <mergeCell ref="G86:H95"/>
    <mergeCell ref="A94:B94"/>
    <mergeCell ref="A95:B95"/>
    <mergeCell ref="A85:B85"/>
    <mergeCell ref="A88:B88"/>
    <mergeCell ref="A86:B86"/>
    <mergeCell ref="G85:H85"/>
    <mergeCell ref="B168:H168"/>
    <mergeCell ref="B163:H163"/>
    <mergeCell ref="B164:H164"/>
    <mergeCell ref="B167:H167"/>
    <mergeCell ref="A153:H153"/>
    <mergeCell ref="C111:D111"/>
    <mergeCell ref="G111:H111"/>
    <mergeCell ref="G159:H159"/>
    <mergeCell ref="A158:B158"/>
    <mergeCell ref="A159:B159"/>
    <mergeCell ref="B166:H166"/>
    <mergeCell ref="B161:H161"/>
    <mergeCell ref="B162:H162"/>
    <mergeCell ref="A152:H152"/>
    <mergeCell ref="A120:H120"/>
    <mergeCell ref="A121:H121"/>
    <mergeCell ref="A122:H122"/>
    <mergeCell ref="A117:H117"/>
    <mergeCell ref="A118:A119"/>
    <mergeCell ref="A155:B155"/>
    <mergeCell ref="A156:B156"/>
    <mergeCell ref="G156:H156"/>
    <mergeCell ref="A125:B125"/>
    <mergeCell ref="G126:H126"/>
    <mergeCell ref="D59:H59"/>
    <mergeCell ref="A54:B54"/>
    <mergeCell ref="A73:B73"/>
    <mergeCell ref="A74:B74"/>
    <mergeCell ref="A75:B75"/>
    <mergeCell ref="A76:B76"/>
    <mergeCell ref="A102:E102"/>
    <mergeCell ref="F102:H102"/>
    <mergeCell ref="F98:H98"/>
    <mergeCell ref="A98:E98"/>
    <mergeCell ref="A100:E100"/>
    <mergeCell ref="A101:E101"/>
    <mergeCell ref="A97:E97"/>
    <mergeCell ref="A72:B72"/>
    <mergeCell ref="E72:F81"/>
    <mergeCell ref="G72:H81"/>
    <mergeCell ref="C84:H84"/>
    <mergeCell ref="A87:B87"/>
    <mergeCell ref="A89:B89"/>
    <mergeCell ref="E85:F85"/>
    <mergeCell ref="A91:B91"/>
    <mergeCell ref="F97:H97"/>
    <mergeCell ref="A96:H96"/>
    <mergeCell ref="A92:B92"/>
    <mergeCell ref="A115:H115"/>
    <mergeCell ref="G155:H155"/>
    <mergeCell ref="A146:B146"/>
    <mergeCell ref="A116:H116"/>
    <mergeCell ref="C112:D112"/>
    <mergeCell ref="C118:C119"/>
    <mergeCell ref="A142:H142"/>
    <mergeCell ref="A143:B143"/>
    <mergeCell ref="G143:H143"/>
    <mergeCell ref="A144:B144"/>
    <mergeCell ref="G144:H144"/>
    <mergeCell ref="A123:B123"/>
    <mergeCell ref="G123:H123"/>
    <mergeCell ref="G113:H113"/>
    <mergeCell ref="A114:B114"/>
    <mergeCell ref="C114:D114"/>
    <mergeCell ref="A140:B140"/>
    <mergeCell ref="E114:F114"/>
    <mergeCell ref="G114:H114"/>
    <mergeCell ref="G146:H146"/>
    <mergeCell ref="A127:B127"/>
    <mergeCell ref="G127:H127"/>
    <mergeCell ref="A128:B128"/>
    <mergeCell ref="G128:H128"/>
    <mergeCell ref="A176:H176"/>
    <mergeCell ref="A173:H173"/>
    <mergeCell ref="G158:H158"/>
    <mergeCell ref="A111:B111"/>
    <mergeCell ref="D118:D119"/>
    <mergeCell ref="E118:E119"/>
    <mergeCell ref="G118:H119"/>
    <mergeCell ref="A171:H171"/>
    <mergeCell ref="A172:H172"/>
    <mergeCell ref="B169:H169"/>
    <mergeCell ref="A157:B157"/>
    <mergeCell ref="A124:B124"/>
    <mergeCell ref="G124:H124"/>
    <mergeCell ref="A129:B129"/>
    <mergeCell ref="G129:H129"/>
    <mergeCell ref="A130:B130"/>
    <mergeCell ref="G130:H130"/>
    <mergeCell ref="A141:B141"/>
    <mergeCell ref="G141:H141"/>
    <mergeCell ref="A138:B138"/>
    <mergeCell ref="A139:B139"/>
    <mergeCell ref="G112:H112"/>
    <mergeCell ref="G125:H125"/>
    <mergeCell ref="A126:B126"/>
    <mergeCell ref="A39:D39"/>
    <mergeCell ref="A47:B47"/>
    <mergeCell ref="C47:E47"/>
    <mergeCell ref="G47:H47"/>
    <mergeCell ref="G49:H49"/>
    <mergeCell ref="D56:H56"/>
    <mergeCell ref="B170:H170"/>
    <mergeCell ref="A147:B147"/>
    <mergeCell ref="G147:H147"/>
    <mergeCell ref="A148:B148"/>
    <mergeCell ref="G148:H148"/>
    <mergeCell ref="A149:B149"/>
    <mergeCell ref="G149:H149"/>
    <mergeCell ref="A150:B150"/>
    <mergeCell ref="G150:H150"/>
    <mergeCell ref="A151:B151"/>
    <mergeCell ref="G151:H151"/>
    <mergeCell ref="C149:F149"/>
    <mergeCell ref="A145:B145"/>
    <mergeCell ref="G145:H145"/>
    <mergeCell ref="A113:B113"/>
    <mergeCell ref="C113:D113"/>
    <mergeCell ref="E113:F113"/>
    <mergeCell ref="E111:F111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182" max="16383" man="1"/>
    <brk id="225" max="16383" man="1"/>
    <brk id="25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4"/>
    <col min="2" max="2" width="22.1796875" style="14" customWidth="1"/>
    <col min="3" max="3" width="37" style="14" customWidth="1"/>
    <col min="4" max="5" width="11.453125" style="14" customWidth="1"/>
    <col min="6" max="6" width="14" style="14" customWidth="1"/>
    <col min="7" max="7" width="20" style="14" customWidth="1"/>
    <col min="8" max="8" width="16.453125" style="14" customWidth="1"/>
    <col min="9" max="16384" width="8.7265625" style="14"/>
  </cols>
  <sheetData>
    <row r="1" spans="1:9" ht="15" customHeight="1" x14ac:dyDescent="0.35">
      <c r="A1" s="13"/>
      <c r="B1" s="13"/>
      <c r="C1" s="13"/>
      <c r="D1" s="13"/>
      <c r="E1" s="13"/>
      <c r="F1" s="13"/>
      <c r="G1" s="13"/>
      <c r="H1" s="13"/>
    </row>
    <row r="2" spans="1:9" ht="15" customHeight="1" x14ac:dyDescent="0.35">
      <c r="A2" s="15"/>
      <c r="B2" s="15"/>
      <c r="C2" s="15"/>
      <c r="D2" s="15"/>
      <c r="E2" s="15"/>
      <c r="F2" s="15"/>
      <c r="G2" s="15"/>
      <c r="H2" s="15"/>
    </row>
    <row r="3" spans="1:9" ht="15.75" customHeight="1" x14ac:dyDescent="0.35">
      <c r="A3" s="15"/>
      <c r="B3" s="154" t="s">
        <v>113</v>
      </c>
      <c r="C3" s="154"/>
      <c r="D3" s="154"/>
      <c r="E3" s="154"/>
      <c r="F3" s="154"/>
      <c r="G3" s="154"/>
      <c r="H3" s="154"/>
    </row>
    <row r="4" spans="1:9" x14ac:dyDescent="0.35">
      <c r="A4" s="15"/>
      <c r="B4" s="16" t="s">
        <v>114</v>
      </c>
      <c r="C4" s="16" t="s">
        <v>115</v>
      </c>
      <c r="D4" s="16" t="s">
        <v>73</v>
      </c>
      <c r="E4" s="16" t="s">
        <v>116</v>
      </c>
      <c r="F4" s="16" t="s">
        <v>122</v>
      </c>
      <c r="G4" s="16" t="s">
        <v>123</v>
      </c>
      <c r="H4" s="16" t="s">
        <v>117</v>
      </c>
    </row>
    <row r="5" spans="1:9" ht="15" customHeight="1" x14ac:dyDescent="0.35">
      <c r="A5" s="15"/>
      <c r="B5" s="18" t="s">
        <v>118</v>
      </c>
      <c r="C5" s="19"/>
      <c r="D5" s="18"/>
      <c r="E5" s="18"/>
      <c r="F5" s="20">
        <f>E5*1.6</f>
        <v>0</v>
      </c>
      <c r="G5" s="20" t="e">
        <f>H5/F5</f>
        <v>#DIV/0!</v>
      </c>
      <c r="H5" s="21"/>
    </row>
    <row r="6" spans="1:9" x14ac:dyDescent="0.35">
      <c r="A6" s="15"/>
      <c r="B6" s="18" t="s">
        <v>118</v>
      </c>
      <c r="C6" s="22"/>
      <c r="D6" s="18"/>
      <c r="E6" s="18"/>
      <c r="F6" s="20">
        <f t="shared" ref="F6:F11" si="0">E6*1.6</f>
        <v>0</v>
      </c>
      <c r="G6" s="20" t="e">
        <f t="shared" ref="G6:G11" si="1">H6/F6</f>
        <v>#DIV/0!</v>
      </c>
      <c r="H6" s="21"/>
    </row>
    <row r="7" spans="1:9" ht="15" customHeight="1" x14ac:dyDescent="0.35">
      <c r="A7" s="15"/>
      <c r="B7" s="18" t="s">
        <v>118</v>
      </c>
      <c r="C7" s="19"/>
      <c r="D7" s="18"/>
      <c r="E7" s="18"/>
      <c r="F7" s="20">
        <f t="shared" si="0"/>
        <v>0</v>
      </c>
      <c r="G7" s="20" t="e">
        <f t="shared" si="1"/>
        <v>#DIV/0!</v>
      </c>
      <c r="H7" s="21"/>
    </row>
    <row r="8" spans="1:9" x14ac:dyDescent="0.35">
      <c r="A8" s="15"/>
      <c r="B8" s="18" t="s">
        <v>118</v>
      </c>
      <c r="C8" s="22"/>
      <c r="D8" s="18"/>
      <c r="E8" s="18"/>
      <c r="F8" s="20">
        <f t="shared" si="0"/>
        <v>0</v>
      </c>
      <c r="G8" s="20" t="e">
        <f t="shared" si="1"/>
        <v>#DIV/0!</v>
      </c>
      <c r="H8" s="21"/>
    </row>
    <row r="9" spans="1:9" ht="15" customHeight="1" x14ac:dyDescent="0.35">
      <c r="A9" s="15"/>
      <c r="B9" s="18" t="s">
        <v>118</v>
      </c>
      <c r="C9" s="22"/>
      <c r="D9" s="18"/>
      <c r="E9" s="18"/>
      <c r="F9" s="20">
        <f t="shared" si="0"/>
        <v>0</v>
      </c>
      <c r="G9" s="20" t="e">
        <f t="shared" si="1"/>
        <v>#DIV/0!</v>
      </c>
      <c r="H9" s="21"/>
    </row>
    <row r="10" spans="1:9" ht="15" customHeight="1" x14ac:dyDescent="0.35">
      <c r="A10" s="15"/>
      <c r="B10" s="18" t="s">
        <v>119</v>
      </c>
      <c r="C10" s="19"/>
      <c r="D10" s="18"/>
      <c r="E10" s="18"/>
      <c r="F10" s="20">
        <f t="shared" si="0"/>
        <v>0</v>
      </c>
      <c r="G10" s="20" t="e">
        <f t="shared" si="1"/>
        <v>#DIV/0!</v>
      </c>
      <c r="H10" s="21"/>
    </row>
    <row r="11" spans="1:9" ht="15" customHeight="1" x14ac:dyDescent="0.35">
      <c r="A11" s="15"/>
      <c r="B11" s="18" t="s">
        <v>119</v>
      </c>
      <c r="C11" s="19"/>
      <c r="D11" s="18"/>
      <c r="E11" s="18"/>
      <c r="F11" s="20">
        <f t="shared" si="0"/>
        <v>0</v>
      </c>
      <c r="G11" s="20" t="e">
        <f t="shared" si="1"/>
        <v>#DIV/0!</v>
      </c>
      <c r="H11" s="21"/>
    </row>
    <row r="12" spans="1:9" ht="15" customHeight="1" x14ac:dyDescent="0.35">
      <c r="A12" s="15"/>
      <c r="B12" s="23" t="s">
        <v>120</v>
      </c>
      <c r="C12" s="18"/>
      <c r="D12" s="18"/>
      <c r="E12" s="18"/>
      <c r="F12" s="18"/>
      <c r="G12" s="24" t="e">
        <f>AVERAGE(G5:G11)</f>
        <v>#DIV/0!</v>
      </c>
      <c r="H12" s="18"/>
    </row>
    <row r="13" spans="1:9" ht="15" customHeight="1" x14ac:dyDescent="0.35">
      <c r="A13" s="13"/>
      <c r="B13" s="23" t="s">
        <v>121</v>
      </c>
      <c r="C13" s="25"/>
      <c r="D13" s="25"/>
      <c r="E13" s="25"/>
      <c r="F13" s="26"/>
      <c r="G13" s="23"/>
      <c r="H13" s="23"/>
      <c r="I13" s="17"/>
    </row>
    <row r="14" spans="1:9" ht="15" customHeight="1" x14ac:dyDescent="0.35">
      <c r="B14" s="13"/>
      <c r="C14" s="13"/>
      <c r="D14" s="13"/>
      <c r="E14" s="13"/>
    </row>
    <row r="15" spans="1:9" ht="15" customHeight="1" x14ac:dyDescent="0.35">
      <c r="B15" s="13"/>
      <c r="C15" s="13"/>
      <c r="D15" s="13"/>
      <c r="E15" s="13"/>
    </row>
    <row r="16" spans="1:9" ht="15" customHeight="1" x14ac:dyDescent="0.35">
      <c r="B16" s="13"/>
      <c r="C16" s="13"/>
      <c r="D16" s="13"/>
      <c r="E16" s="13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2025-09-09T06:28:13Z</cp:lastPrinted>
  <dcterms:created xsi:type="dcterms:W3CDTF">2019-07-16T09:29:46Z</dcterms:created>
  <dcterms:modified xsi:type="dcterms:W3CDTF">2025-09-09T06:28:46Z</dcterms:modified>
</cp:coreProperties>
</file>