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8-09-2025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11" i="5"/>
  <c r="F11" i="5"/>
  <c r="F10" i="5"/>
  <c r="G10" i="5" s="1"/>
  <c r="G9" i="5"/>
  <c r="F9" i="5"/>
  <c r="G8" i="5"/>
  <c r="F8" i="5"/>
  <c r="G7" i="5"/>
  <c r="F7" i="5"/>
  <c r="F6" i="5"/>
  <c r="F5" i="5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E34" i="3" s="1"/>
  <c r="L8" i="3"/>
  <c r="I8" i="3"/>
  <c r="E8" i="3"/>
  <c r="L7" i="3"/>
  <c r="L34" i="3" s="1"/>
  <c r="K34" i="3" s="1"/>
  <c r="I7" i="3"/>
  <c r="E7" i="3"/>
  <c r="L6" i="3"/>
  <c r="I6" i="3"/>
  <c r="I34" i="3" s="1"/>
  <c r="H34" i="3" s="1"/>
  <c r="E6" i="3"/>
  <c r="D210" i="1"/>
  <c r="B193" i="1"/>
  <c r="A193" i="1"/>
  <c r="A194" i="1" s="1"/>
  <c r="A195" i="1" s="1"/>
  <c r="A196" i="1" s="1"/>
  <c r="A197" i="1" s="1"/>
  <c r="F190" i="1"/>
  <c r="D190" i="1"/>
  <c r="F189" i="1"/>
  <c r="D189" i="1"/>
  <c r="D188" i="1"/>
  <c r="F188" i="1" s="1"/>
  <c r="D187" i="1"/>
  <c r="F187" i="1" s="1"/>
  <c r="F186" i="1"/>
  <c r="D186" i="1"/>
  <c r="F185" i="1"/>
  <c r="D185" i="1"/>
  <c r="A183" i="1"/>
  <c r="A184" i="1" s="1"/>
  <c r="A182" i="1"/>
  <c r="A181" i="1"/>
  <c r="G180" i="1"/>
  <c r="F180" i="1"/>
  <c r="D180" i="1"/>
  <c r="D178" i="1"/>
  <c r="F178" i="1" s="1"/>
  <c r="F177" i="1"/>
  <c r="D177" i="1"/>
  <c r="F176" i="1"/>
  <c r="D176" i="1"/>
  <c r="F175" i="1"/>
  <c r="D175" i="1"/>
  <c r="D174" i="1"/>
  <c r="F174" i="1" s="1"/>
  <c r="F173" i="1"/>
  <c r="D173" i="1"/>
  <c r="F172" i="1"/>
  <c r="D172" i="1"/>
  <c r="F171" i="1"/>
  <c r="D171" i="1"/>
  <c r="D170" i="1"/>
  <c r="F170" i="1" s="1"/>
  <c r="F169" i="1"/>
  <c r="D169" i="1"/>
  <c r="A169" i="1"/>
  <c r="A170" i="1" s="1"/>
  <c r="A171" i="1" s="1"/>
  <c r="A172" i="1" s="1"/>
  <c r="G168" i="1"/>
  <c r="F166" i="1"/>
  <c r="D166" i="1"/>
  <c r="F165" i="1"/>
  <c r="D165" i="1"/>
  <c r="F164" i="1"/>
  <c r="D164" i="1"/>
  <c r="D163" i="1"/>
  <c r="F163" i="1" s="1"/>
  <c r="F162" i="1"/>
  <c r="D162" i="1"/>
  <c r="F161" i="1"/>
  <c r="D161" i="1"/>
  <c r="F160" i="1"/>
  <c r="D160" i="1"/>
  <c r="D159" i="1"/>
  <c r="E113" i="1" s="1"/>
  <c r="F158" i="1"/>
  <c r="D158" i="1"/>
  <c r="A158" i="1"/>
  <c r="A159" i="1" s="1"/>
  <c r="A160" i="1" s="1"/>
  <c r="F157" i="1"/>
  <c r="D157" i="1"/>
  <c r="A157" i="1"/>
  <c r="G156" i="1"/>
  <c r="F156" i="1"/>
  <c r="D156" i="1"/>
  <c r="C113" i="1" s="1"/>
  <c r="D152" i="1"/>
  <c r="F152" i="1" s="1"/>
  <c r="D151" i="1"/>
  <c r="F151" i="1" s="1"/>
  <c r="D150" i="1"/>
  <c r="F150" i="1" s="1"/>
  <c r="J149" i="1"/>
  <c r="F149" i="1"/>
  <c r="D149" i="1"/>
  <c r="J148" i="1"/>
  <c r="D148" i="1"/>
  <c r="K149" i="1" s="1"/>
  <c r="F147" i="1"/>
  <c r="D147" i="1"/>
  <c r="F146" i="1"/>
  <c r="D146" i="1"/>
  <c r="F145" i="1"/>
  <c r="D145" i="1"/>
  <c r="D144" i="1"/>
  <c r="F144" i="1" s="1"/>
  <c r="A144" i="1"/>
  <c r="A145" i="1" s="1"/>
  <c r="A146" i="1" s="1"/>
  <c r="A147" i="1" s="1"/>
  <c r="G143" i="1"/>
  <c r="F141" i="1"/>
  <c r="L141" i="1" s="1"/>
  <c r="D141" i="1"/>
  <c r="F140" i="1"/>
  <c r="L140" i="1" s="1"/>
  <c r="D140" i="1"/>
  <c r="F139" i="1"/>
  <c r="L139" i="1" s="1"/>
  <c r="D139" i="1"/>
  <c r="F138" i="1"/>
  <c r="L138" i="1" s="1"/>
  <c r="D138" i="1"/>
  <c r="K137" i="1"/>
  <c r="J137" i="1"/>
  <c r="F137" i="1"/>
  <c r="L137" i="1" s="1"/>
  <c r="D137" i="1"/>
  <c r="I136" i="1"/>
  <c r="F136" i="1"/>
  <c r="L136" i="1" s="1"/>
  <c r="D136" i="1"/>
  <c r="C112" i="1" s="1"/>
  <c r="C114" i="1" s="1"/>
  <c r="K135" i="1"/>
  <c r="J135" i="1"/>
  <c r="F135" i="1"/>
  <c r="J136" i="1" s="1"/>
  <c r="D135" i="1"/>
  <c r="L134" i="1"/>
  <c r="F134" i="1"/>
  <c r="D134" i="1"/>
  <c r="L133" i="1"/>
  <c r="F133" i="1"/>
  <c r="D133" i="1"/>
  <c r="A133" i="1"/>
  <c r="A134" i="1" s="1"/>
  <c r="A135" i="1" s="1"/>
  <c r="A136" i="1" s="1"/>
  <c r="A137" i="1" s="1"/>
  <c r="A138" i="1" s="1"/>
  <c r="A139" i="1" s="1"/>
  <c r="A140" i="1" s="1"/>
  <c r="A141" i="1" s="1"/>
  <c r="I132" i="1"/>
  <c r="G132" i="1"/>
  <c r="F132" i="1"/>
  <c r="L132" i="1" s="1"/>
  <c r="D132" i="1"/>
  <c r="F124" i="1"/>
  <c r="E124" i="1"/>
  <c r="F123" i="1"/>
  <c r="E123" i="1"/>
  <c r="F122" i="1"/>
  <c r="E122" i="1"/>
  <c r="F121" i="1"/>
  <c r="E121" i="1"/>
  <c r="A121" i="1"/>
  <c r="A122" i="1" s="1"/>
  <c r="A123" i="1" s="1"/>
  <c r="A124" i="1" s="1"/>
  <c r="G120" i="1"/>
  <c r="G121" i="1" s="1"/>
  <c r="G122" i="1" s="1"/>
  <c r="G123" i="1" s="1"/>
  <c r="G124" i="1" s="1"/>
  <c r="F120" i="1"/>
  <c r="E120" i="1"/>
  <c r="F105" i="1"/>
  <c r="J86" i="1"/>
  <c r="J85" i="1"/>
  <c r="J84" i="1"/>
  <c r="J83" i="1"/>
  <c r="C75" i="1"/>
  <c r="J72" i="1"/>
  <c r="J71" i="1"/>
  <c r="J70" i="1"/>
  <c r="J69" i="1"/>
  <c r="C61" i="1"/>
  <c r="D58" i="1"/>
  <c r="D52" i="1"/>
  <c r="G48" i="1"/>
  <c r="G47" i="1"/>
  <c r="C47" i="1"/>
  <c r="E41" i="1"/>
  <c r="E42" i="1" s="1"/>
  <c r="E28" i="1"/>
  <c r="E25" i="1"/>
  <c r="E23" i="1"/>
  <c r="C14" i="1"/>
  <c r="E7" i="1"/>
  <c r="E3" i="1"/>
  <c r="O156" i="1"/>
  <c r="O143" i="1"/>
  <c r="P168" i="1"/>
  <c r="P156" i="1"/>
  <c r="H62" i="1"/>
  <c r="P143" i="1"/>
  <c r="H76" i="1"/>
  <c r="O180" i="1"/>
  <c r="P180" i="1"/>
  <c r="O168" i="1"/>
  <c r="J151" i="1" l="1"/>
  <c r="L148" i="1"/>
  <c r="G112" i="1"/>
  <c r="A161" i="1"/>
  <c r="A162" i="1" s="1"/>
  <c r="A163" i="1" s="1"/>
  <c r="A164" i="1" s="1"/>
  <c r="A165" i="1" s="1"/>
  <c r="A166" i="1" s="1"/>
  <c r="A185" i="1"/>
  <c r="A186" i="1" s="1"/>
  <c r="A187" i="1" s="1"/>
  <c r="A188" i="1" s="1"/>
  <c r="A189" i="1" s="1"/>
  <c r="A190" i="1" s="1"/>
  <c r="D34" i="3"/>
  <c r="D36" i="3" s="1"/>
  <c r="E36" i="3"/>
  <c r="A148" i="1"/>
  <c r="A149" i="1" s="1"/>
  <c r="A150" i="1" s="1"/>
  <c r="A151" i="1" s="1"/>
  <c r="A152" i="1" s="1"/>
  <c r="A173" i="1"/>
  <c r="A174" i="1" s="1"/>
  <c r="A175" i="1" s="1"/>
  <c r="A176" i="1" s="1"/>
  <c r="A177" i="1" s="1"/>
  <c r="A178" i="1" s="1"/>
  <c r="E112" i="1"/>
  <c r="E114" i="1" s="1"/>
  <c r="M132" i="1"/>
  <c r="K148" i="1"/>
  <c r="L135" i="1"/>
  <c r="F148" i="1"/>
  <c r="L149" i="1" s="1"/>
  <c r="F159" i="1"/>
  <c r="G113" i="1" s="1"/>
  <c r="N168" i="1"/>
  <c r="O169" i="1"/>
  <c r="P157" i="1"/>
  <c r="P158" i="1" s="1"/>
  <c r="P159" i="1" s="1"/>
  <c r="P160" i="1" s="1"/>
  <c r="P169" i="1"/>
  <c r="P170" i="1" s="1"/>
  <c r="P171" i="1" s="1"/>
  <c r="P172" i="1" s="1"/>
  <c r="O181" i="1"/>
  <c r="N180" i="1"/>
  <c r="D73" i="1"/>
  <c r="D69" i="1"/>
  <c r="J65" i="1"/>
  <c r="D74" i="1"/>
  <c r="D72" i="1"/>
  <c r="D68" i="1"/>
  <c r="D70" i="1"/>
  <c r="J67" i="1"/>
  <c r="J68" i="1" s="1"/>
  <c r="J73" i="1" s="1"/>
  <c r="J74" i="1" s="1"/>
  <c r="C66" i="1" s="1"/>
  <c r="D71" i="1"/>
  <c r="D67" i="1"/>
  <c r="J61" i="1"/>
  <c r="J63" i="1" s="1"/>
  <c r="J66" i="1"/>
  <c r="C65" i="1" s="1"/>
  <c r="D65" i="1" s="1"/>
  <c r="J64" i="1"/>
  <c r="P181" i="1"/>
  <c r="P182" i="1" s="1"/>
  <c r="P183" i="1" s="1"/>
  <c r="P184" i="1" s="1"/>
  <c r="N143" i="1"/>
  <c r="O144" i="1"/>
  <c r="D85" i="1"/>
  <c r="J75" i="1"/>
  <c r="J77" i="1" s="1"/>
  <c r="D86" i="1"/>
  <c r="D82" i="1"/>
  <c r="D87" i="1"/>
  <c r="J79" i="1"/>
  <c r="J81" i="1"/>
  <c r="J82" i="1" s="1"/>
  <c r="J87" i="1" s="1"/>
  <c r="J88" i="1" s="1"/>
  <c r="C80" i="1" s="1"/>
  <c r="D81" i="1"/>
  <c r="D83" i="1"/>
  <c r="J80" i="1"/>
  <c r="C79" i="1" s="1"/>
  <c r="D79" i="1" s="1"/>
  <c r="J78" i="1"/>
  <c r="D88" i="1"/>
  <c r="D84" i="1"/>
  <c r="P144" i="1"/>
  <c r="P145" i="1" s="1"/>
  <c r="P146" i="1" s="1"/>
  <c r="P147" i="1" s="1"/>
  <c r="N156" i="1"/>
  <c r="O157" i="1"/>
  <c r="P148" i="1"/>
  <c r="P185" i="1"/>
  <c r="O148" i="1"/>
  <c r="O161" i="1"/>
  <c r="O173" i="1"/>
  <c r="O185" i="1"/>
  <c r="P173" i="1"/>
  <c r="P161" i="1"/>
  <c r="P174" i="1" l="1"/>
  <c r="P175" i="1" s="1"/>
  <c r="P177" i="1" s="1"/>
  <c r="N148" i="1"/>
  <c r="O149" i="1"/>
  <c r="O150" i="1" s="1"/>
  <c r="O162" i="1"/>
  <c r="O163" i="1" s="1"/>
  <c r="N161" i="1"/>
  <c r="P186" i="1"/>
  <c r="P187" i="1" s="1"/>
  <c r="P188" i="1" s="1"/>
  <c r="P190" i="1" s="1"/>
  <c r="O174" i="1"/>
  <c r="N173" i="1"/>
  <c r="P149" i="1"/>
  <c r="P150" i="1" s="1"/>
  <c r="P151" i="1" s="1"/>
  <c r="P152" i="1" s="1"/>
  <c r="N185" i="1"/>
  <c r="O186" i="1"/>
  <c r="P162" i="1"/>
  <c r="P163" i="1" s="1"/>
  <c r="P165" i="1" s="1"/>
  <c r="G114" i="1"/>
  <c r="L150" i="1"/>
  <c r="E65" i="1"/>
  <c r="D66" i="1"/>
  <c r="I62" i="1" s="1"/>
  <c r="I63" i="1" s="1"/>
  <c r="E79" i="1"/>
  <c r="D80" i="1"/>
  <c r="I76" i="1" s="1"/>
  <c r="N181" i="1"/>
  <c r="O182" i="1"/>
  <c r="O145" i="1"/>
  <c r="N144" i="1"/>
  <c r="G79" i="1"/>
  <c r="J76" i="1"/>
  <c r="N157" i="1"/>
  <c r="O158" i="1"/>
  <c r="G65" i="1"/>
  <c r="D60" i="1" s="1"/>
  <c r="F89" i="1" s="1"/>
  <c r="J62" i="1"/>
  <c r="N169" i="1"/>
  <c r="O170" i="1"/>
  <c r="P176" i="1" l="1"/>
  <c r="P178" i="1" s="1"/>
  <c r="P189" i="1"/>
  <c r="N149" i="1"/>
  <c r="N186" i="1"/>
  <c r="N174" i="1"/>
  <c r="O187" i="1"/>
  <c r="O189" i="1" s="1"/>
  <c r="N162" i="1"/>
  <c r="P164" i="1"/>
  <c r="P166" i="1" s="1"/>
  <c r="O175" i="1"/>
  <c r="O177" i="1" s="1"/>
  <c r="N177" i="1" s="1"/>
  <c r="I77" i="1"/>
  <c r="I75" i="1" s="1"/>
  <c r="C77" i="1" s="1"/>
  <c r="O164" i="1"/>
  <c r="O165" i="1"/>
  <c r="N165" i="1" s="1"/>
  <c r="N163" i="1"/>
  <c r="I61" i="1"/>
  <c r="C63" i="1" s="1"/>
  <c r="O183" i="1"/>
  <c r="N182" i="1"/>
  <c r="N170" i="1"/>
  <c r="O171" i="1"/>
  <c r="O151" i="1"/>
  <c r="N150" i="1"/>
  <c r="N158" i="1"/>
  <c r="O159" i="1"/>
  <c r="N145" i="1"/>
  <c r="O146" i="1"/>
  <c r="N189" i="1" l="1"/>
  <c r="N187" i="1"/>
  <c r="O188" i="1"/>
  <c r="O190" i="1" s="1"/>
  <c r="N190" i="1" s="1"/>
  <c r="O176" i="1"/>
  <c r="O178" i="1" s="1"/>
  <c r="N178" i="1" s="1"/>
  <c r="N175" i="1"/>
  <c r="N171" i="1"/>
  <c r="O172" i="1"/>
  <c r="N172" i="1" s="1"/>
  <c r="O160" i="1"/>
  <c r="N160" i="1" s="1"/>
  <c r="N159" i="1"/>
  <c r="N183" i="1"/>
  <c r="O184" i="1"/>
  <c r="N184" i="1" s="1"/>
  <c r="N164" i="1"/>
  <c r="O166" i="1"/>
  <c r="N166" i="1" s="1"/>
  <c r="N146" i="1"/>
  <c r="O147" i="1"/>
  <c r="N147" i="1" s="1"/>
  <c r="N151" i="1"/>
  <c r="O152" i="1"/>
  <c r="N152" i="1" s="1"/>
  <c r="N188" i="1" l="1"/>
  <c r="N176" i="1"/>
</calcChain>
</file>

<file path=xl/sharedStrings.xml><?xml version="1.0" encoding="utf-8"?>
<sst xmlns="http://schemas.openxmlformats.org/spreadsheetml/2006/main" count="393" uniqueCount="243">
  <si>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</si>
  <si>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</si>
  <si>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</si>
  <si>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</si>
  <si>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Thane</t>
  </si>
  <si>
    <t>Date Of Property Visit</t>
  </si>
  <si>
    <t>Name of the builder group</t>
  </si>
  <si>
    <t>Mahalaxmi Cotton Mills</t>
  </si>
  <si>
    <t>Name of the builder company</t>
  </si>
  <si>
    <t>Name of the Project</t>
  </si>
  <si>
    <t>Arihant Anant Phase II</t>
  </si>
  <si>
    <t>Provided Contact Details ( Name &amp; Contact No.)</t>
  </si>
  <si>
    <t>Site Person - Contact Details ( Name &amp; Contact No.)</t>
  </si>
  <si>
    <t>Name / No of the Building</t>
  </si>
  <si>
    <t>Phase II - Wing B &amp; C</t>
  </si>
  <si>
    <t>Docouments Provided</t>
  </si>
  <si>
    <t>Approved Plans, CC</t>
  </si>
  <si>
    <t>RERA No.</t>
  </si>
  <si>
    <t>P52000049395</t>
  </si>
  <si>
    <t xml:space="preserve">Project location details       </t>
  </si>
  <si>
    <t>Gut No</t>
  </si>
  <si>
    <t>112/11/14/5 &amp; 112/12/15/5 (P)</t>
  </si>
  <si>
    <t>Road</t>
  </si>
  <si>
    <t>Ghot Road</t>
  </si>
  <si>
    <t>Locality/Village</t>
  </si>
  <si>
    <t>Taloje Majkur</t>
  </si>
  <si>
    <t>City</t>
  </si>
  <si>
    <t>Taloja Panchanand</t>
  </si>
  <si>
    <t>District</t>
  </si>
  <si>
    <t>Raigad</t>
  </si>
  <si>
    <t>Taluka</t>
  </si>
  <si>
    <t>Panvel</t>
  </si>
  <si>
    <t>Pin Code</t>
  </si>
  <si>
    <t>Nearby Landmark</t>
  </si>
  <si>
    <t>Simran Majestic CHS Ltd</t>
  </si>
  <si>
    <t xml:space="preserve">Distance from city centre: </t>
  </si>
  <si>
    <t>3.9 KM from Taloja Panchanand Railway Station</t>
  </si>
  <si>
    <t>Accessibility to the Project from the City: (Proximity to civic amenities like school, hospital, market, etc.)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</si>
  <si>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</si>
  <si>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</si>
  <si>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</si>
  <si>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</si>
  <si>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</si>
  <si>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</si>
  <si>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</si>
  <si>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</si>
  <si>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</si>
  <si>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</si>
  <si>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</si>
  <si>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</si>
  <si>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</si>
  <si>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</si>
  <si>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</si>
  <si>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deed</t>
  </si>
  <si>
    <t>At site</t>
  </si>
  <si>
    <t>East</t>
  </si>
  <si>
    <t>NA</t>
  </si>
  <si>
    <t>Open Plot</t>
  </si>
  <si>
    <t>West</t>
  </si>
  <si>
    <t>North</t>
  </si>
  <si>
    <t>Internal Road</t>
  </si>
  <si>
    <t>South</t>
  </si>
  <si>
    <t>Does the boundaries at site match, as mentioned in the Docoumentation: NA</t>
  </si>
  <si>
    <t>Latitude, Longitude</t>
  </si>
  <si>
    <t>19.077693, 73.107387</t>
  </si>
  <si>
    <t xml:space="preserve"> Location Link</t>
  </si>
  <si>
    <t>https://goo.gl/maps/Go1D4zhPywMfY8u98?coh=178572&amp;entry=tt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</si>
  <si>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</si>
  <si>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</si>
  <si>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</si>
  <si>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</si>
  <si>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</si>
  <si>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</si>
  <si>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</si>
  <si>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02 Wings</t>
  </si>
  <si>
    <t xml:space="preserve">Approval Detail : Plan approval </t>
  </si>
  <si>
    <t xml:space="preserve">Layout Approval No     </t>
  </si>
  <si>
    <t>PMP/NRV/16097/J.K/1992/2022</t>
  </si>
  <si>
    <t>Dated</t>
  </si>
  <si>
    <t xml:space="preserve">Approved Floor plan No.  </t>
  </si>
  <si>
    <t>Commencement-CC No.
Valid Up to:</t>
  </si>
  <si>
    <t>PMC/TP/Taloje Majkur/112/11/14/5 &amp; Others/21-22/16097/1992/2022</t>
  </si>
  <si>
    <t>Wing B = G + 1st to 9th floor
Wing C = G + 1st to 10th floor</t>
  </si>
  <si>
    <t xml:space="preserve">O. Certificate No.: </t>
  </si>
  <si>
    <t>NA
Approved upto : NA</t>
  </si>
  <si>
    <t xml:space="preserve">Date of approval: </t>
  </si>
  <si>
    <t>Building wise Construction details</t>
  </si>
  <si>
    <t>Approved area of building (Sq.Mt)</t>
  </si>
  <si>
    <t>Approved no of units</t>
  </si>
  <si>
    <t>Flats - 194</t>
  </si>
  <si>
    <t>Approved no of Floors</t>
  </si>
  <si>
    <t>Wing B = G + 1st to 9th Floor
Wing C = G + 1st to 10th Floor</t>
  </si>
  <si>
    <t>Proposed no of Floors</t>
  </si>
  <si>
    <t>Wing B = G + 1st to 9th Floor</t>
  </si>
  <si>
    <t>Wing C = G + 1st to 10th Floor</t>
  </si>
  <si>
    <t>Expected Completion</t>
  </si>
  <si>
    <t>As per RERA - 30/12/2027</t>
  </si>
  <si>
    <t>Projected life of the structure</t>
  </si>
  <si>
    <t xml:space="preserve">Quality of construction: </t>
  </si>
  <si>
    <t xml:space="preserve">Material laying at Site: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</si>
  <si>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</si>
  <si>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</si>
  <si>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</si>
  <si>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</si>
  <si>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</si>
  <si>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</si>
  <si>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</si>
  <si>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</si>
  <si>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</si>
  <si>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</si>
  <si>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</si>
  <si>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</si>
  <si>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</si>
  <si>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</si>
  <si>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</si>
  <si>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</si>
  <si>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</si>
  <si>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</si>
  <si>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</si>
  <si>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</si>
  <si>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</si>
  <si>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</si>
  <si>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</si>
  <si>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External Plaster &amp; Plumbing</t>
  </si>
  <si>
    <t>Basement 2</t>
  </si>
  <si>
    <t>Flooring &amp; Fitting</t>
  </si>
  <si>
    <t>Basement 3</t>
  </si>
  <si>
    <t>Basement 4</t>
  </si>
  <si>
    <t>Painting &amp; Wooden</t>
  </si>
  <si>
    <t>Plinth in process</t>
  </si>
  <si>
    <t>Possession</t>
  </si>
  <si>
    <t>Plinth completed</t>
  </si>
  <si>
    <t xml:space="preserve">Wheather the construction is as per approved Building plan : </t>
  </si>
  <si>
    <t>Violations Observed if any : NA</t>
  </si>
  <si>
    <r>
      <rPr>
        <b/>
        <sz val="12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</si>
  <si>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</si>
  <si>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Rates of the Property :</t>
  </si>
  <si>
    <t>Recommended rate of the flat Per Sq. Ft. ( on Saleable area)</t>
  </si>
  <si>
    <t>Recommended rate of the shop Per Sq. Ft. ( on Saleable area)</t>
  </si>
  <si>
    <t>Recommended rate of the Office Per Sq. Ft. ( on Saleable area)</t>
  </si>
  <si>
    <t>Floor Rise Rate Per Sq.ft</t>
  </si>
  <si>
    <t>Development Charges</t>
  </si>
  <si>
    <t>3,50,000/-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</si>
  <si>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</si>
  <si>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</si>
  <si>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</si>
  <si>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</si>
  <si>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</si>
  <si>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</si>
  <si>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</si>
  <si>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3,00,000/-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</si>
  <si>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</si>
  <si>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</si>
  <si>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</si>
  <si>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</si>
  <si>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</si>
  <si>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</si>
  <si>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Residential Area Details :</t>
  </si>
  <si>
    <t>Wing B</t>
  </si>
  <si>
    <t>Wing C</t>
  </si>
  <si>
    <t>Total</t>
  </si>
  <si>
    <t>Building details Floor Wise</t>
  </si>
  <si>
    <t xml:space="preserve">Details of Flats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</si>
  <si>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</si>
  <si>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
(Sale Plan)</t>
  </si>
  <si>
    <t>Description</t>
  </si>
  <si>
    <t>Gross Carpet area</t>
  </si>
  <si>
    <t>Attached Terrace area</t>
  </si>
  <si>
    <t>Saleable area Loading :</t>
  </si>
  <si>
    <t>Floor</t>
  </si>
  <si>
    <t>Ground Floor For Commetial &amp; Parking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</si>
  <si>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</si>
  <si>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</si>
  <si>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Phase II</t>
  </si>
  <si>
    <t>Ground Floor For Entrance Lobby, Meter Room &amp; Parking</t>
  </si>
  <si>
    <t>1st to 7th &amp; 9th Floor For Residential</t>
  </si>
  <si>
    <t>1BHK</t>
  </si>
  <si>
    <t>2BHK</t>
  </si>
  <si>
    <t>8th Floor (Part Refuge Area)</t>
  </si>
  <si>
    <t>-</t>
  </si>
  <si>
    <t>Refuge Area</t>
  </si>
  <si>
    <t>Wing A</t>
  </si>
  <si>
    <t>5000 (1.7)</t>
  </si>
  <si>
    <t>10th Floor (Part Terrace Area)</t>
  </si>
  <si>
    <t>Terrace Area</t>
  </si>
  <si>
    <t xml:space="preserve">Remarks:  </t>
  </si>
  <si>
    <t>Construction work was in process at the time of visit.</t>
  </si>
  <si>
    <t>We considered Carpet area as per Approved Plan.</t>
  </si>
  <si>
    <t>We considered Gross carpet area = Net carpet + Balcony.</t>
  </si>
  <si>
    <t>We have considered rate by verifying it from market inquire.</t>
  </si>
  <si>
    <t>Car parking is subjected to authentic documentation.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</si>
  <si>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</si>
  <si>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</si>
  <si>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</si>
  <si>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</si>
  <si>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</si>
  <si>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</si>
  <si>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</si>
  <si>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</si>
  <si>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Sunil Peravi</t>
  </si>
  <si>
    <t>Report By :</t>
  </si>
  <si>
    <t>Authorized Signatory
Name &amp; Seal of the agency</t>
  </si>
  <si>
    <t xml:space="preserve">PHOTOGRAPHS OF PROPERTY : 
</t>
  </si>
  <si>
    <t>Google Map :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</si>
  <si>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</si>
  <si>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</si>
  <si>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</si>
  <si>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</si>
  <si>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</si>
  <si>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</si>
  <si>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</si>
  <si>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</si>
  <si>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</si>
  <si>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</si>
  <si>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</si>
  <si>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</si>
  <si>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</si>
  <si>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</si>
  <si>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</si>
  <si>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</si>
  <si>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</si>
  <si>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</si>
  <si>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</si>
  <si>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</si>
  <si>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</si>
  <si>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</si>
  <si>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</si>
  <si>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</si>
  <si>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</si>
  <si>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</si>
  <si>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</si>
  <si>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</si>
  <si>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</si>
  <si>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</si>
  <si>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</si>
  <si>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</si>
  <si>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</si>
  <si>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</si>
  <si>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Mr. Rakesh Kumar 8369445081</t>
  </si>
  <si>
    <t>Ext. Plaster &amp; Plumbing</t>
  </si>
  <si>
    <t>Building Common Amenities</t>
  </si>
  <si>
    <t>Savita : 9892152815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</si>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</sst>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dd\/mm\/yyyy"/>
    <numFmt numFmtId="167" formatCode="0.0"/>
    <numFmt numFmtId="168" formatCode="0.00000"/>
    <numFmt numFmtId="169" formatCode="0.0000000"/>
  </numFmts>
  <fonts count="23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9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</cellStyleXfs>
  <cellXfs count="189">
    <xf numFmtId="0" fontId="0" fillId="0" borderId="0" xfId="0"/>
    <xf numFmtId="0" fontId="1" fillId="0" borderId="0" xfId="7"/>
    <xf numFmtId="0" fontId="2" fillId="0" borderId="0" xfId="13"/>
    <xf numFmtId="0" fontId="3" fillId="0" borderId="1" xfId="13" applyFont="1" applyBorder="1" applyAlignment="1">
      <alignment horizontal="center" vertical="top" wrapText="1"/>
    </xf>
    <xf numFmtId="0" fontId="2" fillId="0" borderId="1" xfId="13" applyBorder="1" applyAlignment="1">
      <alignment horizontal="center" vertical="center"/>
    </xf>
    <xf numFmtId="0" fontId="2" fillId="0" borderId="1" xfId="13" applyBorder="1" applyAlignment="1">
      <alignment horizontal="left" vertical="center"/>
    </xf>
    <xf numFmtId="1" fontId="2" fillId="0" borderId="1" xfId="13" applyNumberFormat="1" applyBorder="1" applyAlignment="1">
      <alignment horizontal="center" vertical="center"/>
    </xf>
    <xf numFmtId="165" fontId="2" fillId="0" borderId="1" xfId="3" applyNumberFormat="1" applyFont="1" applyBorder="1" applyAlignment="1">
      <alignment horizontal="right" vertical="center"/>
    </xf>
    <xf numFmtId="0" fontId="2" fillId="0" borderId="1" xfId="13" applyBorder="1" applyAlignment="1">
      <alignment horizontal="left" vertical="center" wrapText="1"/>
    </xf>
    <xf numFmtId="0" fontId="3" fillId="0" borderId="1" xfId="13" applyFont="1" applyBorder="1" applyAlignment="1">
      <alignment horizontal="center" vertical="center"/>
    </xf>
    <xf numFmtId="1" fontId="4" fillId="0" borderId="1" xfId="13" applyNumberFormat="1" applyFont="1" applyBorder="1" applyAlignment="1">
      <alignment horizontal="center" vertical="center"/>
    </xf>
    <xf numFmtId="0" fontId="1" fillId="0" borderId="1" xfId="7" applyBorder="1" applyAlignment="1">
      <alignment horizontal="center" vertical="center"/>
    </xf>
    <xf numFmtId="0" fontId="5" fillId="0" borderId="0" xfId="7" applyFont="1"/>
    <xf numFmtId="0" fontId="0" fillId="2" borderId="1" xfId="0" applyFill="1" applyBorder="1"/>
    <xf numFmtId="0" fontId="0" fillId="0" borderId="2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6" fillId="0" borderId="0" xfId="10" applyFont="1"/>
    <xf numFmtId="0" fontId="7" fillId="0" borderId="0" xfId="10" applyFont="1"/>
    <xf numFmtId="0" fontId="8" fillId="0" borderId="0" xfId="10" applyFont="1"/>
    <xf numFmtId="0" fontId="9" fillId="0" borderId="0" xfId="6" applyFont="1"/>
    <xf numFmtId="0" fontId="10" fillId="0" borderId="0" xfId="0" applyFont="1" applyAlignment="1">
      <alignment horizontal="center" vertical="center"/>
    </xf>
    <xf numFmtId="0" fontId="10" fillId="0" borderId="0" xfId="10" applyFont="1" applyAlignment="1">
      <alignment horizontal="center" vertical="center"/>
    </xf>
    <xf numFmtId="0" fontId="10" fillId="0" borderId="0" xfId="10" applyFont="1" applyProtection="1">
      <protection locked="0"/>
    </xf>
    <xf numFmtId="0" fontId="10" fillId="0" borderId="0" xfId="10" applyFont="1"/>
    <xf numFmtId="0" fontId="7" fillId="0" borderId="1" xfId="10" applyFont="1" applyBorder="1" applyAlignment="1" applyProtection="1">
      <alignment horizontal="center" vertical="top"/>
      <protection locked="0"/>
    </xf>
    <xf numFmtId="0" fontId="7" fillId="3" borderId="1" xfId="10" applyFont="1" applyFill="1" applyBorder="1" applyAlignment="1" applyProtection="1">
      <alignment vertical="top"/>
      <protection locked="0"/>
    </xf>
    <xf numFmtId="0" fontId="15" fillId="3" borderId="1" xfId="10" applyFont="1" applyFill="1" applyBorder="1" applyAlignment="1" applyProtection="1">
      <alignment horizontal="left" vertical="top"/>
      <protection locked="0"/>
    </xf>
    <xf numFmtId="0" fontId="7" fillId="0" borderId="18" xfId="10" applyFont="1" applyBorder="1" applyAlignment="1" applyProtection="1">
      <alignment horizontal="center" vertical="top"/>
      <protection locked="0"/>
    </xf>
    <xf numFmtId="0" fontId="7" fillId="0" borderId="19" xfId="10" applyFont="1" applyBorder="1" applyAlignment="1" applyProtection="1">
      <alignment horizontal="center" vertical="top"/>
      <protection locked="0"/>
    </xf>
    <xf numFmtId="0" fontId="7" fillId="0" borderId="1" xfId="10" applyFont="1" applyBorder="1" applyAlignment="1" applyProtection="1">
      <alignment horizontal="center" vertical="top" wrapText="1"/>
      <protection locked="0"/>
    </xf>
    <xf numFmtId="1" fontId="10" fillId="0" borderId="0" xfId="10" applyNumberFormat="1" applyFont="1"/>
    <xf numFmtId="14" fontId="10" fillId="0" borderId="0" xfId="10" applyNumberFormat="1" applyFont="1"/>
    <xf numFmtId="0" fontId="10" fillId="0" borderId="0" xfId="10" applyFont="1" applyProtection="1">
      <protection hidden="1"/>
    </xf>
    <xf numFmtId="0" fontId="16" fillId="2" borderId="20" xfId="0" applyFont="1" applyFill="1" applyBorder="1"/>
    <xf numFmtId="0" fontId="17" fillId="0" borderId="21" xfId="0" applyFont="1" applyBorder="1"/>
    <xf numFmtId="0" fontId="17" fillId="0" borderId="1" xfId="0" applyFont="1" applyBorder="1"/>
    <xf numFmtId="0" fontId="17" fillId="0" borderId="19" xfId="0" applyFont="1" applyBorder="1"/>
    <xf numFmtId="0" fontId="18" fillId="0" borderId="0" xfId="0" applyFont="1" applyProtection="1">
      <protection hidden="1"/>
    </xf>
    <xf numFmtId="0" fontId="10" fillId="0" borderId="22" xfId="10" applyFont="1" applyBorder="1"/>
    <xf numFmtId="9" fontId="7" fillId="0" borderId="1" xfId="1" applyFont="1" applyFill="1" applyBorder="1" applyAlignment="1" applyProtection="1">
      <alignment horizontal="center" vertical="top" wrapText="1"/>
      <protection locked="0"/>
    </xf>
    <xf numFmtId="1" fontId="7" fillId="0" borderId="1" xfId="10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9" xfId="10" applyNumberFormat="1" applyFont="1" applyBorder="1" applyAlignment="1" applyProtection="1">
      <alignment horizontal="center" vertical="top" wrapText="1"/>
      <protection locked="0"/>
    </xf>
    <xf numFmtId="9" fontId="12" fillId="0" borderId="12" xfId="1" applyFont="1" applyBorder="1" applyAlignment="1" applyProtection="1">
      <alignment horizontal="center" vertical="top" wrapText="1"/>
      <protection locked="0"/>
    </xf>
    <xf numFmtId="1" fontId="9" fillId="0" borderId="1" xfId="10" applyNumberFormat="1" applyFont="1" applyBorder="1" applyAlignment="1" applyProtection="1">
      <alignment horizontal="center" vertical="center" wrapText="1"/>
      <protection locked="0"/>
    </xf>
    <xf numFmtId="9" fontId="12" fillId="0" borderId="26" xfId="1" applyFont="1" applyBorder="1" applyAlignment="1" applyProtection="1">
      <alignment horizontal="center" vertical="top" wrapText="1"/>
      <protection locked="0"/>
    </xf>
    <xf numFmtId="0" fontId="18" fillId="0" borderId="22" xfId="0" applyFont="1" applyBorder="1" applyProtection="1">
      <protection hidden="1"/>
    </xf>
    <xf numFmtId="1" fontId="0" fillId="0" borderId="22" xfId="0" applyNumberFormat="1" applyBorder="1"/>
    <xf numFmtId="1" fontId="0" fillId="0" borderId="22" xfId="0" applyNumberFormat="1" applyBorder="1" applyAlignment="1">
      <alignment horizontal="right"/>
    </xf>
    <xf numFmtId="0" fontId="18" fillId="0" borderId="27" xfId="0" applyFont="1" applyBorder="1" applyProtection="1">
      <protection hidden="1"/>
    </xf>
    <xf numFmtId="1" fontId="0" fillId="0" borderId="25" xfId="0" applyNumberFormat="1" applyBorder="1"/>
    <xf numFmtId="0" fontId="6" fillId="2" borderId="0" xfId="10" applyFont="1" applyFill="1"/>
    <xf numFmtId="14" fontId="6" fillId="2" borderId="0" xfId="10" applyNumberFormat="1" applyFont="1" applyFill="1"/>
    <xf numFmtId="0" fontId="10" fillId="2" borderId="0" xfId="10" applyFont="1" applyFill="1"/>
    <xf numFmtId="0" fontId="8" fillId="2" borderId="0" xfId="10" applyFont="1" applyFill="1"/>
    <xf numFmtId="2" fontId="10" fillId="0" borderId="0" xfId="10" applyNumberFormat="1" applyFont="1" applyAlignment="1">
      <alignment horizontal="center" vertical="center"/>
    </xf>
    <xf numFmtId="1" fontId="10" fillId="0" borderId="0" xfId="10" applyNumberFormat="1" applyFont="1" applyAlignment="1">
      <alignment horizontal="center" vertical="center"/>
    </xf>
    <xf numFmtId="1" fontId="10" fillId="0" borderId="1" xfId="10" applyNumberFormat="1" applyFont="1" applyBorder="1" applyAlignment="1">
      <alignment horizontal="center" vertical="center"/>
    </xf>
    <xf numFmtId="168" fontId="10" fillId="0" borderId="0" xfId="10" applyNumberFormat="1" applyFont="1" applyAlignment="1">
      <alignment horizontal="center" vertical="center"/>
    </xf>
    <xf numFmtId="169" fontId="10" fillId="0" borderId="0" xfId="10" applyNumberFormat="1" applyFont="1" applyAlignment="1">
      <alignment horizontal="center" vertical="center"/>
    </xf>
    <xf numFmtId="0" fontId="12" fillId="0" borderId="0" xfId="10" applyFont="1" applyAlignment="1" applyProtection="1">
      <alignment vertical="top"/>
      <protection locked="0"/>
    </xf>
    <xf numFmtId="0" fontId="12" fillId="0" borderId="0" xfId="10" applyFont="1" applyAlignment="1" applyProtection="1">
      <alignment vertical="top" wrapText="1"/>
      <protection locked="0"/>
    </xf>
    <xf numFmtId="0" fontId="15" fillId="0" borderId="0" xfId="10" applyFont="1" applyProtection="1">
      <protection locked="0"/>
    </xf>
    <xf numFmtId="0" fontId="15" fillId="0" borderId="0" xfId="10" applyFont="1"/>
    <xf numFmtId="1" fontId="9" fillId="0" borderId="1" xfId="1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10" applyFont="1" applyFill="1" applyBorder="1" applyAlignment="1" applyProtection="1">
      <alignment horizontal="left" vertical="top"/>
      <protection locked="0"/>
    </xf>
    <xf numFmtId="0" fontId="7" fillId="0" borderId="1" xfId="10" applyFont="1" applyBorder="1" applyAlignment="1" applyProtection="1">
      <alignment horizontal="center" vertical="top" wrapText="1"/>
      <protection locked="0"/>
    </xf>
    <xf numFmtId="0" fontId="7" fillId="0" borderId="1" xfId="10" applyFont="1" applyBorder="1" applyAlignment="1" applyProtection="1">
      <alignment horizontal="center" vertical="top"/>
      <protection locked="0"/>
    </xf>
    <xf numFmtId="0" fontId="11" fillId="0" borderId="1" xfId="11" applyFont="1" applyBorder="1" applyAlignment="1" applyProtection="1">
      <alignment horizontal="center" vertical="top" wrapText="1"/>
      <protection locked="0"/>
    </xf>
    <xf numFmtId="0" fontId="12" fillId="0" borderId="1" xfId="10" applyFont="1" applyBorder="1" applyAlignment="1" applyProtection="1">
      <alignment horizontal="center" vertical="top"/>
      <protection locked="0"/>
    </xf>
    <xf numFmtId="0" fontId="9" fillId="0" borderId="1" xfId="10" applyFont="1" applyBorder="1" applyAlignment="1" applyProtection="1">
      <alignment horizontal="left" vertical="top"/>
      <protection locked="0"/>
    </xf>
    <xf numFmtId="166" fontId="9" fillId="0" borderId="1" xfId="10" applyNumberFormat="1" applyFont="1" applyBorder="1" applyAlignment="1" applyProtection="1">
      <alignment horizontal="left" vertical="top"/>
      <protection locked="0"/>
    </xf>
    <xf numFmtId="0" fontId="10" fillId="0" borderId="1" xfId="10" applyFont="1" applyBorder="1" applyAlignment="1" applyProtection="1">
      <alignment horizontal="left" vertical="top"/>
      <protection locked="0"/>
    </xf>
    <xf numFmtId="0" fontId="7" fillId="0" borderId="1" xfId="10" applyFont="1" applyBorder="1" applyAlignment="1" applyProtection="1">
      <alignment horizontal="left" vertical="center" wrapText="1"/>
      <protection locked="0"/>
    </xf>
    <xf numFmtId="14" fontId="9" fillId="0" borderId="1" xfId="10" applyNumberFormat="1" applyFont="1" applyBorder="1" applyAlignment="1" applyProtection="1">
      <alignment horizontal="left" vertical="top"/>
      <protection locked="0"/>
    </xf>
    <xf numFmtId="0" fontId="9" fillId="0" borderId="1" xfId="10" applyFont="1" applyBorder="1" applyAlignment="1" applyProtection="1">
      <alignment horizontal="left" vertical="top" wrapText="1"/>
      <protection locked="0"/>
    </xf>
    <xf numFmtId="0" fontId="12" fillId="0" borderId="1" xfId="10" applyFont="1" applyBorder="1" applyAlignment="1" applyProtection="1">
      <alignment horizontal="left" vertical="top" wrapText="1"/>
      <protection locked="0"/>
    </xf>
    <xf numFmtId="0" fontId="12" fillId="0" borderId="1" xfId="10" applyFont="1" applyBorder="1" applyAlignment="1" applyProtection="1">
      <alignment horizontal="left" vertical="top"/>
      <protection locked="0"/>
    </xf>
    <xf numFmtId="0" fontId="7" fillId="0" borderId="1" xfId="10" applyFont="1" applyBorder="1" applyAlignment="1" applyProtection="1">
      <alignment horizontal="left" vertical="top"/>
      <protection locked="0"/>
    </xf>
    <xf numFmtId="0" fontId="7" fillId="0" borderId="1" xfId="10" applyFont="1" applyBorder="1" applyAlignment="1" applyProtection="1">
      <alignment horizontal="left" vertical="top" wrapText="1"/>
      <protection locked="0"/>
    </xf>
    <xf numFmtId="0" fontId="7" fillId="0" borderId="1" xfId="10" applyFont="1" applyBorder="1" applyAlignment="1" applyProtection="1">
      <alignment horizontal="left"/>
      <protection locked="0"/>
    </xf>
    <xf numFmtId="0" fontId="9" fillId="3" borderId="1" xfId="10" applyFont="1" applyFill="1" applyBorder="1" applyAlignment="1" applyProtection="1">
      <alignment horizontal="left" vertical="top" wrapText="1"/>
      <protection locked="0"/>
    </xf>
    <xf numFmtId="0" fontId="10" fillId="0" borderId="1" xfId="10" applyFont="1" applyBorder="1" applyAlignment="1" applyProtection="1">
      <alignment horizontal="left" vertical="top" wrapText="1"/>
      <protection locked="0"/>
    </xf>
    <xf numFmtId="0" fontId="10" fillId="0" borderId="1" xfId="10" applyFont="1" applyBorder="1" applyAlignment="1" applyProtection="1">
      <alignment horizontal="left" vertical="center" wrapText="1"/>
      <protection locked="0"/>
    </xf>
    <xf numFmtId="0" fontId="13" fillId="0" borderId="1" xfId="10" applyFont="1" applyBorder="1" applyAlignment="1" applyProtection="1">
      <alignment horizontal="center"/>
      <protection locked="0"/>
    </xf>
    <xf numFmtId="0" fontId="13" fillId="0" borderId="1" xfId="10" applyFont="1" applyBorder="1" applyAlignment="1" applyProtection="1">
      <alignment horizontal="center" vertical="top"/>
      <protection locked="0"/>
    </xf>
    <xf numFmtId="0" fontId="7" fillId="0" borderId="1" xfId="10" applyFont="1" applyBorder="1" applyAlignment="1" applyProtection="1">
      <alignment horizontal="center"/>
      <protection locked="0"/>
    </xf>
    <xf numFmtId="0" fontId="7" fillId="0" borderId="1" xfId="10" applyFont="1" applyBorder="1" applyAlignment="1" applyProtection="1">
      <alignment horizontal="center" vertical="top"/>
      <protection locked="0"/>
    </xf>
    <xf numFmtId="0" fontId="10" fillId="0" borderId="3" xfId="10" applyFont="1" applyBorder="1" applyAlignment="1" applyProtection="1">
      <alignment horizontal="left"/>
      <protection locked="0"/>
    </xf>
    <xf numFmtId="0" fontId="10" fillId="0" borderId="4" xfId="10" applyFont="1" applyBorder="1" applyAlignment="1" applyProtection="1">
      <alignment horizontal="left"/>
      <protection locked="0"/>
    </xf>
    <xf numFmtId="0" fontId="10" fillId="0" borderId="5" xfId="10" applyFont="1" applyBorder="1" applyAlignment="1" applyProtection="1">
      <alignment horizontal="left"/>
      <protection locked="0"/>
    </xf>
    <xf numFmtId="0" fontId="14" fillId="0" borderId="3" xfId="2" applyBorder="1" applyAlignment="1" applyProtection="1">
      <alignment horizontal="left"/>
      <protection locked="0"/>
    </xf>
    <xf numFmtId="2" fontId="9" fillId="0" borderId="1" xfId="10" applyNumberFormat="1" applyFont="1" applyBorder="1" applyAlignment="1" applyProtection="1">
      <alignment horizontal="left" vertical="top" wrapText="1"/>
      <protection locked="0"/>
    </xf>
    <xf numFmtId="167" fontId="9" fillId="0" borderId="1" xfId="10" applyNumberFormat="1" applyFont="1" applyBorder="1" applyAlignment="1" applyProtection="1">
      <alignment horizontal="left" vertical="top"/>
      <protection locked="0"/>
    </xf>
    <xf numFmtId="2" fontId="9" fillId="0" borderId="1" xfId="10" applyNumberFormat="1" applyFont="1" applyBorder="1" applyAlignment="1" applyProtection="1">
      <alignment horizontal="left" vertical="top"/>
      <protection locked="0"/>
    </xf>
    <xf numFmtId="0" fontId="7" fillId="3" borderId="1" xfId="10" applyFont="1" applyFill="1" applyBorder="1" applyAlignment="1" applyProtection="1">
      <alignment horizontal="left" vertical="top" wrapText="1"/>
      <protection locked="0"/>
    </xf>
    <xf numFmtId="166" fontId="7" fillId="0" borderId="1" xfId="10" applyNumberFormat="1" applyFont="1" applyBorder="1" applyAlignment="1" applyProtection="1">
      <alignment horizontal="left" vertical="top" wrapText="1"/>
      <protection locked="0"/>
    </xf>
    <xf numFmtId="0" fontId="7" fillId="3" borderId="1" xfId="10" applyFont="1" applyFill="1" applyBorder="1" applyAlignment="1" applyProtection="1">
      <alignment horizontal="left" vertical="top"/>
      <protection locked="0"/>
    </xf>
    <xf numFmtId="0" fontId="15" fillId="0" borderId="1" xfId="10" applyFont="1" applyBorder="1" applyAlignment="1" applyProtection="1">
      <alignment horizontal="left" vertical="top" wrapText="1"/>
      <protection locked="0"/>
    </xf>
    <xf numFmtId="0" fontId="15" fillId="3" borderId="1" xfId="10" applyFont="1" applyFill="1" applyBorder="1" applyAlignment="1" applyProtection="1">
      <alignment horizontal="left" vertical="top" wrapText="1"/>
      <protection locked="0"/>
    </xf>
    <xf numFmtId="0" fontId="15" fillId="3" borderId="1" xfId="10" applyFont="1" applyFill="1" applyBorder="1" applyAlignment="1" applyProtection="1">
      <alignment horizontal="left" vertical="top"/>
      <protection locked="0"/>
    </xf>
    <xf numFmtId="166" fontId="15" fillId="0" borderId="1" xfId="10" applyNumberFormat="1" applyFont="1" applyBorder="1" applyAlignment="1" applyProtection="1">
      <alignment horizontal="left" vertical="top" wrapText="1"/>
      <protection locked="0"/>
    </xf>
    <xf numFmtId="0" fontId="12" fillId="0" borderId="1" xfId="10" applyFont="1" applyBorder="1" applyAlignment="1" applyProtection="1">
      <alignment vertical="top"/>
      <protection locked="0"/>
    </xf>
    <xf numFmtId="0" fontId="7" fillId="0" borderId="6" xfId="10" applyFont="1" applyBorder="1" applyAlignment="1" applyProtection="1">
      <alignment horizontal="left" vertical="top" wrapText="1"/>
      <protection locked="0"/>
    </xf>
    <xf numFmtId="0" fontId="7" fillId="0" borderId="7" xfId="10" applyFont="1" applyBorder="1" applyAlignment="1" applyProtection="1">
      <alignment horizontal="left" vertical="top" wrapText="1"/>
      <protection locked="0"/>
    </xf>
    <xf numFmtId="0" fontId="7" fillId="0" borderId="8" xfId="10" applyFont="1" applyBorder="1" applyAlignment="1" applyProtection="1">
      <alignment horizontal="left" vertical="top" wrapText="1"/>
      <protection locked="0"/>
    </xf>
    <xf numFmtId="0" fontId="7" fillId="0" borderId="9" xfId="10" applyFont="1" applyBorder="1" applyAlignment="1" applyProtection="1">
      <alignment horizontal="left" vertical="top" wrapText="1"/>
      <protection locked="0"/>
    </xf>
    <xf numFmtId="0" fontId="7" fillId="0" borderId="9" xfId="10" applyFont="1" applyBorder="1" applyAlignment="1" applyProtection="1">
      <alignment horizontal="left" vertical="top"/>
      <protection locked="0"/>
    </xf>
    <xf numFmtId="0" fontId="7" fillId="0" borderId="6" xfId="10" applyFont="1" applyBorder="1" applyAlignment="1" applyProtection="1">
      <alignment horizontal="left" vertical="top"/>
      <protection locked="0"/>
    </xf>
    <xf numFmtId="0" fontId="7" fillId="0" borderId="7" xfId="10" applyFont="1" applyBorder="1" applyAlignment="1" applyProtection="1">
      <alignment horizontal="left" vertical="top"/>
      <protection locked="0"/>
    </xf>
    <xf numFmtId="0" fontId="7" fillId="0" borderId="8" xfId="10" applyFont="1" applyBorder="1" applyAlignment="1" applyProtection="1">
      <alignment horizontal="left" vertical="top"/>
      <protection locked="0"/>
    </xf>
    <xf numFmtId="0" fontId="7" fillId="0" borderId="10" xfId="10" applyFont="1" applyBorder="1" applyAlignment="1" applyProtection="1">
      <alignment horizontal="left" vertical="top"/>
      <protection locked="0"/>
    </xf>
    <xf numFmtId="0" fontId="7" fillId="0" borderId="2" xfId="10" applyFont="1" applyBorder="1" applyAlignment="1" applyProtection="1">
      <alignment horizontal="left" vertical="top"/>
      <protection locked="0"/>
    </xf>
    <xf numFmtId="0" fontId="7" fillId="0" borderId="11" xfId="10" applyFont="1" applyBorder="1" applyAlignment="1" applyProtection="1">
      <alignment horizontal="left" vertical="top"/>
      <protection locked="0"/>
    </xf>
    <xf numFmtId="0" fontId="9" fillId="0" borderId="12" xfId="10" applyFont="1" applyBorder="1" applyAlignment="1" applyProtection="1">
      <alignment horizontal="left" vertical="top" wrapText="1"/>
      <protection locked="0"/>
    </xf>
    <xf numFmtId="1" fontId="9" fillId="0" borderId="1" xfId="10" applyNumberFormat="1" applyFont="1" applyBorder="1" applyAlignment="1" applyProtection="1">
      <alignment horizontal="left" vertical="top" wrapText="1"/>
      <protection locked="0"/>
    </xf>
    <xf numFmtId="0" fontId="13" fillId="0" borderId="13" xfId="10" applyFont="1" applyBorder="1" applyAlignment="1" applyProtection="1">
      <alignment horizontal="left" vertical="top" wrapText="1"/>
      <protection locked="0"/>
    </xf>
    <xf numFmtId="0" fontId="13" fillId="0" borderId="14" xfId="10" applyFont="1" applyBorder="1" applyAlignment="1" applyProtection="1">
      <alignment horizontal="left" vertical="top" wrapText="1"/>
      <protection locked="0"/>
    </xf>
    <xf numFmtId="0" fontId="13" fillId="0" borderId="15" xfId="10" applyFont="1" applyBorder="1" applyAlignment="1" applyProtection="1">
      <alignment horizontal="left" vertical="top" wrapText="1"/>
      <protection locked="0"/>
    </xf>
    <xf numFmtId="0" fontId="13" fillId="0" borderId="16" xfId="10" applyFont="1" applyBorder="1" applyAlignment="1" applyProtection="1">
      <alignment horizontal="left" vertical="top" wrapText="1"/>
      <protection locked="0"/>
    </xf>
    <xf numFmtId="0" fontId="13" fillId="0" borderId="17" xfId="10" applyFont="1" applyBorder="1" applyAlignment="1" applyProtection="1">
      <alignment horizontal="left" vertical="top" wrapText="1"/>
      <protection locked="0"/>
    </xf>
    <xf numFmtId="0" fontId="13" fillId="0" borderId="18" xfId="10" applyFont="1" applyBorder="1" applyAlignment="1" applyProtection="1">
      <alignment horizontal="left" vertical="top"/>
      <protection locked="0"/>
    </xf>
    <xf numFmtId="0" fontId="13" fillId="0" borderId="1" xfId="10" applyFont="1" applyBorder="1" applyAlignment="1" applyProtection="1">
      <alignment horizontal="left" vertical="top"/>
      <protection locked="0"/>
    </xf>
    <xf numFmtId="0" fontId="13" fillId="0" borderId="1" xfId="10" applyFont="1" applyBorder="1" applyAlignment="1" applyProtection="1">
      <alignment horizontal="left" vertical="top" wrapText="1"/>
      <protection locked="0"/>
    </xf>
    <xf numFmtId="0" fontId="13" fillId="0" borderId="19" xfId="10" applyFont="1" applyBorder="1" applyAlignment="1" applyProtection="1">
      <alignment horizontal="left" vertical="top" wrapText="1"/>
      <protection locked="0"/>
    </xf>
    <xf numFmtId="0" fontId="7" fillId="0" borderId="18" xfId="10" applyFont="1" applyBorder="1" applyAlignment="1" applyProtection="1">
      <alignment horizontal="center" vertical="top" wrapText="1"/>
      <protection locked="0"/>
    </xf>
    <xf numFmtId="0" fontId="7" fillId="0" borderId="1" xfId="10" applyFont="1" applyBorder="1" applyAlignment="1" applyProtection="1">
      <alignment horizontal="center" vertical="top" wrapText="1"/>
      <protection locked="0"/>
    </xf>
    <xf numFmtId="0" fontId="7" fillId="0" borderId="19" xfId="10" applyFont="1" applyBorder="1" applyAlignment="1" applyProtection="1">
      <alignment horizontal="center" vertical="top" wrapText="1"/>
      <protection locked="0"/>
    </xf>
    <xf numFmtId="0" fontId="10" fillId="0" borderId="1" xfId="10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10" applyFont="1" applyAlignment="1">
      <alignment horizontal="center" vertical="center"/>
    </xf>
    <xf numFmtId="1" fontId="9" fillId="0" borderId="3" xfId="10" applyNumberFormat="1" applyFont="1" applyBorder="1" applyAlignment="1" applyProtection="1">
      <alignment horizontal="center" vertical="center" wrapText="1"/>
      <protection locked="0"/>
    </xf>
    <xf numFmtId="1" fontId="9" fillId="0" borderId="5" xfId="10" applyNumberFormat="1" applyFont="1" applyBorder="1" applyAlignment="1" applyProtection="1">
      <alignment horizontal="center" vertical="center" wrapText="1"/>
      <protection locked="0"/>
    </xf>
    <xf numFmtId="0" fontId="12" fillId="0" borderId="9" xfId="10" applyFont="1" applyBorder="1" applyAlignment="1" applyProtection="1">
      <alignment horizontal="center" vertical="top"/>
      <protection locked="0"/>
    </xf>
    <xf numFmtId="1" fontId="12" fillId="0" borderId="10" xfId="10" applyNumberFormat="1" applyFont="1" applyBorder="1" applyAlignment="1" applyProtection="1">
      <alignment horizontal="center" vertical="center" wrapText="1"/>
      <protection locked="0"/>
    </xf>
    <xf numFmtId="1" fontId="12" fillId="0" borderId="4" xfId="10" applyNumberFormat="1" applyFont="1" applyBorder="1" applyAlignment="1" applyProtection="1">
      <alignment horizontal="center" vertical="center" wrapText="1"/>
      <protection locked="0"/>
    </xf>
    <xf numFmtId="1" fontId="12" fillId="0" borderId="5" xfId="10" applyNumberFormat="1" applyFont="1" applyBorder="1" applyAlignment="1" applyProtection="1">
      <alignment horizontal="center" vertical="center" wrapText="1"/>
      <protection locked="0"/>
    </xf>
    <xf numFmtId="1" fontId="12" fillId="0" borderId="9" xfId="10" applyNumberFormat="1" applyFont="1" applyBorder="1" applyAlignment="1" applyProtection="1">
      <alignment horizontal="center" vertical="top" wrapText="1"/>
      <protection locked="0"/>
    </xf>
    <xf numFmtId="1" fontId="12" fillId="0" borderId="12" xfId="10" applyNumberFormat="1" applyFont="1" applyBorder="1" applyAlignment="1" applyProtection="1">
      <alignment horizontal="center" vertical="top" wrapText="1"/>
      <protection locked="0"/>
    </xf>
    <xf numFmtId="1" fontId="12" fillId="0" borderId="6" xfId="10" applyNumberFormat="1" applyFont="1" applyBorder="1" applyAlignment="1" applyProtection="1">
      <alignment horizontal="center" vertical="top" wrapText="1"/>
      <protection locked="0"/>
    </xf>
    <xf numFmtId="1" fontId="12" fillId="0" borderId="10" xfId="10" applyNumberFormat="1" applyFont="1" applyBorder="1" applyAlignment="1" applyProtection="1">
      <alignment horizontal="center" vertical="top" wrapText="1"/>
      <protection locked="0"/>
    </xf>
    <xf numFmtId="1" fontId="12" fillId="0" borderId="1" xfId="10" applyNumberFormat="1" applyFont="1" applyBorder="1" applyAlignment="1" applyProtection="1">
      <alignment horizontal="center" vertical="center" wrapText="1"/>
      <protection locked="0"/>
    </xf>
    <xf numFmtId="1" fontId="12" fillId="4" borderId="1" xfId="1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10" applyNumberFormat="1" applyFont="1" applyBorder="1" applyAlignment="1" applyProtection="1">
      <alignment horizontal="center" vertical="center" wrapText="1"/>
      <protection locked="0"/>
    </xf>
    <xf numFmtId="1" fontId="12" fillId="0" borderId="3" xfId="10" applyNumberFormat="1" applyFont="1" applyBorder="1" applyAlignment="1" applyProtection="1">
      <alignment horizontal="center" vertical="center" wrapText="1"/>
      <protection locked="0"/>
    </xf>
    <xf numFmtId="1" fontId="9" fillId="0" borderId="4" xfId="10" applyNumberFormat="1" applyFont="1" applyBorder="1" applyAlignment="1" applyProtection="1">
      <alignment horizontal="center" vertical="center" wrapText="1"/>
      <protection locked="0"/>
    </xf>
    <xf numFmtId="1" fontId="12" fillId="4" borderId="3" xfId="10" applyNumberFormat="1" applyFont="1" applyFill="1" applyBorder="1" applyAlignment="1" applyProtection="1">
      <alignment horizontal="center" vertical="center" wrapText="1"/>
      <protection locked="0"/>
    </xf>
    <xf numFmtId="1" fontId="12" fillId="4" borderId="4" xfId="10" applyNumberFormat="1" applyFont="1" applyFill="1" applyBorder="1" applyAlignment="1" applyProtection="1">
      <alignment horizontal="center" vertical="center" wrapText="1"/>
      <protection locked="0"/>
    </xf>
    <xf numFmtId="1" fontId="12" fillId="4" borderId="5" xfId="10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0" fontId="19" fillId="0" borderId="1" xfId="10" applyFont="1" applyBorder="1" applyAlignment="1" applyProtection="1">
      <alignment horizontal="center" vertical="top" wrapText="1"/>
      <protection locked="0"/>
    </xf>
    <xf numFmtId="1" fontId="12" fillId="0" borderId="3" xfId="0" applyNumberFormat="1" applyFont="1" applyBorder="1" applyAlignment="1" applyProtection="1">
      <alignment vertical="top" wrapText="1"/>
      <protection locked="0"/>
    </xf>
    <xf numFmtId="1" fontId="12" fillId="0" borderId="4" xfId="0" applyNumberFormat="1" applyFont="1" applyBorder="1" applyAlignment="1" applyProtection="1">
      <alignment vertical="top" wrapText="1"/>
      <protection locked="0"/>
    </xf>
    <xf numFmtId="1" fontId="12" fillId="0" borderId="5" xfId="0" applyNumberFormat="1" applyFont="1" applyBorder="1" applyAlignment="1" applyProtection="1">
      <alignment vertical="top" wrapText="1"/>
      <protection locked="0"/>
    </xf>
    <xf numFmtId="0" fontId="9" fillId="0" borderId="1" xfId="10" applyFont="1" applyBorder="1" applyAlignment="1" applyProtection="1">
      <alignment vertical="top"/>
      <protection locked="0"/>
    </xf>
    <xf numFmtId="1" fontId="9" fillId="0" borderId="7" xfId="10" applyNumberFormat="1" applyFont="1" applyBorder="1" applyAlignment="1" applyProtection="1">
      <alignment horizontal="center" vertical="center" wrapText="1"/>
      <protection locked="0"/>
    </xf>
    <xf numFmtId="0" fontId="13" fillId="0" borderId="1" xfId="10" applyFont="1" applyBorder="1" applyAlignment="1" applyProtection="1">
      <alignment horizontal="center" vertical="top" wrapText="1"/>
      <protection locked="0"/>
    </xf>
    <xf numFmtId="1" fontId="12" fillId="0" borderId="7" xfId="10" applyNumberFormat="1" applyFont="1" applyBorder="1" applyAlignment="1" applyProtection="1">
      <alignment horizontal="center" vertical="top" wrapText="1"/>
      <protection locked="0"/>
    </xf>
    <xf numFmtId="1" fontId="12" fillId="0" borderId="8" xfId="10" applyNumberFormat="1" applyFont="1" applyBorder="1" applyAlignment="1" applyProtection="1">
      <alignment horizontal="center" vertical="top" wrapText="1"/>
      <protection locked="0"/>
    </xf>
    <xf numFmtId="1" fontId="12" fillId="0" borderId="2" xfId="10" applyNumberFormat="1" applyFont="1" applyBorder="1" applyAlignment="1" applyProtection="1">
      <alignment horizontal="center" vertical="top" wrapText="1"/>
      <protection locked="0"/>
    </xf>
    <xf numFmtId="1" fontId="12" fillId="0" borderId="11" xfId="10" applyNumberFormat="1" applyFont="1" applyBorder="1" applyAlignment="1" applyProtection="1">
      <alignment horizontal="center" vertical="top" wrapText="1"/>
      <protection locked="0"/>
    </xf>
    <xf numFmtId="1" fontId="9" fillId="0" borderId="6" xfId="10" applyNumberFormat="1" applyFont="1" applyBorder="1" applyAlignment="1" applyProtection="1">
      <alignment horizontal="center" vertical="center" wrapText="1"/>
      <protection locked="0"/>
    </xf>
    <xf numFmtId="1" fontId="9" fillId="0" borderId="8" xfId="10" applyNumberFormat="1" applyFont="1" applyBorder="1" applyAlignment="1" applyProtection="1">
      <alignment horizontal="center" vertical="center" wrapText="1"/>
      <protection locked="0"/>
    </xf>
    <xf numFmtId="1" fontId="9" fillId="0" borderId="23" xfId="10" applyNumberFormat="1" applyFont="1" applyBorder="1" applyAlignment="1" applyProtection="1">
      <alignment horizontal="center" vertical="center" wrapText="1"/>
      <protection locked="0"/>
    </xf>
    <xf numFmtId="1" fontId="9" fillId="0" borderId="24" xfId="10" applyNumberFormat="1" applyFont="1" applyBorder="1" applyAlignment="1" applyProtection="1">
      <alignment horizontal="center" vertical="center" wrapText="1"/>
      <protection locked="0"/>
    </xf>
    <xf numFmtId="1" fontId="9" fillId="0" borderId="10" xfId="10" applyNumberFormat="1" applyFont="1" applyBorder="1" applyAlignment="1" applyProtection="1">
      <alignment horizontal="center" vertical="center" wrapText="1"/>
      <protection locked="0"/>
    </xf>
    <xf numFmtId="1" fontId="9" fillId="0" borderId="11" xfId="10" applyNumberFormat="1" applyFont="1" applyBorder="1" applyAlignment="1" applyProtection="1">
      <alignment horizontal="center" vertical="center" wrapText="1"/>
      <protection locked="0"/>
    </xf>
    <xf numFmtId="0" fontId="7" fillId="0" borderId="10" xfId="10" applyFont="1" applyBorder="1" applyAlignment="1" applyProtection="1">
      <alignment horizontal="left" vertical="top" wrapText="1"/>
      <protection locked="0"/>
    </xf>
    <xf numFmtId="0" fontId="7" fillId="0" borderId="2" xfId="10" applyFont="1" applyBorder="1" applyAlignment="1" applyProtection="1">
      <alignment horizontal="left" vertical="top" wrapText="1"/>
      <protection locked="0"/>
    </xf>
    <xf numFmtId="0" fontId="7" fillId="0" borderId="11" xfId="10" applyFont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13" applyFont="1" applyBorder="1" applyAlignment="1">
      <alignment horizontal="left"/>
    </xf>
    <xf numFmtId="0" fontId="16" fillId="2" borderId="14" xfId="0" applyFont="1" applyFill="1" applyBorder="1"/>
    <xf numFmtId="0" fontId="17" fillId="0" borderId="5" xfId="0" applyFont="1" applyBorder="1"/>
    <xf numFmtId="9" fontId="7" fillId="0" borderId="1" xfId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</cellXfs>
  <cellStyles count="15">
    <cellStyle name="Comma 2" xfId="3"/>
    <cellStyle name="Comma 2 2" xfId="4"/>
    <cellStyle name="Comma 3" xfId="5"/>
    <cellStyle name="Excel Built-in Normal" xfId="6"/>
    <cellStyle name="Excel Built-in Normal 2" xfId="7"/>
    <cellStyle name="Hyperlink" xfId="2" builtinId="8"/>
    <cellStyle name="Normal" xfId="0" builtinId="0"/>
    <cellStyle name="Normal 2" xfId="8"/>
    <cellStyle name="Normal 2 2" xfId="9"/>
    <cellStyle name="Normal 3" xfId="10"/>
    <cellStyle name="Normal 3 2" xfId="11"/>
    <cellStyle name="Normal 3 3" xfId="12"/>
    <cellStyle name="Normal 4" xfId="13"/>
    <cellStyle name="Normal 4 2" xfId="1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7.png"/><Relationship Id="rId3" Type="http://schemas.openxmlformats.org/officeDocument/2006/relationships/image" Target="../media/image3.jpeg"/><Relationship Id="rId21" Type="http://schemas.openxmlformats.org/officeDocument/2006/relationships/image" Target="../media/image20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2" Type="http://schemas.openxmlformats.org/officeDocument/2006/relationships/image" Target="../media/image2.png"/><Relationship Id="rId16" Type="http://schemas.microsoft.com/office/2007/relationships/hdphoto" Target="../media/hdphoto1.wdp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248479</xdr:colOff>
      <xdr:row>255</xdr:row>
      <xdr:rowOff>16566</xdr:rowOff>
    </xdr:from>
    <xdr:to>
      <xdr:col>6</xdr:col>
      <xdr:colOff>528078</xdr:colOff>
      <xdr:row>269</xdr:row>
      <xdr:rowOff>96216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12190" y="48984535"/>
          <a:ext cx="4439920" cy="289687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248479</xdr:colOff>
      <xdr:row>270</xdr:row>
      <xdr:rowOff>71600</xdr:rowOff>
    </xdr:from>
    <xdr:to>
      <xdr:col>6</xdr:col>
      <xdr:colOff>533244</xdr:colOff>
      <xdr:row>284</xdr:row>
      <xdr:rowOff>151250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012190" y="52039520"/>
          <a:ext cx="4445000" cy="289750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803097</xdr:colOff>
      <xdr:row>275</xdr:row>
      <xdr:rowOff>69200</xdr:rowOff>
    </xdr:from>
    <xdr:to>
      <xdr:col>4</xdr:col>
      <xdr:colOff>148595</xdr:colOff>
      <xdr:row>280</xdr:row>
      <xdr:rowOff>31248</xdr:rowOff>
    </xdr:to>
    <xdr:sp macro="" textlink="">
      <xdr:nvSpPr>
        <xdr:cNvPr id="2" name="Rectangle 1"/>
        <xdr:cNvSpPr/>
      </xdr:nvSpPr>
      <xdr:spPr>
        <a:xfrm rot="20409178">
          <a:off x="3215005" y="53037105"/>
          <a:ext cx="291465" cy="96266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275739</xdr:colOff>
      <xdr:row>277</xdr:row>
      <xdr:rowOff>126595</xdr:rowOff>
    </xdr:from>
    <xdr:to>
      <xdr:col>5</xdr:col>
      <xdr:colOff>138750</xdr:colOff>
      <xdr:row>279</xdr:row>
      <xdr:rowOff>18745</xdr:rowOff>
    </xdr:to>
    <xdr:sp macro="" textlink="">
      <xdr:nvSpPr>
        <xdr:cNvPr id="26" name="Rectangle 25"/>
        <xdr:cNvSpPr/>
      </xdr:nvSpPr>
      <xdr:spPr>
        <a:xfrm rot="4057461">
          <a:off x="3809365" y="53318410"/>
          <a:ext cx="292100" cy="64516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107674</xdr:colOff>
      <xdr:row>275</xdr:row>
      <xdr:rowOff>46751</xdr:rowOff>
    </xdr:from>
    <xdr:to>
      <xdr:col>4</xdr:col>
      <xdr:colOff>749250</xdr:colOff>
      <xdr:row>276</xdr:row>
      <xdr:rowOff>137684</xdr:rowOff>
    </xdr:to>
    <xdr:sp macro="" textlink="">
      <xdr:nvSpPr>
        <xdr:cNvPr id="27" name="Rectangle 26"/>
        <xdr:cNvSpPr/>
      </xdr:nvSpPr>
      <xdr:spPr>
        <a:xfrm rot="4057461">
          <a:off x="3640455" y="52839620"/>
          <a:ext cx="290830" cy="64135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815836</xdr:colOff>
      <xdr:row>276</xdr:row>
      <xdr:rowOff>45556</xdr:rowOff>
    </xdr:from>
    <xdr:to>
      <xdr:col>4</xdr:col>
      <xdr:colOff>153226</xdr:colOff>
      <xdr:row>279</xdr:row>
      <xdr:rowOff>53838</xdr:rowOff>
    </xdr:to>
    <xdr:sp macro="" textlink="">
      <xdr:nvSpPr>
        <xdr:cNvPr id="3" name="TextBox 2"/>
        <xdr:cNvSpPr txBox="1"/>
      </xdr:nvSpPr>
      <xdr:spPr>
        <a:xfrm rot="4107385">
          <a:off x="3065145" y="53376830"/>
          <a:ext cx="608330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100" b="1">
              <a:solidFill>
                <a:srgbClr val="FFFF00"/>
              </a:solidFill>
            </a:rPr>
            <a:t>Wing A</a:t>
          </a:r>
        </a:p>
      </xdr:txBody>
    </xdr:sp>
    <xdr:clientData/>
  </xdr:twoCellAnchor>
  <xdr:twoCellAnchor>
    <xdr:from>
      <xdr:col>4</xdr:col>
      <xdr:colOff>269186</xdr:colOff>
      <xdr:row>277</xdr:row>
      <xdr:rowOff>150285</xdr:rowOff>
    </xdr:from>
    <xdr:to>
      <xdr:col>5</xdr:col>
      <xdr:colOff>95251</xdr:colOff>
      <xdr:row>279</xdr:row>
      <xdr:rowOff>34327</xdr:rowOff>
    </xdr:to>
    <xdr:sp macro="" textlink="">
      <xdr:nvSpPr>
        <xdr:cNvPr id="28" name="TextBox 27"/>
        <xdr:cNvSpPr txBox="1"/>
      </xdr:nvSpPr>
      <xdr:spPr>
        <a:xfrm rot="20323455">
          <a:off x="3626485" y="53518435"/>
          <a:ext cx="608330" cy="284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100" b="1">
              <a:solidFill>
                <a:srgbClr val="FFFF00"/>
              </a:solidFill>
            </a:rPr>
            <a:t>Wing C</a:t>
          </a:r>
        </a:p>
      </xdr:txBody>
    </xdr:sp>
    <xdr:clientData/>
  </xdr:twoCellAnchor>
  <xdr:twoCellAnchor>
    <xdr:from>
      <xdr:col>4</xdr:col>
      <xdr:colOff>70404</xdr:colOff>
      <xdr:row>275</xdr:row>
      <xdr:rowOff>84024</xdr:rowOff>
    </xdr:from>
    <xdr:to>
      <xdr:col>4</xdr:col>
      <xdr:colOff>675034</xdr:colOff>
      <xdr:row>276</xdr:row>
      <xdr:rowOff>166849</xdr:rowOff>
    </xdr:to>
    <xdr:sp macro="" textlink="">
      <xdr:nvSpPr>
        <xdr:cNvPr id="36" name="TextBox 35"/>
        <xdr:cNvSpPr txBox="1"/>
      </xdr:nvSpPr>
      <xdr:spPr>
        <a:xfrm rot="20223448">
          <a:off x="3427730" y="53052345"/>
          <a:ext cx="605155" cy="282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100" b="1">
              <a:solidFill>
                <a:srgbClr val="FFFF00"/>
              </a:solidFill>
            </a:rPr>
            <a:t>Wing B</a:t>
          </a:r>
        </a:p>
      </xdr:txBody>
    </xdr:sp>
    <xdr:clientData/>
  </xdr:twoCellAnchor>
  <xdr:twoCellAnchor>
    <xdr:from>
      <xdr:col>16</xdr:col>
      <xdr:colOff>267335</xdr:colOff>
      <xdr:row>211</xdr:row>
      <xdr:rowOff>45720</xdr:rowOff>
    </xdr:from>
    <xdr:to>
      <xdr:col>16</xdr:col>
      <xdr:colOff>608579</xdr:colOff>
      <xdr:row>212</xdr:row>
      <xdr:rowOff>101766</xdr:rowOff>
    </xdr:to>
    <xdr:sp macro="" textlink="">
      <xdr:nvSpPr>
        <xdr:cNvPr id="45" name="TextBox 44"/>
        <xdr:cNvSpPr txBox="1"/>
      </xdr:nvSpPr>
      <xdr:spPr>
        <a:xfrm>
          <a:off x="11577320" y="40222170"/>
          <a:ext cx="340995" cy="2559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C</a:t>
          </a:r>
        </a:p>
      </xdr:txBody>
    </xdr:sp>
    <xdr:clientData/>
  </xdr:twoCellAnchor>
  <xdr:twoCellAnchor>
    <xdr:from>
      <xdr:col>12</xdr:col>
      <xdr:colOff>432526</xdr:colOff>
      <xdr:row>239</xdr:row>
      <xdr:rowOff>189865</xdr:rowOff>
    </xdr:from>
    <xdr:to>
      <xdr:col>18</xdr:col>
      <xdr:colOff>204833</xdr:colOff>
      <xdr:row>251</xdr:row>
      <xdr:rowOff>64498</xdr:rowOff>
    </xdr:to>
    <xdr:pic>
      <xdr:nvPicPr>
        <xdr:cNvPr id="4" name="Picture 2" descr="https://vsjcllp.vsjadon.com/upload/insp-220614-1525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0923633" y="46726294"/>
          <a:ext cx="1786164" cy="232391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654504</xdr:colOff>
      <xdr:row>209</xdr:row>
      <xdr:rowOff>142876</xdr:rowOff>
    </xdr:from>
    <xdr:to>
      <xdr:col>16</xdr:col>
      <xdr:colOff>547824</xdr:colOff>
      <xdr:row>224</xdr:row>
      <xdr:rowOff>74023</xdr:rowOff>
    </xdr:to>
    <xdr:pic>
      <xdr:nvPicPr>
        <xdr:cNvPr id="5" name="Picture 4" descr="https://vsjcllp.vsjadon.com/upload/insp-220614-844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9648825" y="40569697"/>
          <a:ext cx="2179320" cy="297914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297997</xdr:colOff>
      <xdr:row>209</xdr:row>
      <xdr:rowOff>133351</xdr:rowOff>
    </xdr:from>
    <xdr:to>
      <xdr:col>10</xdr:col>
      <xdr:colOff>572226</xdr:colOff>
      <xdr:row>224</xdr:row>
      <xdr:rowOff>64498</xdr:rowOff>
    </xdr:to>
    <xdr:pic>
      <xdr:nvPicPr>
        <xdr:cNvPr id="6" name="Picture 6" descr="https://vsjcllp.vsjadon.com/upload/insp-220614-847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373711" y="40560172"/>
          <a:ext cx="2192836" cy="297914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662173</xdr:colOff>
      <xdr:row>212</xdr:row>
      <xdr:rowOff>19917</xdr:rowOff>
    </xdr:from>
    <xdr:to>
      <xdr:col>20</xdr:col>
      <xdr:colOff>221805</xdr:colOff>
      <xdr:row>236</xdr:row>
      <xdr:rowOff>29441</xdr:rowOff>
    </xdr:to>
    <xdr:pic>
      <xdr:nvPicPr>
        <xdr:cNvPr id="7" name="Picture 8" descr="https://vsjcllp.vsjadon.com/upload/insp-220614-862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10377673" y="41687462"/>
          <a:ext cx="3577450" cy="497984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758644</xdr:colOff>
      <xdr:row>230</xdr:row>
      <xdr:rowOff>47626</xdr:rowOff>
    </xdr:from>
    <xdr:to>
      <xdr:col>19</xdr:col>
      <xdr:colOff>318589</xdr:colOff>
      <xdr:row>244</xdr:row>
      <xdr:rowOff>173355</xdr:rowOff>
    </xdr:to>
    <xdr:pic>
      <xdr:nvPicPr>
        <xdr:cNvPr id="9" name="Picture 12" descr="https://vsjcllp.vsjadon.com/upload/insp-220614-880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11274244" y="43986451"/>
          <a:ext cx="2179320" cy="292607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135437</xdr:colOff>
      <xdr:row>229</xdr:row>
      <xdr:rowOff>152401</xdr:rowOff>
    </xdr:from>
    <xdr:to>
      <xdr:col>20</xdr:col>
      <xdr:colOff>504916</xdr:colOff>
      <xdr:row>244</xdr:row>
      <xdr:rowOff>74023</xdr:rowOff>
    </xdr:to>
    <xdr:pic>
      <xdr:nvPicPr>
        <xdr:cNvPr id="10" name="Picture 14" descr="https://vsjcllp.vsjadon.com/upload/insp-220614-88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051212" y="43891201"/>
          <a:ext cx="2198279" cy="292199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48351</xdr:colOff>
      <xdr:row>239</xdr:row>
      <xdr:rowOff>189865</xdr:rowOff>
    </xdr:from>
    <xdr:to>
      <xdr:col>12</xdr:col>
      <xdr:colOff>337276</xdr:colOff>
      <xdr:row>251</xdr:row>
      <xdr:rowOff>64498</xdr:rowOff>
    </xdr:to>
    <xdr:pic>
      <xdr:nvPicPr>
        <xdr:cNvPr id="11" name="Picture 16" descr="https://vsjcllp.vsjadon.com/upload/insp-220614-931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9042672" y="46726294"/>
          <a:ext cx="1785711" cy="232391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12972</xdr:colOff>
      <xdr:row>224</xdr:row>
      <xdr:rowOff>161926</xdr:rowOff>
    </xdr:from>
    <xdr:to>
      <xdr:col>20</xdr:col>
      <xdr:colOff>355873</xdr:colOff>
      <xdr:row>239</xdr:row>
      <xdr:rowOff>83548</xdr:rowOff>
    </xdr:to>
    <xdr:pic>
      <xdr:nvPicPr>
        <xdr:cNvPr id="12" name="Picture 18" descr="https://vsjcllp.vsjadon.com/upload/insp-220614-919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11905615" y="43636747"/>
          <a:ext cx="2179865" cy="298323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127000</xdr:colOff>
      <xdr:row>207</xdr:row>
      <xdr:rowOff>76200</xdr:rowOff>
    </xdr:from>
    <xdr:ext cx="628698" cy="280205"/>
    <xdr:sp macro="" textlink="">
      <xdr:nvSpPr>
        <xdr:cNvPr id="8" name="TextBox 7"/>
        <xdr:cNvSpPr txBox="1"/>
      </xdr:nvSpPr>
      <xdr:spPr>
        <a:xfrm>
          <a:off x="8788400" y="38900100"/>
          <a:ext cx="62869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oneCellAnchor>
  <xdr:twoCellAnchor>
    <xdr:from>
      <xdr:col>0</xdr:col>
      <xdr:colOff>450850</xdr:colOff>
      <xdr:row>210</xdr:row>
      <xdr:rowOff>133350</xdr:rowOff>
    </xdr:from>
    <xdr:to>
      <xdr:col>7</xdr:col>
      <xdr:colOff>973712</xdr:colOff>
      <xdr:row>249</xdr:row>
      <xdr:rowOff>169116</xdr:rowOff>
    </xdr:to>
    <xdr:grpSp>
      <xdr:nvGrpSpPr>
        <xdr:cNvPr id="13" name="Group 12"/>
        <xdr:cNvGrpSpPr/>
      </xdr:nvGrpSpPr>
      <xdr:grpSpPr>
        <a:xfrm>
          <a:off x="450850" y="39547800"/>
          <a:ext cx="6498212" cy="7706566"/>
          <a:chOff x="450850" y="39547800"/>
          <a:chExt cx="6498212" cy="7706566"/>
        </a:xfrm>
      </xdr:grpSpPr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11665" y="4520236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955" y="395478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7241" y="395478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0954" y="4237508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BEBA8EAE-BF5A-486C-A8C5-ECC9F3942E4B}">
                <a14:imgProps xmlns:a14="http://schemas.microsoft.com/office/drawing/2010/main">
                  <a14:imgLayer r:embed="rId16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04455" y="4520236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73527" y="395478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7240" y="4237508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8060" y="4520236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850" y="45202366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73526" y="42375083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6" name="TextBox 45"/>
          <xdr:cNvSpPr txBox="1"/>
        </xdr:nvSpPr>
        <xdr:spPr>
          <a:xfrm>
            <a:off x="1243905" y="39712900"/>
            <a:ext cx="62869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47" name="TextBox 46"/>
          <xdr:cNvSpPr txBox="1"/>
        </xdr:nvSpPr>
        <xdr:spPr>
          <a:xfrm>
            <a:off x="3607991" y="39681150"/>
            <a:ext cx="62869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48" name="TextBox 47"/>
          <xdr:cNvSpPr txBox="1"/>
        </xdr:nvSpPr>
        <xdr:spPr>
          <a:xfrm>
            <a:off x="5394227" y="39655750"/>
            <a:ext cx="62869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49" name="TextBox 48"/>
          <xdr:cNvSpPr txBox="1"/>
        </xdr:nvSpPr>
        <xdr:spPr>
          <a:xfrm>
            <a:off x="913704" y="42483033"/>
            <a:ext cx="62869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  <xdr:sp macro="" textlink="">
        <xdr:nvSpPr>
          <xdr:cNvPr id="50" name="TextBox 49"/>
          <xdr:cNvSpPr txBox="1"/>
        </xdr:nvSpPr>
        <xdr:spPr>
          <a:xfrm>
            <a:off x="3779440" y="42571933"/>
            <a:ext cx="62869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 Wing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417979</xdr:colOff>
      <xdr:row>29</xdr:row>
      <xdr:rowOff>22500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660" y="2676525"/>
          <a:ext cx="5127625" cy="2879725"/>
        </a:xfrm>
        <a:prstGeom prst="rect">
          <a:avLst/>
        </a:prstGeom>
      </xdr:spPr>
    </xdr:pic>
    <xdr:clientData/>
  </xdr:twoCellAnchor>
  <xdr:twoCellAnchor editAs="oneCell">
    <xdr:from>
      <xdr:col>4</xdr:col>
      <xdr:colOff>627530</xdr:colOff>
      <xdr:row>14</xdr:row>
      <xdr:rowOff>27772</xdr:rowOff>
    </xdr:from>
    <xdr:to>
      <xdr:col>10</xdr:col>
      <xdr:colOff>469293</xdr:colOff>
      <xdr:row>29</xdr:row>
      <xdr:rowOff>50272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8835" y="2703830"/>
          <a:ext cx="5133340" cy="2880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o1D4zhPywMfY8u98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54"/>
  <sheetViews>
    <sheetView tabSelected="1" view="pageBreakPreview" topLeftCell="A64" zoomScaleNormal="100" zoomScaleSheetLayoutView="100" zoomScalePageLayoutView="85" workbookViewId="0">
      <selection activeCell="A65" sqref="A65:H77"/>
    </sheetView>
  </sheetViews>
  <sheetFormatPr defaultColWidth="9.1796875" defaultRowHeight="15.5"/>
  <cols>
    <col min="1" max="1" width="11.453125" style="24" customWidth="1"/>
    <col min="2" max="2" width="12" style="24" customWidth="1"/>
    <col min="3" max="3" width="12.7265625" style="24" customWidth="1"/>
    <col min="4" max="4" width="14.1796875" style="24" customWidth="1"/>
    <col min="5" max="7" width="11.7265625" style="24" customWidth="1"/>
    <col min="8" max="8" width="21" style="24" customWidth="1"/>
    <col min="9" max="9" width="17.453125" style="25" customWidth="1"/>
    <col min="10" max="10" width="11.453125" style="25" customWidth="1"/>
    <col min="11" max="11" width="10.54296875" style="25" customWidth="1"/>
    <col min="12" max="13" width="11.81640625" style="25" customWidth="1"/>
    <col min="14" max="14" width="12.54296875" style="25" hidden="1" customWidth="1"/>
    <col min="15" max="15" width="9.81640625" style="25" hidden="1" customWidth="1"/>
    <col min="16" max="16" width="10.453125" style="25" hidden="1" customWidth="1"/>
    <col min="17" max="247" width="9.1796875" style="25"/>
    <col min="248" max="248" width="8.7265625" style="25" customWidth="1"/>
    <col min="249" max="249" width="9.81640625" style="25" customWidth="1"/>
    <col min="250" max="250" width="14.453125" style="25" customWidth="1"/>
    <col min="251" max="251" width="7.26953125" style="25" customWidth="1"/>
    <col min="252" max="252" width="5.54296875" style="25" customWidth="1"/>
    <col min="253" max="253" width="9" style="25" customWidth="1"/>
    <col min="254" max="255" width="9.81640625" style="25" customWidth="1"/>
    <col min="256" max="256" width="11.1796875" style="25" customWidth="1"/>
    <col min="257" max="257" width="2.81640625" style="25" customWidth="1"/>
    <col min="258" max="258" width="3.54296875" style="25" customWidth="1"/>
    <col min="259" max="503" width="9.1796875" style="25"/>
    <col min="504" max="504" width="8.7265625" style="25" customWidth="1"/>
    <col min="505" max="505" width="9.81640625" style="25" customWidth="1"/>
    <col min="506" max="506" width="14.453125" style="25" customWidth="1"/>
    <col min="507" max="507" width="7.26953125" style="25" customWidth="1"/>
    <col min="508" max="508" width="5.54296875" style="25" customWidth="1"/>
    <col min="509" max="509" width="9" style="25" customWidth="1"/>
    <col min="510" max="511" width="9.81640625" style="25" customWidth="1"/>
    <col min="512" max="512" width="11.1796875" style="25" customWidth="1"/>
    <col min="513" max="513" width="2.81640625" style="25" customWidth="1"/>
    <col min="514" max="514" width="3.54296875" style="25" customWidth="1"/>
    <col min="515" max="759" width="9.1796875" style="25"/>
    <col min="760" max="760" width="8.7265625" style="25" customWidth="1"/>
    <col min="761" max="761" width="9.81640625" style="25" customWidth="1"/>
    <col min="762" max="762" width="14.453125" style="25" customWidth="1"/>
    <col min="763" max="763" width="7.26953125" style="25" customWidth="1"/>
    <col min="764" max="764" width="5.54296875" style="25" customWidth="1"/>
    <col min="765" max="765" width="9" style="25" customWidth="1"/>
    <col min="766" max="767" width="9.81640625" style="25" customWidth="1"/>
    <col min="768" max="768" width="11.1796875" style="25" customWidth="1"/>
    <col min="769" max="769" width="2.81640625" style="25" customWidth="1"/>
    <col min="770" max="770" width="3.54296875" style="25" customWidth="1"/>
    <col min="771" max="1015" width="9.1796875" style="25"/>
    <col min="1016" max="1016" width="8.7265625" style="25" customWidth="1"/>
    <col min="1017" max="1017" width="9.81640625" style="25" customWidth="1"/>
    <col min="1018" max="1018" width="14.453125" style="25" customWidth="1"/>
    <col min="1019" max="1019" width="7.26953125" style="25" customWidth="1"/>
    <col min="1020" max="1020" width="5.54296875" style="25" customWidth="1"/>
    <col min="1021" max="1021" width="9" style="25" customWidth="1"/>
    <col min="1022" max="1023" width="9.81640625" style="25" customWidth="1"/>
    <col min="1024" max="1024" width="11.1796875" style="25" customWidth="1"/>
    <col min="1025" max="1025" width="2.81640625" style="25" customWidth="1"/>
    <col min="1026" max="1026" width="3.54296875" style="25" customWidth="1"/>
    <col min="1027" max="1271" width="9.1796875" style="25"/>
    <col min="1272" max="1272" width="8.7265625" style="25" customWidth="1"/>
    <col min="1273" max="1273" width="9.81640625" style="25" customWidth="1"/>
    <col min="1274" max="1274" width="14.453125" style="25" customWidth="1"/>
    <col min="1275" max="1275" width="7.26953125" style="25" customWidth="1"/>
    <col min="1276" max="1276" width="5.54296875" style="25" customWidth="1"/>
    <col min="1277" max="1277" width="9" style="25" customWidth="1"/>
    <col min="1278" max="1279" width="9.81640625" style="25" customWidth="1"/>
    <col min="1280" max="1280" width="11.1796875" style="25" customWidth="1"/>
    <col min="1281" max="1281" width="2.81640625" style="25" customWidth="1"/>
    <col min="1282" max="1282" width="3.54296875" style="25" customWidth="1"/>
    <col min="1283" max="1527" width="9.1796875" style="25"/>
    <col min="1528" max="1528" width="8.7265625" style="25" customWidth="1"/>
    <col min="1529" max="1529" width="9.81640625" style="25" customWidth="1"/>
    <col min="1530" max="1530" width="14.453125" style="25" customWidth="1"/>
    <col min="1531" max="1531" width="7.26953125" style="25" customWidth="1"/>
    <col min="1532" max="1532" width="5.54296875" style="25" customWidth="1"/>
    <col min="1533" max="1533" width="9" style="25" customWidth="1"/>
    <col min="1534" max="1535" width="9.81640625" style="25" customWidth="1"/>
    <col min="1536" max="1536" width="11.1796875" style="25" customWidth="1"/>
    <col min="1537" max="1537" width="2.81640625" style="25" customWidth="1"/>
    <col min="1538" max="1538" width="3.54296875" style="25" customWidth="1"/>
    <col min="1539" max="1783" width="9.1796875" style="25"/>
    <col min="1784" max="1784" width="8.7265625" style="25" customWidth="1"/>
    <col min="1785" max="1785" width="9.81640625" style="25" customWidth="1"/>
    <col min="1786" max="1786" width="14.453125" style="25" customWidth="1"/>
    <col min="1787" max="1787" width="7.26953125" style="25" customWidth="1"/>
    <col min="1788" max="1788" width="5.54296875" style="25" customWidth="1"/>
    <col min="1789" max="1789" width="9" style="25" customWidth="1"/>
    <col min="1790" max="1791" width="9.81640625" style="25" customWidth="1"/>
    <col min="1792" max="1792" width="11.1796875" style="25" customWidth="1"/>
    <col min="1793" max="1793" width="2.81640625" style="25" customWidth="1"/>
    <col min="1794" max="1794" width="3.54296875" style="25" customWidth="1"/>
    <col min="1795" max="2039" width="9.1796875" style="25"/>
    <col min="2040" max="2040" width="8.7265625" style="25" customWidth="1"/>
    <col min="2041" max="2041" width="9.81640625" style="25" customWidth="1"/>
    <col min="2042" max="2042" width="14.453125" style="25" customWidth="1"/>
    <col min="2043" max="2043" width="7.26953125" style="25" customWidth="1"/>
    <col min="2044" max="2044" width="5.54296875" style="25" customWidth="1"/>
    <col min="2045" max="2045" width="9" style="25" customWidth="1"/>
    <col min="2046" max="2047" width="9.81640625" style="25" customWidth="1"/>
    <col min="2048" max="2048" width="11.1796875" style="25" customWidth="1"/>
    <col min="2049" max="2049" width="2.81640625" style="25" customWidth="1"/>
    <col min="2050" max="2050" width="3.54296875" style="25" customWidth="1"/>
    <col min="2051" max="2295" width="9.1796875" style="25"/>
    <col min="2296" max="2296" width="8.7265625" style="25" customWidth="1"/>
    <col min="2297" max="2297" width="9.81640625" style="25" customWidth="1"/>
    <col min="2298" max="2298" width="14.453125" style="25" customWidth="1"/>
    <col min="2299" max="2299" width="7.26953125" style="25" customWidth="1"/>
    <col min="2300" max="2300" width="5.54296875" style="25" customWidth="1"/>
    <col min="2301" max="2301" width="9" style="25" customWidth="1"/>
    <col min="2302" max="2303" width="9.81640625" style="25" customWidth="1"/>
    <col min="2304" max="2304" width="11.1796875" style="25" customWidth="1"/>
    <col min="2305" max="2305" width="2.81640625" style="25" customWidth="1"/>
    <col min="2306" max="2306" width="3.54296875" style="25" customWidth="1"/>
    <col min="2307" max="2551" width="9.1796875" style="25"/>
    <col min="2552" max="2552" width="8.7265625" style="25" customWidth="1"/>
    <col min="2553" max="2553" width="9.81640625" style="25" customWidth="1"/>
    <col min="2554" max="2554" width="14.453125" style="25" customWidth="1"/>
    <col min="2555" max="2555" width="7.26953125" style="25" customWidth="1"/>
    <col min="2556" max="2556" width="5.54296875" style="25" customWidth="1"/>
    <col min="2557" max="2557" width="9" style="25" customWidth="1"/>
    <col min="2558" max="2559" width="9.81640625" style="25" customWidth="1"/>
    <col min="2560" max="2560" width="11.1796875" style="25" customWidth="1"/>
    <col min="2561" max="2561" width="2.81640625" style="25" customWidth="1"/>
    <col min="2562" max="2562" width="3.54296875" style="25" customWidth="1"/>
    <col min="2563" max="2807" width="9.1796875" style="25"/>
    <col min="2808" max="2808" width="8.7265625" style="25" customWidth="1"/>
    <col min="2809" max="2809" width="9.81640625" style="25" customWidth="1"/>
    <col min="2810" max="2810" width="14.453125" style="25" customWidth="1"/>
    <col min="2811" max="2811" width="7.26953125" style="25" customWidth="1"/>
    <col min="2812" max="2812" width="5.54296875" style="25" customWidth="1"/>
    <col min="2813" max="2813" width="9" style="25" customWidth="1"/>
    <col min="2814" max="2815" width="9.81640625" style="25" customWidth="1"/>
    <col min="2816" max="2816" width="11.1796875" style="25" customWidth="1"/>
    <col min="2817" max="2817" width="2.81640625" style="25" customWidth="1"/>
    <col min="2818" max="2818" width="3.54296875" style="25" customWidth="1"/>
    <col min="2819" max="3063" width="9.1796875" style="25"/>
    <col min="3064" max="3064" width="8.7265625" style="25" customWidth="1"/>
    <col min="3065" max="3065" width="9.81640625" style="25" customWidth="1"/>
    <col min="3066" max="3066" width="14.453125" style="25" customWidth="1"/>
    <col min="3067" max="3067" width="7.26953125" style="25" customWidth="1"/>
    <col min="3068" max="3068" width="5.54296875" style="25" customWidth="1"/>
    <col min="3069" max="3069" width="9" style="25" customWidth="1"/>
    <col min="3070" max="3071" width="9.81640625" style="25" customWidth="1"/>
    <col min="3072" max="3072" width="11.1796875" style="25" customWidth="1"/>
    <col min="3073" max="3073" width="2.81640625" style="25" customWidth="1"/>
    <col min="3074" max="3074" width="3.54296875" style="25" customWidth="1"/>
    <col min="3075" max="3319" width="9.1796875" style="25"/>
    <col min="3320" max="3320" width="8.7265625" style="25" customWidth="1"/>
    <col min="3321" max="3321" width="9.81640625" style="25" customWidth="1"/>
    <col min="3322" max="3322" width="14.453125" style="25" customWidth="1"/>
    <col min="3323" max="3323" width="7.26953125" style="25" customWidth="1"/>
    <col min="3324" max="3324" width="5.54296875" style="25" customWidth="1"/>
    <col min="3325" max="3325" width="9" style="25" customWidth="1"/>
    <col min="3326" max="3327" width="9.81640625" style="25" customWidth="1"/>
    <col min="3328" max="3328" width="11.1796875" style="25" customWidth="1"/>
    <col min="3329" max="3329" width="2.81640625" style="25" customWidth="1"/>
    <col min="3330" max="3330" width="3.54296875" style="25" customWidth="1"/>
    <col min="3331" max="3575" width="9.1796875" style="25"/>
    <col min="3576" max="3576" width="8.7265625" style="25" customWidth="1"/>
    <col min="3577" max="3577" width="9.81640625" style="25" customWidth="1"/>
    <col min="3578" max="3578" width="14.453125" style="25" customWidth="1"/>
    <col min="3579" max="3579" width="7.26953125" style="25" customWidth="1"/>
    <col min="3580" max="3580" width="5.54296875" style="25" customWidth="1"/>
    <col min="3581" max="3581" width="9" style="25" customWidth="1"/>
    <col min="3582" max="3583" width="9.81640625" style="25" customWidth="1"/>
    <col min="3584" max="3584" width="11.1796875" style="25" customWidth="1"/>
    <col min="3585" max="3585" width="2.81640625" style="25" customWidth="1"/>
    <col min="3586" max="3586" width="3.54296875" style="25" customWidth="1"/>
    <col min="3587" max="3831" width="9.1796875" style="25"/>
    <col min="3832" max="3832" width="8.7265625" style="25" customWidth="1"/>
    <col min="3833" max="3833" width="9.81640625" style="25" customWidth="1"/>
    <col min="3834" max="3834" width="14.453125" style="25" customWidth="1"/>
    <col min="3835" max="3835" width="7.26953125" style="25" customWidth="1"/>
    <col min="3836" max="3836" width="5.54296875" style="25" customWidth="1"/>
    <col min="3837" max="3837" width="9" style="25" customWidth="1"/>
    <col min="3838" max="3839" width="9.81640625" style="25" customWidth="1"/>
    <col min="3840" max="3840" width="11.1796875" style="25" customWidth="1"/>
    <col min="3841" max="3841" width="2.81640625" style="25" customWidth="1"/>
    <col min="3842" max="3842" width="3.54296875" style="25" customWidth="1"/>
    <col min="3843" max="4087" width="9.1796875" style="25"/>
    <col min="4088" max="4088" width="8.7265625" style="25" customWidth="1"/>
    <col min="4089" max="4089" width="9.81640625" style="25" customWidth="1"/>
    <col min="4090" max="4090" width="14.453125" style="25" customWidth="1"/>
    <col min="4091" max="4091" width="7.26953125" style="25" customWidth="1"/>
    <col min="4092" max="4092" width="5.54296875" style="25" customWidth="1"/>
    <col min="4093" max="4093" width="9" style="25" customWidth="1"/>
    <col min="4094" max="4095" width="9.81640625" style="25" customWidth="1"/>
    <col min="4096" max="4096" width="11.1796875" style="25" customWidth="1"/>
    <col min="4097" max="4097" width="2.81640625" style="25" customWidth="1"/>
    <col min="4098" max="4098" width="3.54296875" style="25" customWidth="1"/>
    <col min="4099" max="4343" width="9.1796875" style="25"/>
    <col min="4344" max="4344" width="8.7265625" style="25" customWidth="1"/>
    <col min="4345" max="4345" width="9.81640625" style="25" customWidth="1"/>
    <col min="4346" max="4346" width="14.453125" style="25" customWidth="1"/>
    <col min="4347" max="4347" width="7.26953125" style="25" customWidth="1"/>
    <col min="4348" max="4348" width="5.54296875" style="25" customWidth="1"/>
    <col min="4349" max="4349" width="9" style="25" customWidth="1"/>
    <col min="4350" max="4351" width="9.81640625" style="25" customWidth="1"/>
    <col min="4352" max="4352" width="11.1796875" style="25" customWidth="1"/>
    <col min="4353" max="4353" width="2.81640625" style="25" customWidth="1"/>
    <col min="4354" max="4354" width="3.54296875" style="25" customWidth="1"/>
    <col min="4355" max="4599" width="9.1796875" style="25"/>
    <col min="4600" max="4600" width="8.7265625" style="25" customWidth="1"/>
    <col min="4601" max="4601" width="9.81640625" style="25" customWidth="1"/>
    <col min="4602" max="4602" width="14.453125" style="25" customWidth="1"/>
    <col min="4603" max="4603" width="7.26953125" style="25" customWidth="1"/>
    <col min="4604" max="4604" width="5.54296875" style="25" customWidth="1"/>
    <col min="4605" max="4605" width="9" style="25" customWidth="1"/>
    <col min="4606" max="4607" width="9.81640625" style="25" customWidth="1"/>
    <col min="4608" max="4608" width="11.1796875" style="25" customWidth="1"/>
    <col min="4609" max="4609" width="2.81640625" style="25" customWidth="1"/>
    <col min="4610" max="4610" width="3.54296875" style="25" customWidth="1"/>
    <col min="4611" max="4855" width="9.1796875" style="25"/>
    <col min="4856" max="4856" width="8.7265625" style="25" customWidth="1"/>
    <col min="4857" max="4857" width="9.81640625" style="25" customWidth="1"/>
    <col min="4858" max="4858" width="14.453125" style="25" customWidth="1"/>
    <col min="4859" max="4859" width="7.26953125" style="25" customWidth="1"/>
    <col min="4860" max="4860" width="5.54296875" style="25" customWidth="1"/>
    <col min="4861" max="4861" width="9" style="25" customWidth="1"/>
    <col min="4862" max="4863" width="9.81640625" style="25" customWidth="1"/>
    <col min="4864" max="4864" width="11.1796875" style="25" customWidth="1"/>
    <col min="4865" max="4865" width="2.81640625" style="25" customWidth="1"/>
    <col min="4866" max="4866" width="3.54296875" style="25" customWidth="1"/>
    <col min="4867" max="5111" width="9.1796875" style="25"/>
    <col min="5112" max="5112" width="8.7265625" style="25" customWidth="1"/>
    <col min="5113" max="5113" width="9.81640625" style="25" customWidth="1"/>
    <col min="5114" max="5114" width="14.453125" style="25" customWidth="1"/>
    <col min="5115" max="5115" width="7.26953125" style="25" customWidth="1"/>
    <col min="5116" max="5116" width="5.54296875" style="25" customWidth="1"/>
    <col min="5117" max="5117" width="9" style="25" customWidth="1"/>
    <col min="5118" max="5119" width="9.81640625" style="25" customWidth="1"/>
    <col min="5120" max="5120" width="11.1796875" style="25" customWidth="1"/>
    <col min="5121" max="5121" width="2.81640625" style="25" customWidth="1"/>
    <col min="5122" max="5122" width="3.54296875" style="25" customWidth="1"/>
    <col min="5123" max="5367" width="9.1796875" style="25"/>
    <col min="5368" max="5368" width="8.7265625" style="25" customWidth="1"/>
    <col min="5369" max="5369" width="9.81640625" style="25" customWidth="1"/>
    <col min="5370" max="5370" width="14.453125" style="25" customWidth="1"/>
    <col min="5371" max="5371" width="7.26953125" style="25" customWidth="1"/>
    <col min="5372" max="5372" width="5.54296875" style="25" customWidth="1"/>
    <col min="5373" max="5373" width="9" style="25" customWidth="1"/>
    <col min="5374" max="5375" width="9.81640625" style="25" customWidth="1"/>
    <col min="5376" max="5376" width="11.1796875" style="25" customWidth="1"/>
    <col min="5377" max="5377" width="2.81640625" style="25" customWidth="1"/>
    <col min="5378" max="5378" width="3.54296875" style="25" customWidth="1"/>
    <col min="5379" max="5623" width="9.1796875" style="25"/>
    <col min="5624" max="5624" width="8.7265625" style="25" customWidth="1"/>
    <col min="5625" max="5625" width="9.81640625" style="25" customWidth="1"/>
    <col min="5626" max="5626" width="14.453125" style="25" customWidth="1"/>
    <col min="5627" max="5627" width="7.26953125" style="25" customWidth="1"/>
    <col min="5628" max="5628" width="5.54296875" style="25" customWidth="1"/>
    <col min="5629" max="5629" width="9" style="25" customWidth="1"/>
    <col min="5630" max="5631" width="9.81640625" style="25" customWidth="1"/>
    <col min="5632" max="5632" width="11.1796875" style="25" customWidth="1"/>
    <col min="5633" max="5633" width="2.81640625" style="25" customWidth="1"/>
    <col min="5634" max="5634" width="3.54296875" style="25" customWidth="1"/>
    <col min="5635" max="5879" width="9.1796875" style="25"/>
    <col min="5880" max="5880" width="8.7265625" style="25" customWidth="1"/>
    <col min="5881" max="5881" width="9.81640625" style="25" customWidth="1"/>
    <col min="5882" max="5882" width="14.453125" style="25" customWidth="1"/>
    <col min="5883" max="5883" width="7.26953125" style="25" customWidth="1"/>
    <col min="5884" max="5884" width="5.54296875" style="25" customWidth="1"/>
    <col min="5885" max="5885" width="9" style="25" customWidth="1"/>
    <col min="5886" max="5887" width="9.81640625" style="25" customWidth="1"/>
    <col min="5888" max="5888" width="11.1796875" style="25" customWidth="1"/>
    <col min="5889" max="5889" width="2.81640625" style="25" customWidth="1"/>
    <col min="5890" max="5890" width="3.54296875" style="25" customWidth="1"/>
    <col min="5891" max="6135" width="9.1796875" style="25"/>
    <col min="6136" max="6136" width="8.7265625" style="25" customWidth="1"/>
    <col min="6137" max="6137" width="9.81640625" style="25" customWidth="1"/>
    <col min="6138" max="6138" width="14.453125" style="25" customWidth="1"/>
    <col min="6139" max="6139" width="7.26953125" style="25" customWidth="1"/>
    <col min="6140" max="6140" width="5.54296875" style="25" customWidth="1"/>
    <col min="6141" max="6141" width="9" style="25" customWidth="1"/>
    <col min="6142" max="6143" width="9.81640625" style="25" customWidth="1"/>
    <col min="6144" max="6144" width="11.1796875" style="25" customWidth="1"/>
    <col min="6145" max="6145" width="2.81640625" style="25" customWidth="1"/>
    <col min="6146" max="6146" width="3.54296875" style="25" customWidth="1"/>
    <col min="6147" max="6391" width="9.1796875" style="25"/>
    <col min="6392" max="6392" width="8.7265625" style="25" customWidth="1"/>
    <col min="6393" max="6393" width="9.81640625" style="25" customWidth="1"/>
    <col min="6394" max="6394" width="14.453125" style="25" customWidth="1"/>
    <col min="6395" max="6395" width="7.26953125" style="25" customWidth="1"/>
    <col min="6396" max="6396" width="5.54296875" style="25" customWidth="1"/>
    <col min="6397" max="6397" width="9" style="25" customWidth="1"/>
    <col min="6398" max="6399" width="9.81640625" style="25" customWidth="1"/>
    <col min="6400" max="6400" width="11.1796875" style="25" customWidth="1"/>
    <col min="6401" max="6401" width="2.81640625" style="25" customWidth="1"/>
    <col min="6402" max="6402" width="3.54296875" style="25" customWidth="1"/>
    <col min="6403" max="6647" width="9.1796875" style="25"/>
    <col min="6648" max="6648" width="8.7265625" style="25" customWidth="1"/>
    <col min="6649" max="6649" width="9.81640625" style="25" customWidth="1"/>
    <col min="6650" max="6650" width="14.453125" style="25" customWidth="1"/>
    <col min="6651" max="6651" width="7.26953125" style="25" customWidth="1"/>
    <col min="6652" max="6652" width="5.54296875" style="25" customWidth="1"/>
    <col min="6653" max="6653" width="9" style="25" customWidth="1"/>
    <col min="6654" max="6655" width="9.81640625" style="25" customWidth="1"/>
    <col min="6656" max="6656" width="11.1796875" style="25" customWidth="1"/>
    <col min="6657" max="6657" width="2.81640625" style="25" customWidth="1"/>
    <col min="6658" max="6658" width="3.54296875" style="25" customWidth="1"/>
    <col min="6659" max="6903" width="9.1796875" style="25"/>
    <col min="6904" max="6904" width="8.7265625" style="25" customWidth="1"/>
    <col min="6905" max="6905" width="9.81640625" style="25" customWidth="1"/>
    <col min="6906" max="6906" width="14.453125" style="25" customWidth="1"/>
    <col min="6907" max="6907" width="7.26953125" style="25" customWidth="1"/>
    <col min="6908" max="6908" width="5.54296875" style="25" customWidth="1"/>
    <col min="6909" max="6909" width="9" style="25" customWidth="1"/>
    <col min="6910" max="6911" width="9.81640625" style="25" customWidth="1"/>
    <col min="6912" max="6912" width="11.1796875" style="25" customWidth="1"/>
    <col min="6913" max="6913" width="2.81640625" style="25" customWidth="1"/>
    <col min="6914" max="6914" width="3.54296875" style="25" customWidth="1"/>
    <col min="6915" max="7159" width="9.1796875" style="25"/>
    <col min="7160" max="7160" width="8.7265625" style="25" customWidth="1"/>
    <col min="7161" max="7161" width="9.81640625" style="25" customWidth="1"/>
    <col min="7162" max="7162" width="14.453125" style="25" customWidth="1"/>
    <col min="7163" max="7163" width="7.26953125" style="25" customWidth="1"/>
    <col min="7164" max="7164" width="5.54296875" style="25" customWidth="1"/>
    <col min="7165" max="7165" width="9" style="25" customWidth="1"/>
    <col min="7166" max="7167" width="9.81640625" style="25" customWidth="1"/>
    <col min="7168" max="7168" width="11.1796875" style="25" customWidth="1"/>
    <col min="7169" max="7169" width="2.81640625" style="25" customWidth="1"/>
    <col min="7170" max="7170" width="3.54296875" style="25" customWidth="1"/>
    <col min="7171" max="7415" width="9.1796875" style="25"/>
    <col min="7416" max="7416" width="8.7265625" style="25" customWidth="1"/>
    <col min="7417" max="7417" width="9.81640625" style="25" customWidth="1"/>
    <col min="7418" max="7418" width="14.453125" style="25" customWidth="1"/>
    <col min="7419" max="7419" width="7.26953125" style="25" customWidth="1"/>
    <col min="7420" max="7420" width="5.54296875" style="25" customWidth="1"/>
    <col min="7421" max="7421" width="9" style="25" customWidth="1"/>
    <col min="7422" max="7423" width="9.81640625" style="25" customWidth="1"/>
    <col min="7424" max="7424" width="11.1796875" style="25" customWidth="1"/>
    <col min="7425" max="7425" width="2.81640625" style="25" customWidth="1"/>
    <col min="7426" max="7426" width="3.54296875" style="25" customWidth="1"/>
    <col min="7427" max="7671" width="9.1796875" style="25"/>
    <col min="7672" max="7672" width="8.7265625" style="25" customWidth="1"/>
    <col min="7673" max="7673" width="9.81640625" style="25" customWidth="1"/>
    <col min="7674" max="7674" width="14.453125" style="25" customWidth="1"/>
    <col min="7675" max="7675" width="7.26953125" style="25" customWidth="1"/>
    <col min="7676" max="7676" width="5.54296875" style="25" customWidth="1"/>
    <col min="7677" max="7677" width="9" style="25" customWidth="1"/>
    <col min="7678" max="7679" width="9.81640625" style="25" customWidth="1"/>
    <col min="7680" max="7680" width="11.1796875" style="25" customWidth="1"/>
    <col min="7681" max="7681" width="2.81640625" style="25" customWidth="1"/>
    <col min="7682" max="7682" width="3.54296875" style="25" customWidth="1"/>
    <col min="7683" max="7927" width="9.1796875" style="25"/>
    <col min="7928" max="7928" width="8.7265625" style="25" customWidth="1"/>
    <col min="7929" max="7929" width="9.81640625" style="25" customWidth="1"/>
    <col min="7930" max="7930" width="14.453125" style="25" customWidth="1"/>
    <col min="7931" max="7931" width="7.26953125" style="25" customWidth="1"/>
    <col min="7932" max="7932" width="5.54296875" style="25" customWidth="1"/>
    <col min="7933" max="7933" width="9" style="25" customWidth="1"/>
    <col min="7934" max="7935" width="9.81640625" style="25" customWidth="1"/>
    <col min="7936" max="7936" width="11.1796875" style="25" customWidth="1"/>
    <col min="7937" max="7937" width="2.81640625" style="25" customWidth="1"/>
    <col min="7938" max="7938" width="3.54296875" style="25" customWidth="1"/>
    <col min="7939" max="8183" width="9.1796875" style="25"/>
    <col min="8184" max="8184" width="8.7265625" style="25" customWidth="1"/>
    <col min="8185" max="8185" width="9.81640625" style="25" customWidth="1"/>
    <col min="8186" max="8186" width="14.453125" style="25" customWidth="1"/>
    <col min="8187" max="8187" width="7.26953125" style="25" customWidth="1"/>
    <col min="8188" max="8188" width="5.54296875" style="25" customWidth="1"/>
    <col min="8189" max="8189" width="9" style="25" customWidth="1"/>
    <col min="8190" max="8191" width="9.81640625" style="25" customWidth="1"/>
    <col min="8192" max="8192" width="11.1796875" style="25" customWidth="1"/>
    <col min="8193" max="8193" width="2.81640625" style="25" customWidth="1"/>
    <col min="8194" max="8194" width="3.54296875" style="25" customWidth="1"/>
    <col min="8195" max="8439" width="9.1796875" style="25"/>
    <col min="8440" max="8440" width="8.7265625" style="25" customWidth="1"/>
    <col min="8441" max="8441" width="9.81640625" style="25" customWidth="1"/>
    <col min="8442" max="8442" width="14.453125" style="25" customWidth="1"/>
    <col min="8443" max="8443" width="7.26953125" style="25" customWidth="1"/>
    <col min="8444" max="8444" width="5.54296875" style="25" customWidth="1"/>
    <col min="8445" max="8445" width="9" style="25" customWidth="1"/>
    <col min="8446" max="8447" width="9.81640625" style="25" customWidth="1"/>
    <col min="8448" max="8448" width="11.1796875" style="25" customWidth="1"/>
    <col min="8449" max="8449" width="2.81640625" style="25" customWidth="1"/>
    <col min="8450" max="8450" width="3.54296875" style="25" customWidth="1"/>
    <col min="8451" max="8695" width="9.1796875" style="25"/>
    <col min="8696" max="8696" width="8.7265625" style="25" customWidth="1"/>
    <col min="8697" max="8697" width="9.81640625" style="25" customWidth="1"/>
    <col min="8698" max="8698" width="14.453125" style="25" customWidth="1"/>
    <col min="8699" max="8699" width="7.26953125" style="25" customWidth="1"/>
    <col min="8700" max="8700" width="5.54296875" style="25" customWidth="1"/>
    <col min="8701" max="8701" width="9" style="25" customWidth="1"/>
    <col min="8702" max="8703" width="9.81640625" style="25" customWidth="1"/>
    <col min="8704" max="8704" width="11.1796875" style="25" customWidth="1"/>
    <col min="8705" max="8705" width="2.81640625" style="25" customWidth="1"/>
    <col min="8706" max="8706" width="3.54296875" style="25" customWidth="1"/>
    <col min="8707" max="8951" width="9.1796875" style="25"/>
    <col min="8952" max="8952" width="8.7265625" style="25" customWidth="1"/>
    <col min="8953" max="8953" width="9.81640625" style="25" customWidth="1"/>
    <col min="8954" max="8954" width="14.453125" style="25" customWidth="1"/>
    <col min="8955" max="8955" width="7.26953125" style="25" customWidth="1"/>
    <col min="8956" max="8956" width="5.54296875" style="25" customWidth="1"/>
    <col min="8957" max="8957" width="9" style="25" customWidth="1"/>
    <col min="8958" max="8959" width="9.81640625" style="25" customWidth="1"/>
    <col min="8960" max="8960" width="11.1796875" style="25" customWidth="1"/>
    <col min="8961" max="8961" width="2.81640625" style="25" customWidth="1"/>
    <col min="8962" max="8962" width="3.54296875" style="25" customWidth="1"/>
    <col min="8963" max="9207" width="9.1796875" style="25"/>
    <col min="9208" max="9208" width="8.7265625" style="25" customWidth="1"/>
    <col min="9209" max="9209" width="9.81640625" style="25" customWidth="1"/>
    <col min="9210" max="9210" width="14.453125" style="25" customWidth="1"/>
    <col min="9211" max="9211" width="7.26953125" style="25" customWidth="1"/>
    <col min="9212" max="9212" width="5.54296875" style="25" customWidth="1"/>
    <col min="9213" max="9213" width="9" style="25" customWidth="1"/>
    <col min="9214" max="9215" width="9.81640625" style="25" customWidth="1"/>
    <col min="9216" max="9216" width="11.1796875" style="25" customWidth="1"/>
    <col min="9217" max="9217" width="2.81640625" style="25" customWidth="1"/>
    <col min="9218" max="9218" width="3.54296875" style="25" customWidth="1"/>
    <col min="9219" max="9463" width="9.1796875" style="25"/>
    <col min="9464" max="9464" width="8.7265625" style="25" customWidth="1"/>
    <col min="9465" max="9465" width="9.81640625" style="25" customWidth="1"/>
    <col min="9466" max="9466" width="14.453125" style="25" customWidth="1"/>
    <col min="9467" max="9467" width="7.26953125" style="25" customWidth="1"/>
    <col min="9468" max="9468" width="5.54296875" style="25" customWidth="1"/>
    <col min="9469" max="9469" width="9" style="25" customWidth="1"/>
    <col min="9470" max="9471" width="9.81640625" style="25" customWidth="1"/>
    <col min="9472" max="9472" width="11.1796875" style="25" customWidth="1"/>
    <col min="9473" max="9473" width="2.81640625" style="25" customWidth="1"/>
    <col min="9474" max="9474" width="3.54296875" style="25" customWidth="1"/>
    <col min="9475" max="9719" width="9.1796875" style="25"/>
    <col min="9720" max="9720" width="8.7265625" style="25" customWidth="1"/>
    <col min="9721" max="9721" width="9.81640625" style="25" customWidth="1"/>
    <col min="9722" max="9722" width="14.453125" style="25" customWidth="1"/>
    <col min="9723" max="9723" width="7.26953125" style="25" customWidth="1"/>
    <col min="9724" max="9724" width="5.54296875" style="25" customWidth="1"/>
    <col min="9725" max="9725" width="9" style="25" customWidth="1"/>
    <col min="9726" max="9727" width="9.81640625" style="25" customWidth="1"/>
    <col min="9728" max="9728" width="11.1796875" style="25" customWidth="1"/>
    <col min="9729" max="9729" width="2.81640625" style="25" customWidth="1"/>
    <col min="9730" max="9730" width="3.54296875" style="25" customWidth="1"/>
    <col min="9731" max="9975" width="9.1796875" style="25"/>
    <col min="9976" max="9976" width="8.7265625" style="25" customWidth="1"/>
    <col min="9977" max="9977" width="9.81640625" style="25" customWidth="1"/>
    <col min="9978" max="9978" width="14.453125" style="25" customWidth="1"/>
    <col min="9979" max="9979" width="7.26953125" style="25" customWidth="1"/>
    <col min="9980" max="9980" width="5.54296875" style="25" customWidth="1"/>
    <col min="9981" max="9981" width="9" style="25" customWidth="1"/>
    <col min="9982" max="9983" width="9.81640625" style="25" customWidth="1"/>
    <col min="9984" max="9984" width="11.1796875" style="25" customWidth="1"/>
    <col min="9985" max="9985" width="2.81640625" style="25" customWidth="1"/>
    <col min="9986" max="9986" width="3.54296875" style="25" customWidth="1"/>
    <col min="9987" max="10231" width="9.1796875" style="25"/>
    <col min="10232" max="10232" width="8.7265625" style="25" customWidth="1"/>
    <col min="10233" max="10233" width="9.81640625" style="25" customWidth="1"/>
    <col min="10234" max="10234" width="14.453125" style="25" customWidth="1"/>
    <col min="10235" max="10235" width="7.26953125" style="25" customWidth="1"/>
    <col min="10236" max="10236" width="5.54296875" style="25" customWidth="1"/>
    <col min="10237" max="10237" width="9" style="25" customWidth="1"/>
    <col min="10238" max="10239" width="9.81640625" style="25" customWidth="1"/>
    <col min="10240" max="10240" width="11.1796875" style="25" customWidth="1"/>
    <col min="10241" max="10241" width="2.81640625" style="25" customWidth="1"/>
    <col min="10242" max="10242" width="3.54296875" style="25" customWidth="1"/>
    <col min="10243" max="10487" width="9.1796875" style="25"/>
    <col min="10488" max="10488" width="8.7265625" style="25" customWidth="1"/>
    <col min="10489" max="10489" width="9.81640625" style="25" customWidth="1"/>
    <col min="10490" max="10490" width="14.453125" style="25" customWidth="1"/>
    <col min="10491" max="10491" width="7.26953125" style="25" customWidth="1"/>
    <col min="10492" max="10492" width="5.54296875" style="25" customWidth="1"/>
    <col min="10493" max="10493" width="9" style="25" customWidth="1"/>
    <col min="10494" max="10495" width="9.81640625" style="25" customWidth="1"/>
    <col min="10496" max="10496" width="11.1796875" style="25" customWidth="1"/>
    <col min="10497" max="10497" width="2.81640625" style="25" customWidth="1"/>
    <col min="10498" max="10498" width="3.54296875" style="25" customWidth="1"/>
    <col min="10499" max="10743" width="9.1796875" style="25"/>
    <col min="10744" max="10744" width="8.7265625" style="25" customWidth="1"/>
    <col min="10745" max="10745" width="9.81640625" style="25" customWidth="1"/>
    <col min="10746" max="10746" width="14.453125" style="25" customWidth="1"/>
    <col min="10747" max="10747" width="7.26953125" style="25" customWidth="1"/>
    <col min="10748" max="10748" width="5.54296875" style="25" customWidth="1"/>
    <col min="10749" max="10749" width="9" style="25" customWidth="1"/>
    <col min="10750" max="10751" width="9.81640625" style="25" customWidth="1"/>
    <col min="10752" max="10752" width="11.1796875" style="25" customWidth="1"/>
    <col min="10753" max="10753" width="2.81640625" style="25" customWidth="1"/>
    <col min="10754" max="10754" width="3.54296875" style="25" customWidth="1"/>
    <col min="10755" max="10999" width="9.1796875" style="25"/>
    <col min="11000" max="11000" width="8.7265625" style="25" customWidth="1"/>
    <col min="11001" max="11001" width="9.81640625" style="25" customWidth="1"/>
    <col min="11002" max="11002" width="14.453125" style="25" customWidth="1"/>
    <col min="11003" max="11003" width="7.26953125" style="25" customWidth="1"/>
    <col min="11004" max="11004" width="5.54296875" style="25" customWidth="1"/>
    <col min="11005" max="11005" width="9" style="25" customWidth="1"/>
    <col min="11006" max="11007" width="9.81640625" style="25" customWidth="1"/>
    <col min="11008" max="11008" width="11.1796875" style="25" customWidth="1"/>
    <col min="11009" max="11009" width="2.81640625" style="25" customWidth="1"/>
    <col min="11010" max="11010" width="3.54296875" style="25" customWidth="1"/>
    <col min="11011" max="11255" width="9.1796875" style="25"/>
    <col min="11256" max="11256" width="8.7265625" style="25" customWidth="1"/>
    <col min="11257" max="11257" width="9.81640625" style="25" customWidth="1"/>
    <col min="11258" max="11258" width="14.453125" style="25" customWidth="1"/>
    <col min="11259" max="11259" width="7.26953125" style="25" customWidth="1"/>
    <col min="11260" max="11260" width="5.54296875" style="25" customWidth="1"/>
    <col min="11261" max="11261" width="9" style="25" customWidth="1"/>
    <col min="11262" max="11263" width="9.81640625" style="25" customWidth="1"/>
    <col min="11264" max="11264" width="11.1796875" style="25" customWidth="1"/>
    <col min="11265" max="11265" width="2.81640625" style="25" customWidth="1"/>
    <col min="11266" max="11266" width="3.54296875" style="25" customWidth="1"/>
    <col min="11267" max="11511" width="9.1796875" style="25"/>
    <col min="11512" max="11512" width="8.7265625" style="25" customWidth="1"/>
    <col min="11513" max="11513" width="9.81640625" style="25" customWidth="1"/>
    <col min="11514" max="11514" width="14.453125" style="25" customWidth="1"/>
    <col min="11515" max="11515" width="7.26953125" style="25" customWidth="1"/>
    <col min="11516" max="11516" width="5.54296875" style="25" customWidth="1"/>
    <col min="11517" max="11517" width="9" style="25" customWidth="1"/>
    <col min="11518" max="11519" width="9.81640625" style="25" customWidth="1"/>
    <col min="11520" max="11520" width="11.1796875" style="25" customWidth="1"/>
    <col min="11521" max="11521" width="2.81640625" style="25" customWidth="1"/>
    <col min="11522" max="11522" width="3.54296875" style="25" customWidth="1"/>
    <col min="11523" max="11767" width="9.1796875" style="25"/>
    <col min="11768" max="11768" width="8.7265625" style="25" customWidth="1"/>
    <col min="11769" max="11769" width="9.81640625" style="25" customWidth="1"/>
    <col min="11770" max="11770" width="14.453125" style="25" customWidth="1"/>
    <col min="11771" max="11771" width="7.26953125" style="25" customWidth="1"/>
    <col min="11772" max="11772" width="5.54296875" style="25" customWidth="1"/>
    <col min="11773" max="11773" width="9" style="25" customWidth="1"/>
    <col min="11774" max="11775" width="9.81640625" style="25" customWidth="1"/>
    <col min="11776" max="11776" width="11.1796875" style="25" customWidth="1"/>
    <col min="11777" max="11777" width="2.81640625" style="25" customWidth="1"/>
    <col min="11778" max="11778" width="3.54296875" style="25" customWidth="1"/>
    <col min="11779" max="12023" width="9.1796875" style="25"/>
    <col min="12024" max="12024" width="8.7265625" style="25" customWidth="1"/>
    <col min="12025" max="12025" width="9.81640625" style="25" customWidth="1"/>
    <col min="12026" max="12026" width="14.453125" style="25" customWidth="1"/>
    <col min="12027" max="12027" width="7.26953125" style="25" customWidth="1"/>
    <col min="12028" max="12028" width="5.54296875" style="25" customWidth="1"/>
    <col min="12029" max="12029" width="9" style="25" customWidth="1"/>
    <col min="12030" max="12031" width="9.81640625" style="25" customWidth="1"/>
    <col min="12032" max="12032" width="11.1796875" style="25" customWidth="1"/>
    <col min="12033" max="12033" width="2.81640625" style="25" customWidth="1"/>
    <col min="12034" max="12034" width="3.54296875" style="25" customWidth="1"/>
    <col min="12035" max="12279" width="9.1796875" style="25"/>
    <col min="12280" max="12280" width="8.7265625" style="25" customWidth="1"/>
    <col min="12281" max="12281" width="9.81640625" style="25" customWidth="1"/>
    <col min="12282" max="12282" width="14.453125" style="25" customWidth="1"/>
    <col min="12283" max="12283" width="7.26953125" style="25" customWidth="1"/>
    <col min="12284" max="12284" width="5.54296875" style="25" customWidth="1"/>
    <col min="12285" max="12285" width="9" style="25" customWidth="1"/>
    <col min="12286" max="12287" width="9.81640625" style="25" customWidth="1"/>
    <col min="12288" max="12288" width="11.1796875" style="25" customWidth="1"/>
    <col min="12289" max="12289" width="2.81640625" style="25" customWidth="1"/>
    <col min="12290" max="12290" width="3.54296875" style="25" customWidth="1"/>
    <col min="12291" max="12535" width="9.1796875" style="25"/>
    <col min="12536" max="12536" width="8.7265625" style="25" customWidth="1"/>
    <col min="12537" max="12537" width="9.81640625" style="25" customWidth="1"/>
    <col min="12538" max="12538" width="14.453125" style="25" customWidth="1"/>
    <col min="12539" max="12539" width="7.26953125" style="25" customWidth="1"/>
    <col min="12540" max="12540" width="5.54296875" style="25" customWidth="1"/>
    <col min="12541" max="12541" width="9" style="25" customWidth="1"/>
    <col min="12542" max="12543" width="9.81640625" style="25" customWidth="1"/>
    <col min="12544" max="12544" width="11.1796875" style="25" customWidth="1"/>
    <col min="12545" max="12545" width="2.81640625" style="25" customWidth="1"/>
    <col min="12546" max="12546" width="3.54296875" style="25" customWidth="1"/>
    <col min="12547" max="12791" width="9.1796875" style="25"/>
    <col min="12792" max="12792" width="8.7265625" style="25" customWidth="1"/>
    <col min="12793" max="12793" width="9.81640625" style="25" customWidth="1"/>
    <col min="12794" max="12794" width="14.453125" style="25" customWidth="1"/>
    <col min="12795" max="12795" width="7.26953125" style="25" customWidth="1"/>
    <col min="12796" max="12796" width="5.54296875" style="25" customWidth="1"/>
    <col min="12797" max="12797" width="9" style="25" customWidth="1"/>
    <col min="12798" max="12799" width="9.81640625" style="25" customWidth="1"/>
    <col min="12800" max="12800" width="11.1796875" style="25" customWidth="1"/>
    <col min="12801" max="12801" width="2.81640625" style="25" customWidth="1"/>
    <col min="12802" max="12802" width="3.54296875" style="25" customWidth="1"/>
    <col min="12803" max="13047" width="9.1796875" style="25"/>
    <col min="13048" max="13048" width="8.7265625" style="25" customWidth="1"/>
    <col min="13049" max="13049" width="9.81640625" style="25" customWidth="1"/>
    <col min="13050" max="13050" width="14.453125" style="25" customWidth="1"/>
    <col min="13051" max="13051" width="7.26953125" style="25" customWidth="1"/>
    <col min="13052" max="13052" width="5.54296875" style="25" customWidth="1"/>
    <col min="13053" max="13053" width="9" style="25" customWidth="1"/>
    <col min="13054" max="13055" width="9.81640625" style="25" customWidth="1"/>
    <col min="13056" max="13056" width="11.1796875" style="25" customWidth="1"/>
    <col min="13057" max="13057" width="2.81640625" style="25" customWidth="1"/>
    <col min="13058" max="13058" width="3.54296875" style="25" customWidth="1"/>
    <col min="13059" max="13303" width="9.1796875" style="25"/>
    <col min="13304" max="13304" width="8.7265625" style="25" customWidth="1"/>
    <col min="13305" max="13305" width="9.81640625" style="25" customWidth="1"/>
    <col min="13306" max="13306" width="14.453125" style="25" customWidth="1"/>
    <col min="13307" max="13307" width="7.26953125" style="25" customWidth="1"/>
    <col min="13308" max="13308" width="5.54296875" style="25" customWidth="1"/>
    <col min="13309" max="13309" width="9" style="25" customWidth="1"/>
    <col min="13310" max="13311" width="9.81640625" style="25" customWidth="1"/>
    <col min="13312" max="13312" width="11.1796875" style="25" customWidth="1"/>
    <col min="13313" max="13313" width="2.81640625" style="25" customWidth="1"/>
    <col min="13314" max="13314" width="3.54296875" style="25" customWidth="1"/>
    <col min="13315" max="13559" width="9.1796875" style="25"/>
    <col min="13560" max="13560" width="8.7265625" style="25" customWidth="1"/>
    <col min="13561" max="13561" width="9.81640625" style="25" customWidth="1"/>
    <col min="13562" max="13562" width="14.453125" style="25" customWidth="1"/>
    <col min="13563" max="13563" width="7.26953125" style="25" customWidth="1"/>
    <col min="13564" max="13564" width="5.54296875" style="25" customWidth="1"/>
    <col min="13565" max="13565" width="9" style="25" customWidth="1"/>
    <col min="13566" max="13567" width="9.81640625" style="25" customWidth="1"/>
    <col min="13568" max="13568" width="11.1796875" style="25" customWidth="1"/>
    <col min="13569" max="13569" width="2.81640625" style="25" customWidth="1"/>
    <col min="13570" max="13570" width="3.54296875" style="25" customWidth="1"/>
    <col min="13571" max="13815" width="9.1796875" style="25"/>
    <col min="13816" max="13816" width="8.7265625" style="25" customWidth="1"/>
    <col min="13817" max="13817" width="9.81640625" style="25" customWidth="1"/>
    <col min="13818" max="13818" width="14.453125" style="25" customWidth="1"/>
    <col min="13819" max="13819" width="7.26953125" style="25" customWidth="1"/>
    <col min="13820" max="13820" width="5.54296875" style="25" customWidth="1"/>
    <col min="13821" max="13821" width="9" style="25" customWidth="1"/>
    <col min="13822" max="13823" width="9.81640625" style="25" customWidth="1"/>
    <col min="13824" max="13824" width="11.1796875" style="25" customWidth="1"/>
    <col min="13825" max="13825" width="2.81640625" style="25" customWidth="1"/>
    <col min="13826" max="13826" width="3.54296875" style="25" customWidth="1"/>
    <col min="13827" max="14071" width="9.1796875" style="25"/>
    <col min="14072" max="14072" width="8.7265625" style="25" customWidth="1"/>
    <col min="14073" max="14073" width="9.81640625" style="25" customWidth="1"/>
    <col min="14074" max="14074" width="14.453125" style="25" customWidth="1"/>
    <col min="14075" max="14075" width="7.26953125" style="25" customWidth="1"/>
    <col min="14076" max="14076" width="5.54296875" style="25" customWidth="1"/>
    <col min="14077" max="14077" width="9" style="25" customWidth="1"/>
    <col min="14078" max="14079" width="9.81640625" style="25" customWidth="1"/>
    <col min="14080" max="14080" width="11.1796875" style="25" customWidth="1"/>
    <col min="14081" max="14081" width="2.81640625" style="25" customWidth="1"/>
    <col min="14082" max="14082" width="3.54296875" style="25" customWidth="1"/>
    <col min="14083" max="14327" width="9.1796875" style="25"/>
    <col min="14328" max="14328" width="8.7265625" style="25" customWidth="1"/>
    <col min="14329" max="14329" width="9.81640625" style="25" customWidth="1"/>
    <col min="14330" max="14330" width="14.453125" style="25" customWidth="1"/>
    <col min="14331" max="14331" width="7.26953125" style="25" customWidth="1"/>
    <col min="14332" max="14332" width="5.54296875" style="25" customWidth="1"/>
    <col min="14333" max="14333" width="9" style="25" customWidth="1"/>
    <col min="14334" max="14335" width="9.81640625" style="25" customWidth="1"/>
    <col min="14336" max="14336" width="11.1796875" style="25" customWidth="1"/>
    <col min="14337" max="14337" width="2.81640625" style="25" customWidth="1"/>
    <col min="14338" max="14338" width="3.54296875" style="25" customWidth="1"/>
    <col min="14339" max="14583" width="9.1796875" style="25"/>
    <col min="14584" max="14584" width="8.7265625" style="25" customWidth="1"/>
    <col min="14585" max="14585" width="9.81640625" style="25" customWidth="1"/>
    <col min="14586" max="14586" width="14.453125" style="25" customWidth="1"/>
    <col min="14587" max="14587" width="7.26953125" style="25" customWidth="1"/>
    <col min="14588" max="14588" width="5.54296875" style="25" customWidth="1"/>
    <col min="14589" max="14589" width="9" style="25" customWidth="1"/>
    <col min="14590" max="14591" width="9.81640625" style="25" customWidth="1"/>
    <col min="14592" max="14592" width="11.1796875" style="25" customWidth="1"/>
    <col min="14593" max="14593" width="2.81640625" style="25" customWidth="1"/>
    <col min="14594" max="14594" width="3.54296875" style="25" customWidth="1"/>
    <col min="14595" max="14839" width="9.1796875" style="25"/>
    <col min="14840" max="14840" width="8.7265625" style="25" customWidth="1"/>
    <col min="14841" max="14841" width="9.81640625" style="25" customWidth="1"/>
    <col min="14842" max="14842" width="14.453125" style="25" customWidth="1"/>
    <col min="14843" max="14843" width="7.26953125" style="25" customWidth="1"/>
    <col min="14844" max="14844" width="5.54296875" style="25" customWidth="1"/>
    <col min="14845" max="14845" width="9" style="25" customWidth="1"/>
    <col min="14846" max="14847" width="9.81640625" style="25" customWidth="1"/>
    <col min="14848" max="14848" width="11.1796875" style="25" customWidth="1"/>
    <col min="14849" max="14849" width="2.81640625" style="25" customWidth="1"/>
    <col min="14850" max="14850" width="3.54296875" style="25" customWidth="1"/>
    <col min="14851" max="15095" width="9.1796875" style="25"/>
    <col min="15096" max="15096" width="8.7265625" style="25" customWidth="1"/>
    <col min="15097" max="15097" width="9.81640625" style="25" customWidth="1"/>
    <col min="15098" max="15098" width="14.453125" style="25" customWidth="1"/>
    <col min="15099" max="15099" width="7.26953125" style="25" customWidth="1"/>
    <col min="15100" max="15100" width="5.54296875" style="25" customWidth="1"/>
    <col min="15101" max="15101" width="9" style="25" customWidth="1"/>
    <col min="15102" max="15103" width="9.81640625" style="25" customWidth="1"/>
    <col min="15104" max="15104" width="11.1796875" style="25" customWidth="1"/>
    <col min="15105" max="15105" width="2.81640625" style="25" customWidth="1"/>
    <col min="15106" max="15106" width="3.54296875" style="25" customWidth="1"/>
    <col min="15107" max="15351" width="9.1796875" style="25"/>
    <col min="15352" max="15352" width="8.7265625" style="25" customWidth="1"/>
    <col min="15353" max="15353" width="9.81640625" style="25" customWidth="1"/>
    <col min="15354" max="15354" width="14.453125" style="25" customWidth="1"/>
    <col min="15355" max="15355" width="7.26953125" style="25" customWidth="1"/>
    <col min="15356" max="15356" width="5.54296875" style="25" customWidth="1"/>
    <col min="15357" max="15357" width="9" style="25" customWidth="1"/>
    <col min="15358" max="15359" width="9.81640625" style="25" customWidth="1"/>
    <col min="15360" max="15360" width="11.1796875" style="25" customWidth="1"/>
    <col min="15361" max="15361" width="2.81640625" style="25" customWidth="1"/>
    <col min="15362" max="15362" width="3.54296875" style="25" customWidth="1"/>
    <col min="15363" max="15607" width="9.1796875" style="25"/>
    <col min="15608" max="15608" width="8.7265625" style="25" customWidth="1"/>
    <col min="15609" max="15609" width="9.81640625" style="25" customWidth="1"/>
    <col min="15610" max="15610" width="14.453125" style="25" customWidth="1"/>
    <col min="15611" max="15611" width="7.26953125" style="25" customWidth="1"/>
    <col min="15612" max="15612" width="5.54296875" style="25" customWidth="1"/>
    <col min="15613" max="15613" width="9" style="25" customWidth="1"/>
    <col min="15614" max="15615" width="9.81640625" style="25" customWidth="1"/>
    <col min="15616" max="15616" width="11.1796875" style="25" customWidth="1"/>
    <col min="15617" max="15617" width="2.81640625" style="25" customWidth="1"/>
    <col min="15618" max="15618" width="3.54296875" style="25" customWidth="1"/>
    <col min="15619" max="15863" width="9.1796875" style="25"/>
    <col min="15864" max="15864" width="8.7265625" style="25" customWidth="1"/>
    <col min="15865" max="15865" width="9.81640625" style="25" customWidth="1"/>
    <col min="15866" max="15866" width="14.453125" style="25" customWidth="1"/>
    <col min="15867" max="15867" width="7.26953125" style="25" customWidth="1"/>
    <col min="15868" max="15868" width="5.54296875" style="25" customWidth="1"/>
    <col min="15869" max="15869" width="9" style="25" customWidth="1"/>
    <col min="15870" max="15871" width="9.81640625" style="25" customWidth="1"/>
    <col min="15872" max="15872" width="11.1796875" style="25" customWidth="1"/>
    <col min="15873" max="15873" width="2.81640625" style="25" customWidth="1"/>
    <col min="15874" max="15874" width="3.54296875" style="25" customWidth="1"/>
    <col min="15875" max="16119" width="9.1796875" style="25"/>
    <col min="16120" max="16120" width="8.7265625" style="25" customWidth="1"/>
    <col min="16121" max="16121" width="9.81640625" style="25" customWidth="1"/>
    <col min="16122" max="16122" width="14.453125" style="25" customWidth="1"/>
    <col min="16123" max="16123" width="7.26953125" style="25" customWidth="1"/>
    <col min="16124" max="16124" width="5.54296875" style="25" customWidth="1"/>
    <col min="16125" max="16125" width="9" style="25" customWidth="1"/>
    <col min="16126" max="16127" width="9.81640625" style="25" customWidth="1"/>
    <col min="16128" max="16128" width="11.1796875" style="25" customWidth="1"/>
    <col min="16129" max="16129" width="2.81640625" style="25" customWidth="1"/>
    <col min="16130" max="16130" width="3.54296875" style="25" customWidth="1"/>
    <col min="16131" max="16384" width="9.1796875" style="25"/>
  </cols>
  <sheetData>
    <row r="1" spans="1:8" ht="46.5" customHeight="1">
      <c r="A1" s="71" t="s">
        <v>0</v>
      </c>
      <c r="B1" s="71"/>
      <c r="C1" s="71"/>
      <c r="D1" s="71"/>
      <c r="E1" s="71"/>
      <c r="F1" s="71"/>
      <c r="G1" s="71"/>
      <c r="H1" s="71"/>
    </row>
    <row r="2" spans="1:8" ht="16.5" customHeight="1">
      <c r="A2" s="72" t="s">
        <v>1</v>
      </c>
      <c r="B2" s="72"/>
      <c r="C2" s="72"/>
      <c r="D2" s="72"/>
      <c r="E2" s="72"/>
      <c r="F2" s="72"/>
      <c r="G2" s="72"/>
      <c r="H2" s="72"/>
    </row>
    <row r="3" spans="1:8">
      <c r="A3" s="73" t="s">
        <v>2</v>
      </c>
      <c r="B3" s="73"/>
      <c r="C3" s="73"/>
      <c r="D3" s="73"/>
      <c r="E3" s="74" t="str">
        <f ca="1">TEXT(TODAY(),"DD/MM/YYYY")</f>
        <v>08/09/2025</v>
      </c>
      <c r="F3" s="74"/>
      <c r="G3" s="74"/>
      <c r="H3" s="74"/>
    </row>
    <row r="4" spans="1:8">
      <c r="A4" s="75" t="s">
        <v>3</v>
      </c>
      <c r="B4" s="75"/>
      <c r="C4" s="75"/>
      <c r="D4" s="75"/>
      <c r="E4" s="76" t="s">
        <v>4</v>
      </c>
      <c r="F4" s="76"/>
      <c r="G4" s="76"/>
      <c r="H4" s="76"/>
    </row>
    <row r="5" spans="1:8">
      <c r="A5" s="73" t="s">
        <v>5</v>
      </c>
      <c r="B5" s="73"/>
      <c r="C5" s="73"/>
      <c r="D5" s="73"/>
      <c r="E5" s="77">
        <v>45906</v>
      </c>
      <c r="F5" s="77"/>
      <c r="G5" s="77"/>
      <c r="H5" s="77"/>
    </row>
    <row r="6" spans="1:8" ht="16.5" customHeight="1">
      <c r="A6" s="73" t="s">
        <v>6</v>
      </c>
      <c r="B6" s="73"/>
      <c r="C6" s="73"/>
      <c r="D6" s="73"/>
      <c r="E6" s="78" t="s">
        <v>7</v>
      </c>
      <c r="F6" s="78"/>
      <c r="G6" s="78"/>
      <c r="H6" s="78"/>
    </row>
    <row r="7" spans="1:8" ht="15" customHeight="1">
      <c r="A7" s="73" t="s">
        <v>8</v>
      </c>
      <c r="B7" s="73"/>
      <c r="C7" s="73"/>
      <c r="D7" s="73"/>
      <c r="E7" s="78" t="str">
        <f>E6</f>
        <v>Mahalaxmi Cotton Mills</v>
      </c>
      <c r="F7" s="78"/>
      <c r="G7" s="78"/>
      <c r="H7" s="78"/>
    </row>
    <row r="8" spans="1:8">
      <c r="A8" s="73" t="s">
        <v>9</v>
      </c>
      <c r="B8" s="73"/>
      <c r="C8" s="73"/>
      <c r="D8" s="73"/>
      <c r="E8" s="79" t="s">
        <v>10</v>
      </c>
      <c r="F8" s="80"/>
      <c r="G8" s="80"/>
      <c r="H8" s="80"/>
    </row>
    <row r="9" spans="1:8">
      <c r="A9" s="73" t="s">
        <v>11</v>
      </c>
      <c r="B9" s="73"/>
      <c r="C9" s="73"/>
      <c r="D9" s="73"/>
      <c r="E9" s="73" t="s">
        <v>238</v>
      </c>
      <c r="F9" s="73"/>
      <c r="G9" s="73"/>
      <c r="H9" s="73"/>
    </row>
    <row r="10" spans="1:8">
      <c r="A10" s="73" t="s">
        <v>12</v>
      </c>
      <c r="B10" s="73"/>
      <c r="C10" s="73"/>
      <c r="D10" s="73"/>
      <c r="E10" s="73" t="s">
        <v>241</v>
      </c>
      <c r="F10" s="73"/>
      <c r="G10" s="73"/>
      <c r="H10" s="73"/>
    </row>
    <row r="11" spans="1:8" ht="15.75" customHeight="1">
      <c r="A11" s="81" t="s">
        <v>13</v>
      </c>
      <c r="B11" s="81"/>
      <c r="C11" s="81"/>
      <c r="D11" s="81"/>
      <c r="E11" s="82" t="s">
        <v>14</v>
      </c>
      <c r="F11" s="81"/>
      <c r="G11" s="81"/>
      <c r="H11" s="81"/>
    </row>
    <row r="12" spans="1:8">
      <c r="A12" s="75" t="s">
        <v>15</v>
      </c>
      <c r="B12" s="75"/>
      <c r="C12" s="75"/>
      <c r="D12" s="75"/>
      <c r="E12" s="82" t="s">
        <v>16</v>
      </c>
      <c r="F12" s="82"/>
      <c r="G12" s="82"/>
      <c r="H12" s="82"/>
    </row>
    <row r="13" spans="1:8">
      <c r="A13" s="75" t="s">
        <v>17</v>
      </c>
      <c r="B13" s="75"/>
      <c r="C13" s="75"/>
      <c r="D13" s="75"/>
      <c r="E13" s="82" t="s">
        <v>18</v>
      </c>
      <c r="F13" s="81"/>
      <c r="G13" s="81"/>
      <c r="H13" s="81"/>
    </row>
    <row r="14" spans="1:8" ht="33" customHeight="1">
      <c r="A14" s="78" t="s">
        <v>19</v>
      </c>
      <c r="B14" s="78"/>
      <c r="C14" s="78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",(IF(OR(G17="",G17="NA"),"",G17)),", ",(IF(OR(G18="",G18="NA"),"",G18)),".")</f>
        <v>Arihant Anant Phase II, Gut No.112/11/14/5 &amp; 112/12/15/5 (P), near Simran Majestic CHS Ltd, Ghot Road, Taloje Majkur, Taloja Panchanand, Panvel, Raigad, 410208.</v>
      </c>
      <c r="D14" s="78"/>
      <c r="E14" s="78"/>
      <c r="F14" s="78"/>
      <c r="G14" s="78"/>
      <c r="H14" s="78"/>
    </row>
    <row r="15" spans="1:8">
      <c r="A15" s="78" t="s">
        <v>20</v>
      </c>
      <c r="B15" s="78"/>
      <c r="C15" s="82" t="s">
        <v>21</v>
      </c>
      <c r="D15" s="82"/>
      <c r="E15" s="82"/>
      <c r="F15" s="82"/>
      <c r="G15" s="82"/>
      <c r="H15" s="82"/>
    </row>
    <row r="16" spans="1:8" ht="15.75" customHeight="1">
      <c r="A16" s="78" t="s">
        <v>22</v>
      </c>
      <c r="B16" s="78"/>
      <c r="C16" s="81" t="s">
        <v>23</v>
      </c>
      <c r="D16" s="81"/>
      <c r="E16" s="78" t="s">
        <v>24</v>
      </c>
      <c r="F16" s="78"/>
      <c r="G16" s="82" t="s">
        <v>25</v>
      </c>
      <c r="H16" s="82"/>
    </row>
    <row r="17" spans="1:8">
      <c r="A17" s="73" t="s">
        <v>26</v>
      </c>
      <c r="B17" s="73"/>
      <c r="C17" s="82" t="s">
        <v>27</v>
      </c>
      <c r="D17" s="82"/>
      <c r="E17" s="78" t="s">
        <v>28</v>
      </c>
      <c r="F17" s="78"/>
      <c r="G17" s="83" t="s">
        <v>29</v>
      </c>
      <c r="H17" s="83"/>
    </row>
    <row r="18" spans="1:8">
      <c r="A18" s="73" t="s">
        <v>30</v>
      </c>
      <c r="B18" s="73"/>
      <c r="C18" s="82" t="s">
        <v>31</v>
      </c>
      <c r="D18" s="82"/>
      <c r="E18" s="78" t="s">
        <v>32</v>
      </c>
      <c r="F18" s="78"/>
      <c r="G18" s="82">
        <v>410208</v>
      </c>
      <c r="H18" s="82"/>
    </row>
    <row r="19" spans="1:8" ht="32.25" customHeight="1">
      <c r="A19" s="73" t="s">
        <v>33</v>
      </c>
      <c r="B19" s="73"/>
      <c r="C19" s="84" t="s">
        <v>34</v>
      </c>
      <c r="D19" s="84"/>
      <c r="E19" s="78" t="s">
        <v>35</v>
      </c>
      <c r="F19" s="78"/>
      <c r="G19" s="82" t="s">
        <v>36</v>
      </c>
      <c r="H19" s="82"/>
    </row>
    <row r="20" spans="1:8" ht="15" customHeight="1">
      <c r="A20" s="78" t="s">
        <v>37</v>
      </c>
      <c r="B20" s="78"/>
      <c r="C20" s="78"/>
      <c r="D20" s="78"/>
      <c r="E20" s="81" t="s">
        <v>38</v>
      </c>
      <c r="F20" s="81"/>
      <c r="G20" s="81"/>
      <c r="H20" s="81"/>
    </row>
    <row r="21" spans="1:8" ht="18.75" customHeight="1">
      <c r="A21" s="78"/>
      <c r="B21" s="78"/>
      <c r="C21" s="78"/>
      <c r="D21" s="78"/>
      <c r="E21" s="81"/>
      <c r="F21" s="81"/>
      <c r="G21" s="81"/>
      <c r="H21" s="81"/>
    </row>
    <row r="22" spans="1:8" ht="15" customHeight="1">
      <c r="A22" s="78" t="s">
        <v>39</v>
      </c>
      <c r="B22" s="78"/>
      <c r="C22" s="78"/>
      <c r="D22" s="78"/>
      <c r="E22" s="82" t="s">
        <v>40</v>
      </c>
      <c r="F22" s="82"/>
      <c r="G22" s="82"/>
      <c r="H22" s="82"/>
    </row>
    <row r="23" spans="1:8" ht="15" customHeight="1">
      <c r="A23" s="73" t="s">
        <v>41</v>
      </c>
      <c r="B23" s="73"/>
      <c r="C23" s="73"/>
      <c r="D23" s="73"/>
      <c r="E23" s="82" t="str">
        <f>IF(AND(G17="Mumbai"),"Upper Class","Middle Class")</f>
        <v>Middle Class</v>
      </c>
      <c r="F23" s="82"/>
      <c r="G23" s="82"/>
      <c r="H23" s="82"/>
    </row>
    <row r="24" spans="1:8">
      <c r="A24" s="73" t="s">
        <v>42</v>
      </c>
      <c r="B24" s="73"/>
      <c r="C24" s="73"/>
      <c r="D24" s="73"/>
      <c r="E24" s="82" t="s">
        <v>43</v>
      </c>
      <c r="F24" s="82"/>
      <c r="G24" s="82"/>
      <c r="H24" s="82"/>
    </row>
    <row r="25" spans="1:8" ht="15.75" customHeight="1">
      <c r="A25" s="73" t="s">
        <v>44</v>
      </c>
      <c r="B25" s="73"/>
      <c r="C25" s="73"/>
      <c r="D25" s="73"/>
      <c r="E25" s="82" t="str">
        <f>IF(AND(G17="Mumbai"),"Developed","Developing")</f>
        <v>Developing</v>
      </c>
      <c r="F25" s="82"/>
      <c r="G25" s="82"/>
      <c r="H25" s="82"/>
    </row>
    <row r="26" spans="1:8">
      <c r="A26" s="73" t="s">
        <v>45</v>
      </c>
      <c r="B26" s="73"/>
      <c r="C26" s="73"/>
      <c r="D26" s="73"/>
      <c r="E26" s="82" t="s">
        <v>46</v>
      </c>
      <c r="F26" s="82"/>
      <c r="G26" s="82"/>
      <c r="H26" s="82"/>
    </row>
    <row r="27" spans="1:8">
      <c r="A27" s="73" t="s">
        <v>47</v>
      </c>
      <c r="B27" s="73"/>
      <c r="C27" s="73"/>
      <c r="D27" s="73"/>
      <c r="E27" s="82" t="s">
        <v>48</v>
      </c>
      <c r="F27" s="82"/>
      <c r="G27" s="82"/>
      <c r="H27" s="82"/>
    </row>
    <row r="28" spans="1:8" ht="15" customHeight="1">
      <c r="A28" s="85" t="s">
        <v>49</v>
      </c>
      <c r="B28" s="85"/>
      <c r="C28" s="85"/>
      <c r="D28" s="85"/>
      <c r="E28" s="86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Commercial",IF(AND(ISNUMBER(SEARCH("Shop",D53)),ISNUMBER(SEARCH("Office",D53))),"Commercial",IF(ISNUMBER(SEARCH("Shop",D53)),"Commercial",IF(ISNUMBER(SEARCH("Office",D53)),"Commercial",IF(ISNUMBER(SEARCH("Flat",D53)),"Residential")))))))</f>
        <v>Residential</v>
      </c>
      <c r="F28" s="86"/>
      <c r="G28" s="86"/>
      <c r="H28" s="86"/>
    </row>
    <row r="29" spans="1:8">
      <c r="A29" s="78" t="s">
        <v>50</v>
      </c>
      <c r="B29" s="78"/>
      <c r="C29" s="78"/>
      <c r="D29" s="78"/>
      <c r="E29" s="78" t="s">
        <v>51</v>
      </c>
      <c r="F29" s="78"/>
      <c r="G29" s="78"/>
      <c r="H29" s="78"/>
    </row>
    <row r="30" spans="1:8" s="18" customFormat="1">
      <c r="A30" s="87" t="s">
        <v>52</v>
      </c>
      <c r="B30" s="87"/>
      <c r="C30" s="88" t="s">
        <v>53</v>
      </c>
      <c r="D30" s="88"/>
      <c r="E30" s="88"/>
      <c r="F30" s="88" t="s">
        <v>54</v>
      </c>
      <c r="G30" s="88"/>
      <c r="H30" s="88"/>
    </row>
    <row r="31" spans="1:8" s="18" customFormat="1">
      <c r="A31" s="89" t="s">
        <v>55</v>
      </c>
      <c r="B31" s="89" t="s">
        <v>56</v>
      </c>
      <c r="C31" s="90" t="s">
        <v>56</v>
      </c>
      <c r="D31" s="90"/>
      <c r="E31" s="90"/>
      <c r="F31" s="90" t="s">
        <v>57</v>
      </c>
      <c r="G31" s="90"/>
      <c r="H31" s="90"/>
    </row>
    <row r="32" spans="1:8">
      <c r="A32" s="89" t="s">
        <v>58</v>
      </c>
      <c r="B32" s="89" t="s">
        <v>56</v>
      </c>
      <c r="C32" s="90" t="s">
        <v>56</v>
      </c>
      <c r="D32" s="90"/>
      <c r="E32" s="90"/>
      <c r="F32" s="90" t="s">
        <v>34</v>
      </c>
      <c r="G32" s="90"/>
      <c r="H32" s="90"/>
    </row>
    <row r="33" spans="1:8" s="18" customFormat="1">
      <c r="A33" s="89" t="s">
        <v>59</v>
      </c>
      <c r="B33" s="89" t="s">
        <v>56</v>
      </c>
      <c r="C33" s="90" t="s">
        <v>56</v>
      </c>
      <c r="D33" s="90"/>
      <c r="E33" s="90"/>
      <c r="F33" s="90" t="s">
        <v>60</v>
      </c>
      <c r="G33" s="90"/>
      <c r="H33" s="90"/>
    </row>
    <row r="34" spans="1:8">
      <c r="A34" s="89" t="s">
        <v>61</v>
      </c>
      <c r="B34" s="89" t="s">
        <v>56</v>
      </c>
      <c r="C34" s="90" t="s">
        <v>56</v>
      </c>
      <c r="D34" s="90"/>
      <c r="E34" s="90"/>
      <c r="F34" s="90" t="s">
        <v>57</v>
      </c>
      <c r="G34" s="90"/>
      <c r="H34" s="90"/>
    </row>
    <row r="35" spans="1:8">
      <c r="A35" s="73" t="s">
        <v>62</v>
      </c>
      <c r="B35" s="73"/>
      <c r="C35" s="73"/>
      <c r="D35" s="73"/>
      <c r="E35" s="73"/>
      <c r="F35" s="73"/>
      <c r="G35" s="73"/>
      <c r="H35" s="73"/>
    </row>
    <row r="36" spans="1:8" ht="15.75" customHeight="1">
      <c r="A36" s="72" t="s">
        <v>63</v>
      </c>
      <c r="B36" s="72"/>
      <c r="C36" s="91" t="s">
        <v>64</v>
      </c>
      <c r="D36" s="92"/>
      <c r="E36" s="92"/>
      <c r="F36" s="92"/>
      <c r="G36" s="92"/>
      <c r="H36" s="93"/>
    </row>
    <row r="37" spans="1:8" ht="15.75" customHeight="1">
      <c r="A37" s="72" t="s">
        <v>65</v>
      </c>
      <c r="B37" s="72"/>
      <c r="C37" s="94" t="s">
        <v>66</v>
      </c>
      <c r="D37" s="92"/>
      <c r="E37" s="92"/>
      <c r="F37" s="92"/>
      <c r="G37" s="92"/>
      <c r="H37" s="93"/>
    </row>
    <row r="38" spans="1:8">
      <c r="A38" s="80" t="s">
        <v>67</v>
      </c>
      <c r="B38" s="80"/>
      <c r="C38" s="80"/>
      <c r="D38" s="80"/>
      <c r="E38" s="80"/>
      <c r="F38" s="80"/>
      <c r="G38" s="80"/>
      <c r="H38" s="80"/>
    </row>
    <row r="39" spans="1:8">
      <c r="A39" s="73" t="s">
        <v>68</v>
      </c>
      <c r="B39" s="73"/>
      <c r="C39" s="73"/>
      <c r="D39" s="73"/>
      <c r="E39" s="95">
        <v>6877.4610000000002</v>
      </c>
      <c r="F39" s="95"/>
      <c r="G39" s="95"/>
      <c r="H39" s="95"/>
    </row>
    <row r="40" spans="1:8">
      <c r="A40" s="73" t="s">
        <v>69</v>
      </c>
      <c r="B40" s="73"/>
      <c r="C40" s="73"/>
      <c r="D40" s="73"/>
      <c r="E40" s="96">
        <v>1.1000000000000001</v>
      </c>
      <c r="F40" s="96"/>
      <c r="G40" s="96"/>
      <c r="H40" s="96"/>
    </row>
    <row r="41" spans="1:8">
      <c r="A41" s="73" t="s">
        <v>70</v>
      </c>
      <c r="B41" s="73"/>
      <c r="C41" s="73"/>
      <c r="D41" s="73"/>
      <c r="E41" s="96">
        <f>E43/E39-E40</f>
        <v>0.39693935014680548</v>
      </c>
      <c r="F41" s="96"/>
      <c r="G41" s="96"/>
      <c r="H41" s="96"/>
    </row>
    <row r="42" spans="1:8">
      <c r="A42" s="73" t="s">
        <v>71</v>
      </c>
      <c r="B42" s="73"/>
      <c r="C42" s="73"/>
      <c r="D42" s="73"/>
      <c r="E42" s="96">
        <f>E40+E41</f>
        <v>1.4969393501468056</v>
      </c>
      <c r="F42" s="96"/>
      <c r="G42" s="96"/>
      <c r="H42" s="96"/>
    </row>
    <row r="43" spans="1:8">
      <c r="A43" s="73" t="s">
        <v>72</v>
      </c>
      <c r="B43" s="73"/>
      <c r="C43" s="73"/>
      <c r="D43" s="73"/>
      <c r="E43" s="97">
        <v>10295.142</v>
      </c>
      <c r="F43" s="97"/>
      <c r="G43" s="97"/>
      <c r="H43" s="97"/>
    </row>
    <row r="44" spans="1:8">
      <c r="A44" s="75" t="s">
        <v>73</v>
      </c>
      <c r="B44" s="75"/>
      <c r="C44" s="75"/>
      <c r="D44" s="75"/>
      <c r="E44" s="75" t="s">
        <v>74</v>
      </c>
      <c r="F44" s="75"/>
      <c r="G44" s="75"/>
      <c r="H44" s="75"/>
    </row>
    <row r="45" spans="1:8">
      <c r="A45" s="80" t="s">
        <v>75</v>
      </c>
      <c r="B45" s="80"/>
      <c r="C45" s="80"/>
      <c r="D45" s="80"/>
      <c r="E45" s="80"/>
      <c r="F45" s="80"/>
      <c r="G45" s="80"/>
      <c r="H45" s="80"/>
    </row>
    <row r="46" spans="1:8">
      <c r="A46" s="78" t="s">
        <v>76</v>
      </c>
      <c r="B46" s="78"/>
      <c r="C46" s="98" t="s">
        <v>77</v>
      </c>
      <c r="D46" s="98"/>
      <c r="E46" s="98"/>
      <c r="F46" s="68" t="s">
        <v>78</v>
      </c>
      <c r="G46" s="99">
        <v>44742</v>
      </c>
      <c r="H46" s="99"/>
    </row>
    <row r="47" spans="1:8">
      <c r="A47" s="73" t="s">
        <v>79</v>
      </c>
      <c r="B47" s="73"/>
      <c r="C47" s="98" t="str">
        <f>C46</f>
        <v>PMP/NRV/16097/J.K/1992/2022</v>
      </c>
      <c r="D47" s="98"/>
      <c r="E47" s="98"/>
      <c r="F47" s="68" t="s">
        <v>78</v>
      </c>
      <c r="G47" s="99">
        <f>G46</f>
        <v>44742</v>
      </c>
      <c r="H47" s="99"/>
    </row>
    <row r="48" spans="1:8" s="19" customFormat="1" ht="34.5" customHeight="1">
      <c r="A48" s="82" t="s">
        <v>80</v>
      </c>
      <c r="B48" s="82"/>
      <c r="C48" s="98" t="s">
        <v>81</v>
      </c>
      <c r="D48" s="100"/>
      <c r="E48" s="100"/>
      <c r="F48" s="27" t="s">
        <v>78</v>
      </c>
      <c r="G48" s="99">
        <f>G47</f>
        <v>44742</v>
      </c>
      <c r="H48" s="99"/>
    </row>
    <row r="49" spans="1:14" s="19" customFormat="1" ht="33.75" customHeight="1">
      <c r="A49" s="82"/>
      <c r="B49" s="82"/>
      <c r="C49" s="98" t="s">
        <v>82</v>
      </c>
      <c r="D49" s="98"/>
      <c r="E49" s="98"/>
      <c r="F49" s="98"/>
      <c r="G49" s="98"/>
      <c r="H49" s="98"/>
    </row>
    <row r="50" spans="1:14">
      <c r="A50" s="101" t="s">
        <v>83</v>
      </c>
      <c r="B50" s="101"/>
      <c r="C50" s="102" t="s">
        <v>84</v>
      </c>
      <c r="D50" s="103"/>
      <c r="E50" s="103" t="s">
        <v>85</v>
      </c>
      <c r="F50" s="28" t="s">
        <v>78</v>
      </c>
      <c r="G50" s="104" t="s">
        <v>56</v>
      </c>
      <c r="H50" s="104"/>
    </row>
    <row r="51" spans="1:14">
      <c r="A51" s="105" t="s">
        <v>86</v>
      </c>
      <c r="B51" s="105"/>
      <c r="C51" s="105"/>
      <c r="D51" s="105"/>
      <c r="E51" s="105"/>
      <c r="F51" s="105"/>
      <c r="G51" s="105"/>
      <c r="H51" s="105"/>
    </row>
    <row r="52" spans="1:14">
      <c r="A52" s="78" t="s">
        <v>87</v>
      </c>
      <c r="B52" s="78"/>
      <c r="C52" s="78"/>
      <c r="D52" s="73">
        <f>E43</f>
        <v>10295.142</v>
      </c>
      <c r="E52" s="73"/>
      <c r="F52" s="73"/>
      <c r="G52" s="73"/>
      <c r="H52" s="73"/>
    </row>
    <row r="53" spans="1:14">
      <c r="A53" s="82" t="s">
        <v>88</v>
      </c>
      <c r="B53" s="81"/>
      <c r="C53" s="81"/>
      <c r="D53" s="81" t="s">
        <v>89</v>
      </c>
      <c r="E53" s="81"/>
      <c r="F53" s="81"/>
      <c r="G53" s="81"/>
      <c r="H53" s="81"/>
      <c r="I53" s="32"/>
    </row>
    <row r="54" spans="1:14" ht="33" customHeight="1">
      <c r="A54" s="106" t="s">
        <v>90</v>
      </c>
      <c r="B54" s="107"/>
      <c r="C54" s="108"/>
      <c r="D54" s="109" t="s">
        <v>91</v>
      </c>
      <c r="E54" s="110"/>
      <c r="F54" s="110"/>
      <c r="G54" s="110"/>
      <c r="H54" s="110"/>
    </row>
    <row r="55" spans="1:14" ht="15.75" customHeight="1">
      <c r="A55" s="106" t="s">
        <v>92</v>
      </c>
      <c r="B55" s="107"/>
      <c r="C55" s="107"/>
      <c r="D55" s="111" t="s">
        <v>93</v>
      </c>
      <c r="E55" s="112"/>
      <c r="F55" s="112"/>
      <c r="G55" s="112"/>
      <c r="H55" s="113"/>
    </row>
    <row r="56" spans="1:14" ht="15.75" customHeight="1">
      <c r="A56" s="179"/>
      <c r="B56" s="180"/>
      <c r="C56" s="181"/>
      <c r="D56" s="114" t="s">
        <v>94</v>
      </c>
      <c r="E56" s="115"/>
      <c r="F56" s="115"/>
      <c r="G56" s="115"/>
      <c r="H56" s="116"/>
    </row>
    <row r="57" spans="1:14" ht="15.75" customHeight="1">
      <c r="A57" s="73" t="s">
        <v>95</v>
      </c>
      <c r="B57" s="73"/>
      <c r="C57" s="73"/>
      <c r="D57" s="117" t="s">
        <v>96</v>
      </c>
      <c r="E57" s="117"/>
      <c r="F57" s="117"/>
      <c r="G57" s="117"/>
      <c r="H57" s="117"/>
      <c r="J57" s="33"/>
      <c r="K57" s="32"/>
      <c r="N57" s="32"/>
    </row>
    <row r="58" spans="1:14" ht="15.75" customHeight="1">
      <c r="A58" s="73" t="s">
        <v>97</v>
      </c>
      <c r="B58" s="73"/>
      <c r="C58" s="73"/>
      <c r="D58" s="118" t="str">
        <f>(IF(G50="NA","60 Years After Completion",IF(G50&lt;&gt;"NA",""&amp;60-ROUNDDOWN((E3-G50)/360,0)&amp;" Years"," ")))</f>
        <v>60 Years After Completion</v>
      </c>
      <c r="E58" s="118"/>
      <c r="F58" s="118"/>
      <c r="G58" s="118"/>
      <c r="H58" s="118"/>
      <c r="N58" s="32"/>
    </row>
    <row r="59" spans="1:14" ht="15.75" customHeight="1">
      <c r="A59" s="73" t="s">
        <v>98</v>
      </c>
      <c r="B59" s="73"/>
      <c r="C59" s="73"/>
      <c r="D59" s="78" t="s">
        <v>46</v>
      </c>
      <c r="E59" s="78"/>
      <c r="F59" s="78"/>
      <c r="G59" s="78"/>
      <c r="H59" s="78"/>
      <c r="J59" s="34"/>
      <c r="K59" s="34"/>
    </row>
    <row r="60" spans="1:14" ht="15.75" customHeight="1">
      <c r="A60" s="110" t="s">
        <v>99</v>
      </c>
      <c r="B60" s="110"/>
      <c r="C60" s="110"/>
      <c r="D60" s="109" t="str">
        <f ca="1">(IF(G65&gt;95%,"Nothing",IF(G65&gt;0%,"Cement, Aggregate, Steel, etc",IF(#REF!=0%,"Work not yet Started"))))</f>
        <v>Cement, Aggregate, Steel, etc</v>
      </c>
      <c r="E60" s="109"/>
      <c r="F60" s="109"/>
      <c r="G60" s="109"/>
      <c r="H60" s="109"/>
      <c r="J60" s="34"/>
    </row>
    <row r="61" spans="1:14" ht="15.75" customHeight="1">
      <c r="A61" s="119" t="s">
        <v>100</v>
      </c>
      <c r="B61" s="120"/>
      <c r="C61" s="121" t="str">
        <f>D55</f>
        <v>Wing B = G + 1st to 9th Floor</v>
      </c>
      <c r="D61" s="122"/>
      <c r="E61" s="122"/>
      <c r="F61" s="122"/>
      <c r="G61" s="122"/>
      <c r="H61" s="123"/>
      <c r="I61" s="35" t="str">
        <f ca="1">IF(D74=100%,"All work Completed. Possession granted to the Building.",IF(D73=100%,"All work Completed, Waiting for OC",I62&amp;""&amp;I63&amp;""&amp;J62&amp;""&amp;J61&amp;" "&amp;J63))</f>
        <v>Excavation, Plinth, RCC Slab, Brickwork, Internal Plaster Completed, External Plaster upto 8 Floor, Flooring upto 5 Floor, Electric work upto 5 Floor Completed</v>
      </c>
      <c r="J61" s="36" t="str">
        <f ca="1">(IF(C67=(D62+F62+H62),"",IF(C67&gt;0,", RCC upto "&amp;C67&amp;" Slab","")))&amp;(IF(C68=H62,"",IF(C68&gt;0,", Brickwork upto "&amp;C68&amp;" Floor","")))&amp;(IF(C69=H62,"",IF(C69&gt;0,", Internal Plaster upto "&amp;C69&amp;" Floor","")))&amp;(IF(C70=H62,"",IF(C70&gt;0,", External Plaster upto "&amp;C70&amp;" Floor","")))&amp;(IF(C71=H62,"",IF(C71&gt;0,", Flooring upto "&amp;C71&amp;" Floor","")))&amp;(IF(C72=H62,"",IF(C72&gt;0,", Electric work upto "&amp;C72&amp;" Floor","")))&amp;(IF(C73=H62,"",IF(C73&gt;0,", Painting upto "&amp;C73&amp;" Floor","")))&amp;(IF(C74=H62,"",IF(C74&gt;0,", Possession upto "&amp;C74&amp;" Floor","")))</f>
        <v>, External Plaster upto 8 Floor, Flooring upto 5 Floor, Electric work upto 5 Floor</v>
      </c>
    </row>
    <row r="62" spans="1:14">
      <c r="A62" s="29" t="s">
        <v>101</v>
      </c>
      <c r="B62" s="26">
        <v>0</v>
      </c>
      <c r="C62" s="26" t="s">
        <v>102</v>
      </c>
      <c r="D62" s="26">
        <v>1</v>
      </c>
      <c r="E62" s="26" t="s">
        <v>103</v>
      </c>
      <c r="F62" s="26">
        <v>0</v>
      </c>
      <c r="G62" s="26" t="s">
        <v>104</v>
      </c>
      <c r="H62" s="30">
        <f ca="1">--TRIM(RIGHT(SUBSTITUTE(LEFT(C61,_xlfn.AGGREGATE(16,6,FIND({0,1,2,3,4,5,6,7,8,9},C61,ROW(INDIRECT("1:"&amp;LEN(C61)))),1))," ",REPT(" ",LEN(C61))),LEN(C61)))</f>
        <v>9</v>
      </c>
      <c r="I62" s="37" t="str">
        <f ca="1">IF(D65=100%,"Excavation","")&amp;IF(D66=100%,", Plinth","")&amp;IF(D67=100%,", RCC Slab","")&amp;IF(D68=100%,", Brickwork","")&amp;IF(D69=100%,", Internal Plaster","")&amp;IF(D70=100%,", External Plaster","")&amp;IF(D71=100%,", Flooring","")&amp;IF(D72=100%,", Electric work","")&amp;IF(D73=100%,", Painting &amp; Wodden work","")</f>
        <v>Excavation, Plinth, RCC Slab, Brickwork, Internal Plaster</v>
      </c>
      <c r="J62" s="38" t="str">
        <f ca="1">(IF(C65=0,"Work not yet Started.",IF(D65=25%,"Piling work in process",IF(D65=50%,"Excavation work in process",IF(D65=100%,"","0")))))&amp;(IF(C66=0%,"",IF(C66=J67,", Footing work is process",IF(C66=J68,", Footing work Completed",IF(C66=J69,", 1st Basement Completed",IF(C66=J70,", 1st &amp; 2nd Basement Completed",IF(C66=J71,", 1st to 3rd Basement Completed",IF(C66=J72,", 1st to 4th Basement Completed",IF(C66=J73,", Plinth work is process",IF(C66=J74,"","0"))))))))))</f>
        <v/>
      </c>
    </row>
    <row r="63" spans="1:14" ht="33.65" customHeight="1">
      <c r="A63" s="124" t="s">
        <v>105</v>
      </c>
      <c r="B63" s="125"/>
      <c r="C63" s="126" t="str">
        <f ca="1">I61</f>
        <v>Excavation, Plinth, RCC Slab, Brickwork, Internal Plaster Completed, External Plaster upto 8 Floor, Flooring upto 5 Floor, Electric work upto 5 Floor Completed</v>
      </c>
      <c r="D63" s="126"/>
      <c r="E63" s="126"/>
      <c r="F63" s="126"/>
      <c r="G63" s="126"/>
      <c r="H63" s="127"/>
      <c r="I63" s="37" t="str">
        <f ca="1">IF(I62&lt;&gt;""," Completed","")</f>
        <v xml:space="preserve"> Completed</v>
      </c>
      <c r="J63" s="38" t="str">
        <f ca="1">IF(J61&lt;&gt;"","Completed","")</f>
        <v>Completed</v>
      </c>
    </row>
    <row r="64" spans="1:14" ht="15.75" customHeight="1">
      <c r="A64" s="128" t="s">
        <v>106</v>
      </c>
      <c r="B64" s="129"/>
      <c r="C64" s="31" t="s">
        <v>107</v>
      </c>
      <c r="D64" s="31" t="s">
        <v>108</v>
      </c>
      <c r="E64" s="129" t="s">
        <v>109</v>
      </c>
      <c r="F64" s="129"/>
      <c r="G64" s="129" t="s">
        <v>110</v>
      </c>
      <c r="H64" s="130"/>
      <c r="I64" s="39" t="s">
        <v>111</v>
      </c>
      <c r="J64" s="40">
        <f ca="1">H62*25%</f>
        <v>2.25</v>
      </c>
    </row>
    <row r="65" spans="1:10">
      <c r="A65" s="129" t="s">
        <v>112</v>
      </c>
      <c r="B65" s="129"/>
      <c r="C65" s="69">
        <f ca="1">J66</f>
        <v>9</v>
      </c>
      <c r="D65" s="41">
        <f ca="1">((100/H62)*C65)/100</f>
        <v>1</v>
      </c>
      <c r="E65" s="187">
        <f ca="1">(((C66/H62*10)+(50/(D62+F62+H62)*C67)+(5/(H62)*C68)+(5/(H62)*C69)+(5/H62*C70)+(10/H62*C71)+(5/H62*C72)+(5/H62*C73)+(5/H62*C74))/100)</f>
        <v>0.82777777777777772</v>
      </c>
      <c r="F65" s="187"/>
      <c r="G65" s="187">
        <f ca="1">((((C65/H62)*20)+((C66/H62)*25)+(30/(H62+F62+D62)*C67)+(5/H62*C68)+(5/H62*C69)+(5/H62*C70)+(5/H62*C71)+(0/H62*C72)+(5/H62*C73)+(0/H62*C74))/100)</f>
        <v>0.92222222222222217</v>
      </c>
      <c r="H65" s="187"/>
      <c r="I65" s="39" t="s">
        <v>113</v>
      </c>
      <c r="J65" s="48">
        <f ca="1">H62*50%</f>
        <v>4.5</v>
      </c>
    </row>
    <row r="66" spans="1:10">
      <c r="A66" s="129" t="s">
        <v>114</v>
      </c>
      <c r="B66" s="129"/>
      <c r="C66" s="42">
        <f ca="1">J74</f>
        <v>9</v>
      </c>
      <c r="D66" s="41">
        <f ca="1">((100/H62)*C66)/100</f>
        <v>1</v>
      </c>
      <c r="E66" s="187"/>
      <c r="F66" s="187"/>
      <c r="G66" s="187"/>
      <c r="H66" s="187"/>
      <c r="I66" s="39" t="s">
        <v>115</v>
      </c>
      <c r="J66" s="48">
        <f ca="1">H62</f>
        <v>9</v>
      </c>
    </row>
    <row r="67" spans="1:10" ht="15.75" customHeight="1">
      <c r="A67" s="129" t="s">
        <v>116</v>
      </c>
      <c r="B67" s="129"/>
      <c r="C67" s="69">
        <v>10</v>
      </c>
      <c r="D67" s="41">
        <f ca="1">((100/(D62+F62+H62))*C67)/100</f>
        <v>1</v>
      </c>
      <c r="E67" s="187"/>
      <c r="F67" s="187"/>
      <c r="G67" s="187"/>
      <c r="H67" s="187"/>
      <c r="I67" s="39" t="s">
        <v>117</v>
      </c>
      <c r="J67" s="49">
        <f ca="1">(IF(B62&gt;1,(H62/(B62+2)),H62/4))</f>
        <v>2.25</v>
      </c>
    </row>
    <row r="68" spans="1:10" ht="15.75" customHeight="1">
      <c r="A68" s="129" t="s">
        <v>118</v>
      </c>
      <c r="B68" s="129" t="s">
        <v>119</v>
      </c>
      <c r="C68" s="69">
        <v>9</v>
      </c>
      <c r="D68" s="41">
        <f ca="1">((100/H62)*C68)/100</f>
        <v>1</v>
      </c>
      <c r="E68" s="187"/>
      <c r="F68" s="187"/>
      <c r="G68" s="187"/>
      <c r="H68" s="187"/>
      <c r="I68" s="39" t="s">
        <v>120</v>
      </c>
      <c r="J68" s="49">
        <f ca="1">(IF(B62&gt;1,(H62/(B62+2)+J67),H62/4+J67))</f>
        <v>4.5</v>
      </c>
    </row>
    <row r="69" spans="1:10" ht="15.75" customHeight="1">
      <c r="A69" s="129" t="s">
        <v>121</v>
      </c>
      <c r="B69" s="129" t="s">
        <v>119</v>
      </c>
      <c r="C69" s="69">
        <v>9</v>
      </c>
      <c r="D69" s="41">
        <f ca="1">((100/H62)*C69)/100</f>
        <v>1</v>
      </c>
      <c r="E69" s="187"/>
      <c r="F69" s="187"/>
      <c r="G69" s="187"/>
      <c r="H69" s="187"/>
      <c r="I69" s="39" t="s">
        <v>122</v>
      </c>
      <c r="J69" s="49">
        <f>(IF(B62&gt;1,(H62/(B62+2)+J68),0))</f>
        <v>0</v>
      </c>
    </row>
    <row r="70" spans="1:10" ht="15" customHeight="1">
      <c r="A70" s="131" t="s">
        <v>239</v>
      </c>
      <c r="B70" s="131" t="s">
        <v>123</v>
      </c>
      <c r="C70" s="69">
        <v>8</v>
      </c>
      <c r="D70" s="41">
        <f ca="1">((100/(H62))*C70)/100</f>
        <v>0.88888888888888884</v>
      </c>
      <c r="E70" s="187"/>
      <c r="F70" s="187"/>
      <c r="G70" s="187"/>
      <c r="H70" s="187"/>
      <c r="I70" s="39" t="s">
        <v>124</v>
      </c>
      <c r="J70" s="49">
        <f>(IF(B62&gt;2,(H62/(B62+2)+J69),0))</f>
        <v>0</v>
      </c>
    </row>
    <row r="71" spans="1:10" ht="15.75" customHeight="1">
      <c r="A71" s="131" t="s">
        <v>125</v>
      </c>
      <c r="B71" s="131" t="s">
        <v>125</v>
      </c>
      <c r="C71" s="69">
        <v>5</v>
      </c>
      <c r="D71" s="41">
        <f ca="1">((100/H62)*C71)/100</f>
        <v>0.55555555555555558</v>
      </c>
      <c r="E71" s="187"/>
      <c r="F71" s="187"/>
      <c r="G71" s="187"/>
      <c r="H71" s="187"/>
      <c r="I71" s="39" t="s">
        <v>126</v>
      </c>
      <c r="J71" s="50">
        <f>(IF(B62&gt;3,(H62/(B62+2)+J70),0))</f>
        <v>0</v>
      </c>
    </row>
    <row r="72" spans="1:10" ht="15.75" customHeight="1">
      <c r="A72" s="131" t="s">
        <v>128</v>
      </c>
      <c r="B72" s="131"/>
      <c r="C72" s="69">
        <v>5</v>
      </c>
      <c r="D72" s="41">
        <f ca="1">((100/H62)*C72)/100</f>
        <v>0.55555555555555558</v>
      </c>
      <c r="E72" s="187"/>
      <c r="F72" s="187"/>
      <c r="G72" s="187"/>
      <c r="H72" s="187"/>
      <c r="I72" s="39" t="s">
        <v>127</v>
      </c>
      <c r="J72" s="49">
        <f>(IF(B62&gt;4,(H62/(B62+2)+J71),0))</f>
        <v>0</v>
      </c>
    </row>
    <row r="73" spans="1:10" ht="15.75" customHeight="1">
      <c r="A73" s="131" t="s">
        <v>240</v>
      </c>
      <c r="B73" s="131" t="s">
        <v>240</v>
      </c>
      <c r="C73" s="69">
        <v>0</v>
      </c>
      <c r="D73" s="41">
        <f ca="1">((100/(H62))*C73)/100</f>
        <v>0</v>
      </c>
      <c r="E73" s="187"/>
      <c r="F73" s="187"/>
      <c r="G73" s="187"/>
      <c r="H73" s="187"/>
      <c r="I73" s="39" t="s">
        <v>129</v>
      </c>
      <c r="J73" s="49">
        <f ca="1">(IF(B62=1,(H62/(B62+3)+J68),IF(B62=0,(H62/4+J68),IF(B62&gt;1,0))))</f>
        <v>6.75</v>
      </c>
    </row>
    <row r="74" spans="1:10">
      <c r="A74" s="131" t="s">
        <v>130</v>
      </c>
      <c r="B74" s="131"/>
      <c r="C74" s="69">
        <v>0</v>
      </c>
      <c r="D74" s="41">
        <f ca="1">((100/(H62))*C74)/100</f>
        <v>0</v>
      </c>
      <c r="E74" s="187"/>
      <c r="F74" s="187"/>
      <c r="G74" s="187"/>
      <c r="H74" s="187"/>
      <c r="I74" s="51" t="s">
        <v>131</v>
      </c>
      <c r="J74" s="52">
        <f ca="1">(IF(B62&gt;1.5,(H62/(B62+2)+J68+MAX(0,J69-J68)+MAX(0,J70-J69)+MAX(0,J71-J70)+MAX(0,J72-J71)+MAX(0,J73-J72)),IF(B62=1,(H62/(B62+3)+J73),IF(B62=0,H62/4+J73))))</f>
        <v>9</v>
      </c>
    </row>
    <row r="75" spans="1:10" ht="15.75" customHeight="1">
      <c r="A75" s="126" t="s">
        <v>100</v>
      </c>
      <c r="B75" s="126"/>
      <c r="C75" s="126" t="str">
        <f>D56</f>
        <v>Wing C = G + 1st to 10th Floor</v>
      </c>
      <c r="D75" s="126"/>
      <c r="E75" s="126"/>
      <c r="F75" s="126"/>
      <c r="G75" s="126"/>
      <c r="H75" s="126"/>
      <c r="I75" s="185" t="str">
        <f ca="1">IF(D88=100%,"All work Completed. Possession granted to the Building.",IF(D87=100%,"All work Completed, Waiting for OC",I76&amp;""&amp;I77&amp;""&amp;J76&amp;""&amp;J75&amp;" "&amp;J77))</f>
        <v>Excavation, Plinth, RCC Slab, Brickwork, Internal Plaster, External Plaster Completed, Flooring upto 5 Floor, Electric work upto 5 Floor Completed</v>
      </c>
      <c r="J75" s="36" t="str">
        <f ca="1">(IF(C81=(D76+F76+H76),"",IF(C81&gt;0,", RCC upto "&amp;C81&amp;" Slab","")))&amp;(IF(C82=H76,"",IF(C82&gt;0,", Brickwork upto "&amp;C82&amp;" Floor","")))&amp;(IF(C83=H76,"",IF(C83&gt;0,", Internal Plaster upto "&amp;C83&amp;" Floor","")))&amp;(IF(C84=H76,"",IF(C84&gt;0,", External Plaster upto "&amp;C84&amp;" Floor","")))&amp;(IF(C85=H76,"",IF(C85&gt;0,", Flooring upto "&amp;C85&amp;" Floor","")))&amp;(IF(C86=H76,"",IF(C86&gt;0,", Electric work upto "&amp;C86&amp;" Floor","")))&amp;(IF(C87=H76,"",IF(C87&gt;0,", Painting upto "&amp;C87&amp;" Floor","")))&amp;(IF(C88=H76,"",IF(C88&gt;0,", Possession upto "&amp;C88&amp;" Floor","")))</f>
        <v>, Flooring upto 5 Floor, Electric work upto 5 Floor</v>
      </c>
    </row>
    <row r="76" spans="1:10">
      <c r="A76" s="70" t="s">
        <v>101</v>
      </c>
      <c r="B76" s="70">
        <v>0</v>
      </c>
      <c r="C76" s="70" t="s">
        <v>102</v>
      </c>
      <c r="D76" s="70">
        <v>1</v>
      </c>
      <c r="E76" s="70" t="s">
        <v>103</v>
      </c>
      <c r="F76" s="70">
        <v>0</v>
      </c>
      <c r="G76" s="70" t="s">
        <v>104</v>
      </c>
      <c r="H76" s="70">
        <f ca="1">--TRIM(RIGHT(SUBSTITUTE(LEFT(C75,_xlfn.AGGREGATE(16,6,FIND({0,1,2,3,4,5,6,7,8,9},C75,ROW(INDIRECT("1:"&amp;LEN(C75)))),1))," ",REPT(" ",LEN(C75))),LEN(C75)))</f>
        <v>10</v>
      </c>
      <c r="I76" s="186" t="str">
        <f ca="1">IF(D79=100%,"Excavation","")&amp;IF(D80=100%,", Plinth","")&amp;IF(D81=100%,", RCC Slab","")&amp;IF(D82=100%,", Brickwork","")&amp;IF(D83=100%,", Internal Plaster","")&amp;IF(D84=100%,", External Plaster","")&amp;IF(D85=100%,", Flooring","")&amp;IF(D86=100%,", Electric work","")&amp;IF(D87=100%,", Painting &amp; Wodden work","")</f>
        <v>Excavation, Plinth, RCC Slab, Brickwork, Internal Plaster, External Plaster</v>
      </c>
      <c r="J76" s="38" t="str">
        <f ca="1">(IF(C79=0,"Work not yet Started.",IF(D79=25%,"Piling work in process",IF(D79=50%,"Excavation work in process",IF(D79=100%,"","0")))))&amp;(IF(C80=0%,"",IF(C80=J81,", Footing work is process",IF(C80=J82,", Footing work Completed",IF(C80=J83,", 1st Basement Completed",IF(C80=J84,", 1st &amp; 2nd Basement Completed",IF(C80=J85,", 1st to 3rd Basement Completed",IF(C80=J86,", 1st to 4th Basement Completed",IF(C80=J87,", Plinth work is process",IF(C80=J88,"","0"))))))))))</f>
        <v/>
      </c>
    </row>
    <row r="77" spans="1:10" ht="31" customHeight="1">
      <c r="A77" s="125" t="s">
        <v>105</v>
      </c>
      <c r="B77" s="125"/>
      <c r="C77" s="126" t="str">
        <f ca="1">I75</f>
        <v>Excavation, Plinth, RCC Slab, Brickwork, Internal Plaster, External Plaster Completed, Flooring upto 5 Floor, Electric work upto 5 Floor Completed</v>
      </c>
      <c r="D77" s="126"/>
      <c r="E77" s="126"/>
      <c r="F77" s="126"/>
      <c r="G77" s="126"/>
      <c r="H77" s="126"/>
      <c r="I77" s="186" t="str">
        <f ca="1">IF(I76&lt;&gt;""," Completed","")</f>
        <v xml:space="preserve"> Completed</v>
      </c>
      <c r="J77" s="38" t="str">
        <f ca="1">IF(J75&lt;&gt;"","Completed","")</f>
        <v>Completed</v>
      </c>
    </row>
    <row r="78" spans="1:10" ht="15.75" customHeight="1">
      <c r="A78" s="129" t="s">
        <v>106</v>
      </c>
      <c r="B78" s="129"/>
      <c r="C78" s="69" t="s">
        <v>107</v>
      </c>
      <c r="D78" s="69" t="s">
        <v>108</v>
      </c>
      <c r="E78" s="129" t="s">
        <v>109</v>
      </c>
      <c r="F78" s="129"/>
      <c r="G78" s="129" t="s">
        <v>110</v>
      </c>
      <c r="H78" s="129"/>
      <c r="I78" s="39" t="s">
        <v>111</v>
      </c>
      <c r="J78" s="40">
        <f ca="1">H76*25%</f>
        <v>2.5</v>
      </c>
    </row>
    <row r="79" spans="1:10">
      <c r="A79" s="129" t="s">
        <v>112</v>
      </c>
      <c r="B79" s="129"/>
      <c r="C79" s="69">
        <f ca="1">J80</f>
        <v>10</v>
      </c>
      <c r="D79" s="41">
        <f ca="1">((100/H76)*C79)/100</f>
        <v>1</v>
      </c>
      <c r="E79" s="187">
        <f ca="1">(((C80/H76*10)+(50/(D76+F76+H76)*C81)+(5/(H76)*C82)+(5/(H76)*C83)+(5/H76*C84)+(10/H76*C85)+(5/H76*C86)+(5/H76*C87)+(5/H76*C88))/100)</f>
        <v>0.82499999999999996</v>
      </c>
      <c r="F79" s="187"/>
      <c r="G79" s="187">
        <f ca="1">((((C79/H76)*20)+((C80/H76)*25)+(30/(H76+F76+D76)*C81)+(5/H76*C82)+(5/H76*C83)+(5/H76*C84)+(5/H76*C85)+(0/H76*C86)+(5/H76*C87)+(0/H76*C88))/100)</f>
        <v>0.92500000000000004</v>
      </c>
      <c r="H79" s="187"/>
      <c r="I79" s="39" t="s">
        <v>113</v>
      </c>
      <c r="J79" s="48">
        <f ca="1">H76*50%</f>
        <v>5</v>
      </c>
    </row>
    <row r="80" spans="1:10">
      <c r="A80" s="129" t="s">
        <v>114</v>
      </c>
      <c r="B80" s="129"/>
      <c r="C80" s="42">
        <f ca="1">J88</f>
        <v>10</v>
      </c>
      <c r="D80" s="41">
        <f ca="1">((100/H76)*C80)/100</f>
        <v>1</v>
      </c>
      <c r="E80" s="187"/>
      <c r="F80" s="187"/>
      <c r="G80" s="187"/>
      <c r="H80" s="187"/>
      <c r="I80" s="39" t="s">
        <v>115</v>
      </c>
      <c r="J80" s="48">
        <f ca="1">H76</f>
        <v>10</v>
      </c>
    </row>
    <row r="81" spans="1:12" ht="15.75" customHeight="1">
      <c r="A81" s="129" t="s">
        <v>116</v>
      </c>
      <c r="B81" s="129"/>
      <c r="C81" s="69">
        <v>11</v>
      </c>
      <c r="D81" s="41">
        <f ca="1">((100/(D76+F76+H76))*C81)/100</f>
        <v>1.0000000000000002</v>
      </c>
      <c r="E81" s="187"/>
      <c r="F81" s="187"/>
      <c r="G81" s="187"/>
      <c r="H81" s="187"/>
      <c r="I81" s="39" t="s">
        <v>117</v>
      </c>
      <c r="J81" s="49">
        <f ca="1">(IF(B76&gt;1,(H76/(B76+2)),H76/4))</f>
        <v>2.5</v>
      </c>
    </row>
    <row r="82" spans="1:12" ht="15.75" customHeight="1">
      <c r="A82" s="129" t="s">
        <v>118</v>
      </c>
      <c r="B82" s="129" t="s">
        <v>119</v>
      </c>
      <c r="C82" s="69">
        <v>10</v>
      </c>
      <c r="D82" s="41">
        <f ca="1">((100/H76)*C82)/100</f>
        <v>1</v>
      </c>
      <c r="E82" s="187"/>
      <c r="F82" s="187"/>
      <c r="G82" s="187"/>
      <c r="H82" s="187"/>
      <c r="I82" s="39" t="s">
        <v>120</v>
      </c>
      <c r="J82" s="49">
        <f ca="1">(IF(B76&gt;1,(H76/(B76+2)+J81),H76/4+J81))</f>
        <v>5</v>
      </c>
    </row>
    <row r="83" spans="1:12" ht="15.75" customHeight="1">
      <c r="A83" s="129" t="s">
        <v>121</v>
      </c>
      <c r="B83" s="129" t="s">
        <v>119</v>
      </c>
      <c r="C83" s="69">
        <v>10</v>
      </c>
      <c r="D83" s="41">
        <f ca="1">((100/H76)*C83)/100</f>
        <v>1</v>
      </c>
      <c r="E83" s="187"/>
      <c r="F83" s="187"/>
      <c r="G83" s="187"/>
      <c r="H83" s="187"/>
      <c r="I83" s="39" t="s">
        <v>122</v>
      </c>
      <c r="J83" s="49">
        <f>(IF(B76&gt;1,(H76/(B76+2)+J82),0))</f>
        <v>0</v>
      </c>
    </row>
    <row r="84" spans="1:12" ht="15" customHeight="1">
      <c r="A84" s="131" t="s">
        <v>239</v>
      </c>
      <c r="B84" s="131" t="s">
        <v>123</v>
      </c>
      <c r="C84" s="69">
        <v>10</v>
      </c>
      <c r="D84" s="41">
        <f ca="1">((100/(H76))*C84)/100</f>
        <v>1</v>
      </c>
      <c r="E84" s="187"/>
      <c r="F84" s="187"/>
      <c r="G84" s="187"/>
      <c r="H84" s="187"/>
      <c r="I84" s="39" t="s">
        <v>124</v>
      </c>
      <c r="J84" s="49">
        <f>(IF(B76&gt;2,(H76/(B76+2)+J83),0))</f>
        <v>0</v>
      </c>
    </row>
    <row r="85" spans="1:12" ht="15.75" customHeight="1">
      <c r="A85" s="131" t="s">
        <v>125</v>
      </c>
      <c r="B85" s="131" t="s">
        <v>125</v>
      </c>
      <c r="C85" s="69">
        <v>5</v>
      </c>
      <c r="D85" s="41">
        <f ca="1">((100/H76)*C85)/100</f>
        <v>0.5</v>
      </c>
      <c r="E85" s="187"/>
      <c r="F85" s="187"/>
      <c r="G85" s="187"/>
      <c r="H85" s="187"/>
      <c r="I85" s="39" t="s">
        <v>126</v>
      </c>
      <c r="J85" s="50">
        <f>(IF(B76&gt;3,(H76/(B76+2)+J84),0))</f>
        <v>0</v>
      </c>
    </row>
    <row r="86" spans="1:12" ht="15.75" customHeight="1">
      <c r="A86" s="131" t="s">
        <v>128</v>
      </c>
      <c r="B86" s="131"/>
      <c r="C86" s="69">
        <v>5</v>
      </c>
      <c r="D86" s="41">
        <f ca="1">((100/H76)*C86)/100</f>
        <v>0.5</v>
      </c>
      <c r="E86" s="187"/>
      <c r="F86" s="187"/>
      <c r="G86" s="187"/>
      <c r="H86" s="187"/>
      <c r="I86" s="39" t="s">
        <v>127</v>
      </c>
      <c r="J86" s="49">
        <f>(IF(B76&gt;4,(H76/(B76+2)+J85),0))</f>
        <v>0</v>
      </c>
    </row>
    <row r="87" spans="1:12" ht="15.75" customHeight="1">
      <c r="A87" s="131" t="s">
        <v>240</v>
      </c>
      <c r="B87" s="131" t="s">
        <v>240</v>
      </c>
      <c r="C87" s="69">
        <v>0</v>
      </c>
      <c r="D87" s="41">
        <f ca="1">((100/(H76))*C87)/100</f>
        <v>0</v>
      </c>
      <c r="E87" s="187"/>
      <c r="F87" s="187"/>
      <c r="G87" s="187"/>
      <c r="H87" s="187"/>
      <c r="I87" s="39" t="s">
        <v>129</v>
      </c>
      <c r="J87" s="49">
        <f ca="1">(IF(B76=1,(H76/(B76+3)+J82),IF(B76=0,(H76/4+J82),IF(B76&gt;1,0))))</f>
        <v>7.5</v>
      </c>
    </row>
    <row r="88" spans="1:12">
      <c r="A88" s="131" t="s">
        <v>130</v>
      </c>
      <c r="B88" s="131"/>
      <c r="C88" s="69">
        <v>0</v>
      </c>
      <c r="D88" s="41">
        <f ca="1">((100/(H76))*C88)/100</f>
        <v>0</v>
      </c>
      <c r="E88" s="187"/>
      <c r="F88" s="187"/>
      <c r="G88" s="187"/>
      <c r="H88" s="187"/>
      <c r="I88" s="51" t="s">
        <v>131</v>
      </c>
      <c r="J88" s="52">
        <f ca="1">(IF(B76&gt;1.5,(H76/(B76+2)+J82+MAX(0,J83-J82)+MAX(0,J84-J83)+MAX(0,J85-J84)+MAX(0,J86-J85)+MAX(0,J87-J86)),IF(B76=1,(H76/(B76+3)+J87),IF(B76=0,H76/4+J87))))</f>
        <v>10</v>
      </c>
    </row>
    <row r="89" spans="1:12">
      <c r="A89" s="114" t="s">
        <v>132</v>
      </c>
      <c r="B89" s="115"/>
      <c r="C89" s="115"/>
      <c r="D89" s="115"/>
      <c r="E89" s="116"/>
      <c r="F89" s="114" t="str">
        <f ca="1">(IF(D60="Nothing","Yes",IF(D60="Cement, Aggregate, Steel, etc","Under Construction",IF(D60="Work not yet Started","Work not yet Started"))))</f>
        <v>Under Construction</v>
      </c>
      <c r="G89" s="115"/>
      <c r="H89" s="116"/>
    </row>
    <row r="90" spans="1:12">
      <c r="A90" s="73" t="s">
        <v>133</v>
      </c>
      <c r="B90" s="73"/>
      <c r="C90" s="73"/>
      <c r="D90" s="73"/>
      <c r="E90" s="73"/>
      <c r="F90" s="73"/>
      <c r="G90" s="73"/>
      <c r="H90" s="73"/>
    </row>
    <row r="91" spans="1:12" ht="15" customHeight="1">
      <c r="A91" s="125" t="s">
        <v>134</v>
      </c>
      <c r="B91" s="125"/>
      <c r="C91" s="126" t="s">
        <v>135</v>
      </c>
      <c r="D91" s="126"/>
      <c r="E91" s="126"/>
      <c r="F91" s="126"/>
      <c r="G91" s="126"/>
      <c r="H91" s="126"/>
    </row>
    <row r="92" spans="1:12">
      <c r="A92" s="80" t="s">
        <v>136</v>
      </c>
      <c r="B92" s="80"/>
      <c r="C92" s="80"/>
      <c r="D92" s="80"/>
      <c r="E92" s="80"/>
      <c r="F92" s="80"/>
      <c r="G92" s="80"/>
      <c r="H92" s="80"/>
    </row>
    <row r="93" spans="1:12" s="18" customFormat="1">
      <c r="A93" s="81" t="s">
        <v>137</v>
      </c>
      <c r="B93" s="81"/>
      <c r="C93" s="81"/>
      <c r="D93" s="81"/>
      <c r="E93" s="81"/>
      <c r="F93" s="100">
        <v>5100</v>
      </c>
      <c r="G93" s="100"/>
      <c r="H93" s="100"/>
      <c r="I93" s="53"/>
      <c r="J93" s="53"/>
      <c r="K93" s="53"/>
      <c r="L93" s="54"/>
    </row>
    <row r="94" spans="1:12" s="18" customFormat="1" hidden="1">
      <c r="A94" s="81" t="s">
        <v>138</v>
      </c>
      <c r="B94" s="81"/>
      <c r="C94" s="81"/>
      <c r="D94" s="81"/>
      <c r="E94" s="81"/>
      <c r="F94" s="100">
        <v>8500</v>
      </c>
      <c r="G94" s="100"/>
      <c r="H94" s="100"/>
      <c r="J94" s="53"/>
    </row>
    <row r="95" spans="1:12" hidden="1">
      <c r="A95" s="81" t="s">
        <v>139</v>
      </c>
      <c r="B95" s="81"/>
      <c r="C95" s="81"/>
      <c r="D95" s="81"/>
      <c r="E95" s="81"/>
      <c r="F95" s="100"/>
      <c r="G95" s="100"/>
      <c r="H95" s="100"/>
      <c r="J95" s="55"/>
    </row>
    <row r="96" spans="1:12" s="20" customFormat="1" hidden="1">
      <c r="A96" s="81" t="s">
        <v>140</v>
      </c>
      <c r="B96" s="81"/>
      <c r="C96" s="81"/>
      <c r="D96" s="81"/>
      <c r="E96" s="81"/>
      <c r="F96" s="100" t="s">
        <v>56</v>
      </c>
      <c r="G96" s="100"/>
      <c r="H96" s="100"/>
      <c r="J96" s="56"/>
    </row>
    <row r="97" spans="1:12" s="20" customFormat="1" hidden="1">
      <c r="A97" s="81" t="s">
        <v>141</v>
      </c>
      <c r="B97" s="81"/>
      <c r="C97" s="81"/>
      <c r="D97" s="81"/>
      <c r="E97" s="81"/>
      <c r="F97" s="100" t="s">
        <v>142</v>
      </c>
      <c r="G97" s="100"/>
      <c r="H97" s="100"/>
      <c r="I97" s="56"/>
      <c r="J97" s="56"/>
      <c r="K97" s="56"/>
      <c r="L97" s="56"/>
    </row>
    <row r="98" spans="1:12" s="20" customFormat="1" hidden="1">
      <c r="A98" s="81" t="s">
        <v>143</v>
      </c>
      <c r="B98" s="81"/>
      <c r="C98" s="81"/>
      <c r="D98" s="81"/>
      <c r="E98" s="81"/>
      <c r="F98" s="100" t="s">
        <v>56</v>
      </c>
      <c r="G98" s="100"/>
      <c r="H98" s="100"/>
    </row>
    <row r="99" spans="1:12" s="20" customFormat="1" hidden="1">
      <c r="A99" s="81" t="s">
        <v>144</v>
      </c>
      <c r="B99" s="81"/>
      <c r="C99" s="81"/>
      <c r="D99" s="81"/>
      <c r="E99" s="81"/>
      <c r="F99" s="100" t="s">
        <v>56</v>
      </c>
      <c r="G99" s="100"/>
      <c r="H99" s="100"/>
    </row>
    <row r="100" spans="1:12" s="20" customFormat="1" hidden="1">
      <c r="A100" s="81" t="s">
        <v>145</v>
      </c>
      <c r="B100" s="81"/>
      <c r="C100" s="81"/>
      <c r="D100" s="81"/>
      <c r="E100" s="81"/>
      <c r="F100" s="100" t="s">
        <v>56</v>
      </c>
      <c r="G100" s="100"/>
      <c r="H100" s="100"/>
    </row>
    <row r="101" spans="1:12" s="20" customFormat="1" hidden="1">
      <c r="A101" s="81" t="s">
        <v>146</v>
      </c>
      <c r="B101" s="81"/>
      <c r="C101" s="81"/>
      <c r="D101" s="81"/>
      <c r="E101" s="81"/>
      <c r="F101" s="100" t="s">
        <v>56</v>
      </c>
      <c r="G101" s="100"/>
      <c r="H101" s="100"/>
    </row>
    <row r="102" spans="1:12" s="20" customFormat="1" hidden="1">
      <c r="A102" s="81" t="s">
        <v>147</v>
      </c>
      <c r="B102" s="81"/>
      <c r="C102" s="81"/>
      <c r="D102" s="81"/>
      <c r="E102" s="81"/>
      <c r="F102" s="100" t="s">
        <v>56</v>
      </c>
      <c r="G102" s="100"/>
      <c r="H102" s="100"/>
    </row>
    <row r="103" spans="1:12" s="20" customFormat="1" hidden="1">
      <c r="A103" s="81" t="s">
        <v>148</v>
      </c>
      <c r="B103" s="81"/>
      <c r="C103" s="81"/>
      <c r="D103" s="81"/>
      <c r="E103" s="81"/>
      <c r="F103" s="100" t="s">
        <v>56</v>
      </c>
      <c r="G103" s="100"/>
      <c r="H103" s="100"/>
    </row>
    <row r="104" spans="1:12">
      <c r="A104" s="81" t="s">
        <v>149</v>
      </c>
      <c r="B104" s="81"/>
      <c r="C104" s="81"/>
      <c r="D104" s="81"/>
      <c r="E104" s="81"/>
      <c r="F104" s="98" t="s">
        <v>150</v>
      </c>
      <c r="G104" s="98"/>
      <c r="H104" s="98"/>
    </row>
    <row r="105" spans="1:12" s="21" customFormat="1">
      <c r="A105" s="125" t="s">
        <v>151</v>
      </c>
      <c r="B105" s="125"/>
      <c r="C105" s="125"/>
      <c r="D105" s="125"/>
      <c r="E105" s="125"/>
      <c r="F105" s="100">
        <f>F93*0.8</f>
        <v>4080</v>
      </c>
      <c r="G105" s="100"/>
      <c r="H105" s="100"/>
    </row>
    <row r="106" spans="1:12" s="22" customFormat="1" ht="15.75" hidden="1" customHeight="1">
      <c r="A106" s="132" t="s">
        <v>152</v>
      </c>
      <c r="B106" s="132"/>
      <c r="C106" s="132"/>
      <c r="D106" s="132"/>
      <c r="E106" s="132"/>
      <c r="F106" s="132"/>
      <c r="G106" s="132"/>
      <c r="H106" s="132"/>
    </row>
    <row r="107" spans="1:12" s="22" customFormat="1" ht="15.75" hidden="1" customHeight="1">
      <c r="A107" s="133" t="s">
        <v>153</v>
      </c>
      <c r="B107" s="133"/>
      <c r="C107" s="134" t="s">
        <v>154</v>
      </c>
      <c r="D107" s="134"/>
      <c r="E107" s="135" t="s">
        <v>155</v>
      </c>
      <c r="F107" s="135"/>
      <c r="G107" s="133" t="s">
        <v>156</v>
      </c>
      <c r="H107" s="133"/>
    </row>
    <row r="108" spans="1:12" s="22" customFormat="1" hidden="1">
      <c r="A108" s="136"/>
      <c r="B108" s="136"/>
      <c r="C108" s="137"/>
      <c r="D108" s="138"/>
      <c r="E108" s="139"/>
      <c r="F108" s="140"/>
      <c r="G108" s="139"/>
      <c r="H108" s="140"/>
    </row>
    <row r="109" spans="1:12" s="22" customFormat="1" hidden="1">
      <c r="A109" s="136"/>
      <c r="B109" s="136"/>
      <c r="C109" s="137"/>
      <c r="D109" s="138"/>
      <c r="E109" s="139"/>
      <c r="F109" s="140"/>
      <c r="G109" s="139"/>
      <c r="H109" s="140"/>
    </row>
    <row r="110" spans="1:12" s="22" customFormat="1">
      <c r="A110" s="132" t="s">
        <v>157</v>
      </c>
      <c r="B110" s="132"/>
      <c r="C110" s="132"/>
      <c r="D110" s="132"/>
      <c r="E110" s="132"/>
      <c r="F110" s="132"/>
      <c r="G110" s="132"/>
      <c r="H110" s="132"/>
    </row>
    <row r="111" spans="1:12" s="22" customFormat="1" ht="15.75" customHeight="1">
      <c r="A111" s="133" t="s">
        <v>153</v>
      </c>
      <c r="B111" s="133"/>
      <c r="C111" s="134" t="s">
        <v>154</v>
      </c>
      <c r="D111" s="134"/>
      <c r="E111" s="135" t="s">
        <v>155</v>
      </c>
      <c r="F111" s="135"/>
      <c r="G111" s="133" t="s">
        <v>156</v>
      </c>
      <c r="H111" s="133"/>
    </row>
    <row r="112" spans="1:12" s="22" customFormat="1">
      <c r="A112" s="136" t="s">
        <v>158</v>
      </c>
      <c r="B112" s="136"/>
      <c r="C112" s="137">
        <f>COUNT(D132:D141)*8+COUNT(D144:D152)</f>
        <v>89</v>
      </c>
      <c r="D112" s="137"/>
      <c r="E112" s="139">
        <f>SUM(D132:D141)*8+SUM(D144:D152)</f>
        <v>38984.476634999999</v>
      </c>
      <c r="F112" s="139"/>
      <c r="G112" s="139">
        <f>SUM(F132:F141)*8+SUM(F144:F152)</f>
        <v>58476.714952499991</v>
      </c>
      <c r="H112" s="139"/>
    </row>
    <row r="113" spans="1:14" s="22" customFormat="1">
      <c r="A113" s="136" t="s">
        <v>159</v>
      </c>
      <c r="B113" s="136"/>
      <c r="C113" s="137">
        <f>COUNT(D156:D166)*8+COUNT(D169:D178)+COUNT(D180,D185:D190)</f>
        <v>105</v>
      </c>
      <c r="D113" s="137"/>
      <c r="E113" s="139">
        <f>SUM(D156:D166)*8+SUM(D169:D178)+SUM(D180,D185:D190)</f>
        <v>45756.687599999997</v>
      </c>
      <c r="F113" s="139"/>
      <c r="G113" s="139">
        <f>SUM(F156:F166)*8+SUM(F169:F178)+SUM(F180,F185:F190)</f>
        <v>68635.031399999993</v>
      </c>
      <c r="H113" s="139"/>
    </row>
    <row r="114" spans="1:14" s="22" customFormat="1">
      <c r="A114" s="132" t="s">
        <v>160</v>
      </c>
      <c r="B114" s="132"/>
      <c r="C114" s="141">
        <f>SUM(C112:C113)</f>
        <v>194</v>
      </c>
      <c r="D114" s="141"/>
      <c r="E114" s="141">
        <f t="shared" ref="E114" si="0">SUM(E112:E113)</f>
        <v>84741.164235000004</v>
      </c>
      <c r="F114" s="141"/>
      <c r="G114" s="141">
        <f t="shared" ref="G114" si="1">SUM(G112:G113)</f>
        <v>127111.74635249999</v>
      </c>
      <c r="H114" s="141"/>
    </row>
    <row r="115" spans="1:14" s="21" customFormat="1">
      <c r="A115" s="72" t="s">
        <v>161</v>
      </c>
      <c r="B115" s="72"/>
      <c r="C115" s="72"/>
      <c r="D115" s="72"/>
      <c r="E115" s="72"/>
      <c r="F115" s="72"/>
      <c r="G115" s="72"/>
      <c r="H115" s="72"/>
    </row>
    <row r="116" spans="1:14">
      <c r="A116" s="145" t="s">
        <v>162</v>
      </c>
      <c r="B116" s="72"/>
      <c r="C116" s="72"/>
      <c r="D116" s="72"/>
      <c r="E116" s="72"/>
      <c r="F116" s="145"/>
      <c r="G116" s="72"/>
      <c r="H116" s="72"/>
    </row>
    <row r="117" spans="1:14" ht="47.25" hidden="1" customHeight="1">
      <c r="A117" s="149" t="s">
        <v>163</v>
      </c>
      <c r="B117" s="149" t="s">
        <v>164</v>
      </c>
      <c r="C117" s="149" t="s">
        <v>165</v>
      </c>
      <c r="D117" s="149" t="s">
        <v>166</v>
      </c>
      <c r="E117" s="151" t="s">
        <v>167</v>
      </c>
      <c r="F117" s="44" t="s">
        <v>168</v>
      </c>
      <c r="G117" s="169" t="s">
        <v>169</v>
      </c>
      <c r="H117" s="170"/>
    </row>
    <row r="118" spans="1:14" s="23" customFormat="1" hidden="1">
      <c r="A118" s="150"/>
      <c r="B118" s="150"/>
      <c r="C118" s="150"/>
      <c r="D118" s="150"/>
      <c r="E118" s="152"/>
      <c r="F118" s="45">
        <v>0.55000000000000004</v>
      </c>
      <c r="G118" s="171"/>
      <c r="H118" s="172"/>
      <c r="J118" s="57"/>
    </row>
    <row r="119" spans="1:14" s="23" customFormat="1" hidden="1">
      <c r="A119" s="146" t="s">
        <v>170</v>
      </c>
      <c r="B119" s="147"/>
      <c r="C119" s="147"/>
      <c r="D119" s="147"/>
      <c r="E119" s="147"/>
      <c r="F119" s="147"/>
      <c r="G119" s="147"/>
      <c r="H119" s="148"/>
      <c r="J119" s="57"/>
    </row>
    <row r="120" spans="1:14" s="23" customFormat="1" hidden="1">
      <c r="A120" s="143">
        <v>1</v>
      </c>
      <c r="B120" s="144"/>
      <c r="C120" s="46"/>
      <c r="D120" s="46"/>
      <c r="E120" s="46">
        <f>D120/3</f>
        <v>0</v>
      </c>
      <c r="F120" s="46">
        <f>(D120+E120)*(($F$118)+1)</f>
        <v>0</v>
      </c>
      <c r="G120" s="143" t="str">
        <f>A119</f>
        <v>Ground Floor For Commetial &amp; Parking</v>
      </c>
      <c r="H120" s="144"/>
      <c r="I120" s="58"/>
      <c r="J120" s="57"/>
      <c r="L120" s="142"/>
      <c r="M120" s="142"/>
      <c r="N120" s="58"/>
    </row>
    <row r="121" spans="1:14" s="23" customFormat="1" hidden="1">
      <c r="A121" s="143">
        <f t="shared" ref="A121:A124" si="2">A120+1</f>
        <v>2</v>
      </c>
      <c r="B121" s="144"/>
      <c r="C121" s="46"/>
      <c r="D121" s="46"/>
      <c r="E121" s="46">
        <f t="shared" ref="E121:E124" si="3">D121/3</f>
        <v>0</v>
      </c>
      <c r="F121" s="46">
        <f t="shared" ref="F121:F124" si="4">(D121+E121)*(($F$118)+1)</f>
        <v>0</v>
      </c>
      <c r="G121" s="143" t="str">
        <f t="shared" ref="G121:G124" si="5">G120</f>
        <v>Ground Floor For Commetial &amp; Parking</v>
      </c>
      <c r="H121" s="144"/>
      <c r="I121" s="58"/>
      <c r="J121" s="57"/>
      <c r="L121" s="142"/>
      <c r="M121" s="142"/>
      <c r="N121" s="58"/>
    </row>
    <row r="122" spans="1:14" s="23" customFormat="1" hidden="1">
      <c r="A122" s="143">
        <f t="shared" si="2"/>
        <v>3</v>
      </c>
      <c r="B122" s="144"/>
      <c r="C122" s="46"/>
      <c r="D122" s="46"/>
      <c r="E122" s="46">
        <f t="shared" si="3"/>
        <v>0</v>
      </c>
      <c r="F122" s="46">
        <f t="shared" si="4"/>
        <v>0</v>
      </c>
      <c r="G122" s="143" t="str">
        <f t="shared" si="5"/>
        <v>Ground Floor For Commetial &amp; Parking</v>
      </c>
      <c r="H122" s="144"/>
      <c r="I122" s="58"/>
      <c r="J122" s="57"/>
      <c r="L122" s="142"/>
      <c r="M122" s="142"/>
      <c r="N122" s="58"/>
    </row>
    <row r="123" spans="1:14" s="23" customFormat="1" hidden="1">
      <c r="A123" s="143">
        <f t="shared" si="2"/>
        <v>4</v>
      </c>
      <c r="B123" s="144"/>
      <c r="C123" s="46"/>
      <c r="D123" s="46"/>
      <c r="E123" s="46">
        <f t="shared" si="3"/>
        <v>0</v>
      </c>
      <c r="F123" s="46">
        <f t="shared" si="4"/>
        <v>0</v>
      </c>
      <c r="G123" s="143" t="str">
        <f t="shared" si="5"/>
        <v>Ground Floor For Commetial &amp; Parking</v>
      </c>
      <c r="H123" s="144"/>
      <c r="I123" s="58"/>
      <c r="J123" s="57"/>
      <c r="L123" s="142"/>
      <c r="M123" s="142"/>
      <c r="N123" s="58"/>
    </row>
    <row r="124" spans="1:14" s="23" customFormat="1" hidden="1">
      <c r="A124" s="143">
        <f t="shared" si="2"/>
        <v>5</v>
      </c>
      <c r="B124" s="144"/>
      <c r="C124" s="46"/>
      <c r="D124" s="46"/>
      <c r="E124" s="46">
        <f t="shared" si="3"/>
        <v>0</v>
      </c>
      <c r="F124" s="46">
        <f t="shared" si="4"/>
        <v>0</v>
      </c>
      <c r="G124" s="143" t="str">
        <f t="shared" si="5"/>
        <v>Ground Floor For Commetial &amp; Parking</v>
      </c>
      <c r="H124" s="144"/>
      <c r="I124" s="58"/>
      <c r="J124" s="57"/>
      <c r="L124" s="142"/>
      <c r="M124" s="142"/>
      <c r="N124" s="58"/>
    </row>
    <row r="125" spans="1:14" s="23" customFormat="1" hidden="1">
      <c r="A125" s="143"/>
      <c r="B125" s="157"/>
      <c r="C125" s="157"/>
      <c r="D125" s="157"/>
      <c r="E125" s="157"/>
      <c r="F125" s="167"/>
      <c r="G125" s="157"/>
      <c r="H125" s="144"/>
      <c r="I125" s="58"/>
      <c r="N125" s="58"/>
    </row>
    <row r="126" spans="1:14" ht="47.25" customHeight="1">
      <c r="A126" s="149" t="s">
        <v>171</v>
      </c>
      <c r="B126" s="149" t="s">
        <v>172</v>
      </c>
      <c r="C126" s="149" t="s">
        <v>165</v>
      </c>
      <c r="D126" s="149" t="s">
        <v>166</v>
      </c>
      <c r="E126" s="151" t="s">
        <v>167</v>
      </c>
      <c r="F126" s="44" t="s">
        <v>168</v>
      </c>
      <c r="G126" s="169" t="s">
        <v>169</v>
      </c>
      <c r="H126" s="170"/>
      <c r="I126" s="58"/>
    </row>
    <row r="127" spans="1:14" s="23" customFormat="1">
      <c r="A127" s="150"/>
      <c r="B127" s="150"/>
      <c r="C127" s="150"/>
      <c r="D127" s="150"/>
      <c r="E127" s="150"/>
      <c r="F127" s="47">
        <v>0.5</v>
      </c>
      <c r="G127" s="152"/>
      <c r="H127" s="172"/>
      <c r="I127" s="58"/>
      <c r="L127" s="142"/>
      <c r="M127" s="142"/>
    </row>
    <row r="128" spans="1:14" s="23" customFormat="1">
      <c r="A128" s="153" t="s">
        <v>173</v>
      </c>
      <c r="B128" s="153"/>
      <c r="C128" s="153"/>
      <c r="D128" s="153"/>
      <c r="E128" s="153"/>
      <c r="F128" s="153"/>
      <c r="G128" s="153"/>
      <c r="H128" s="153"/>
      <c r="I128" s="58"/>
      <c r="L128" s="142"/>
      <c r="M128" s="142"/>
    </row>
    <row r="129" spans="1:16" s="23" customFormat="1">
      <c r="A129" s="154" t="s">
        <v>158</v>
      </c>
      <c r="B129" s="154"/>
      <c r="C129" s="154"/>
      <c r="D129" s="154"/>
      <c r="E129" s="154"/>
      <c r="F129" s="154"/>
      <c r="G129" s="154"/>
      <c r="H129" s="154"/>
      <c r="I129" s="58"/>
      <c r="L129" s="142"/>
      <c r="M129" s="142"/>
    </row>
    <row r="130" spans="1:16" s="23" customFormat="1">
      <c r="A130" s="153" t="s">
        <v>174</v>
      </c>
      <c r="B130" s="153"/>
      <c r="C130" s="153"/>
      <c r="D130" s="153"/>
      <c r="E130" s="153"/>
      <c r="F130" s="153"/>
      <c r="G130" s="153"/>
      <c r="H130" s="153"/>
      <c r="I130" s="58"/>
      <c r="L130" s="142"/>
      <c r="M130" s="142"/>
    </row>
    <row r="131" spans="1:16" s="23" customFormat="1">
      <c r="A131" s="153" t="s">
        <v>175</v>
      </c>
      <c r="B131" s="153"/>
      <c r="C131" s="153"/>
      <c r="D131" s="153"/>
      <c r="E131" s="153"/>
      <c r="F131" s="153"/>
      <c r="G131" s="153"/>
      <c r="H131" s="153"/>
      <c r="I131" s="58"/>
      <c r="L131" s="142"/>
      <c r="M131" s="142"/>
    </row>
    <row r="132" spans="1:16" s="23" customFormat="1" ht="15.75" customHeight="1">
      <c r="A132" s="155">
        <v>1</v>
      </c>
      <c r="B132" s="155"/>
      <c r="C132" s="66" t="s">
        <v>176</v>
      </c>
      <c r="D132" s="59">
        <f>(3.95*3.1+2.75*2.1+2.75*3.35+1.55*0.9+1.2*1.2+1.4*0.9+2.25*1.25+0.75*2.75+0.75*1.2)*(10.764)</f>
        <v>399.37130999999999</v>
      </c>
      <c r="E132" s="66">
        <v>0</v>
      </c>
      <c r="F132" s="66">
        <f t="shared" ref="F132:F141" si="6">D132*(($F$127)+1)+(IF(E132&lt;101,E132,IF(E132&lt;201,E132/2,IF(E132&lt;=301,E132/3,E132/4))))</f>
        <v>599.05696499999999</v>
      </c>
      <c r="G132" s="155" t="str">
        <f>A131</f>
        <v>1st to 7th &amp; 9th Floor For Residential</v>
      </c>
      <c r="H132" s="155"/>
      <c r="I132" s="59">
        <f>10.764</f>
        <v>10.763999999999999</v>
      </c>
      <c r="J132" s="57"/>
      <c r="L132" s="23">
        <f>5100*F132</f>
        <v>3055190.5214999998</v>
      </c>
      <c r="M132" s="23">
        <f>3400000/F132</f>
        <v>5675.5871288467533</v>
      </c>
      <c r="N132" s="58"/>
    </row>
    <row r="133" spans="1:16" s="23" customFormat="1" ht="15.75" customHeight="1">
      <c r="A133" s="155">
        <f t="shared" ref="A133:A141" si="7">A132+1</f>
        <v>2</v>
      </c>
      <c r="B133" s="155"/>
      <c r="C133" s="66" t="s">
        <v>176</v>
      </c>
      <c r="D133" s="59">
        <f t="shared" ref="D133:D136" si="8">(3.95*3.1+2.75*2.1+2.75*3.35+1.55*0.9+1.2*1.2+1.4*0.9+2.25*1.25+0.75*2.75+0.75*1.2)*(10.764)</f>
        <v>399.37130999999999</v>
      </c>
      <c r="E133" s="66">
        <v>0</v>
      </c>
      <c r="F133" s="66">
        <f t="shared" si="6"/>
        <v>599.05696499999999</v>
      </c>
      <c r="G133" s="155"/>
      <c r="H133" s="155"/>
      <c r="I133" s="58"/>
      <c r="J133" s="57"/>
      <c r="L133" s="23">
        <f t="shared" ref="L133:L141" si="9">5100*F133</f>
        <v>3055190.5214999998</v>
      </c>
      <c r="N133" s="58"/>
    </row>
    <row r="134" spans="1:16" s="23" customFormat="1" ht="15.75" customHeight="1">
      <c r="A134" s="155">
        <f t="shared" si="7"/>
        <v>3</v>
      </c>
      <c r="B134" s="155"/>
      <c r="C134" s="66" t="s">
        <v>176</v>
      </c>
      <c r="D134" s="59">
        <f t="shared" si="8"/>
        <v>399.37130999999999</v>
      </c>
      <c r="E134" s="66">
        <v>0</v>
      </c>
      <c r="F134" s="66">
        <f t="shared" si="6"/>
        <v>599.05696499999999</v>
      </c>
      <c r="G134" s="155"/>
      <c r="H134" s="155"/>
      <c r="I134" s="58"/>
      <c r="J134" s="57"/>
      <c r="L134" s="23">
        <f t="shared" si="9"/>
        <v>3055190.5214999998</v>
      </c>
      <c r="N134" s="58"/>
    </row>
    <row r="135" spans="1:16" s="23" customFormat="1" ht="15.75" customHeight="1">
      <c r="A135" s="155">
        <f t="shared" si="7"/>
        <v>4</v>
      </c>
      <c r="B135" s="155"/>
      <c r="C135" s="66" t="s">
        <v>176</v>
      </c>
      <c r="D135" s="59">
        <f t="shared" si="8"/>
        <v>399.37130999999999</v>
      </c>
      <c r="E135" s="66">
        <v>0</v>
      </c>
      <c r="F135" s="66">
        <f t="shared" si="6"/>
        <v>599.05696499999999</v>
      </c>
      <c r="G135" s="155"/>
      <c r="H135" s="155"/>
      <c r="I135" s="58"/>
      <c r="J135" s="57">
        <f>3150000/F135</f>
        <v>5258.2645458433153</v>
      </c>
      <c r="K135" s="23">
        <f>3150000/642</f>
        <v>4906.5420560747662</v>
      </c>
      <c r="L135" s="23">
        <f t="shared" si="9"/>
        <v>3055190.5214999998</v>
      </c>
      <c r="N135" s="58"/>
    </row>
    <row r="136" spans="1:16" s="23" customFormat="1" ht="15.75" customHeight="1">
      <c r="A136" s="155">
        <f t="shared" si="7"/>
        <v>5</v>
      </c>
      <c r="B136" s="155"/>
      <c r="C136" s="66" t="s">
        <v>176</v>
      </c>
      <c r="D136" s="59">
        <f t="shared" si="8"/>
        <v>399.37130999999999</v>
      </c>
      <c r="E136" s="66">
        <v>0</v>
      </c>
      <c r="F136" s="66">
        <f t="shared" si="6"/>
        <v>599.05696499999999</v>
      </c>
      <c r="G136" s="155"/>
      <c r="H136" s="155"/>
      <c r="I136" s="58">
        <f>2.1*5.6+1*1.4</f>
        <v>13.16</v>
      </c>
      <c r="J136" s="58">
        <f>5000*F135</f>
        <v>2995284.8250000002</v>
      </c>
      <c r="L136" s="23">
        <f t="shared" si="9"/>
        <v>3055190.5214999998</v>
      </c>
      <c r="N136" s="58"/>
    </row>
    <row r="137" spans="1:16" s="23" customFormat="1">
      <c r="A137" s="155">
        <f t="shared" si="7"/>
        <v>6</v>
      </c>
      <c r="B137" s="155"/>
      <c r="C137" s="66" t="s">
        <v>177</v>
      </c>
      <c r="D137" s="59">
        <f>(4.1*3.1+2.75*2.1+2.75*3.35+2.75*3.65+2.1*1.2+1.2*2.1+3*0.9+2.25*1.25+(0.75*(2.75*2.75+1.2)))*(10.764)</f>
        <v>590.50631250000004</v>
      </c>
      <c r="E137" s="66">
        <v>0</v>
      </c>
      <c r="F137" s="66">
        <f t="shared" si="6"/>
        <v>885.75946875</v>
      </c>
      <c r="G137" s="155"/>
      <c r="H137" s="155"/>
      <c r="I137" s="60"/>
      <c r="J137" s="57">
        <f>3100000/F134</f>
        <v>5174.8000292426277</v>
      </c>
      <c r="K137" s="23">
        <f>4450000/F137</f>
        <v>5023.9372617488598</v>
      </c>
      <c r="L137" s="23">
        <f t="shared" si="9"/>
        <v>4517373.2906250004</v>
      </c>
      <c r="N137" s="58"/>
    </row>
    <row r="138" spans="1:16" s="23" customFormat="1">
      <c r="A138" s="155">
        <f t="shared" si="7"/>
        <v>7</v>
      </c>
      <c r="B138" s="155"/>
      <c r="C138" s="66" t="s">
        <v>177</v>
      </c>
      <c r="D138" s="59">
        <f>(4.1*3.1+2.75*2.1+2.75*3.35+2.75*3.65+2.1*1.2+1.2*2.1+3*0.9+2.25*1.25+(0.75*(2.75*2.75+1.2)))*(10.764)</f>
        <v>590.50631250000004</v>
      </c>
      <c r="E138" s="66">
        <v>0</v>
      </c>
      <c r="F138" s="66">
        <f t="shared" si="6"/>
        <v>885.75946875</v>
      </c>
      <c r="G138" s="155"/>
      <c r="H138" s="155"/>
      <c r="I138" s="58"/>
      <c r="J138" s="57">
        <v>1.34</v>
      </c>
      <c r="L138" s="23">
        <f t="shared" si="9"/>
        <v>4517373.2906250004</v>
      </c>
      <c r="N138" s="58"/>
    </row>
    <row r="139" spans="1:16" s="23" customFormat="1">
      <c r="A139" s="155">
        <f t="shared" si="7"/>
        <v>8</v>
      </c>
      <c r="B139" s="155"/>
      <c r="C139" s="66" t="s">
        <v>176</v>
      </c>
      <c r="D139" s="59">
        <f>(3.95*3.1+2.75*2.1+2.75*3.35+1.55*0.9+1.2*1.2+1.4*0.9+2.25*1.25+0.75*2.75+0.75*1.2)*(10.764)</f>
        <v>399.37130999999999</v>
      </c>
      <c r="E139" s="66">
        <v>0</v>
      </c>
      <c r="F139" s="66">
        <f t="shared" si="6"/>
        <v>599.05696499999999</v>
      </c>
      <c r="G139" s="155"/>
      <c r="H139" s="155"/>
      <c r="I139" s="58"/>
      <c r="J139" s="57"/>
      <c r="L139" s="23">
        <f t="shared" si="9"/>
        <v>3055190.5214999998</v>
      </c>
      <c r="N139" s="58"/>
    </row>
    <row r="140" spans="1:16" s="23" customFormat="1">
      <c r="A140" s="155">
        <f t="shared" si="7"/>
        <v>9</v>
      </c>
      <c r="B140" s="155"/>
      <c r="C140" s="66" t="s">
        <v>176</v>
      </c>
      <c r="D140" s="59">
        <f t="shared" ref="D140:D141" si="10">(3.95*3.1+2.75*2.1+2.75*3.35+1.55*0.9+1.2*1.2+1.4*0.9+2.25*1.25+0.75*2.75+0.75*1.2)*(10.764)</f>
        <v>399.37130999999999</v>
      </c>
      <c r="E140" s="66">
        <v>0</v>
      </c>
      <c r="F140" s="66">
        <f t="shared" si="6"/>
        <v>599.05696499999999</v>
      </c>
      <c r="G140" s="155"/>
      <c r="H140" s="155"/>
      <c r="I140" s="58"/>
      <c r="J140" s="57"/>
      <c r="L140" s="23">
        <f t="shared" si="9"/>
        <v>3055190.5214999998</v>
      </c>
      <c r="N140" s="58"/>
    </row>
    <row r="141" spans="1:16" s="23" customFormat="1">
      <c r="A141" s="155">
        <f t="shared" si="7"/>
        <v>10</v>
      </c>
      <c r="B141" s="155"/>
      <c r="C141" s="66" t="s">
        <v>176</v>
      </c>
      <c r="D141" s="59">
        <f t="shared" si="10"/>
        <v>399.37130999999999</v>
      </c>
      <c r="E141" s="66">
        <v>0</v>
      </c>
      <c r="F141" s="66">
        <f t="shared" si="6"/>
        <v>599.05696499999999</v>
      </c>
      <c r="G141" s="155"/>
      <c r="H141" s="155"/>
      <c r="I141" s="58"/>
      <c r="J141" s="57"/>
      <c r="L141" s="23">
        <f t="shared" si="9"/>
        <v>3055190.5214999998</v>
      </c>
      <c r="N141" s="58"/>
    </row>
    <row r="142" spans="1:16" s="23" customFormat="1">
      <c r="A142" s="153" t="s">
        <v>178</v>
      </c>
      <c r="B142" s="153"/>
      <c r="C142" s="153"/>
      <c r="D142" s="153"/>
      <c r="E142" s="153"/>
      <c r="F142" s="153"/>
      <c r="G142" s="153"/>
      <c r="H142" s="153"/>
      <c r="I142" s="58"/>
    </row>
    <row r="143" spans="1:16" s="23" customFormat="1" ht="15.75" customHeight="1">
      <c r="A143" s="155">
        <v>1</v>
      </c>
      <c r="B143" s="155"/>
      <c r="C143" s="66" t="s">
        <v>179</v>
      </c>
      <c r="D143" s="155" t="s">
        <v>180</v>
      </c>
      <c r="E143" s="155"/>
      <c r="F143" s="155"/>
      <c r="G143" s="155" t="str">
        <f>A142</f>
        <v>8th Floor (Part Refuge Area)</v>
      </c>
      <c r="H143" s="155"/>
      <c r="I143" s="58"/>
      <c r="N143" s="23" t="e">
        <f t="shared" ref="N143:N147" ca="1" si="11">O143&amp;""&amp;" to "&amp;""&amp;P143</f>
        <v>#REF!</v>
      </c>
      <c r="O143" s="23" t="e">
        <f ca="1">(SUMPRODUCT(MID(0&amp;(LEFT(A142,SUM(LEN(A142)-LEN(SUBSTITUTE(A142,{"0","1","2"},""))))),LARGE(INDEX(ISNUMBER(--MID((LEFT(A142,SUM(LEN(A142)-LEN(SUBSTITUTE(A142,{"0","1","2"},""))))),ROW(INDIRECT("1:"&amp;LEN((LEFT(A142,SUM(LEN(A142)-LEN(SUBSTITUTE(A142,{"0","1","2"},"")))))))),1))*ROW(INDIRECT("1:"&amp;LEN((LEFT(A142,SUM(LEN(A142)-LEN(SUBSTITUTE(A142,{"0","1","2"},"")))))))),0),ROW(INDIRECT("1:"&amp;LEN((LEFT(A142,SUM(LEN(A142)-LEN(SUBSTITUTE(A142,{"0","1","2"},"")))))))))+1,1)*10^ROW(INDIRECT("1:"&amp;LEN((LEFT(A142,SUM(LEN(A142)-LEN(SUBSTITUTE(A142,{"0","1","2"},""))))))))/10))*100+1</f>
        <v>#REF!</v>
      </c>
      <c r="P143" s="23">
        <f ca="1">(SUMPRODUCT(MID(0&amp;(--TRIM(RIGHT(SUBSTITUTE(LEFT(A142,_xlfn.AGGREGATE(16,6,FIND({0,1,2,3,4,5,6,7,8,9},A142,ROW(INDIRECT("1:"&amp;LEN(A142)))),1))," ",REPT(" ",LEN(A142))),LEN(A142)))),LARGE(INDEX(ISNUMBER(--MID((--TRIM(RIGHT(SUBSTITUTE(LEFT(A142,_xlfn.AGGREGATE(16,6,FIND({0,1,2,3,4,5,6,7,8,9},A142,ROW(INDIRECT("1:"&amp;LEN(A142)))),1))," ",REPT(" ",LEN(A142))),LEN(A142)))),ROW(INDIRECT("1:"&amp;LEN((--TRIM(RIGHT(SUBSTITUTE(LEFT(A142,_xlfn.AGGREGATE(16,6,FIND({0,1,2,3,4,5,6,7,8,9},A142,ROW(INDIRECT("1:"&amp;LEN(A142)))),1))," ",REPT(" ",LEN(A142))),LEN(A142))))))),1))*ROW(INDIRECT("1:"&amp;LEN((--TRIM(RIGHT(SUBSTITUTE(LEFT(A142,_xlfn.AGGREGATE(16,6,FIND({0,1,2,3,4,5,6,7,8,9},A142,ROW(INDIRECT("1:"&amp;LEN(A142)))),1))," ",REPT(" ",LEN(A142))),LEN(A142))))))),0),ROW(INDIRECT("1:"&amp;LEN((--TRIM(RIGHT(SUBSTITUTE(LEFT(A142,_xlfn.AGGREGATE(16,6,FIND({0,1,2,3,4,5,6,7,8,9},A142,ROW(INDIRECT("1:"&amp;LEN(A142)))),1))," ",REPT(" ",LEN(A142))),LEN(A142))))))))+1,1)*10^ROW(INDIRECT("1:"&amp;LEN((--TRIM(RIGHT(SUBSTITUTE(LEFT(A142,_xlfn.AGGREGATE(16,6,FIND({0,1,2,3,4,5,6,7,8,9},A142,ROW(INDIRECT("1:"&amp;LEN(A142)))),1))," ",REPT(" ",LEN(A142))),LEN(A142)))))))/10))*100+1</f>
        <v>801</v>
      </c>
    </row>
    <row r="144" spans="1:16" s="23" customFormat="1" ht="15.75" customHeight="1">
      <c r="A144" s="155">
        <f>A143+1</f>
        <v>2</v>
      </c>
      <c r="B144" s="155"/>
      <c r="C144" s="66" t="s">
        <v>176</v>
      </c>
      <c r="D144" s="59">
        <f>(3.95*3.1+2.75*2.1+2.75*3.35+1.55*0.9+1.2*1.2+1.4*0.9+2.25*1.25+0.75*2.75+0.75*1.2)*(10.764)</f>
        <v>399.37130999999999</v>
      </c>
      <c r="E144" s="66">
        <v>0</v>
      </c>
      <c r="F144" s="66">
        <f t="shared" ref="F144:F152" si="12">D144*(($F$127)+1)+(IF(E144&lt;101,E144,IF(E144&lt;201,E144/2,IF(E144&lt;=301,E144/3,E144/4))))</f>
        <v>599.05696499999999</v>
      </c>
      <c r="G144" s="155"/>
      <c r="H144" s="155"/>
      <c r="I144" s="58"/>
      <c r="N144" s="23" t="e">
        <f t="shared" ca="1" si="11"/>
        <v>#REF!</v>
      </c>
      <c r="O144" s="23" t="e">
        <f t="shared" ref="O144:P147" ca="1" si="13">O143+1</f>
        <v>#REF!</v>
      </c>
      <c r="P144" s="23">
        <f t="shared" ca="1" si="13"/>
        <v>802</v>
      </c>
    </row>
    <row r="145" spans="1:16" s="23" customFormat="1" ht="15.75" customHeight="1">
      <c r="A145" s="155">
        <f t="shared" ref="A145:A147" si="14">A144+1</f>
        <v>3</v>
      </c>
      <c r="B145" s="155"/>
      <c r="C145" s="66" t="s">
        <v>176</v>
      </c>
      <c r="D145" s="59">
        <f t="shared" ref="D145:D147" si="15">(3.95*3.1+2.75*2.1+2.75*3.35+1.55*0.9+1.2*1.2+1.4*0.9+2.25*1.25+0.75*2.75+0.75*1.2)*(10.764)</f>
        <v>399.37130999999999</v>
      </c>
      <c r="E145" s="66">
        <v>0</v>
      </c>
      <c r="F145" s="66">
        <f t="shared" si="12"/>
        <v>599.05696499999999</v>
      </c>
      <c r="G145" s="155"/>
      <c r="H145" s="155"/>
      <c r="I145" s="58"/>
      <c r="N145" s="23" t="e">
        <f t="shared" ca="1" si="11"/>
        <v>#REF!</v>
      </c>
      <c r="O145" s="23" t="e">
        <f t="shared" ca="1" si="13"/>
        <v>#REF!</v>
      </c>
      <c r="P145" s="23">
        <f t="shared" ca="1" si="13"/>
        <v>803</v>
      </c>
    </row>
    <row r="146" spans="1:16" s="23" customFormat="1" ht="15.75" customHeight="1">
      <c r="A146" s="155">
        <f t="shared" si="14"/>
        <v>4</v>
      </c>
      <c r="B146" s="155"/>
      <c r="C146" s="66" t="s">
        <v>176</v>
      </c>
      <c r="D146" s="59">
        <f t="shared" si="15"/>
        <v>399.37130999999999</v>
      </c>
      <c r="E146" s="66">
        <v>0</v>
      </c>
      <c r="F146" s="66">
        <f t="shared" si="12"/>
        <v>599.05696499999999</v>
      </c>
      <c r="G146" s="155"/>
      <c r="H146" s="155"/>
      <c r="I146" s="61"/>
      <c r="J146" s="23" t="s">
        <v>181</v>
      </c>
      <c r="K146" s="23" t="s">
        <v>158</v>
      </c>
      <c r="N146" s="23" t="e">
        <f t="shared" ca="1" si="11"/>
        <v>#REF!</v>
      </c>
      <c r="O146" s="23" t="e">
        <f t="shared" ca="1" si="13"/>
        <v>#REF!</v>
      </c>
      <c r="P146" s="23">
        <f t="shared" ca="1" si="13"/>
        <v>804</v>
      </c>
    </row>
    <row r="147" spans="1:16" s="23" customFormat="1" ht="15.75" customHeight="1">
      <c r="A147" s="155">
        <f t="shared" si="14"/>
        <v>5</v>
      </c>
      <c r="B147" s="155"/>
      <c r="C147" s="66" t="s">
        <v>176</v>
      </c>
      <c r="D147" s="59">
        <f t="shared" si="15"/>
        <v>399.37130999999999</v>
      </c>
      <c r="E147" s="66">
        <v>0</v>
      </c>
      <c r="F147" s="66">
        <f t="shared" si="12"/>
        <v>599.05696499999999</v>
      </c>
      <c r="G147" s="155"/>
      <c r="H147" s="155"/>
      <c r="I147" s="58"/>
      <c r="J147" s="23" t="s">
        <v>182</v>
      </c>
      <c r="L147" s="23" t="s">
        <v>158</v>
      </c>
      <c r="N147" s="23" t="e">
        <f t="shared" ca="1" si="11"/>
        <v>#REF!</v>
      </c>
      <c r="O147" s="23" t="e">
        <f t="shared" ca="1" si="13"/>
        <v>#REF!</v>
      </c>
      <c r="P147" s="23">
        <f t="shared" ca="1" si="13"/>
        <v>805</v>
      </c>
    </row>
    <row r="148" spans="1:16" s="23" customFormat="1">
      <c r="A148" s="155">
        <f t="shared" ref="A148:A152" si="16">A147+1</f>
        <v>6</v>
      </c>
      <c r="B148" s="155"/>
      <c r="C148" s="66" t="s">
        <v>177</v>
      </c>
      <c r="D148" s="59">
        <f>(4.1*3.1+2.75*2.1+2.75*3.35+2.75*3.65+2.1*1.2+1.2*2.1+3*0.9+2.25*1.25+(0.75*(2.75*2.75+1.2)))*(10.764)</f>
        <v>590.50631250000004</v>
      </c>
      <c r="E148" s="66">
        <v>0</v>
      </c>
      <c r="F148" s="66">
        <f t="shared" si="12"/>
        <v>885.75946875</v>
      </c>
      <c r="G148" s="155"/>
      <c r="H148" s="155"/>
      <c r="I148" s="58"/>
      <c r="J148" s="23">
        <f>8500*369</f>
        <v>3136500</v>
      </c>
      <c r="K148" s="23">
        <f>8500*D144</f>
        <v>3394656.1349999998</v>
      </c>
      <c r="L148" s="58">
        <f>3200000/F144</f>
        <v>5341.7290624440029</v>
      </c>
      <c r="N148" s="23" t="e">
        <f t="shared" ref="N148:N152" ca="1" si="17">O148&amp;""&amp;" to "&amp;""&amp;P148</f>
        <v>#REF!</v>
      </c>
      <c r="O148" s="23" t="e">
        <f ca="1">(SUMPRODUCT(MID(0&amp;(LEFT(A147,SUM(LEN(A147)-LEN(SUBSTITUTE(A147,{"0","1","2"},""))))),LARGE(INDEX(ISNUMBER(--MID((LEFT(A147,SUM(LEN(A147)-LEN(SUBSTITUTE(A147,{"0","1","2"},""))))),ROW(INDIRECT("1:"&amp;LEN((LEFT(A147,SUM(LEN(A147)-LEN(SUBSTITUTE(A147,{"0","1","2"},"")))))))),1))*ROW(INDIRECT("1:"&amp;LEN((LEFT(A147,SUM(LEN(A147)-LEN(SUBSTITUTE(A147,{"0","1","2"},"")))))))),0),ROW(INDIRECT("1:"&amp;LEN((LEFT(A147,SUM(LEN(A147)-LEN(SUBSTITUTE(A147,{"0","1","2"},"")))))))))+1,1)*10^ROW(INDIRECT("1:"&amp;LEN((LEFT(A147,SUM(LEN(A147)-LEN(SUBSTITUTE(A147,{"0","1","2"},""))))))))/10))*100+1</f>
        <v>#REF!</v>
      </c>
      <c r="P148" s="23">
        <f ca="1">(SUMPRODUCT(MID(0&amp;(--TRIM(RIGHT(SUBSTITUTE(LEFT(A147,_xlfn.AGGREGATE(16,6,FIND({0,1,2,3,4,5,6,7,8,9},A147,ROW(INDIRECT("1:"&amp;LEN(A147)))),1))," ",REPT(" ",LEN(A147))),LEN(A147)))),LARGE(INDEX(ISNUMBER(--MID((--TRIM(RIGHT(SUBSTITUTE(LEFT(A147,_xlfn.AGGREGATE(16,6,FIND({0,1,2,3,4,5,6,7,8,9},A147,ROW(INDIRECT("1:"&amp;LEN(A147)))),1))," ",REPT(" ",LEN(A147))),LEN(A147)))),ROW(INDIRECT("1:"&amp;LEN((--TRIM(RIGHT(SUBSTITUTE(LEFT(A147,_xlfn.AGGREGATE(16,6,FIND({0,1,2,3,4,5,6,7,8,9},A147,ROW(INDIRECT("1:"&amp;LEN(A147)))),1))," ",REPT(" ",LEN(A147))),LEN(A147))))))),1))*ROW(INDIRECT("1:"&amp;LEN((--TRIM(RIGHT(SUBSTITUTE(LEFT(A147,_xlfn.AGGREGATE(16,6,FIND({0,1,2,3,4,5,6,7,8,9},A147,ROW(INDIRECT("1:"&amp;LEN(A147)))),1))," ",REPT(" ",LEN(A147))),LEN(A147))))))),0),ROW(INDIRECT("1:"&amp;LEN((--TRIM(RIGHT(SUBSTITUTE(LEFT(A147,_xlfn.AGGREGATE(16,6,FIND({0,1,2,3,4,5,6,7,8,9},A147,ROW(INDIRECT("1:"&amp;LEN(A147)))),1))," ",REPT(" ",LEN(A147))),LEN(A147))))))))+1,1)*10^ROW(INDIRECT("1:"&amp;LEN((--TRIM(RIGHT(SUBSTITUTE(LEFT(A147,_xlfn.AGGREGATE(16,6,FIND({0,1,2,3,4,5,6,7,8,9},A147,ROW(INDIRECT("1:"&amp;LEN(A147)))),1))," ",REPT(" ",LEN(A147))),LEN(A147)))))))/10))*100+1</f>
        <v>501</v>
      </c>
    </row>
    <row r="149" spans="1:16" s="23" customFormat="1">
      <c r="A149" s="155">
        <f t="shared" si="16"/>
        <v>7</v>
      </c>
      <c r="B149" s="155"/>
      <c r="C149" s="66" t="s">
        <v>177</v>
      </c>
      <c r="D149" s="59">
        <f>(4.1*3.1+2.75*2.1+2.75*3.35+2.75*3.65+2.1*1.2+1.2*2.1+3*0.9+2.25*1.25+(0.75*(2.75*2.75+1.2)))*(10.764)</f>
        <v>590.50631250000004</v>
      </c>
      <c r="E149" s="66">
        <v>0</v>
      </c>
      <c r="F149" s="66">
        <f t="shared" si="12"/>
        <v>885.75946875</v>
      </c>
      <c r="G149" s="155"/>
      <c r="H149" s="155"/>
      <c r="I149" s="58"/>
      <c r="J149" s="23">
        <f>8500*527</f>
        <v>4479500</v>
      </c>
      <c r="K149" s="23">
        <f>8500*D148</f>
        <v>5019303.65625</v>
      </c>
      <c r="L149" s="58">
        <f>4500000/F148</f>
        <v>5080.3859950269371</v>
      </c>
      <c r="N149" s="23" t="e">
        <f t="shared" ca="1" si="17"/>
        <v>#REF!</v>
      </c>
      <c r="O149" s="23" t="e">
        <f t="shared" ref="O149:P149" ca="1" si="18">O148+1</f>
        <v>#REF!</v>
      </c>
      <c r="P149" s="23">
        <f t="shared" ca="1" si="18"/>
        <v>502</v>
      </c>
    </row>
    <row r="150" spans="1:16" s="23" customFormat="1">
      <c r="A150" s="155">
        <f t="shared" si="16"/>
        <v>8</v>
      </c>
      <c r="B150" s="155"/>
      <c r="C150" s="66" t="s">
        <v>176</v>
      </c>
      <c r="D150" s="59">
        <f>(3.95*3.1+2.75*2.1+2.75*3.35+1.55*0.9+1.2*1.2+1.4*0.9+2.25*1.25+0.75*2.75+0.75*1.2)*(10.764)</f>
        <v>399.37130999999999</v>
      </c>
      <c r="E150" s="66">
        <v>0</v>
      </c>
      <c r="F150" s="66">
        <f t="shared" si="12"/>
        <v>599.05696499999999</v>
      </c>
      <c r="G150" s="155"/>
      <c r="H150" s="155"/>
      <c r="I150" s="58"/>
      <c r="L150" s="58">
        <f>AVERAGE(L148:L149)</f>
        <v>5211.0575287354695</v>
      </c>
      <c r="N150" s="23" t="e">
        <f t="shared" ca="1" si="17"/>
        <v>#REF!</v>
      </c>
      <c r="O150" s="23" t="e">
        <f t="shared" ref="O150:P150" ca="1" si="19">O149+1</f>
        <v>#REF!</v>
      </c>
      <c r="P150" s="23">
        <f t="shared" ca="1" si="19"/>
        <v>503</v>
      </c>
    </row>
    <row r="151" spans="1:16" s="23" customFormat="1">
      <c r="A151" s="155">
        <f t="shared" si="16"/>
        <v>9</v>
      </c>
      <c r="B151" s="155"/>
      <c r="C151" s="66" t="s">
        <v>176</v>
      </c>
      <c r="D151" s="59">
        <f>(3.95*3.1+2.75*2.1+2.75*3.35+1.55*0.9+1.2*1.2+1.4*0.9+2.25*1.25+0.75*2.75+0.75*1.2)*(10.764)</f>
        <v>399.37130999999999</v>
      </c>
      <c r="E151" s="66">
        <v>0</v>
      </c>
      <c r="F151" s="66">
        <f t="shared" si="12"/>
        <v>599.05696499999999</v>
      </c>
      <c r="G151" s="155"/>
      <c r="H151" s="155"/>
      <c r="I151" s="61"/>
      <c r="J151" s="23">
        <f>5000*F144</f>
        <v>2995284.8250000002</v>
      </c>
      <c r="N151" s="23" t="e">
        <f t="shared" ca="1" si="17"/>
        <v>#REF!</v>
      </c>
      <c r="O151" s="23" t="e">
        <f t="shared" ref="O151:P151" ca="1" si="20">O150+1</f>
        <v>#REF!</v>
      </c>
      <c r="P151" s="23">
        <f t="shared" ca="1" si="20"/>
        <v>504</v>
      </c>
    </row>
    <row r="152" spans="1:16" s="23" customFormat="1">
      <c r="A152" s="155">
        <f t="shared" si="16"/>
        <v>10</v>
      </c>
      <c r="B152" s="155"/>
      <c r="C152" s="66" t="s">
        <v>176</v>
      </c>
      <c r="D152" s="59">
        <f>(3.95*3.1+2.75*2.1+2.75*3.35+1.55*0.9+1.2*1.2+1.4*0.9+2.25*1.25+0.75*2.75+0.75*1.2)*(10.764)</f>
        <v>399.37130999999999</v>
      </c>
      <c r="E152" s="66">
        <v>0</v>
      </c>
      <c r="F152" s="66">
        <f t="shared" si="12"/>
        <v>599.05696499999999</v>
      </c>
      <c r="G152" s="155"/>
      <c r="H152" s="155"/>
      <c r="I152" s="58"/>
      <c r="N152" s="23" t="e">
        <f t="shared" ca="1" si="17"/>
        <v>#REF!</v>
      </c>
      <c r="O152" s="23" t="e">
        <f t="shared" ref="O152:P152" ca="1" si="21">O151+1</f>
        <v>#REF!</v>
      </c>
      <c r="P152" s="23">
        <f t="shared" ca="1" si="21"/>
        <v>505</v>
      </c>
    </row>
    <row r="153" spans="1:16" s="23" customFormat="1">
      <c r="A153" s="158" t="s">
        <v>159</v>
      </c>
      <c r="B153" s="159"/>
      <c r="C153" s="159"/>
      <c r="D153" s="159"/>
      <c r="E153" s="159"/>
      <c r="F153" s="159"/>
      <c r="G153" s="159"/>
      <c r="H153" s="160"/>
      <c r="I153" s="58"/>
    </row>
    <row r="154" spans="1:16" s="23" customFormat="1">
      <c r="A154" s="156" t="s">
        <v>174</v>
      </c>
      <c r="B154" s="147"/>
      <c r="C154" s="147"/>
      <c r="D154" s="147"/>
      <c r="E154" s="147"/>
      <c r="F154" s="147"/>
      <c r="G154" s="147"/>
      <c r="H154" s="148"/>
      <c r="I154" s="58"/>
    </row>
    <row r="155" spans="1:16" s="23" customFormat="1">
      <c r="A155" s="156" t="s">
        <v>175</v>
      </c>
      <c r="B155" s="147"/>
      <c r="C155" s="147"/>
      <c r="D155" s="147"/>
      <c r="E155" s="147"/>
      <c r="F155" s="147"/>
      <c r="G155" s="147"/>
      <c r="H155" s="148"/>
      <c r="I155" s="58"/>
    </row>
    <row r="156" spans="1:16" s="23" customFormat="1" ht="15.75" customHeight="1">
      <c r="A156" s="143">
        <v>1</v>
      </c>
      <c r="B156" s="144"/>
      <c r="C156" s="46" t="s">
        <v>176</v>
      </c>
      <c r="D156" s="59">
        <f>(3.95*3.1+2.75*2.1+2.75*3.35+1.55*0.9+1.2*1.2+1.4*0.9+2.25*1.25+0.75*2.75+0.75*1.2)*(10.764)</f>
        <v>399.37130999999999</v>
      </c>
      <c r="E156" s="46">
        <v>0</v>
      </c>
      <c r="F156" s="46">
        <f t="shared" ref="F156:F166" si="22">D156*(($F$127)+1)+(IF(E156&lt;101,E156,IF(E156&lt;201,E156/2,IF(E156&lt;=301,E156/3,E156/4))))</f>
        <v>599.05696499999999</v>
      </c>
      <c r="G156" s="173" t="str">
        <f>A155</f>
        <v>1st to 7th &amp; 9th Floor For Residential</v>
      </c>
      <c r="H156" s="174"/>
      <c r="I156" s="58"/>
      <c r="N156" s="23" t="str">
        <f t="shared" ref="N156:N166" ca="1" si="23">O156&amp;""&amp;" to "&amp;""&amp;P156</f>
        <v>101 to 901</v>
      </c>
      <c r="O156" s="23">
        <f ca="1">(SUMPRODUCT(MID(0&amp;(LEFT(A155,SUM(LEN(A155)-LEN(SUBSTITUTE(A155,{"0","1","2"},""))))),LARGE(INDEX(ISNUMBER(--MID((LEFT(A155,SUM(LEN(A155)-LEN(SUBSTITUTE(A155,{"0","1","2"},""))))),ROW(INDIRECT("1:"&amp;LEN((LEFT(A155,SUM(LEN(A155)-LEN(SUBSTITUTE(A155,{"0","1","2"},"")))))))),1))*ROW(INDIRECT("1:"&amp;LEN((LEFT(A155,SUM(LEN(A155)-LEN(SUBSTITUTE(A155,{"0","1","2"},"")))))))),0),ROW(INDIRECT("1:"&amp;LEN((LEFT(A155,SUM(LEN(A155)-LEN(SUBSTITUTE(A155,{"0","1","2"},"")))))))))+1,1)*10^ROW(INDIRECT("1:"&amp;LEN((LEFT(A155,SUM(LEN(A155)-LEN(SUBSTITUTE(A155,{"0","1","2"},""))))))))/10))*100+1</f>
        <v>101</v>
      </c>
      <c r="P156" s="23">
        <f ca="1">(SUMPRODUCT(MID(0&amp;(--TRIM(RIGHT(SUBSTITUTE(LEFT(A155,_xlfn.AGGREGATE(16,6,FIND({0,1,2,3,4,5,6,7,8,9},A155,ROW(INDIRECT("1:"&amp;LEN(A155)))),1))," ",REPT(" ",LEN(A155))),LEN(A155)))),LARGE(INDEX(ISNUMBER(--MID((--TRIM(RIGHT(SUBSTITUTE(LEFT(A155,_xlfn.AGGREGATE(16,6,FIND({0,1,2,3,4,5,6,7,8,9},A155,ROW(INDIRECT("1:"&amp;LEN(A155)))),1))," ",REPT(" ",LEN(A155))),LEN(A155)))),ROW(INDIRECT("1:"&amp;LEN((--TRIM(RIGHT(SUBSTITUTE(LEFT(A155,_xlfn.AGGREGATE(16,6,FIND({0,1,2,3,4,5,6,7,8,9},A155,ROW(INDIRECT("1:"&amp;LEN(A155)))),1))," ",REPT(" ",LEN(A155))),LEN(A155))))))),1))*ROW(INDIRECT("1:"&amp;LEN((--TRIM(RIGHT(SUBSTITUTE(LEFT(A155,_xlfn.AGGREGATE(16,6,FIND({0,1,2,3,4,5,6,7,8,9},A155,ROW(INDIRECT("1:"&amp;LEN(A155)))),1))," ",REPT(" ",LEN(A155))),LEN(A155))))))),0),ROW(INDIRECT("1:"&amp;LEN((--TRIM(RIGHT(SUBSTITUTE(LEFT(A155,_xlfn.AGGREGATE(16,6,FIND({0,1,2,3,4,5,6,7,8,9},A155,ROW(INDIRECT("1:"&amp;LEN(A155)))),1))," ",REPT(" ",LEN(A155))),LEN(A155))))))))+1,1)*10^ROW(INDIRECT("1:"&amp;LEN((--TRIM(RIGHT(SUBSTITUTE(LEFT(A155,_xlfn.AGGREGATE(16,6,FIND({0,1,2,3,4,5,6,7,8,9},A155,ROW(INDIRECT("1:"&amp;LEN(A155)))),1))," ",REPT(" ",LEN(A155))),LEN(A155)))))))/10))*100+1</f>
        <v>901</v>
      </c>
    </row>
    <row r="157" spans="1:16" s="23" customFormat="1" ht="15.75" customHeight="1">
      <c r="A157" s="143">
        <f>A156+1</f>
        <v>2</v>
      </c>
      <c r="B157" s="144"/>
      <c r="C157" s="46" t="s">
        <v>176</v>
      </c>
      <c r="D157" s="59">
        <f t="shared" ref="D157:D164" si="24">(3.95*3.1+2.75*2.1+2.75*3.35+1.55*0.9+1.2*1.2+1.4*0.9+2.25*1.25+0.75*2.75+0.75*1.2)*(10.764)</f>
        <v>399.37130999999999</v>
      </c>
      <c r="E157" s="46">
        <v>0</v>
      </c>
      <c r="F157" s="46">
        <f t="shared" si="22"/>
        <v>599.05696499999999</v>
      </c>
      <c r="G157" s="175"/>
      <c r="H157" s="176"/>
      <c r="I157" s="58"/>
      <c r="N157" s="23" t="str">
        <f t="shared" ca="1" si="23"/>
        <v>102 to 902</v>
      </c>
      <c r="O157" s="23">
        <f t="shared" ref="O157:P157" ca="1" si="25">O156+1</f>
        <v>102</v>
      </c>
      <c r="P157" s="23">
        <f t="shared" ca="1" si="25"/>
        <v>902</v>
      </c>
    </row>
    <row r="158" spans="1:16" s="23" customFormat="1" ht="15.75" customHeight="1">
      <c r="A158" s="143">
        <f t="shared" ref="A158:A164" si="26">A157+1</f>
        <v>3</v>
      </c>
      <c r="B158" s="144"/>
      <c r="C158" s="46" t="s">
        <v>176</v>
      </c>
      <c r="D158" s="59">
        <f t="shared" si="24"/>
        <v>399.37130999999999</v>
      </c>
      <c r="E158" s="46">
        <v>0</v>
      </c>
      <c r="F158" s="46">
        <f t="shared" si="22"/>
        <v>599.05696499999999</v>
      </c>
      <c r="G158" s="175"/>
      <c r="H158" s="176"/>
      <c r="I158" s="58"/>
      <c r="N158" s="23" t="str">
        <f t="shared" ca="1" si="23"/>
        <v>103 to 903</v>
      </c>
      <c r="O158" s="23">
        <f t="shared" ref="O158:P158" ca="1" si="27">O157+1</f>
        <v>103</v>
      </c>
      <c r="P158" s="23">
        <f t="shared" ca="1" si="27"/>
        <v>903</v>
      </c>
    </row>
    <row r="159" spans="1:16" s="23" customFormat="1" ht="15.75" customHeight="1">
      <c r="A159" s="143">
        <f t="shared" si="26"/>
        <v>4</v>
      </c>
      <c r="B159" s="144"/>
      <c r="C159" s="46" t="s">
        <v>176</v>
      </c>
      <c r="D159" s="59">
        <f t="shared" si="24"/>
        <v>399.37130999999999</v>
      </c>
      <c r="E159" s="46">
        <v>0</v>
      </c>
      <c r="F159" s="46">
        <f t="shared" si="22"/>
        <v>599.05696499999999</v>
      </c>
      <c r="G159" s="175"/>
      <c r="H159" s="176"/>
      <c r="I159" s="61"/>
      <c r="N159" s="23" t="str">
        <f t="shared" ca="1" si="23"/>
        <v>104 to 904</v>
      </c>
      <c r="O159" s="23">
        <f t="shared" ref="O159:P159" ca="1" si="28">O158+1</f>
        <v>104</v>
      </c>
      <c r="P159" s="23">
        <f t="shared" ca="1" si="28"/>
        <v>904</v>
      </c>
    </row>
    <row r="160" spans="1:16" s="23" customFormat="1" ht="15.75" customHeight="1">
      <c r="A160" s="143">
        <f t="shared" si="26"/>
        <v>5</v>
      </c>
      <c r="B160" s="144"/>
      <c r="C160" s="46" t="s">
        <v>176</v>
      </c>
      <c r="D160" s="59">
        <f t="shared" si="24"/>
        <v>399.37130999999999</v>
      </c>
      <c r="E160" s="46">
        <v>0</v>
      </c>
      <c r="F160" s="46">
        <f t="shared" si="22"/>
        <v>599.05696499999999</v>
      </c>
      <c r="G160" s="175"/>
      <c r="H160" s="176"/>
      <c r="I160" s="58"/>
      <c r="N160" s="23" t="str">
        <f t="shared" ca="1" si="23"/>
        <v>105 to 905</v>
      </c>
      <c r="O160" s="23">
        <f t="shared" ref="O160:P160" ca="1" si="29">O159+1</f>
        <v>105</v>
      </c>
      <c r="P160" s="23">
        <f t="shared" ca="1" si="29"/>
        <v>905</v>
      </c>
    </row>
    <row r="161" spans="1:16" s="23" customFormat="1">
      <c r="A161" s="143">
        <f t="shared" si="26"/>
        <v>6</v>
      </c>
      <c r="B161" s="144"/>
      <c r="C161" s="46" t="s">
        <v>176</v>
      </c>
      <c r="D161" s="59">
        <f t="shared" si="24"/>
        <v>399.37130999999999</v>
      </c>
      <c r="E161" s="46">
        <v>0</v>
      </c>
      <c r="F161" s="46">
        <f t="shared" si="22"/>
        <v>599.05696499999999</v>
      </c>
      <c r="G161" s="175"/>
      <c r="H161" s="176"/>
      <c r="I161" s="58"/>
      <c r="N161" s="23" t="e">
        <f t="shared" ca="1" si="23"/>
        <v>#REF!</v>
      </c>
      <c r="O161" s="23" t="e">
        <f ca="1">(SUMPRODUCT(MID(0&amp;(LEFT(A160,SUM(LEN(A160)-LEN(SUBSTITUTE(A160,{"0","1","2"},""))))),LARGE(INDEX(ISNUMBER(--MID((LEFT(A160,SUM(LEN(A160)-LEN(SUBSTITUTE(A160,{"0","1","2"},""))))),ROW(INDIRECT("1:"&amp;LEN((LEFT(A160,SUM(LEN(A160)-LEN(SUBSTITUTE(A160,{"0","1","2"},"")))))))),1))*ROW(INDIRECT("1:"&amp;LEN((LEFT(A160,SUM(LEN(A160)-LEN(SUBSTITUTE(A160,{"0","1","2"},"")))))))),0),ROW(INDIRECT("1:"&amp;LEN((LEFT(A160,SUM(LEN(A160)-LEN(SUBSTITUTE(A160,{"0","1","2"},"")))))))))+1,1)*10^ROW(INDIRECT("1:"&amp;LEN((LEFT(A160,SUM(LEN(A160)-LEN(SUBSTITUTE(A160,{"0","1","2"},""))))))))/10))*100+1</f>
        <v>#REF!</v>
      </c>
      <c r="P161" s="23">
        <f ca="1">(SUMPRODUCT(MID(0&amp;(--TRIM(RIGHT(SUBSTITUTE(LEFT(A160,_xlfn.AGGREGATE(16,6,FIND({0,1,2,3,4,5,6,7,8,9},A160,ROW(INDIRECT("1:"&amp;LEN(A160)))),1))," ",REPT(" ",LEN(A160))),LEN(A160)))),LARGE(INDEX(ISNUMBER(--MID((--TRIM(RIGHT(SUBSTITUTE(LEFT(A160,_xlfn.AGGREGATE(16,6,FIND({0,1,2,3,4,5,6,7,8,9},A160,ROW(INDIRECT("1:"&amp;LEN(A160)))),1))," ",REPT(" ",LEN(A160))),LEN(A160)))),ROW(INDIRECT("1:"&amp;LEN((--TRIM(RIGHT(SUBSTITUTE(LEFT(A160,_xlfn.AGGREGATE(16,6,FIND({0,1,2,3,4,5,6,7,8,9},A160,ROW(INDIRECT("1:"&amp;LEN(A160)))),1))," ",REPT(" ",LEN(A160))),LEN(A160))))))),1))*ROW(INDIRECT("1:"&amp;LEN((--TRIM(RIGHT(SUBSTITUTE(LEFT(A160,_xlfn.AGGREGATE(16,6,FIND({0,1,2,3,4,5,6,7,8,9},A160,ROW(INDIRECT("1:"&amp;LEN(A160)))),1))," ",REPT(" ",LEN(A160))),LEN(A160))))))),0),ROW(INDIRECT("1:"&amp;LEN((--TRIM(RIGHT(SUBSTITUTE(LEFT(A160,_xlfn.AGGREGATE(16,6,FIND({0,1,2,3,4,5,6,7,8,9},A160,ROW(INDIRECT("1:"&amp;LEN(A160)))),1))," ",REPT(" ",LEN(A160))),LEN(A160))))))))+1,1)*10^ROW(INDIRECT("1:"&amp;LEN((--TRIM(RIGHT(SUBSTITUTE(LEFT(A160,_xlfn.AGGREGATE(16,6,FIND({0,1,2,3,4,5,6,7,8,9},A160,ROW(INDIRECT("1:"&amp;LEN(A160)))),1))," ",REPT(" ",LEN(A160))),LEN(A160)))))))/10))*100+1</f>
        <v>501</v>
      </c>
    </row>
    <row r="162" spans="1:16" s="23" customFormat="1">
      <c r="A162" s="143">
        <f t="shared" si="26"/>
        <v>7</v>
      </c>
      <c r="B162" s="144"/>
      <c r="C162" s="46" t="s">
        <v>176</v>
      </c>
      <c r="D162" s="59">
        <f t="shared" si="24"/>
        <v>399.37130999999999</v>
      </c>
      <c r="E162" s="46">
        <v>0</v>
      </c>
      <c r="F162" s="46">
        <f t="shared" si="22"/>
        <v>599.05696499999999</v>
      </c>
      <c r="G162" s="175"/>
      <c r="H162" s="176"/>
      <c r="I162" s="58"/>
      <c r="N162" s="23" t="e">
        <f t="shared" ca="1" si="23"/>
        <v>#REF!</v>
      </c>
      <c r="O162" s="23" t="e">
        <f t="shared" ref="O162:P162" ca="1" si="30">O161+1</f>
        <v>#REF!</v>
      </c>
      <c r="P162" s="23">
        <f t="shared" ca="1" si="30"/>
        <v>502</v>
      </c>
    </row>
    <row r="163" spans="1:16" s="23" customFormat="1">
      <c r="A163" s="143">
        <f t="shared" si="26"/>
        <v>8</v>
      </c>
      <c r="B163" s="144"/>
      <c r="C163" s="46" t="s">
        <v>176</v>
      </c>
      <c r="D163" s="59">
        <f t="shared" si="24"/>
        <v>399.37130999999999</v>
      </c>
      <c r="E163" s="46">
        <v>0</v>
      </c>
      <c r="F163" s="46">
        <f t="shared" si="22"/>
        <v>599.05696499999999</v>
      </c>
      <c r="G163" s="175"/>
      <c r="H163" s="176"/>
      <c r="I163" s="58"/>
      <c r="N163" s="23" t="e">
        <f t="shared" ca="1" si="23"/>
        <v>#REF!</v>
      </c>
      <c r="O163" s="23" t="e">
        <f t="shared" ref="O163:P163" ca="1" si="31">O162+1</f>
        <v>#REF!</v>
      </c>
      <c r="P163" s="23">
        <f t="shared" ca="1" si="31"/>
        <v>503</v>
      </c>
    </row>
    <row r="164" spans="1:16" s="23" customFormat="1">
      <c r="A164" s="143">
        <f t="shared" si="26"/>
        <v>9</v>
      </c>
      <c r="B164" s="144"/>
      <c r="C164" s="46" t="s">
        <v>176</v>
      </c>
      <c r="D164" s="59">
        <f t="shared" si="24"/>
        <v>399.37130999999999</v>
      </c>
      <c r="E164" s="46">
        <v>0</v>
      </c>
      <c r="F164" s="46">
        <f t="shared" si="22"/>
        <v>599.05696499999999</v>
      </c>
      <c r="G164" s="175"/>
      <c r="H164" s="176"/>
      <c r="I164" s="61"/>
      <c r="N164" s="23" t="e">
        <f t="shared" ca="1" si="23"/>
        <v>#REF!</v>
      </c>
      <c r="O164" s="23" t="e">
        <f t="shared" ref="O164:P164" ca="1" si="32">O163+1</f>
        <v>#REF!</v>
      </c>
      <c r="P164" s="23">
        <f t="shared" ca="1" si="32"/>
        <v>504</v>
      </c>
    </row>
    <row r="165" spans="1:16" s="23" customFormat="1">
      <c r="A165" s="143">
        <f t="shared" ref="A165:A166" si="33">A164+1</f>
        <v>10</v>
      </c>
      <c r="B165" s="144"/>
      <c r="C165" s="46" t="s">
        <v>177</v>
      </c>
      <c r="D165" s="59">
        <f>(4.1*3.1+2.75*2.1+2.75*3.35+2.75*3.65+2.1*1.2+1.2*2.1+3*0.9+2.25*1.25+(0.75*(2.75*2.75+1.2)))*(10.764)</f>
        <v>590.50631250000004</v>
      </c>
      <c r="E165" s="46">
        <v>0</v>
      </c>
      <c r="F165" s="46">
        <f t="shared" si="22"/>
        <v>885.75946875</v>
      </c>
      <c r="G165" s="175"/>
      <c r="H165" s="176"/>
      <c r="I165" s="58"/>
      <c r="N165" s="23" t="e">
        <f t="shared" ref="N165" ca="1" si="34">O165&amp;""&amp;" to "&amp;""&amp;P165</f>
        <v>#REF!</v>
      </c>
      <c r="O165" s="23" t="e">
        <f t="shared" ref="O165:P166" ca="1" si="35">O163+1</f>
        <v>#REF!</v>
      </c>
      <c r="P165" s="23">
        <f t="shared" ca="1" si="35"/>
        <v>504</v>
      </c>
    </row>
    <row r="166" spans="1:16" s="23" customFormat="1">
      <c r="A166" s="143">
        <f t="shared" si="33"/>
        <v>11</v>
      </c>
      <c r="B166" s="144"/>
      <c r="C166" s="46" t="s">
        <v>177</v>
      </c>
      <c r="D166" s="59">
        <f>(4.1*3.1+2.75*2.1+2.75*3.35+2.75*3.65+2.1*1.2+1.2*2.1+3*0.9+2.25*1.25+(0.75*(2.75*2.75+1.2)))*(10.764)</f>
        <v>590.50631250000004</v>
      </c>
      <c r="E166" s="46">
        <v>0</v>
      </c>
      <c r="F166" s="46">
        <f t="shared" si="22"/>
        <v>885.75946875</v>
      </c>
      <c r="G166" s="177"/>
      <c r="H166" s="178"/>
      <c r="I166" s="58"/>
      <c r="N166" s="23" t="e">
        <f t="shared" ca="1" si="23"/>
        <v>#REF!</v>
      </c>
      <c r="O166" s="23" t="e">
        <f t="shared" ca="1" si="35"/>
        <v>#REF!</v>
      </c>
      <c r="P166" s="23">
        <f t="shared" ca="1" si="35"/>
        <v>505</v>
      </c>
    </row>
    <row r="167" spans="1:16" s="23" customFormat="1">
      <c r="A167" s="156" t="s">
        <v>178</v>
      </c>
      <c r="B167" s="147"/>
      <c r="C167" s="147"/>
      <c r="D167" s="147"/>
      <c r="E167" s="147"/>
      <c r="F167" s="147"/>
      <c r="G167" s="147"/>
      <c r="H167" s="148"/>
      <c r="I167" s="58"/>
    </row>
    <row r="168" spans="1:16" s="23" customFormat="1" ht="15.75" customHeight="1">
      <c r="A168" s="143">
        <v>1</v>
      </c>
      <c r="B168" s="144"/>
      <c r="C168" s="46" t="s">
        <v>179</v>
      </c>
      <c r="D168" s="143" t="s">
        <v>180</v>
      </c>
      <c r="E168" s="157"/>
      <c r="F168" s="144"/>
      <c r="G168" s="173" t="str">
        <f>A167</f>
        <v>8th Floor (Part Refuge Area)</v>
      </c>
      <c r="H168" s="174"/>
      <c r="I168" s="58"/>
      <c r="N168" s="23" t="e">
        <f t="shared" ref="N168:N178" ca="1" si="36">O168&amp;""&amp;" to "&amp;""&amp;P168</f>
        <v>#REF!</v>
      </c>
      <c r="O168" s="23" t="e">
        <f ca="1">(SUMPRODUCT(MID(0&amp;(LEFT(A167,SUM(LEN(A167)-LEN(SUBSTITUTE(A167,{"0","1","2"},""))))),LARGE(INDEX(ISNUMBER(--MID((LEFT(A167,SUM(LEN(A167)-LEN(SUBSTITUTE(A167,{"0","1","2"},""))))),ROW(INDIRECT("1:"&amp;LEN((LEFT(A167,SUM(LEN(A167)-LEN(SUBSTITUTE(A167,{"0","1","2"},"")))))))),1))*ROW(INDIRECT("1:"&amp;LEN((LEFT(A167,SUM(LEN(A167)-LEN(SUBSTITUTE(A167,{"0","1","2"},"")))))))),0),ROW(INDIRECT("1:"&amp;LEN((LEFT(A167,SUM(LEN(A167)-LEN(SUBSTITUTE(A167,{"0","1","2"},"")))))))))+1,1)*10^ROW(INDIRECT("1:"&amp;LEN((LEFT(A167,SUM(LEN(A167)-LEN(SUBSTITUTE(A167,{"0","1","2"},""))))))))/10))*100+1</f>
        <v>#REF!</v>
      </c>
      <c r="P168" s="23">
        <f ca="1">(SUMPRODUCT(MID(0&amp;(--TRIM(RIGHT(SUBSTITUTE(LEFT(A167,_xlfn.AGGREGATE(16,6,FIND({0,1,2,3,4,5,6,7,8,9},A167,ROW(INDIRECT("1:"&amp;LEN(A167)))),1))," ",REPT(" ",LEN(A167))),LEN(A167)))),LARGE(INDEX(ISNUMBER(--MID((--TRIM(RIGHT(SUBSTITUTE(LEFT(A167,_xlfn.AGGREGATE(16,6,FIND({0,1,2,3,4,5,6,7,8,9},A167,ROW(INDIRECT("1:"&amp;LEN(A167)))),1))," ",REPT(" ",LEN(A167))),LEN(A167)))),ROW(INDIRECT("1:"&amp;LEN((--TRIM(RIGHT(SUBSTITUTE(LEFT(A167,_xlfn.AGGREGATE(16,6,FIND({0,1,2,3,4,5,6,7,8,9},A167,ROW(INDIRECT("1:"&amp;LEN(A167)))),1))," ",REPT(" ",LEN(A167))),LEN(A167))))))),1))*ROW(INDIRECT("1:"&amp;LEN((--TRIM(RIGHT(SUBSTITUTE(LEFT(A167,_xlfn.AGGREGATE(16,6,FIND({0,1,2,3,4,5,6,7,8,9},A167,ROW(INDIRECT("1:"&amp;LEN(A167)))),1))," ",REPT(" ",LEN(A167))),LEN(A167))))))),0),ROW(INDIRECT("1:"&amp;LEN((--TRIM(RIGHT(SUBSTITUTE(LEFT(A167,_xlfn.AGGREGATE(16,6,FIND({0,1,2,3,4,5,6,7,8,9},A167,ROW(INDIRECT("1:"&amp;LEN(A167)))),1))," ",REPT(" ",LEN(A167))),LEN(A167))))))))+1,1)*10^ROW(INDIRECT("1:"&amp;LEN((--TRIM(RIGHT(SUBSTITUTE(LEFT(A167,_xlfn.AGGREGATE(16,6,FIND({0,1,2,3,4,5,6,7,8,9},A167,ROW(INDIRECT("1:"&amp;LEN(A167)))),1))," ",REPT(" ",LEN(A167))),LEN(A167)))))))/10))*100+1</f>
        <v>801</v>
      </c>
    </row>
    <row r="169" spans="1:16" s="23" customFormat="1" ht="15.75" customHeight="1">
      <c r="A169" s="143">
        <f>A168+1</f>
        <v>2</v>
      </c>
      <c r="B169" s="144"/>
      <c r="C169" s="46" t="s">
        <v>176</v>
      </c>
      <c r="D169" s="59">
        <f t="shared" ref="D169:D176" si="37">(3.95*3.1+2.75*2.1+2.75*3.35+1.55*0.9+1.2*1.2+1.4*0.9+2.25*1.25+0.75*2.75+0.75*1.2)*(10.764)</f>
        <v>399.37130999999999</v>
      </c>
      <c r="E169" s="46">
        <v>0</v>
      </c>
      <c r="F169" s="46">
        <f t="shared" ref="F169:F178" si="38">D169*(($F$127)+1)+(IF(E169&lt;101,E169,IF(E169&lt;201,E169/2,IF(E169&lt;=301,E169/3,E169/4))))</f>
        <v>599.05696499999999</v>
      </c>
      <c r="G169" s="175"/>
      <c r="H169" s="176"/>
      <c r="I169" s="58"/>
      <c r="N169" s="23" t="e">
        <f t="shared" ca="1" si="36"/>
        <v>#REF!</v>
      </c>
      <c r="O169" s="23" t="e">
        <f t="shared" ref="O169:P169" ca="1" si="39">O168+1</f>
        <v>#REF!</v>
      </c>
      <c r="P169" s="23">
        <f t="shared" ca="1" si="39"/>
        <v>802</v>
      </c>
    </row>
    <row r="170" spans="1:16" s="23" customFormat="1" ht="15.75" customHeight="1">
      <c r="A170" s="143">
        <f t="shared" ref="A170:A176" si="40">A169+1</f>
        <v>3</v>
      </c>
      <c r="B170" s="144"/>
      <c r="C170" s="46" t="s">
        <v>176</v>
      </c>
      <c r="D170" s="59">
        <f t="shared" si="37"/>
        <v>399.37130999999999</v>
      </c>
      <c r="E170" s="46">
        <v>0</v>
      </c>
      <c r="F170" s="46">
        <f t="shared" si="38"/>
        <v>599.05696499999999</v>
      </c>
      <c r="G170" s="175"/>
      <c r="H170" s="176"/>
      <c r="I170" s="58"/>
      <c r="N170" s="23" t="e">
        <f t="shared" ca="1" si="36"/>
        <v>#REF!</v>
      </c>
      <c r="O170" s="23" t="e">
        <f t="shared" ref="O170:P170" ca="1" si="41">O169+1</f>
        <v>#REF!</v>
      </c>
      <c r="P170" s="23">
        <f t="shared" ca="1" si="41"/>
        <v>803</v>
      </c>
    </row>
    <row r="171" spans="1:16" s="23" customFormat="1" ht="15.75" customHeight="1">
      <c r="A171" s="143">
        <f t="shared" si="40"/>
        <v>4</v>
      </c>
      <c r="B171" s="144"/>
      <c r="C171" s="46" t="s">
        <v>176</v>
      </c>
      <c r="D171" s="59">
        <f t="shared" si="37"/>
        <v>399.37130999999999</v>
      </c>
      <c r="E171" s="46">
        <v>0</v>
      </c>
      <c r="F171" s="46">
        <f t="shared" si="38"/>
        <v>599.05696499999999</v>
      </c>
      <c r="G171" s="175"/>
      <c r="H171" s="176"/>
      <c r="I171" s="61"/>
      <c r="N171" s="23" t="e">
        <f t="shared" ca="1" si="36"/>
        <v>#REF!</v>
      </c>
      <c r="O171" s="23" t="e">
        <f t="shared" ref="O171:P171" ca="1" si="42">O170+1</f>
        <v>#REF!</v>
      </c>
      <c r="P171" s="23">
        <f t="shared" ca="1" si="42"/>
        <v>804</v>
      </c>
    </row>
    <row r="172" spans="1:16" s="23" customFormat="1" ht="15.75" customHeight="1">
      <c r="A172" s="143">
        <f t="shared" si="40"/>
        <v>5</v>
      </c>
      <c r="B172" s="144"/>
      <c r="C172" s="46" t="s">
        <v>176</v>
      </c>
      <c r="D172" s="59">
        <f t="shared" si="37"/>
        <v>399.37130999999999</v>
      </c>
      <c r="E172" s="46">
        <v>0</v>
      </c>
      <c r="F172" s="46">
        <f t="shared" si="38"/>
        <v>599.05696499999999</v>
      </c>
      <c r="G172" s="175"/>
      <c r="H172" s="176"/>
      <c r="I172" s="58"/>
      <c r="N172" s="23" t="e">
        <f t="shared" ca="1" si="36"/>
        <v>#REF!</v>
      </c>
      <c r="O172" s="23" t="e">
        <f t="shared" ref="O172:P172" ca="1" si="43">O171+1</f>
        <v>#REF!</v>
      </c>
      <c r="P172" s="23">
        <f t="shared" ca="1" si="43"/>
        <v>805</v>
      </c>
    </row>
    <row r="173" spans="1:16" s="23" customFormat="1">
      <c r="A173" s="143">
        <f t="shared" si="40"/>
        <v>6</v>
      </c>
      <c r="B173" s="144"/>
      <c r="C173" s="46" t="s">
        <v>176</v>
      </c>
      <c r="D173" s="59">
        <f t="shared" si="37"/>
        <v>399.37130999999999</v>
      </c>
      <c r="E173" s="46">
        <v>0</v>
      </c>
      <c r="F173" s="46">
        <f t="shared" si="38"/>
        <v>599.05696499999999</v>
      </c>
      <c r="G173" s="175"/>
      <c r="H173" s="176"/>
      <c r="I173" s="58"/>
      <c r="N173" s="23" t="e">
        <f t="shared" ca="1" si="36"/>
        <v>#REF!</v>
      </c>
      <c r="O173" s="23" t="e">
        <f ca="1">(SUMPRODUCT(MID(0&amp;(LEFT(A172,SUM(LEN(A172)-LEN(SUBSTITUTE(A172,{"0","1","2"},""))))),LARGE(INDEX(ISNUMBER(--MID((LEFT(A172,SUM(LEN(A172)-LEN(SUBSTITUTE(A172,{"0","1","2"},""))))),ROW(INDIRECT("1:"&amp;LEN((LEFT(A172,SUM(LEN(A172)-LEN(SUBSTITUTE(A172,{"0","1","2"},"")))))))),1))*ROW(INDIRECT("1:"&amp;LEN((LEFT(A172,SUM(LEN(A172)-LEN(SUBSTITUTE(A172,{"0","1","2"},"")))))))),0),ROW(INDIRECT("1:"&amp;LEN((LEFT(A172,SUM(LEN(A172)-LEN(SUBSTITUTE(A172,{"0","1","2"},"")))))))))+1,1)*10^ROW(INDIRECT("1:"&amp;LEN((LEFT(A172,SUM(LEN(A172)-LEN(SUBSTITUTE(A172,{"0","1","2"},""))))))))/10))*100+1</f>
        <v>#REF!</v>
      </c>
      <c r="P173" s="23">
        <f ca="1">(SUMPRODUCT(MID(0&amp;(--TRIM(RIGHT(SUBSTITUTE(LEFT(A172,_xlfn.AGGREGATE(16,6,FIND({0,1,2,3,4,5,6,7,8,9},A172,ROW(INDIRECT("1:"&amp;LEN(A172)))),1))," ",REPT(" ",LEN(A172))),LEN(A172)))),LARGE(INDEX(ISNUMBER(--MID((--TRIM(RIGHT(SUBSTITUTE(LEFT(A172,_xlfn.AGGREGATE(16,6,FIND({0,1,2,3,4,5,6,7,8,9},A172,ROW(INDIRECT("1:"&amp;LEN(A172)))),1))," ",REPT(" ",LEN(A172))),LEN(A172)))),ROW(INDIRECT("1:"&amp;LEN((--TRIM(RIGHT(SUBSTITUTE(LEFT(A172,_xlfn.AGGREGATE(16,6,FIND({0,1,2,3,4,5,6,7,8,9},A172,ROW(INDIRECT("1:"&amp;LEN(A172)))),1))," ",REPT(" ",LEN(A172))),LEN(A172))))))),1))*ROW(INDIRECT("1:"&amp;LEN((--TRIM(RIGHT(SUBSTITUTE(LEFT(A172,_xlfn.AGGREGATE(16,6,FIND({0,1,2,3,4,5,6,7,8,9},A172,ROW(INDIRECT("1:"&amp;LEN(A172)))),1))," ",REPT(" ",LEN(A172))),LEN(A172))))))),0),ROW(INDIRECT("1:"&amp;LEN((--TRIM(RIGHT(SUBSTITUTE(LEFT(A172,_xlfn.AGGREGATE(16,6,FIND({0,1,2,3,4,5,6,7,8,9},A172,ROW(INDIRECT("1:"&amp;LEN(A172)))),1))," ",REPT(" ",LEN(A172))),LEN(A172))))))))+1,1)*10^ROW(INDIRECT("1:"&amp;LEN((--TRIM(RIGHT(SUBSTITUTE(LEFT(A172,_xlfn.AGGREGATE(16,6,FIND({0,1,2,3,4,5,6,7,8,9},A172,ROW(INDIRECT("1:"&amp;LEN(A172)))),1))," ",REPT(" ",LEN(A172))),LEN(A172)))))))/10))*100+1</f>
        <v>501</v>
      </c>
    </row>
    <row r="174" spans="1:16" s="23" customFormat="1">
      <c r="A174" s="143">
        <f t="shared" si="40"/>
        <v>7</v>
      </c>
      <c r="B174" s="144"/>
      <c r="C174" s="46" t="s">
        <v>176</v>
      </c>
      <c r="D174" s="59">
        <f t="shared" si="37"/>
        <v>399.37130999999999</v>
      </c>
      <c r="E174" s="46">
        <v>0</v>
      </c>
      <c r="F174" s="46">
        <f t="shared" si="38"/>
        <v>599.05696499999999</v>
      </c>
      <c r="G174" s="175"/>
      <c r="H174" s="176"/>
      <c r="I174" s="58"/>
      <c r="N174" s="23" t="e">
        <f t="shared" ca="1" si="36"/>
        <v>#REF!</v>
      </c>
      <c r="O174" s="23" t="e">
        <f t="shared" ref="O174:P174" ca="1" si="44">O173+1</f>
        <v>#REF!</v>
      </c>
      <c r="P174" s="23">
        <f t="shared" ca="1" si="44"/>
        <v>502</v>
      </c>
    </row>
    <row r="175" spans="1:16" s="23" customFormat="1">
      <c r="A175" s="143">
        <f t="shared" si="40"/>
        <v>8</v>
      </c>
      <c r="B175" s="144"/>
      <c r="C175" s="46" t="s">
        <v>176</v>
      </c>
      <c r="D175" s="59">
        <f t="shared" si="37"/>
        <v>399.37130999999999</v>
      </c>
      <c r="E175" s="46">
        <v>0</v>
      </c>
      <c r="F175" s="46">
        <f t="shared" si="38"/>
        <v>599.05696499999999</v>
      </c>
      <c r="G175" s="175"/>
      <c r="H175" s="176"/>
      <c r="I175" s="58"/>
      <c r="N175" s="23" t="e">
        <f t="shared" ca="1" si="36"/>
        <v>#REF!</v>
      </c>
      <c r="O175" s="23" t="e">
        <f t="shared" ref="O175:P175" ca="1" si="45">O174+1</f>
        <v>#REF!</v>
      </c>
      <c r="P175" s="23">
        <f t="shared" ca="1" si="45"/>
        <v>503</v>
      </c>
    </row>
    <row r="176" spans="1:16" s="23" customFormat="1">
      <c r="A176" s="143">
        <f t="shared" si="40"/>
        <v>9</v>
      </c>
      <c r="B176" s="144"/>
      <c r="C176" s="46" t="s">
        <v>176</v>
      </c>
      <c r="D176" s="59">
        <f t="shared" si="37"/>
        <v>399.37130999999999</v>
      </c>
      <c r="E176" s="46">
        <v>0</v>
      </c>
      <c r="F176" s="46">
        <f t="shared" si="38"/>
        <v>599.05696499999999</v>
      </c>
      <c r="G176" s="175"/>
      <c r="H176" s="176"/>
      <c r="I176" s="61"/>
      <c r="N176" s="23" t="e">
        <f t="shared" ca="1" si="36"/>
        <v>#REF!</v>
      </c>
      <c r="O176" s="23" t="e">
        <f t="shared" ref="O176:P176" ca="1" si="46">O175+1</f>
        <v>#REF!</v>
      </c>
      <c r="P176" s="23">
        <f t="shared" ca="1" si="46"/>
        <v>504</v>
      </c>
    </row>
    <row r="177" spans="1:16" s="23" customFormat="1">
      <c r="A177" s="143">
        <f t="shared" ref="A177:A178" si="47">A176+1</f>
        <v>10</v>
      </c>
      <c r="B177" s="144"/>
      <c r="C177" s="46" t="s">
        <v>177</v>
      </c>
      <c r="D177" s="59">
        <f>(4.1*3.1+2.75*2.1+2.75*3.35+2.75*3.65+2.1*1.2+1.2*2.1+3*0.9+2.25*1.25+(0.75*(2.75*2.75+1.2)))*(10.764)</f>
        <v>590.50631250000004</v>
      </c>
      <c r="E177" s="46">
        <v>0</v>
      </c>
      <c r="F177" s="46">
        <f t="shared" si="38"/>
        <v>885.75946875</v>
      </c>
      <c r="G177" s="175"/>
      <c r="H177" s="176"/>
      <c r="I177" s="58"/>
      <c r="N177" s="23" t="e">
        <f t="shared" ref="N177" ca="1" si="48">O177&amp;""&amp;" to "&amp;""&amp;P177</f>
        <v>#REF!</v>
      </c>
      <c r="O177" s="23" t="e">
        <f t="shared" ref="O177:P178" ca="1" si="49">O175+1</f>
        <v>#REF!</v>
      </c>
      <c r="P177" s="23">
        <f t="shared" ca="1" si="49"/>
        <v>504</v>
      </c>
    </row>
    <row r="178" spans="1:16" s="23" customFormat="1">
      <c r="A178" s="143">
        <f t="shared" si="47"/>
        <v>11</v>
      </c>
      <c r="B178" s="144"/>
      <c r="C178" s="46" t="s">
        <v>177</v>
      </c>
      <c r="D178" s="59">
        <f>(4.1*3.1+2.75*2.1+2.75*3.35+2.75*3.65+2.1*1.2+1.2*2.1+3*0.9+2.25*1.25+(0.75*(2.75*2.75+1.2)))*(10.764)</f>
        <v>590.50631250000004</v>
      </c>
      <c r="E178" s="46">
        <v>0</v>
      </c>
      <c r="F178" s="46">
        <f t="shared" si="38"/>
        <v>885.75946875</v>
      </c>
      <c r="G178" s="177"/>
      <c r="H178" s="178"/>
      <c r="I178" s="58"/>
      <c r="N178" s="23" t="e">
        <f t="shared" ca="1" si="36"/>
        <v>#REF!</v>
      </c>
      <c r="O178" s="23" t="e">
        <f t="shared" ca="1" si="49"/>
        <v>#REF!</v>
      </c>
      <c r="P178" s="23">
        <f t="shared" ca="1" si="49"/>
        <v>505</v>
      </c>
    </row>
    <row r="179" spans="1:16" s="23" customFormat="1">
      <c r="A179" s="153" t="s">
        <v>183</v>
      </c>
      <c r="B179" s="153"/>
      <c r="C179" s="153"/>
      <c r="D179" s="153"/>
      <c r="E179" s="153"/>
      <c r="F179" s="153"/>
      <c r="G179" s="153"/>
      <c r="H179" s="153"/>
      <c r="I179" s="58"/>
    </row>
    <row r="180" spans="1:16" s="23" customFormat="1" ht="15.75" customHeight="1">
      <c r="A180" s="155">
        <v>1</v>
      </c>
      <c r="B180" s="155"/>
      <c r="C180" s="66" t="s">
        <v>176</v>
      </c>
      <c r="D180" s="59">
        <f t="shared" ref="D180" si="50">(3.95*3.1+2.75*2.1+2.75*3.35+1.55*0.9+1.2*1.2+1.4*0.9+2.25*1.25+0.75*2.75+0.75*1.2)*(10.764)</f>
        <v>399.37130999999999</v>
      </c>
      <c r="E180" s="66">
        <v>0</v>
      </c>
      <c r="F180" s="66">
        <f>D180*(($F$127)+1)+(IF(E180&lt;101,E180,IF(E180&lt;201,E180/2,IF(E180&lt;=301,E180/3,E180/4))))</f>
        <v>599.05696499999999</v>
      </c>
      <c r="G180" s="155" t="str">
        <f>A179</f>
        <v>10th Floor (Part Terrace Area)</v>
      </c>
      <c r="H180" s="155"/>
      <c r="I180" s="58"/>
      <c r="N180" s="23" t="str">
        <f t="shared" ref="N180:N190" ca="1" si="51">O180&amp;""&amp;" to "&amp;""&amp;P180</f>
        <v>1001 to 1001</v>
      </c>
      <c r="O180" s="23">
        <f ca="1">(SUMPRODUCT(MID(0&amp;(LEFT(A179,SUM(LEN(A179)-LEN(SUBSTITUTE(A179,{"0","1","2"},""))))),LARGE(INDEX(ISNUMBER(--MID((LEFT(A179,SUM(LEN(A179)-LEN(SUBSTITUTE(A179,{"0","1","2"},""))))),ROW(INDIRECT("1:"&amp;LEN((LEFT(A179,SUM(LEN(A179)-LEN(SUBSTITUTE(A179,{"0","1","2"},"")))))))),1))*ROW(INDIRECT("1:"&amp;LEN((LEFT(A179,SUM(LEN(A179)-LEN(SUBSTITUTE(A179,{"0","1","2"},"")))))))),0),ROW(INDIRECT("1:"&amp;LEN((LEFT(A179,SUM(LEN(A179)-LEN(SUBSTITUTE(A179,{"0","1","2"},"")))))))))+1,1)*10^ROW(INDIRECT("1:"&amp;LEN((LEFT(A179,SUM(LEN(A179)-LEN(SUBSTITUTE(A179,{"0","1","2"},""))))))))/10))*100+1</f>
        <v>1001</v>
      </c>
      <c r="P180" s="23">
        <f ca="1">(SUMPRODUCT(MID(0&amp;(--TRIM(RIGHT(SUBSTITUTE(LEFT(A179,_xlfn.AGGREGATE(16,6,FIND({0,1,2,3,4,5,6,7,8,9},A179,ROW(INDIRECT("1:"&amp;LEN(A179)))),1))," ",REPT(" ",LEN(A179))),LEN(A179)))),LARGE(INDEX(ISNUMBER(--MID((--TRIM(RIGHT(SUBSTITUTE(LEFT(A179,_xlfn.AGGREGATE(16,6,FIND({0,1,2,3,4,5,6,7,8,9},A179,ROW(INDIRECT("1:"&amp;LEN(A179)))),1))," ",REPT(" ",LEN(A179))),LEN(A179)))),ROW(INDIRECT("1:"&amp;LEN((--TRIM(RIGHT(SUBSTITUTE(LEFT(A179,_xlfn.AGGREGATE(16,6,FIND({0,1,2,3,4,5,6,7,8,9},A179,ROW(INDIRECT("1:"&amp;LEN(A179)))),1))," ",REPT(" ",LEN(A179))),LEN(A179))))))),1))*ROW(INDIRECT("1:"&amp;LEN((--TRIM(RIGHT(SUBSTITUTE(LEFT(A179,_xlfn.AGGREGATE(16,6,FIND({0,1,2,3,4,5,6,7,8,9},A179,ROW(INDIRECT("1:"&amp;LEN(A179)))),1))," ",REPT(" ",LEN(A179))),LEN(A179))))))),0),ROW(INDIRECT("1:"&amp;LEN((--TRIM(RIGHT(SUBSTITUTE(LEFT(A179,_xlfn.AGGREGATE(16,6,FIND({0,1,2,3,4,5,6,7,8,9},A179,ROW(INDIRECT("1:"&amp;LEN(A179)))),1))," ",REPT(" ",LEN(A179))),LEN(A179))))))))+1,1)*10^ROW(INDIRECT("1:"&amp;LEN((--TRIM(RIGHT(SUBSTITUTE(LEFT(A179,_xlfn.AGGREGATE(16,6,FIND({0,1,2,3,4,5,6,7,8,9},A179,ROW(INDIRECT("1:"&amp;LEN(A179)))),1))," ",REPT(" ",LEN(A179))),LEN(A179)))))))/10))*100+1</f>
        <v>1001</v>
      </c>
    </row>
    <row r="181" spans="1:16" s="23" customFormat="1" ht="15.75" customHeight="1">
      <c r="A181" s="155">
        <f>A180+1</f>
        <v>2</v>
      </c>
      <c r="B181" s="155"/>
      <c r="C181" s="155" t="s">
        <v>184</v>
      </c>
      <c r="D181" s="155"/>
      <c r="E181" s="155"/>
      <c r="F181" s="155"/>
      <c r="G181" s="155"/>
      <c r="H181" s="155"/>
      <c r="I181" s="58"/>
      <c r="N181" s="23" t="str">
        <f t="shared" ca="1" si="51"/>
        <v>1002 to 1002</v>
      </c>
      <c r="O181" s="23">
        <f t="shared" ref="O181:P181" ca="1" si="52">O180+1</f>
        <v>1002</v>
      </c>
      <c r="P181" s="23">
        <f t="shared" ca="1" si="52"/>
        <v>1002</v>
      </c>
    </row>
    <row r="182" spans="1:16" s="23" customFormat="1" ht="15.75" customHeight="1">
      <c r="A182" s="155">
        <f t="shared" ref="A182:A188" si="53">A181+1</f>
        <v>3</v>
      </c>
      <c r="B182" s="155"/>
      <c r="C182" s="155"/>
      <c r="D182" s="155"/>
      <c r="E182" s="155"/>
      <c r="F182" s="155"/>
      <c r="G182" s="155"/>
      <c r="H182" s="155"/>
      <c r="I182" s="58"/>
      <c r="N182" s="23" t="str">
        <f t="shared" ca="1" si="51"/>
        <v>1003 to 1003</v>
      </c>
      <c r="O182" s="23">
        <f t="shared" ref="O182:P182" ca="1" si="54">O181+1</f>
        <v>1003</v>
      </c>
      <c r="P182" s="23">
        <f t="shared" ca="1" si="54"/>
        <v>1003</v>
      </c>
    </row>
    <row r="183" spans="1:16" s="23" customFormat="1" ht="15.75" customHeight="1">
      <c r="A183" s="155">
        <f t="shared" si="53"/>
        <v>4</v>
      </c>
      <c r="B183" s="155"/>
      <c r="C183" s="155"/>
      <c r="D183" s="155"/>
      <c r="E183" s="155"/>
      <c r="F183" s="155"/>
      <c r="G183" s="155"/>
      <c r="H183" s="155"/>
      <c r="I183" s="61"/>
      <c r="N183" s="23" t="str">
        <f t="shared" ca="1" si="51"/>
        <v>1004 to 1004</v>
      </c>
      <c r="O183" s="23">
        <f t="shared" ref="O183:P183" ca="1" si="55">O182+1</f>
        <v>1004</v>
      </c>
      <c r="P183" s="23">
        <f t="shared" ca="1" si="55"/>
        <v>1004</v>
      </c>
    </row>
    <row r="184" spans="1:16" s="23" customFormat="1" ht="15.75" customHeight="1">
      <c r="A184" s="155">
        <f t="shared" si="53"/>
        <v>5</v>
      </c>
      <c r="B184" s="155"/>
      <c r="C184" s="155"/>
      <c r="D184" s="155"/>
      <c r="E184" s="155"/>
      <c r="F184" s="155"/>
      <c r="G184" s="155"/>
      <c r="H184" s="155"/>
      <c r="I184" s="58"/>
      <c r="N184" s="23" t="str">
        <f t="shared" ca="1" si="51"/>
        <v>1005 to 1005</v>
      </c>
      <c r="O184" s="23">
        <f t="shared" ref="O184:P184" ca="1" si="56">O183+1</f>
        <v>1005</v>
      </c>
      <c r="P184" s="23">
        <f t="shared" ca="1" si="56"/>
        <v>1005</v>
      </c>
    </row>
    <row r="185" spans="1:16" s="23" customFormat="1">
      <c r="A185" s="155">
        <f t="shared" si="53"/>
        <v>6</v>
      </c>
      <c r="B185" s="155"/>
      <c r="C185" s="66" t="s">
        <v>176</v>
      </c>
      <c r="D185" s="59">
        <f t="shared" ref="D185:D188" si="57">(3.95*3.1+2.75*2.1+2.75*3.35+1.55*0.9+1.2*1.2+1.4*0.9+2.25*1.25+0.75*2.75+0.75*1.2)*(10.764)</f>
        <v>399.37130999999999</v>
      </c>
      <c r="E185" s="66">
        <v>0</v>
      </c>
      <c r="F185" s="66">
        <f t="shared" ref="F185:F190" si="58">D185*(($F$127)+1)+(IF(E185&lt;101,E185,IF(E185&lt;201,E185/2,IF(E185&lt;=301,E185/3,E185/4))))</f>
        <v>599.05696499999999</v>
      </c>
      <c r="G185" s="155"/>
      <c r="H185" s="155"/>
      <c r="I185" s="58"/>
      <c r="N185" s="23" t="e">
        <f t="shared" ca="1" si="51"/>
        <v>#REF!</v>
      </c>
      <c r="O185" s="23" t="e">
        <f ca="1">(SUMPRODUCT(MID(0&amp;(LEFT(A184,SUM(LEN(A184)-LEN(SUBSTITUTE(A184,{"0","1","2"},""))))),LARGE(INDEX(ISNUMBER(--MID((LEFT(A184,SUM(LEN(A184)-LEN(SUBSTITUTE(A184,{"0","1","2"},""))))),ROW(INDIRECT("1:"&amp;LEN((LEFT(A184,SUM(LEN(A184)-LEN(SUBSTITUTE(A184,{"0","1","2"},"")))))))),1))*ROW(INDIRECT("1:"&amp;LEN((LEFT(A184,SUM(LEN(A184)-LEN(SUBSTITUTE(A184,{"0","1","2"},"")))))))),0),ROW(INDIRECT("1:"&amp;LEN((LEFT(A184,SUM(LEN(A184)-LEN(SUBSTITUTE(A184,{"0","1","2"},"")))))))))+1,1)*10^ROW(INDIRECT("1:"&amp;LEN((LEFT(A184,SUM(LEN(A184)-LEN(SUBSTITUTE(A184,{"0","1","2"},""))))))))/10))*100+1</f>
        <v>#REF!</v>
      </c>
      <c r="P185" s="23">
        <f ca="1">(SUMPRODUCT(MID(0&amp;(--TRIM(RIGHT(SUBSTITUTE(LEFT(A184,_xlfn.AGGREGATE(16,6,FIND({0,1,2,3,4,5,6,7,8,9},A184,ROW(INDIRECT("1:"&amp;LEN(A184)))),1))," ",REPT(" ",LEN(A184))),LEN(A184)))),LARGE(INDEX(ISNUMBER(--MID((--TRIM(RIGHT(SUBSTITUTE(LEFT(A184,_xlfn.AGGREGATE(16,6,FIND({0,1,2,3,4,5,6,7,8,9},A184,ROW(INDIRECT("1:"&amp;LEN(A184)))),1))," ",REPT(" ",LEN(A184))),LEN(A184)))),ROW(INDIRECT("1:"&amp;LEN((--TRIM(RIGHT(SUBSTITUTE(LEFT(A184,_xlfn.AGGREGATE(16,6,FIND({0,1,2,3,4,5,6,7,8,9},A184,ROW(INDIRECT("1:"&amp;LEN(A184)))),1))," ",REPT(" ",LEN(A184))),LEN(A184))))))),1))*ROW(INDIRECT("1:"&amp;LEN((--TRIM(RIGHT(SUBSTITUTE(LEFT(A184,_xlfn.AGGREGATE(16,6,FIND({0,1,2,3,4,5,6,7,8,9},A184,ROW(INDIRECT("1:"&amp;LEN(A184)))),1))," ",REPT(" ",LEN(A184))),LEN(A184))))))),0),ROW(INDIRECT("1:"&amp;LEN((--TRIM(RIGHT(SUBSTITUTE(LEFT(A184,_xlfn.AGGREGATE(16,6,FIND({0,1,2,3,4,5,6,7,8,9},A184,ROW(INDIRECT("1:"&amp;LEN(A184)))),1))," ",REPT(" ",LEN(A184))),LEN(A184))))))))+1,1)*10^ROW(INDIRECT("1:"&amp;LEN((--TRIM(RIGHT(SUBSTITUTE(LEFT(A184,_xlfn.AGGREGATE(16,6,FIND({0,1,2,3,4,5,6,7,8,9},A184,ROW(INDIRECT("1:"&amp;LEN(A184)))),1))," ",REPT(" ",LEN(A184))),LEN(A184)))))))/10))*100+1</f>
        <v>501</v>
      </c>
    </row>
    <row r="186" spans="1:16" s="23" customFormat="1">
      <c r="A186" s="155">
        <f t="shared" si="53"/>
        <v>7</v>
      </c>
      <c r="B186" s="155"/>
      <c r="C186" s="66" t="s">
        <v>176</v>
      </c>
      <c r="D186" s="59">
        <f t="shared" si="57"/>
        <v>399.37130999999999</v>
      </c>
      <c r="E186" s="66">
        <v>0</v>
      </c>
      <c r="F186" s="66">
        <f t="shared" si="58"/>
        <v>599.05696499999999</v>
      </c>
      <c r="G186" s="155"/>
      <c r="H186" s="155"/>
      <c r="I186" s="58"/>
      <c r="N186" s="23" t="e">
        <f t="shared" ca="1" si="51"/>
        <v>#REF!</v>
      </c>
      <c r="O186" s="23" t="e">
        <f t="shared" ref="O186:P186" ca="1" si="59">O185+1</f>
        <v>#REF!</v>
      </c>
      <c r="P186" s="23">
        <f t="shared" ca="1" si="59"/>
        <v>502</v>
      </c>
    </row>
    <row r="187" spans="1:16" s="23" customFormat="1">
      <c r="A187" s="155">
        <f t="shared" si="53"/>
        <v>8</v>
      </c>
      <c r="B187" s="155"/>
      <c r="C187" s="66" t="s">
        <v>176</v>
      </c>
      <c r="D187" s="59">
        <f t="shared" si="57"/>
        <v>399.37130999999999</v>
      </c>
      <c r="E187" s="66">
        <v>0</v>
      </c>
      <c r="F187" s="66">
        <f t="shared" si="58"/>
        <v>599.05696499999999</v>
      </c>
      <c r="G187" s="155"/>
      <c r="H187" s="155"/>
      <c r="I187" s="58"/>
      <c r="N187" s="23" t="e">
        <f t="shared" ca="1" si="51"/>
        <v>#REF!</v>
      </c>
      <c r="O187" s="23" t="e">
        <f t="shared" ref="O187:P187" ca="1" si="60">O186+1</f>
        <v>#REF!</v>
      </c>
      <c r="P187" s="23">
        <f t="shared" ca="1" si="60"/>
        <v>503</v>
      </c>
    </row>
    <row r="188" spans="1:16" s="23" customFormat="1">
      <c r="A188" s="155">
        <f t="shared" si="53"/>
        <v>9</v>
      </c>
      <c r="B188" s="155"/>
      <c r="C188" s="66" t="s">
        <v>176</v>
      </c>
      <c r="D188" s="59">
        <f t="shared" si="57"/>
        <v>399.37130999999999</v>
      </c>
      <c r="E188" s="66">
        <v>0</v>
      </c>
      <c r="F188" s="66">
        <f t="shared" si="58"/>
        <v>599.05696499999999</v>
      </c>
      <c r="G188" s="155"/>
      <c r="H188" s="155"/>
      <c r="I188" s="61"/>
      <c r="N188" s="23" t="e">
        <f t="shared" ca="1" si="51"/>
        <v>#REF!</v>
      </c>
      <c r="O188" s="23" t="e">
        <f t="shared" ref="O188:P188" ca="1" si="61">O187+1</f>
        <v>#REF!</v>
      </c>
      <c r="P188" s="23">
        <f t="shared" ca="1" si="61"/>
        <v>504</v>
      </c>
    </row>
    <row r="189" spans="1:16" s="23" customFormat="1">
      <c r="A189" s="155">
        <f t="shared" ref="A189:A190" si="62">A188+1</f>
        <v>10</v>
      </c>
      <c r="B189" s="155"/>
      <c r="C189" s="66" t="s">
        <v>177</v>
      </c>
      <c r="D189" s="59">
        <f>(4.1*3.1+2.75*2.1+2.75*3.35+2.75*3.65+2.1*1.2+1.2*2.1+3*0.9+2.25*1.25+(0.75*(2.75*2.75+1.2)))*(10.764)</f>
        <v>590.50631250000004</v>
      </c>
      <c r="E189" s="66">
        <v>0</v>
      </c>
      <c r="F189" s="66">
        <f t="shared" si="58"/>
        <v>885.75946875</v>
      </c>
      <c r="G189" s="155"/>
      <c r="H189" s="155"/>
      <c r="I189" s="58"/>
      <c r="N189" s="23" t="e">
        <f t="shared" ref="N189" ca="1" si="63">O189&amp;""&amp;" to "&amp;""&amp;P189</f>
        <v>#REF!</v>
      </c>
      <c r="O189" s="23" t="e">
        <f t="shared" ref="O189:P190" ca="1" si="64">O187+1</f>
        <v>#REF!</v>
      </c>
      <c r="P189" s="23">
        <f t="shared" ca="1" si="64"/>
        <v>504</v>
      </c>
    </row>
    <row r="190" spans="1:16" s="23" customFormat="1">
      <c r="A190" s="155">
        <f t="shared" si="62"/>
        <v>11</v>
      </c>
      <c r="B190" s="155"/>
      <c r="C190" s="66" t="s">
        <v>177</v>
      </c>
      <c r="D190" s="59">
        <f>(4.1*3.1+2.75*2.1+2.75*3.35+2.75*3.65+2.1*1.2+1.2*2.1+3*0.9+2.25*1.25+(0.75*(2.75*2.75+1.2)))*(10.764)</f>
        <v>590.50631250000004</v>
      </c>
      <c r="E190" s="66">
        <v>0</v>
      </c>
      <c r="F190" s="66">
        <f t="shared" si="58"/>
        <v>885.75946875</v>
      </c>
      <c r="G190" s="155"/>
      <c r="H190" s="155"/>
      <c r="I190" s="58"/>
      <c r="N190" s="23" t="e">
        <f t="shared" ca="1" si="51"/>
        <v>#REF!</v>
      </c>
      <c r="O190" s="23" t="e">
        <f t="shared" ca="1" si="64"/>
        <v>#REF!</v>
      </c>
      <c r="P190" s="23">
        <f t="shared" ca="1" si="64"/>
        <v>505</v>
      </c>
    </row>
    <row r="191" spans="1:16" s="22" customFormat="1">
      <c r="A191" s="161" t="s">
        <v>185</v>
      </c>
      <c r="B191" s="161"/>
      <c r="C191" s="161"/>
      <c r="D191" s="161"/>
      <c r="E191" s="161"/>
      <c r="F191" s="161"/>
      <c r="G191" s="161"/>
      <c r="H191" s="161"/>
    </row>
    <row r="192" spans="1:16" s="22" customFormat="1">
      <c r="A192" s="67">
        <v>1</v>
      </c>
      <c r="B192" s="188" t="s">
        <v>186</v>
      </c>
      <c r="C192" s="188"/>
      <c r="D192" s="188"/>
      <c r="E192" s="188"/>
      <c r="F192" s="188"/>
      <c r="G192" s="188"/>
      <c r="H192" s="188"/>
    </row>
    <row r="193" spans="1:11" s="22" customFormat="1">
      <c r="A193" s="67">
        <f t="shared" ref="A193:A197" si="65">A192+1</f>
        <v>2</v>
      </c>
      <c r="B193" s="188" t="str">
        <f>(IF(F126="Saleable area Loading :","We have considered Saleable area of Flats as per our Calculation.","We considered Saleable area of Flat as per Builder area Sheet."))</f>
        <v>We have considered Saleable area of Flats as per our Calculation.</v>
      </c>
      <c r="C193" s="188"/>
      <c r="D193" s="188"/>
      <c r="E193" s="188"/>
      <c r="F193" s="188"/>
      <c r="G193" s="188"/>
      <c r="H193" s="188"/>
    </row>
    <row r="194" spans="1:11" s="22" customFormat="1">
      <c r="A194" s="43">
        <f t="shared" si="65"/>
        <v>3</v>
      </c>
      <c r="B194" s="163" t="s">
        <v>187</v>
      </c>
      <c r="C194" s="164"/>
      <c r="D194" s="164"/>
      <c r="E194" s="164"/>
      <c r="F194" s="164"/>
      <c r="G194" s="164"/>
      <c r="H194" s="165"/>
    </row>
    <row r="195" spans="1:11" s="22" customFormat="1">
      <c r="A195" s="43">
        <f t="shared" si="65"/>
        <v>4</v>
      </c>
      <c r="B195" s="163" t="s">
        <v>188</v>
      </c>
      <c r="C195" s="164"/>
      <c r="D195" s="164"/>
      <c r="E195" s="164"/>
      <c r="F195" s="164"/>
      <c r="G195" s="164"/>
      <c r="H195" s="165"/>
    </row>
    <row r="196" spans="1:11" s="22" customFormat="1">
      <c r="A196" s="43">
        <f t="shared" si="65"/>
        <v>5</v>
      </c>
      <c r="B196" s="163" t="s">
        <v>189</v>
      </c>
      <c r="C196" s="164"/>
      <c r="D196" s="164"/>
      <c r="E196" s="164"/>
      <c r="F196" s="164"/>
      <c r="G196" s="164"/>
      <c r="H196" s="165"/>
    </row>
    <row r="197" spans="1:11" s="22" customFormat="1">
      <c r="A197" s="43">
        <f t="shared" si="65"/>
        <v>6</v>
      </c>
      <c r="B197" s="163" t="s">
        <v>190</v>
      </c>
      <c r="C197" s="164"/>
      <c r="D197" s="164"/>
      <c r="E197" s="164"/>
      <c r="F197" s="164"/>
      <c r="G197" s="164"/>
      <c r="H197" s="165"/>
    </row>
    <row r="198" spans="1:11">
      <c r="A198" s="105" t="s">
        <v>191</v>
      </c>
      <c r="B198" s="105"/>
      <c r="C198" s="105"/>
      <c r="D198" s="105"/>
      <c r="E198" s="105"/>
      <c r="F198" s="105"/>
      <c r="G198" s="105"/>
      <c r="H198" s="105"/>
    </row>
    <row r="199" spans="1:11">
      <c r="A199" s="73" t="s">
        <v>192</v>
      </c>
      <c r="B199" s="73"/>
      <c r="C199" s="73"/>
      <c r="D199" s="73"/>
      <c r="E199" s="73"/>
      <c r="F199" s="73"/>
      <c r="G199" s="73"/>
      <c r="H199" s="73"/>
    </row>
    <row r="200" spans="1:11" ht="15.75" customHeight="1">
      <c r="A200" s="166" t="s">
        <v>193</v>
      </c>
      <c r="B200" s="166"/>
      <c r="C200" s="166"/>
      <c r="D200" s="166"/>
      <c r="E200" s="166"/>
      <c r="F200" s="166"/>
      <c r="G200" s="166"/>
      <c r="H200" s="166"/>
    </row>
    <row r="201" spans="1:11">
      <c r="A201" s="73" t="s">
        <v>194</v>
      </c>
      <c r="B201" s="73"/>
      <c r="C201" s="73"/>
      <c r="D201" s="73"/>
      <c r="E201" s="73"/>
      <c r="F201" s="73"/>
      <c r="G201" s="73"/>
      <c r="H201" s="73"/>
    </row>
    <row r="202" spans="1:11">
      <c r="A202" s="73" t="s">
        <v>195</v>
      </c>
      <c r="B202" s="73"/>
      <c r="C202" s="73"/>
      <c r="D202" s="73"/>
      <c r="E202" s="73"/>
      <c r="F202" s="73"/>
      <c r="G202" s="73"/>
      <c r="H202" s="73"/>
    </row>
    <row r="203" spans="1:11">
      <c r="A203" s="73" t="s">
        <v>196</v>
      </c>
      <c r="B203" s="73"/>
      <c r="C203" s="73"/>
      <c r="D203" s="73"/>
      <c r="E203" s="73"/>
      <c r="F203" s="73"/>
      <c r="G203" s="73"/>
      <c r="H203" s="73"/>
    </row>
    <row r="204" spans="1:11" ht="35.25" customHeight="1">
      <c r="A204" s="78" t="s">
        <v>197</v>
      </c>
      <c r="B204" s="78"/>
      <c r="C204" s="78"/>
      <c r="D204" s="78"/>
      <c r="E204" s="78"/>
      <c r="F204" s="78"/>
      <c r="G204" s="78"/>
      <c r="H204" s="78"/>
    </row>
    <row r="205" spans="1:11">
      <c r="A205" s="162" t="s">
        <v>198</v>
      </c>
      <c r="B205" s="162"/>
      <c r="C205" s="162" t="s">
        <v>199</v>
      </c>
      <c r="D205" s="162"/>
      <c r="E205" s="162" t="s">
        <v>200</v>
      </c>
      <c r="F205" s="162"/>
      <c r="G205" s="162" t="s">
        <v>242</v>
      </c>
      <c r="H205" s="162"/>
      <c r="K205" s="65"/>
    </row>
    <row r="206" spans="1:11">
      <c r="A206" s="168" t="s">
        <v>201</v>
      </c>
      <c r="B206" s="168"/>
      <c r="C206" s="168"/>
      <c r="D206" s="168"/>
      <c r="E206" s="168"/>
      <c r="F206" s="168"/>
      <c r="G206" s="168"/>
      <c r="H206" s="168"/>
    </row>
    <row r="207" spans="1:11">
      <c r="A207" s="168"/>
      <c r="B207" s="168"/>
      <c r="C207" s="168"/>
      <c r="D207" s="168"/>
      <c r="E207" s="168"/>
      <c r="F207" s="168"/>
      <c r="G207" s="168"/>
      <c r="H207" s="168"/>
    </row>
    <row r="208" spans="1:11">
      <c r="A208" s="168"/>
      <c r="B208" s="168"/>
      <c r="C208" s="168"/>
      <c r="D208" s="168"/>
      <c r="E208" s="168"/>
      <c r="F208" s="168"/>
      <c r="G208" s="168"/>
      <c r="H208" s="168"/>
    </row>
    <row r="209" spans="1:8">
      <c r="A209" s="168"/>
      <c r="B209" s="168"/>
      <c r="C209" s="168"/>
      <c r="D209" s="168"/>
      <c r="E209" s="168"/>
      <c r="F209" s="168"/>
      <c r="G209" s="168"/>
      <c r="H209" s="168"/>
    </row>
    <row r="210" spans="1:8">
      <c r="A210" s="62" t="s">
        <v>202</v>
      </c>
      <c r="B210" s="63"/>
      <c r="C210" s="63"/>
      <c r="D210" s="62" t="str">
        <f>E8</f>
        <v>Arihant Anant Phase II</v>
      </c>
      <c r="F210" s="63"/>
      <c r="G210" s="63"/>
      <c r="H210" s="63"/>
    </row>
    <row r="211" spans="1:8">
      <c r="A211" s="63"/>
      <c r="B211" s="63"/>
      <c r="C211" s="63"/>
      <c r="D211" s="63"/>
      <c r="E211" s="63"/>
      <c r="F211" s="63"/>
      <c r="G211" s="63"/>
      <c r="H211" s="63"/>
    </row>
    <row r="212" spans="1:8">
      <c r="A212" s="63"/>
      <c r="B212" s="63"/>
      <c r="C212" s="63"/>
      <c r="D212" s="63"/>
      <c r="E212" s="63"/>
      <c r="F212" s="63"/>
      <c r="G212" s="63"/>
      <c r="H212" s="63"/>
    </row>
    <row r="213" spans="1:8" ht="15" customHeight="1"/>
    <row r="254" spans="1:1">
      <c r="A254" s="64" t="s">
        <v>203</v>
      </c>
    </row>
  </sheetData>
  <mergeCells count="353">
    <mergeCell ref="A125:H125"/>
    <mergeCell ref="A122:B122"/>
    <mergeCell ref="G122:H122"/>
    <mergeCell ref="A20:D21"/>
    <mergeCell ref="E20:H21"/>
    <mergeCell ref="A206:H209"/>
    <mergeCell ref="G117:H118"/>
    <mergeCell ref="G132:H141"/>
    <mergeCell ref="G143:H152"/>
    <mergeCell ref="G126:H127"/>
    <mergeCell ref="E65:F74"/>
    <mergeCell ref="G65:H74"/>
    <mergeCell ref="E79:F88"/>
    <mergeCell ref="G79:H88"/>
    <mergeCell ref="G180:H190"/>
    <mergeCell ref="G168:H178"/>
    <mergeCell ref="G156:H166"/>
    <mergeCell ref="C181:F184"/>
    <mergeCell ref="A55:C56"/>
    <mergeCell ref="A48:B49"/>
    <mergeCell ref="A202:H202"/>
    <mergeCell ref="A203:H203"/>
    <mergeCell ref="A204:H204"/>
    <mergeCell ref="A205:B205"/>
    <mergeCell ref="B193:H193"/>
    <mergeCell ref="B194:H194"/>
    <mergeCell ref="B195:H195"/>
    <mergeCell ref="B196:H196"/>
    <mergeCell ref="B197:H197"/>
    <mergeCell ref="A198:H198"/>
    <mergeCell ref="A199:H199"/>
    <mergeCell ref="A200:H200"/>
    <mergeCell ref="A201:H201"/>
    <mergeCell ref="C205:D205"/>
    <mergeCell ref="E205:F205"/>
    <mergeCell ref="G205:H205"/>
    <mergeCell ref="A184:B184"/>
    <mergeCell ref="A185:B185"/>
    <mergeCell ref="A186:B186"/>
    <mergeCell ref="A187:B187"/>
    <mergeCell ref="A188:B188"/>
    <mergeCell ref="A189:B189"/>
    <mergeCell ref="A190:B190"/>
    <mergeCell ref="A191:H191"/>
    <mergeCell ref="B192:H192"/>
    <mergeCell ref="A175:B175"/>
    <mergeCell ref="A176:B176"/>
    <mergeCell ref="A177:B177"/>
    <mergeCell ref="A178:B178"/>
    <mergeCell ref="A179:H179"/>
    <mergeCell ref="A180:B180"/>
    <mergeCell ref="A181:B181"/>
    <mergeCell ref="A182:B182"/>
    <mergeCell ref="A183:B183"/>
    <mergeCell ref="A167:H167"/>
    <mergeCell ref="A168:B168"/>
    <mergeCell ref="D168:F168"/>
    <mergeCell ref="A169:B169"/>
    <mergeCell ref="A170:B170"/>
    <mergeCell ref="A171:B171"/>
    <mergeCell ref="A172:B172"/>
    <mergeCell ref="A173:B173"/>
    <mergeCell ref="A174:B174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49:B149"/>
    <mergeCell ref="A150:B150"/>
    <mergeCell ref="A151:B151"/>
    <mergeCell ref="A152:B152"/>
    <mergeCell ref="A153:H153"/>
    <mergeCell ref="A154:H154"/>
    <mergeCell ref="A155:H155"/>
    <mergeCell ref="A156:B156"/>
    <mergeCell ref="A157:B157"/>
    <mergeCell ref="A141:B141"/>
    <mergeCell ref="A142:H142"/>
    <mergeCell ref="A143:B143"/>
    <mergeCell ref="D143:F143"/>
    <mergeCell ref="A144:B144"/>
    <mergeCell ref="A145:B145"/>
    <mergeCell ref="A146:B146"/>
    <mergeCell ref="A147:B147"/>
    <mergeCell ref="A148:B148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L127:M127"/>
    <mergeCell ref="A128:H128"/>
    <mergeCell ref="L128:M128"/>
    <mergeCell ref="A129:H129"/>
    <mergeCell ref="L129:M129"/>
    <mergeCell ref="A130:H130"/>
    <mergeCell ref="L130:M130"/>
    <mergeCell ref="A131:H131"/>
    <mergeCell ref="L131:M131"/>
    <mergeCell ref="A126:A127"/>
    <mergeCell ref="B126:B127"/>
    <mergeCell ref="C126:C127"/>
    <mergeCell ref="D126:D127"/>
    <mergeCell ref="E126:E127"/>
    <mergeCell ref="L122:M122"/>
    <mergeCell ref="A123:B123"/>
    <mergeCell ref="G123:H123"/>
    <mergeCell ref="L123:M123"/>
    <mergeCell ref="A124:B124"/>
    <mergeCell ref="G124:H124"/>
    <mergeCell ref="L124:M124"/>
    <mergeCell ref="A115:H115"/>
    <mergeCell ref="A116:H116"/>
    <mergeCell ref="A119:H119"/>
    <mergeCell ref="A120:B120"/>
    <mergeCell ref="G120:H120"/>
    <mergeCell ref="L120:M120"/>
    <mergeCell ref="A121:B121"/>
    <mergeCell ref="G121:H121"/>
    <mergeCell ref="L121:M121"/>
    <mergeCell ref="A117:A118"/>
    <mergeCell ref="B117:B118"/>
    <mergeCell ref="C117:C118"/>
    <mergeCell ref="D117:D118"/>
    <mergeCell ref="E117:E118"/>
    <mergeCell ref="A112:B112"/>
    <mergeCell ref="C112:D112"/>
    <mergeCell ref="E112:F112"/>
    <mergeCell ref="G112:H112"/>
    <mergeCell ref="A113:B113"/>
    <mergeCell ref="C113:D113"/>
    <mergeCell ref="E113:F113"/>
    <mergeCell ref="G113:H113"/>
    <mergeCell ref="A114:B114"/>
    <mergeCell ref="C114:D114"/>
    <mergeCell ref="E114:F114"/>
    <mergeCell ref="G114:H114"/>
    <mergeCell ref="A109:B109"/>
    <mergeCell ref="C109:D109"/>
    <mergeCell ref="E109:F109"/>
    <mergeCell ref="G109:H109"/>
    <mergeCell ref="A110:H110"/>
    <mergeCell ref="A111:B111"/>
    <mergeCell ref="C111:D111"/>
    <mergeCell ref="E111:F111"/>
    <mergeCell ref="G111:H111"/>
    <mergeCell ref="A105:E105"/>
    <mergeCell ref="F105:H105"/>
    <mergeCell ref="A106:H106"/>
    <mergeCell ref="A107:B107"/>
    <mergeCell ref="C107:D107"/>
    <mergeCell ref="E107:F107"/>
    <mergeCell ref="G107:H107"/>
    <mergeCell ref="A108:B108"/>
    <mergeCell ref="C108:D108"/>
    <mergeCell ref="E108:F108"/>
    <mergeCell ref="G108:H108"/>
    <mergeCell ref="A100:E100"/>
    <mergeCell ref="F100:H100"/>
    <mergeCell ref="A101:E101"/>
    <mergeCell ref="F101:H101"/>
    <mergeCell ref="A102:E102"/>
    <mergeCell ref="F102:H102"/>
    <mergeCell ref="A103:E103"/>
    <mergeCell ref="F103:H103"/>
    <mergeCell ref="A104:E104"/>
    <mergeCell ref="F104:H104"/>
    <mergeCell ref="A95:E95"/>
    <mergeCell ref="F95:H95"/>
    <mergeCell ref="A96:E96"/>
    <mergeCell ref="F96:H96"/>
    <mergeCell ref="A97:E97"/>
    <mergeCell ref="F97:H97"/>
    <mergeCell ref="A98:E98"/>
    <mergeCell ref="F98:H98"/>
    <mergeCell ref="A99:E99"/>
    <mergeCell ref="F99:H99"/>
    <mergeCell ref="A89:E89"/>
    <mergeCell ref="F89:H89"/>
    <mergeCell ref="A90:H90"/>
    <mergeCell ref="A91:B91"/>
    <mergeCell ref="C91:H91"/>
    <mergeCell ref="A92:H92"/>
    <mergeCell ref="A93:E93"/>
    <mergeCell ref="F93:H93"/>
    <mergeCell ref="A94:E94"/>
    <mergeCell ref="F94:H94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74:B74"/>
    <mergeCell ref="A75:B75"/>
    <mergeCell ref="C75:H75"/>
    <mergeCell ref="A77:B77"/>
    <mergeCell ref="C77:H77"/>
    <mergeCell ref="A78:B78"/>
    <mergeCell ref="E78:F78"/>
    <mergeCell ref="G78:H78"/>
    <mergeCell ref="A79:B79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59:C59"/>
    <mergeCell ref="D59:H59"/>
    <mergeCell ref="A60:C60"/>
    <mergeCell ref="D60:H60"/>
    <mergeCell ref="A61:B61"/>
    <mergeCell ref="C61:H61"/>
    <mergeCell ref="A63:B63"/>
    <mergeCell ref="C63:H63"/>
    <mergeCell ref="A64:B64"/>
    <mergeCell ref="E64:F64"/>
    <mergeCell ref="G64:H64"/>
    <mergeCell ref="A53:C53"/>
    <mergeCell ref="D53:H53"/>
    <mergeCell ref="A54:C54"/>
    <mergeCell ref="D54:H54"/>
    <mergeCell ref="D55:H55"/>
    <mergeCell ref="D56:H56"/>
    <mergeCell ref="A57:C57"/>
    <mergeCell ref="D57:H57"/>
    <mergeCell ref="A58:C58"/>
    <mergeCell ref="D58:H58"/>
    <mergeCell ref="C48:E48"/>
    <mergeCell ref="G48:H48"/>
    <mergeCell ref="C49:H49"/>
    <mergeCell ref="A50:B50"/>
    <mergeCell ref="C50:E50"/>
    <mergeCell ref="G50:H50"/>
    <mergeCell ref="A51:H51"/>
    <mergeCell ref="A52:C52"/>
    <mergeCell ref="D52:H52"/>
    <mergeCell ref="A44:D44"/>
    <mergeCell ref="E44:H44"/>
    <mergeCell ref="A45:H45"/>
    <mergeCell ref="A46:B46"/>
    <mergeCell ref="C46:E46"/>
    <mergeCell ref="G46:H46"/>
    <mergeCell ref="A47:B47"/>
    <mergeCell ref="C47:E47"/>
    <mergeCell ref="G47:H47"/>
    <mergeCell ref="A39:D39"/>
    <mergeCell ref="E39:H39"/>
    <mergeCell ref="A40:D40"/>
    <mergeCell ref="E40:H40"/>
    <mergeCell ref="A41:D41"/>
    <mergeCell ref="E41:H41"/>
    <mergeCell ref="A42:D42"/>
    <mergeCell ref="E42:H42"/>
    <mergeCell ref="A43:D43"/>
    <mergeCell ref="E43:H43"/>
    <mergeCell ref="A34:B34"/>
    <mergeCell ref="C34:E34"/>
    <mergeCell ref="F34:H34"/>
    <mergeCell ref="A35:H35"/>
    <mergeCell ref="A36:B36"/>
    <mergeCell ref="C36:H36"/>
    <mergeCell ref="A37:B37"/>
    <mergeCell ref="C37:H37"/>
    <mergeCell ref="A38:H38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27:D27"/>
    <mergeCell ref="E27:H27"/>
    <mergeCell ref="A28:D28"/>
    <mergeCell ref="E28:H28"/>
    <mergeCell ref="A29:D29"/>
    <mergeCell ref="E29:H29"/>
    <mergeCell ref="A30:B30"/>
    <mergeCell ref="C30:E30"/>
    <mergeCell ref="F30:H30"/>
    <mergeCell ref="A22:D22"/>
    <mergeCell ref="E22:H22"/>
    <mergeCell ref="A23:D23"/>
    <mergeCell ref="E23:H23"/>
    <mergeCell ref="A24:D24"/>
    <mergeCell ref="E24:H24"/>
    <mergeCell ref="A25:D25"/>
    <mergeCell ref="E25:H25"/>
    <mergeCell ref="A26:D26"/>
    <mergeCell ref="E26:H2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2:D12"/>
    <mergeCell ref="E12:H12"/>
    <mergeCell ref="A13:D13"/>
    <mergeCell ref="E13:H13"/>
    <mergeCell ref="A14:B14"/>
    <mergeCell ref="C14:H14"/>
    <mergeCell ref="A15:B15"/>
    <mergeCell ref="C15:H15"/>
    <mergeCell ref="A16:B16"/>
    <mergeCell ref="C16:D16"/>
    <mergeCell ref="E16:F16"/>
    <mergeCell ref="G16:H1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hyperlinks>
    <hyperlink ref="C37" r:id="rId1"/>
  </hyperlinks>
  <printOptions horizontalCentered="1"/>
  <pageMargins left="0.39370078740157499" right="0.39370078740157499" top="0.78740157480314998" bottom="0.78740157480314998" header="0.196850393700787" footer="0.196850393700787"/>
  <pageSetup scale="92" fitToHeight="0" orientation="portrait" r:id="rId2"/>
  <headerFooter>
    <oddHeader>&amp;C&amp;G</oddHeader>
    <oddFooter>&amp;L&amp;"Times New Roman,Bold"&amp;12Ref No: &amp;F&amp;C&amp;G&amp;R&amp;"Times New Roman,Bold"&amp;12                                            &amp;P</oddFooter>
  </headerFooter>
  <rowBreaks count="3" manualBreakCount="3">
    <brk id="74" max="16383" man="1"/>
    <brk id="209" max="16383" man="1"/>
    <brk id="25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ColWidth="9" defaultRowHeight="14.5"/>
  <cols>
    <col min="2" max="2" width="12.26953125" customWidth="1"/>
  </cols>
  <sheetData>
    <row r="2" spans="1:12">
      <c r="B2" s="13" t="s">
        <v>204</v>
      </c>
      <c r="C2" s="182"/>
      <c r="D2" s="182"/>
    </row>
    <row r="3" spans="1:12">
      <c r="D3" s="14"/>
      <c r="E3" s="14"/>
      <c r="F3" s="14"/>
      <c r="G3" s="14"/>
      <c r="H3" s="14"/>
      <c r="I3" s="14"/>
    </row>
    <row r="4" spans="1:12">
      <c r="A4" s="13" t="s">
        <v>205</v>
      </c>
      <c r="B4" s="15" t="s">
        <v>206</v>
      </c>
      <c r="C4" s="183" t="s">
        <v>207</v>
      </c>
      <c r="D4" s="183"/>
      <c r="E4" s="183"/>
      <c r="F4" s="16"/>
      <c r="G4" s="183" t="s">
        <v>208</v>
      </c>
      <c r="H4" s="183"/>
      <c r="I4" s="183"/>
      <c r="J4" s="183" t="s">
        <v>209</v>
      </c>
      <c r="K4" s="183"/>
      <c r="L4" s="183"/>
    </row>
    <row r="5" spans="1:12">
      <c r="A5" s="13">
        <v>202</v>
      </c>
      <c r="B5" s="15"/>
      <c r="C5" s="15" t="s">
        <v>210</v>
      </c>
      <c r="D5" s="15" t="s">
        <v>211</v>
      </c>
      <c r="E5" s="15" t="s">
        <v>212</v>
      </c>
      <c r="F5" s="15"/>
      <c r="G5" s="15" t="s">
        <v>210</v>
      </c>
      <c r="H5" s="15" t="s">
        <v>211</v>
      </c>
      <c r="I5" s="15" t="s">
        <v>212</v>
      </c>
      <c r="J5" s="15" t="s">
        <v>210</v>
      </c>
      <c r="K5" s="15" t="s">
        <v>211</v>
      </c>
      <c r="L5" s="15" t="s">
        <v>212</v>
      </c>
    </row>
    <row r="6" spans="1:12">
      <c r="B6" s="17" t="s">
        <v>213</v>
      </c>
      <c r="C6" s="17"/>
      <c r="D6" s="17"/>
      <c r="E6" s="17">
        <f>C6*D6</f>
        <v>0</v>
      </c>
      <c r="F6" s="17" t="s">
        <v>214</v>
      </c>
      <c r="G6" s="17"/>
      <c r="H6" s="17"/>
      <c r="I6" s="17">
        <f>G6*H6</f>
        <v>0</v>
      </c>
      <c r="J6" s="17"/>
      <c r="K6" s="17"/>
      <c r="L6" s="17">
        <f>J6*K6</f>
        <v>0</v>
      </c>
    </row>
    <row r="7" spans="1:12">
      <c r="B7" s="17"/>
      <c r="C7" s="17"/>
      <c r="D7" s="17"/>
      <c r="E7" s="17">
        <f t="shared" ref="E7:E33" si="0">C7*D7</f>
        <v>0</v>
      </c>
      <c r="F7" s="17" t="s">
        <v>215</v>
      </c>
      <c r="G7" s="17"/>
      <c r="H7" s="17"/>
      <c r="I7" s="17">
        <f t="shared" ref="I7:I33" si="1">G7*H7</f>
        <v>0</v>
      </c>
      <c r="J7" s="17"/>
      <c r="K7" s="17"/>
      <c r="L7" s="17">
        <f t="shared" ref="L7:L33" si="2">J7*K7</f>
        <v>0</v>
      </c>
    </row>
    <row r="8" spans="1:12">
      <c r="B8" s="17"/>
      <c r="C8" s="17"/>
      <c r="D8" s="17"/>
      <c r="E8" s="17">
        <f t="shared" si="0"/>
        <v>0</v>
      </c>
      <c r="F8" s="17"/>
      <c r="G8" s="17"/>
      <c r="H8" s="17"/>
      <c r="I8" s="17">
        <f t="shared" si="1"/>
        <v>0</v>
      </c>
      <c r="J8" s="17"/>
      <c r="K8" s="17"/>
      <c r="L8" s="17">
        <f t="shared" si="2"/>
        <v>0</v>
      </c>
    </row>
    <row r="9" spans="1:12">
      <c r="B9" s="17" t="s">
        <v>216</v>
      </c>
      <c r="C9" s="17"/>
      <c r="D9" s="17"/>
      <c r="E9" s="17">
        <f t="shared" si="0"/>
        <v>0</v>
      </c>
      <c r="F9" s="17" t="s">
        <v>214</v>
      </c>
      <c r="G9" s="17"/>
      <c r="H9" s="17"/>
      <c r="I9" s="17">
        <f t="shared" si="1"/>
        <v>0</v>
      </c>
      <c r="J9" s="17"/>
      <c r="K9" s="17"/>
      <c r="L9" s="17">
        <f t="shared" si="2"/>
        <v>0</v>
      </c>
    </row>
    <row r="10" spans="1:12">
      <c r="B10" s="17"/>
      <c r="C10" s="17"/>
      <c r="D10" s="17"/>
      <c r="E10" s="17">
        <f t="shared" si="0"/>
        <v>0</v>
      </c>
      <c r="F10" s="17" t="s">
        <v>215</v>
      </c>
      <c r="G10" s="17"/>
      <c r="H10" s="17"/>
      <c r="I10" s="17">
        <f t="shared" si="1"/>
        <v>0</v>
      </c>
      <c r="J10" s="17"/>
      <c r="K10" s="17"/>
      <c r="L10" s="17">
        <f t="shared" si="2"/>
        <v>0</v>
      </c>
    </row>
    <row r="11" spans="1:12">
      <c r="B11" s="17"/>
      <c r="C11" s="17"/>
      <c r="D11" s="17"/>
      <c r="E11" s="17">
        <f t="shared" si="0"/>
        <v>0</v>
      </c>
      <c r="F11" s="17"/>
      <c r="G11" s="17"/>
      <c r="H11" s="17"/>
      <c r="I11" s="17">
        <f t="shared" si="1"/>
        <v>0</v>
      </c>
      <c r="J11" s="17"/>
      <c r="K11" s="17"/>
      <c r="L11" s="17">
        <f t="shared" si="2"/>
        <v>0</v>
      </c>
    </row>
    <row r="12" spans="1:12">
      <c r="B12" s="17"/>
      <c r="C12" s="17"/>
      <c r="D12" s="17"/>
      <c r="E12" s="17">
        <f t="shared" si="0"/>
        <v>0</v>
      </c>
      <c r="F12" s="17"/>
      <c r="G12" s="17"/>
      <c r="H12" s="17"/>
      <c r="I12" s="17">
        <f t="shared" si="1"/>
        <v>0</v>
      </c>
      <c r="J12" s="17"/>
      <c r="K12" s="17"/>
      <c r="L12" s="17">
        <f t="shared" si="2"/>
        <v>0</v>
      </c>
    </row>
    <row r="13" spans="1:12">
      <c r="B13" s="17" t="s">
        <v>217</v>
      </c>
      <c r="C13" s="17"/>
      <c r="D13" s="17"/>
      <c r="E13" s="17">
        <f t="shared" si="0"/>
        <v>0</v>
      </c>
      <c r="F13" s="17" t="s">
        <v>214</v>
      </c>
      <c r="G13" s="17"/>
      <c r="H13" s="17"/>
      <c r="I13" s="17">
        <f t="shared" si="1"/>
        <v>0</v>
      </c>
      <c r="J13" s="17"/>
      <c r="K13" s="17"/>
      <c r="L13" s="17">
        <f t="shared" si="2"/>
        <v>0</v>
      </c>
    </row>
    <row r="14" spans="1:12">
      <c r="B14" s="17"/>
      <c r="C14" s="17"/>
      <c r="D14" s="17"/>
      <c r="E14" s="17">
        <f t="shared" si="0"/>
        <v>0</v>
      </c>
      <c r="F14" s="17" t="s">
        <v>215</v>
      </c>
      <c r="G14" s="17"/>
      <c r="H14" s="17"/>
      <c r="I14" s="17">
        <f t="shared" si="1"/>
        <v>0</v>
      </c>
      <c r="J14" s="17"/>
      <c r="K14" s="17"/>
      <c r="L14" s="17">
        <f t="shared" si="2"/>
        <v>0</v>
      </c>
    </row>
    <row r="15" spans="1:12">
      <c r="B15" s="17"/>
      <c r="C15" s="17"/>
      <c r="D15" s="17"/>
      <c r="E15" s="17">
        <f t="shared" si="0"/>
        <v>0</v>
      </c>
      <c r="F15" s="17"/>
      <c r="G15" s="17"/>
      <c r="H15" s="17"/>
      <c r="I15" s="17">
        <f t="shared" si="1"/>
        <v>0</v>
      </c>
      <c r="J15" s="17"/>
      <c r="K15" s="17"/>
      <c r="L15" s="17">
        <f t="shared" si="2"/>
        <v>0</v>
      </c>
    </row>
    <row r="16" spans="1:12">
      <c r="B16" s="17"/>
      <c r="C16" s="17"/>
      <c r="D16" s="17"/>
      <c r="E16" s="17">
        <f t="shared" si="0"/>
        <v>0</v>
      </c>
      <c r="F16" s="17"/>
      <c r="G16" s="17"/>
      <c r="H16" s="17"/>
      <c r="I16" s="17">
        <f t="shared" si="1"/>
        <v>0</v>
      </c>
      <c r="J16" s="17"/>
      <c r="K16" s="17"/>
      <c r="L16" s="17">
        <f t="shared" si="2"/>
        <v>0</v>
      </c>
    </row>
    <row r="17" spans="2:12">
      <c r="B17" s="17" t="s">
        <v>218</v>
      </c>
      <c r="C17" s="17"/>
      <c r="D17" s="17"/>
      <c r="E17" s="17">
        <f t="shared" si="0"/>
        <v>0</v>
      </c>
      <c r="F17" s="17" t="s">
        <v>214</v>
      </c>
      <c r="G17" s="17"/>
      <c r="H17" s="17"/>
      <c r="I17" s="17">
        <f t="shared" si="1"/>
        <v>0</v>
      </c>
      <c r="J17" s="17"/>
      <c r="K17" s="17"/>
      <c r="L17" s="17">
        <f t="shared" si="2"/>
        <v>0</v>
      </c>
    </row>
    <row r="18" spans="2:12">
      <c r="B18" s="17"/>
      <c r="C18" s="17"/>
      <c r="D18" s="17"/>
      <c r="E18" s="17">
        <f t="shared" si="0"/>
        <v>0</v>
      </c>
      <c r="F18" s="17" t="s">
        <v>215</v>
      </c>
      <c r="G18" s="17"/>
      <c r="H18" s="17"/>
      <c r="I18" s="17">
        <f t="shared" si="1"/>
        <v>0</v>
      </c>
      <c r="J18" s="17"/>
      <c r="K18" s="17"/>
      <c r="L18" s="17">
        <f t="shared" si="2"/>
        <v>0</v>
      </c>
    </row>
    <row r="19" spans="2:12">
      <c r="B19" s="17"/>
      <c r="C19" s="17"/>
      <c r="D19" s="17"/>
      <c r="E19" s="17">
        <f t="shared" si="0"/>
        <v>0</v>
      </c>
      <c r="F19" s="17"/>
      <c r="G19" s="17"/>
      <c r="H19" s="17"/>
      <c r="I19" s="17">
        <f t="shared" si="1"/>
        <v>0</v>
      </c>
      <c r="J19" s="17"/>
      <c r="K19" s="17"/>
      <c r="L19" s="17">
        <f t="shared" si="2"/>
        <v>0</v>
      </c>
    </row>
    <row r="20" spans="2:12">
      <c r="B20" s="17" t="s">
        <v>218</v>
      </c>
      <c r="C20" s="17"/>
      <c r="D20" s="17"/>
      <c r="E20" s="17">
        <f t="shared" si="0"/>
        <v>0</v>
      </c>
      <c r="F20" s="17" t="s">
        <v>214</v>
      </c>
      <c r="G20" s="17"/>
      <c r="H20" s="17"/>
      <c r="I20" s="17">
        <f t="shared" si="1"/>
        <v>0</v>
      </c>
      <c r="J20" s="17"/>
      <c r="K20" s="17"/>
      <c r="L20" s="17">
        <f t="shared" si="2"/>
        <v>0</v>
      </c>
    </row>
    <row r="21" spans="2:12">
      <c r="B21" s="17"/>
      <c r="C21" s="17"/>
      <c r="D21" s="17"/>
      <c r="E21" s="17">
        <f t="shared" si="0"/>
        <v>0</v>
      </c>
      <c r="F21" s="17" t="s">
        <v>215</v>
      </c>
      <c r="G21" s="17"/>
      <c r="H21" s="17"/>
      <c r="I21" s="17">
        <f t="shared" si="1"/>
        <v>0</v>
      </c>
      <c r="J21" s="17"/>
      <c r="K21" s="17"/>
      <c r="L21" s="17">
        <f t="shared" si="2"/>
        <v>0</v>
      </c>
    </row>
    <row r="22" spans="2:12">
      <c r="B22" s="17"/>
      <c r="C22" s="17"/>
      <c r="D22" s="17"/>
      <c r="E22" s="17">
        <f t="shared" si="0"/>
        <v>0</v>
      </c>
      <c r="F22" s="17"/>
      <c r="G22" s="17"/>
      <c r="H22" s="17"/>
      <c r="I22" s="17">
        <f t="shared" si="1"/>
        <v>0</v>
      </c>
      <c r="J22" s="17"/>
      <c r="K22" s="17"/>
      <c r="L22" s="17">
        <f t="shared" si="2"/>
        <v>0</v>
      </c>
    </row>
    <row r="23" spans="2:12">
      <c r="B23" s="17" t="s">
        <v>219</v>
      </c>
      <c r="C23" s="17"/>
      <c r="D23" s="17"/>
      <c r="E23" s="17">
        <f t="shared" si="0"/>
        <v>0</v>
      </c>
      <c r="F23" s="17" t="s">
        <v>220</v>
      </c>
      <c r="G23" s="17"/>
      <c r="H23" s="17"/>
      <c r="I23" s="17">
        <f t="shared" si="1"/>
        <v>0</v>
      </c>
      <c r="J23" s="17"/>
      <c r="K23" s="17"/>
      <c r="L23" s="17">
        <f t="shared" si="2"/>
        <v>0</v>
      </c>
    </row>
    <row r="24" spans="2:12">
      <c r="B24" s="17" t="s">
        <v>221</v>
      </c>
      <c r="C24" s="17"/>
      <c r="D24" s="17"/>
      <c r="E24" s="17">
        <f t="shared" si="0"/>
        <v>0</v>
      </c>
      <c r="F24" s="17" t="s">
        <v>220</v>
      </c>
      <c r="G24" s="17"/>
      <c r="H24" s="17"/>
      <c r="I24" s="17">
        <f t="shared" si="1"/>
        <v>0</v>
      </c>
      <c r="J24" s="17"/>
      <c r="K24" s="17"/>
      <c r="L24" s="17">
        <f t="shared" si="2"/>
        <v>0</v>
      </c>
    </row>
    <row r="25" spans="2:12">
      <c r="B25" s="17" t="s">
        <v>222</v>
      </c>
      <c r="C25" s="17"/>
      <c r="D25" s="17"/>
      <c r="E25" s="17">
        <f t="shared" si="0"/>
        <v>0</v>
      </c>
      <c r="F25" s="17" t="s">
        <v>220</v>
      </c>
      <c r="G25" s="17"/>
      <c r="H25" s="17"/>
      <c r="I25" s="17">
        <f t="shared" si="1"/>
        <v>0</v>
      </c>
      <c r="J25" s="17"/>
      <c r="K25" s="17"/>
      <c r="L25" s="17">
        <f t="shared" si="2"/>
        <v>0</v>
      </c>
    </row>
    <row r="26" spans="2:12">
      <c r="B26" s="17"/>
      <c r="C26" s="17"/>
      <c r="D26" s="17"/>
      <c r="E26" s="17">
        <f t="shared" si="0"/>
        <v>0</v>
      </c>
      <c r="F26" s="17"/>
      <c r="G26" s="17"/>
      <c r="H26" s="17"/>
      <c r="I26" s="17">
        <f t="shared" si="1"/>
        <v>0</v>
      </c>
      <c r="J26" s="17"/>
      <c r="K26" s="17"/>
      <c r="L26" s="17">
        <f t="shared" si="2"/>
        <v>0</v>
      </c>
    </row>
    <row r="27" spans="2:12">
      <c r="B27" s="17" t="s">
        <v>223</v>
      </c>
      <c r="C27" s="17"/>
      <c r="D27" s="17"/>
      <c r="E27" s="17">
        <f t="shared" si="0"/>
        <v>0</v>
      </c>
      <c r="F27" s="17"/>
      <c r="G27" s="17"/>
      <c r="H27" s="17"/>
      <c r="I27" s="17">
        <f t="shared" si="1"/>
        <v>0</v>
      </c>
      <c r="J27" s="17"/>
      <c r="K27" s="17"/>
      <c r="L27" s="17">
        <f t="shared" si="2"/>
        <v>0</v>
      </c>
    </row>
    <row r="28" spans="2:12">
      <c r="B28" s="17" t="s">
        <v>224</v>
      </c>
      <c r="C28" s="17"/>
      <c r="D28" s="17"/>
      <c r="E28" s="17">
        <f t="shared" si="0"/>
        <v>0</v>
      </c>
      <c r="F28" s="17"/>
      <c r="G28" s="17"/>
      <c r="H28" s="17"/>
      <c r="I28" s="17">
        <f t="shared" si="1"/>
        <v>0</v>
      </c>
      <c r="J28" s="17"/>
      <c r="K28" s="17"/>
      <c r="L28" s="17">
        <f t="shared" si="2"/>
        <v>0</v>
      </c>
    </row>
    <row r="29" spans="2:12">
      <c r="B29" s="17" t="s">
        <v>225</v>
      </c>
      <c r="C29" s="17"/>
      <c r="D29" s="17"/>
      <c r="E29" s="17">
        <f t="shared" si="0"/>
        <v>0</v>
      </c>
      <c r="F29" s="17"/>
      <c r="G29" s="17"/>
      <c r="H29" s="17"/>
      <c r="I29" s="17">
        <f t="shared" si="1"/>
        <v>0</v>
      </c>
      <c r="J29" s="17"/>
      <c r="K29" s="17"/>
      <c r="L29" s="17">
        <f t="shared" si="2"/>
        <v>0</v>
      </c>
    </row>
    <row r="30" spans="2:12">
      <c r="B30" s="17" t="s">
        <v>226</v>
      </c>
      <c r="C30" s="17"/>
      <c r="D30" s="17"/>
      <c r="E30" s="17">
        <f t="shared" si="0"/>
        <v>0</v>
      </c>
      <c r="F30" s="17"/>
      <c r="G30" s="17"/>
      <c r="H30" s="17"/>
      <c r="I30" s="17">
        <f t="shared" si="1"/>
        <v>0</v>
      </c>
      <c r="J30" s="17"/>
      <c r="K30" s="17"/>
      <c r="L30" s="17">
        <f t="shared" si="2"/>
        <v>0</v>
      </c>
    </row>
    <row r="31" spans="2:12">
      <c r="B31" s="17"/>
      <c r="C31" s="17"/>
      <c r="D31" s="17"/>
      <c r="E31" s="17">
        <f t="shared" si="0"/>
        <v>0</v>
      </c>
      <c r="F31" s="17"/>
      <c r="G31" s="17"/>
      <c r="H31" s="17"/>
      <c r="I31" s="17">
        <f t="shared" si="1"/>
        <v>0</v>
      </c>
      <c r="J31" s="17"/>
      <c r="K31" s="17"/>
      <c r="L31" s="17">
        <f t="shared" si="2"/>
        <v>0</v>
      </c>
    </row>
    <row r="32" spans="2:12">
      <c r="B32" s="17"/>
      <c r="C32" s="17"/>
      <c r="D32" s="17"/>
      <c r="E32" s="17">
        <f t="shared" si="0"/>
        <v>0</v>
      </c>
      <c r="F32" s="17"/>
      <c r="G32" s="17"/>
      <c r="H32" s="17"/>
      <c r="I32" s="17">
        <f t="shared" si="1"/>
        <v>0</v>
      </c>
      <c r="J32" s="17"/>
      <c r="K32" s="17"/>
      <c r="L32" s="17">
        <f t="shared" si="2"/>
        <v>0</v>
      </c>
    </row>
    <row r="33" spans="2:12">
      <c r="B33" s="17"/>
      <c r="C33" s="17"/>
      <c r="D33" s="17"/>
      <c r="E33" s="17">
        <f t="shared" si="0"/>
        <v>0</v>
      </c>
      <c r="F33" s="17"/>
      <c r="G33" s="17"/>
      <c r="H33" s="17"/>
      <c r="I33" s="17">
        <f t="shared" si="1"/>
        <v>0</v>
      </c>
      <c r="J33" s="17"/>
      <c r="K33" s="17"/>
      <c r="L33" s="17">
        <f t="shared" si="2"/>
        <v>0</v>
      </c>
    </row>
    <row r="34" spans="2:12">
      <c r="B34" s="17" t="s">
        <v>160</v>
      </c>
      <c r="C34" s="17"/>
      <c r="D34" s="17">
        <f>E34*10.764</f>
        <v>0</v>
      </c>
      <c r="E34" s="17">
        <f>SUM(E6:E33)</f>
        <v>0</v>
      </c>
      <c r="F34" s="17"/>
      <c r="G34" s="17"/>
      <c r="H34" s="17">
        <f>I34*10.764</f>
        <v>0</v>
      </c>
      <c r="I34" s="17">
        <f>SUM(I6:I33)</f>
        <v>0</v>
      </c>
      <c r="J34" s="17"/>
      <c r="K34" s="17">
        <f>L34*10.764</f>
        <v>0</v>
      </c>
      <c r="L34" s="17">
        <f>SUM(L6:L33)</f>
        <v>0</v>
      </c>
    </row>
    <row r="36" spans="2:12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" zoomScale="85" zoomScaleNormal="85" workbookViewId="0">
      <selection activeCell="G15" sqref="G15"/>
    </sheetView>
  </sheetViews>
  <sheetFormatPr defaultColWidth="8.7265625" defaultRowHeight="14.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/>
    <row r="2" spans="1:9" ht="15" customHeight="1">
      <c r="A2" s="2"/>
      <c r="B2" s="2"/>
      <c r="C2" s="2"/>
      <c r="D2" s="2"/>
      <c r="E2" s="2"/>
      <c r="F2" s="2"/>
      <c r="G2" s="2"/>
      <c r="H2" s="2"/>
    </row>
    <row r="3" spans="1:9" ht="15.75" customHeight="1">
      <c r="A3" s="2"/>
      <c r="B3" s="184" t="s">
        <v>227</v>
      </c>
      <c r="C3" s="184"/>
      <c r="D3" s="184"/>
      <c r="E3" s="184"/>
      <c r="F3" s="184"/>
      <c r="G3" s="184"/>
      <c r="H3" s="184"/>
    </row>
    <row r="4" spans="1:9">
      <c r="A4" s="2"/>
      <c r="B4" s="3" t="s">
        <v>228</v>
      </c>
      <c r="C4" s="3" t="s">
        <v>229</v>
      </c>
      <c r="D4" s="3" t="s">
        <v>205</v>
      </c>
      <c r="E4" s="3" t="s">
        <v>230</v>
      </c>
      <c r="F4" s="3" t="s">
        <v>231</v>
      </c>
      <c r="G4" s="3" t="s">
        <v>232</v>
      </c>
      <c r="H4" s="3" t="s">
        <v>233</v>
      </c>
    </row>
    <row r="5" spans="1:9" ht="15" customHeight="1">
      <c r="A5" s="2"/>
      <c r="B5" s="4" t="s">
        <v>234</v>
      </c>
      <c r="C5" s="5"/>
      <c r="D5" s="4" t="s">
        <v>176</v>
      </c>
      <c r="E5" s="4">
        <v>369</v>
      </c>
      <c r="F5" s="6">
        <f>E5*1.6</f>
        <v>590.4</v>
      </c>
      <c r="G5" s="6">
        <v>7000</v>
      </c>
      <c r="H5" s="7">
        <v>3030000</v>
      </c>
    </row>
    <row r="6" spans="1:9">
      <c r="A6" s="2"/>
      <c r="B6" s="4" t="s">
        <v>234</v>
      </c>
      <c r="C6" s="8"/>
      <c r="D6" s="4" t="s">
        <v>177</v>
      </c>
      <c r="E6" s="4">
        <v>547</v>
      </c>
      <c r="F6" s="6">
        <f t="shared" ref="F6:F11" si="0">E6*1.6</f>
        <v>875.2</v>
      </c>
      <c r="G6" s="6">
        <v>7000</v>
      </c>
      <c r="H6" s="7">
        <v>4230000</v>
      </c>
    </row>
    <row r="7" spans="1:9" ht="15" customHeight="1">
      <c r="A7" s="2"/>
      <c r="B7" s="4" t="s">
        <v>234</v>
      </c>
      <c r="C7" s="5"/>
      <c r="D7" s="4"/>
      <c r="E7" s="4"/>
      <c r="F7" s="6">
        <f t="shared" si="0"/>
        <v>0</v>
      </c>
      <c r="G7" s="6" t="e">
        <f t="shared" ref="G7:G11" si="1">H7/F7</f>
        <v>#DIV/0!</v>
      </c>
      <c r="H7" s="7"/>
    </row>
    <row r="8" spans="1:9">
      <c r="A8" s="2"/>
      <c r="B8" s="4" t="s">
        <v>234</v>
      </c>
      <c r="C8" s="8"/>
      <c r="D8" s="4"/>
      <c r="E8" s="4"/>
      <c r="F8" s="6">
        <f t="shared" si="0"/>
        <v>0</v>
      </c>
      <c r="G8" s="6" t="e">
        <f t="shared" si="1"/>
        <v>#DIV/0!</v>
      </c>
      <c r="H8" s="7"/>
    </row>
    <row r="9" spans="1:9" ht="15" customHeight="1">
      <c r="A9" s="2"/>
      <c r="B9" s="4" t="s">
        <v>234</v>
      </c>
      <c r="C9" s="8"/>
      <c r="D9" s="4"/>
      <c r="E9" s="4"/>
      <c r="F9" s="6">
        <f t="shared" si="0"/>
        <v>0</v>
      </c>
      <c r="G9" s="6" t="e">
        <f t="shared" si="1"/>
        <v>#DIV/0!</v>
      </c>
      <c r="H9" s="7"/>
    </row>
    <row r="10" spans="1:9" ht="15" customHeight="1">
      <c r="A10" s="2"/>
      <c r="B10" s="4" t="s">
        <v>235</v>
      </c>
      <c r="C10" s="5"/>
      <c r="D10" s="4"/>
      <c r="E10" s="4"/>
      <c r="F10" s="6">
        <f t="shared" si="0"/>
        <v>0</v>
      </c>
      <c r="G10" s="6" t="e">
        <f t="shared" si="1"/>
        <v>#DIV/0!</v>
      </c>
      <c r="H10" s="7"/>
    </row>
    <row r="11" spans="1:9" ht="15" customHeight="1">
      <c r="A11" s="2"/>
      <c r="B11" s="4" t="s">
        <v>235</v>
      </c>
      <c r="C11" s="5"/>
      <c r="D11" s="4"/>
      <c r="E11" s="4"/>
      <c r="F11" s="6">
        <f t="shared" si="0"/>
        <v>0</v>
      </c>
      <c r="G11" s="6" t="e">
        <f t="shared" si="1"/>
        <v>#DIV/0!</v>
      </c>
      <c r="H11" s="7"/>
    </row>
    <row r="12" spans="1:9" ht="15" customHeight="1">
      <c r="A12" s="2"/>
      <c r="B12" s="9" t="s">
        <v>236</v>
      </c>
      <c r="C12" s="4"/>
      <c r="D12" s="4"/>
      <c r="E12" s="4"/>
      <c r="F12" s="4"/>
      <c r="G12" s="10" t="e">
        <f>AVERAGE(G5:G11)</f>
        <v>#DIV/0!</v>
      </c>
      <c r="H12" s="4"/>
    </row>
    <row r="13" spans="1:9" ht="15" customHeight="1">
      <c r="B13" s="9" t="s">
        <v>237</v>
      </c>
      <c r="C13" s="4"/>
      <c r="D13" s="4"/>
      <c r="E13" s="4"/>
      <c r="F13" s="11"/>
      <c r="G13" s="9"/>
      <c r="H13" s="9"/>
      <c r="I13" s="12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ColWidth="9" defaultRowHeight="14.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2025-09-08T10:51:31Z</cp:lastPrinted>
  <dcterms:created xsi:type="dcterms:W3CDTF">2019-07-16T09:29:00Z</dcterms:created>
  <dcterms:modified xsi:type="dcterms:W3CDTF">2025-09-08T10:51:39Z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2D85BFBAE3714487A101D0F05E334883_12</vt:lpwstr>
  </property>
  <property fmtid="{D5CDD505-2E9C-101B-9397-08002B2CF9AE}" pid="3" name="KSOProductBuildVer">
    <vt:lpwstr>1033-12.2.0.19805</vt:lpwstr>
  </property>
</Properties>
</file>