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08-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Report!$A$1:$H$622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4" i="1" l="1"/>
  <c r="E340" i="1"/>
  <c r="D340" i="1"/>
  <c r="F340" i="1" s="1"/>
  <c r="H340" i="1" s="1"/>
  <c r="E339" i="1"/>
  <c r="D339" i="1"/>
  <c r="E338" i="1"/>
  <c r="D338" i="1"/>
  <c r="F338" i="1" s="1"/>
  <c r="H338" i="1" s="1"/>
  <c r="E337" i="1"/>
  <c r="D337" i="1"/>
  <c r="E336" i="1"/>
  <c r="D336" i="1"/>
  <c r="F336" i="1" s="1"/>
  <c r="H336" i="1" s="1"/>
  <c r="E335" i="1"/>
  <c r="D335" i="1"/>
  <c r="E334" i="1"/>
  <c r="D334" i="1"/>
  <c r="F334" i="1" s="1"/>
  <c r="H334" i="1" s="1"/>
  <c r="E333" i="1"/>
  <c r="D333" i="1"/>
  <c r="F333" i="1" s="1"/>
  <c r="H333" i="1" s="1"/>
  <c r="E332" i="1"/>
  <c r="D332" i="1"/>
  <c r="F332" i="1" s="1"/>
  <c r="H332" i="1" s="1"/>
  <c r="E331" i="1"/>
  <c r="D331" i="1"/>
  <c r="E329" i="1"/>
  <c r="D329" i="1"/>
  <c r="F329" i="1" s="1"/>
  <c r="H329" i="1" s="1"/>
  <c r="E327" i="1"/>
  <c r="D327" i="1"/>
  <c r="F327" i="1" s="1"/>
  <c r="H327" i="1" s="1"/>
  <c r="E326" i="1"/>
  <c r="D326" i="1"/>
  <c r="F326" i="1" s="1"/>
  <c r="H326" i="1" s="1"/>
  <c r="E325" i="1"/>
  <c r="D325" i="1"/>
  <c r="E324" i="1"/>
  <c r="D324" i="1"/>
  <c r="F324" i="1" s="1"/>
  <c r="H324" i="1" s="1"/>
  <c r="E323" i="1"/>
  <c r="D323" i="1"/>
  <c r="F323" i="1" s="1"/>
  <c r="H323" i="1" s="1"/>
  <c r="E322" i="1"/>
  <c r="D322" i="1"/>
  <c r="F322" i="1" s="1"/>
  <c r="H322" i="1" s="1"/>
  <c r="E321" i="1"/>
  <c r="D321" i="1"/>
  <c r="E320" i="1"/>
  <c r="D320" i="1"/>
  <c r="F320" i="1" s="1"/>
  <c r="H320" i="1" s="1"/>
  <c r="E328" i="1"/>
  <c r="D328" i="1"/>
  <c r="E312" i="1"/>
  <c r="E311" i="1"/>
  <c r="E310" i="1"/>
  <c r="E309" i="1"/>
  <c r="E313" i="1"/>
  <c r="D313" i="1"/>
  <c r="F313" i="1" s="1"/>
  <c r="H313" i="1" s="1"/>
  <c r="D312" i="1"/>
  <c r="D311" i="1"/>
  <c r="D310" i="1"/>
  <c r="D309" i="1"/>
  <c r="E318" i="1"/>
  <c r="D318" i="1"/>
  <c r="F318" i="1" s="1"/>
  <c r="H318" i="1" s="1"/>
  <c r="E316" i="1"/>
  <c r="D316" i="1"/>
  <c r="F316" i="1" s="1"/>
  <c r="H316" i="1" s="1"/>
  <c r="E315" i="1"/>
  <c r="D315" i="1"/>
  <c r="E314" i="1"/>
  <c r="D314" i="1"/>
  <c r="E307" i="1"/>
  <c r="D307" i="1"/>
  <c r="E305" i="1"/>
  <c r="D305" i="1"/>
  <c r="E304" i="1"/>
  <c r="D304" i="1"/>
  <c r="F304" i="1" s="1"/>
  <c r="H304" i="1" s="1"/>
  <c r="E303" i="1"/>
  <c r="D303" i="1"/>
  <c r="D302" i="1"/>
  <c r="F302" i="1" s="1"/>
  <c r="H302" i="1" s="1"/>
  <c r="D301" i="1"/>
  <c r="F301" i="1" s="1"/>
  <c r="H301" i="1" s="1"/>
  <c r="D300" i="1"/>
  <c r="F300" i="1" s="1"/>
  <c r="H300" i="1" s="1"/>
  <c r="D299" i="1"/>
  <c r="F299" i="1" s="1"/>
  <c r="H299" i="1" s="1"/>
  <c r="F298" i="1"/>
  <c r="H298" i="1" s="1"/>
  <c r="D298" i="1"/>
  <c r="D295" i="1"/>
  <c r="D294" i="1"/>
  <c r="D293" i="1"/>
  <c r="D292" i="1"/>
  <c r="D291" i="1"/>
  <c r="D290" i="1"/>
  <c r="D289" i="1"/>
  <c r="D288" i="1"/>
  <c r="D287" i="1"/>
  <c r="D286" i="1"/>
  <c r="E284" i="1"/>
  <c r="D284" i="1"/>
  <c r="E282" i="1"/>
  <c r="D282" i="1"/>
  <c r="E281" i="1"/>
  <c r="D281" i="1"/>
  <c r="E280" i="1"/>
  <c r="D280" i="1"/>
  <c r="D279" i="1"/>
  <c r="E273" i="1"/>
  <c r="D273" i="1"/>
  <c r="E272" i="1"/>
  <c r="D272" i="1"/>
  <c r="E271" i="1"/>
  <c r="D271" i="1"/>
  <c r="E270" i="1"/>
  <c r="D270" i="1"/>
  <c r="E269" i="1"/>
  <c r="D269" i="1"/>
  <c r="D268" i="1"/>
  <c r="E262" i="1"/>
  <c r="D262" i="1"/>
  <c r="E261" i="1"/>
  <c r="D261" i="1"/>
  <c r="E260" i="1"/>
  <c r="D260" i="1"/>
  <c r="E259" i="1"/>
  <c r="D259" i="1"/>
  <c r="E258" i="1"/>
  <c r="D258" i="1"/>
  <c r="D257" i="1"/>
  <c r="D251" i="1"/>
  <c r="D250" i="1"/>
  <c r="D249" i="1"/>
  <c r="D248" i="1"/>
  <c r="D247" i="1"/>
  <c r="D246" i="1"/>
  <c r="F246" i="1" s="1"/>
  <c r="H246" i="1" s="1"/>
  <c r="E251" i="1"/>
  <c r="E250" i="1"/>
  <c r="E249" i="1"/>
  <c r="E248" i="1"/>
  <c r="E247" i="1"/>
  <c r="F247" i="1" s="1"/>
  <c r="H247" i="1" s="1"/>
  <c r="E240" i="1"/>
  <c r="D240" i="1"/>
  <c r="F240" i="1" s="1"/>
  <c r="H240" i="1" s="1"/>
  <c r="E239" i="1"/>
  <c r="D239" i="1"/>
  <c r="E238" i="1"/>
  <c r="D238" i="1"/>
  <c r="E237" i="1"/>
  <c r="D237" i="1"/>
  <c r="E236" i="1"/>
  <c r="D236" i="1"/>
  <c r="F236" i="1" s="1"/>
  <c r="H236" i="1" s="1"/>
  <c r="D235" i="1"/>
  <c r="F235" i="1" s="1"/>
  <c r="H235" i="1" s="1"/>
  <c r="D229" i="1"/>
  <c r="D228" i="1"/>
  <c r="D227" i="1"/>
  <c r="D226" i="1"/>
  <c r="D225" i="1"/>
  <c r="D224" i="1"/>
  <c r="G53" i="1"/>
  <c r="F307" i="1" l="1"/>
  <c r="H307" i="1" s="1"/>
  <c r="F238" i="1"/>
  <c r="H238" i="1" s="1"/>
  <c r="F249" i="1"/>
  <c r="H249" i="1" s="1"/>
  <c r="F251" i="1"/>
  <c r="H251" i="1" s="1"/>
  <c r="F314" i="1"/>
  <c r="H314" i="1" s="1"/>
  <c r="F337" i="1"/>
  <c r="H337" i="1" s="1"/>
  <c r="F239" i="1"/>
  <c r="H239" i="1" s="1"/>
  <c r="F305" i="1"/>
  <c r="H305" i="1" s="1"/>
  <c r="F315" i="1"/>
  <c r="H315" i="1" s="1"/>
  <c r="F321" i="1"/>
  <c r="H321" i="1" s="1"/>
  <c r="F325" i="1"/>
  <c r="H325" i="1" s="1"/>
  <c r="F331" i="1"/>
  <c r="H331" i="1" s="1"/>
  <c r="F335" i="1"/>
  <c r="H335" i="1" s="1"/>
  <c r="F339" i="1"/>
  <c r="H339" i="1" s="1"/>
  <c r="F303" i="1"/>
  <c r="H303" i="1" s="1"/>
  <c r="F328" i="1"/>
  <c r="H328" i="1" s="1"/>
  <c r="F237" i="1"/>
  <c r="H237" i="1" s="1"/>
  <c r="F309" i="1"/>
  <c r="H309" i="1" s="1"/>
  <c r="F311" i="1"/>
  <c r="H311" i="1" s="1"/>
  <c r="F310" i="1"/>
  <c r="H310" i="1" s="1"/>
  <c r="F312" i="1"/>
  <c r="H312" i="1" s="1"/>
  <c r="F250" i="1"/>
  <c r="H250" i="1" s="1"/>
  <c r="F248" i="1"/>
  <c r="H248" i="1" s="1"/>
  <c r="E373" i="1"/>
  <c r="D373" i="1"/>
  <c r="E371" i="1"/>
  <c r="D371" i="1"/>
  <c r="F371" i="1" s="1"/>
  <c r="H371" i="1" s="1"/>
  <c r="E370" i="1"/>
  <c r="D370" i="1"/>
  <c r="F370" i="1" s="1"/>
  <c r="H370" i="1" s="1"/>
  <c r="E369" i="1"/>
  <c r="D369" i="1"/>
  <c r="D368" i="1"/>
  <c r="F368" i="1" s="1"/>
  <c r="H368" i="1" s="1"/>
  <c r="D367" i="1"/>
  <c r="F367" i="1" s="1"/>
  <c r="H367" i="1" s="1"/>
  <c r="D366" i="1"/>
  <c r="F366" i="1" s="1"/>
  <c r="H366" i="1" s="1"/>
  <c r="D365" i="1"/>
  <c r="F365" i="1" s="1"/>
  <c r="H365" i="1" s="1"/>
  <c r="D364" i="1"/>
  <c r="F364" i="1" s="1"/>
  <c r="H364" i="1" s="1"/>
  <c r="F373" i="1" l="1"/>
  <c r="H373" i="1" s="1"/>
  <c r="F369" i="1"/>
  <c r="H369" i="1" s="1"/>
  <c r="J428" i="1"/>
  <c r="I428" i="1"/>
  <c r="I424" i="1"/>
  <c r="J434" i="1"/>
  <c r="I434" i="1"/>
  <c r="I422" i="1"/>
  <c r="E465" i="1" l="1"/>
  <c r="D465" i="1"/>
  <c r="E463" i="1"/>
  <c r="D463" i="1"/>
  <c r="E462" i="1"/>
  <c r="D462" i="1"/>
  <c r="E461" i="1"/>
  <c r="D461" i="1"/>
  <c r="E460" i="1"/>
  <c r="D460" i="1"/>
  <c r="E459" i="1"/>
  <c r="D459" i="1"/>
  <c r="E458" i="1"/>
  <c r="D458" i="1"/>
  <c r="E457" i="1"/>
  <c r="D457" i="1"/>
  <c r="E456" i="1"/>
  <c r="D456" i="1"/>
  <c r="E454" i="1"/>
  <c r="D454" i="1"/>
  <c r="E452" i="1"/>
  <c r="D452" i="1"/>
  <c r="E451" i="1"/>
  <c r="D451" i="1"/>
  <c r="E450" i="1"/>
  <c r="D450" i="1"/>
  <c r="D449" i="1"/>
  <c r="D448" i="1"/>
  <c r="D447" i="1"/>
  <c r="D446" i="1"/>
  <c r="D445" i="1"/>
  <c r="E443" i="1"/>
  <c r="D443" i="1"/>
  <c r="E442" i="1"/>
  <c r="D442" i="1"/>
  <c r="E441" i="1"/>
  <c r="D441" i="1"/>
  <c r="E440" i="1"/>
  <c r="D440" i="1"/>
  <c r="E439" i="1"/>
  <c r="D439" i="1"/>
  <c r="E438" i="1"/>
  <c r="D438" i="1"/>
  <c r="E437" i="1"/>
  <c r="D437" i="1"/>
  <c r="E436" i="1"/>
  <c r="D436" i="1"/>
  <c r="E435" i="1"/>
  <c r="D435" i="1"/>
  <c r="E434" i="1"/>
  <c r="D434" i="1"/>
  <c r="E431" i="1"/>
  <c r="D431" i="1"/>
  <c r="E430" i="1"/>
  <c r="D430" i="1"/>
  <c r="E429" i="1"/>
  <c r="D429" i="1"/>
  <c r="E428" i="1"/>
  <c r="D428" i="1"/>
  <c r="E427" i="1"/>
  <c r="D427" i="1"/>
  <c r="D426" i="1"/>
  <c r="F426" i="1" s="1"/>
  <c r="H426" i="1" s="1"/>
  <c r="D425" i="1"/>
  <c r="F425" i="1" s="1"/>
  <c r="H425" i="1" s="1"/>
  <c r="D424" i="1"/>
  <c r="F424" i="1" s="1"/>
  <c r="H424" i="1" s="1"/>
  <c r="D423" i="1"/>
  <c r="F423" i="1" s="1"/>
  <c r="H423" i="1" s="1"/>
  <c r="D422" i="1"/>
  <c r="D420" i="1"/>
  <c r="D419" i="1"/>
  <c r="F419" i="1" s="1"/>
  <c r="H419" i="1" s="1"/>
  <c r="D418" i="1"/>
  <c r="F418" i="1" s="1"/>
  <c r="H418" i="1" s="1"/>
  <c r="D417" i="1"/>
  <c r="F417" i="1" s="1"/>
  <c r="H417" i="1" s="1"/>
  <c r="D416" i="1"/>
  <c r="F416" i="1" s="1"/>
  <c r="H416" i="1" s="1"/>
  <c r="D415" i="1"/>
  <c r="F415" i="1" s="1"/>
  <c r="H415" i="1" s="1"/>
  <c r="D414" i="1"/>
  <c r="F414" i="1" s="1"/>
  <c r="H414" i="1" s="1"/>
  <c r="D413" i="1"/>
  <c r="F413" i="1" s="1"/>
  <c r="H413" i="1" s="1"/>
  <c r="D412" i="1"/>
  <c r="F412" i="1" s="1"/>
  <c r="H412" i="1" s="1"/>
  <c r="D411" i="1"/>
  <c r="F411" i="1" s="1"/>
  <c r="H411" i="1" s="1"/>
  <c r="D409" i="1"/>
  <c r="F409" i="1" s="1"/>
  <c r="H409" i="1" s="1"/>
  <c r="D408" i="1"/>
  <c r="F408" i="1" s="1"/>
  <c r="H408" i="1" s="1"/>
  <c r="D407" i="1"/>
  <c r="F407" i="1" s="1"/>
  <c r="H407" i="1" s="1"/>
  <c r="D406" i="1"/>
  <c r="F406" i="1" s="1"/>
  <c r="H406" i="1" s="1"/>
  <c r="D405" i="1"/>
  <c r="F405" i="1" s="1"/>
  <c r="H405" i="1" s="1"/>
  <c r="D404" i="1"/>
  <c r="F404" i="1" s="1"/>
  <c r="H404" i="1" s="1"/>
  <c r="D403" i="1"/>
  <c r="F403" i="1" s="1"/>
  <c r="H403" i="1" s="1"/>
  <c r="D402" i="1"/>
  <c r="F402" i="1" s="1"/>
  <c r="H402" i="1" s="1"/>
  <c r="D401" i="1"/>
  <c r="F401" i="1" s="1"/>
  <c r="D400" i="1"/>
  <c r="A457" i="1"/>
  <c r="A458" i="1" s="1"/>
  <c r="A459" i="1" s="1"/>
  <c r="A460" i="1" s="1"/>
  <c r="A461" i="1" s="1"/>
  <c r="A462" i="1" s="1"/>
  <c r="A463" i="1" s="1"/>
  <c r="A464" i="1" s="1"/>
  <c r="A465" i="1" s="1"/>
  <c r="A446" i="1"/>
  <c r="A447" i="1" s="1"/>
  <c r="A448" i="1" s="1"/>
  <c r="A449" i="1" s="1"/>
  <c r="A450" i="1" s="1"/>
  <c r="A451" i="1" s="1"/>
  <c r="A452" i="1" s="1"/>
  <c r="A453" i="1" s="1"/>
  <c r="A454" i="1" s="1"/>
  <c r="F465" i="1"/>
  <c r="H465" i="1" s="1"/>
  <c r="A435" i="1"/>
  <c r="A436" i="1" s="1"/>
  <c r="A437" i="1" s="1"/>
  <c r="A438" i="1" s="1"/>
  <c r="A439" i="1" s="1"/>
  <c r="A440" i="1" s="1"/>
  <c r="A441" i="1" s="1"/>
  <c r="A442" i="1" s="1"/>
  <c r="A443" i="1" s="1"/>
  <c r="A423" i="1"/>
  <c r="A424" i="1" s="1"/>
  <c r="A425" i="1" s="1"/>
  <c r="A426" i="1" s="1"/>
  <c r="A427" i="1" s="1"/>
  <c r="A428" i="1" s="1"/>
  <c r="A429" i="1" s="1"/>
  <c r="A430" i="1" s="1"/>
  <c r="A431" i="1" s="1"/>
  <c r="A412" i="1"/>
  <c r="A413" i="1" s="1"/>
  <c r="A414" i="1" s="1"/>
  <c r="A415" i="1" s="1"/>
  <c r="A416" i="1" s="1"/>
  <c r="A417" i="1" s="1"/>
  <c r="A418" i="1" s="1"/>
  <c r="A419" i="1" s="1"/>
  <c r="A420" i="1" s="1"/>
  <c r="A401" i="1"/>
  <c r="A402" i="1" s="1"/>
  <c r="A403" i="1" s="1"/>
  <c r="A404" i="1" s="1"/>
  <c r="A405" i="1" s="1"/>
  <c r="A406" i="1" s="1"/>
  <c r="A407" i="1" s="1"/>
  <c r="A408" i="1" s="1"/>
  <c r="A409" i="1" s="1"/>
  <c r="I406" i="1"/>
  <c r="I400" i="1"/>
  <c r="F420" i="1"/>
  <c r="H420" i="1" s="1"/>
  <c r="E395" i="1"/>
  <c r="D395" i="1"/>
  <c r="E394" i="1"/>
  <c r="D394" i="1"/>
  <c r="E393" i="1"/>
  <c r="D393" i="1"/>
  <c r="E392" i="1"/>
  <c r="D392" i="1"/>
  <c r="E391" i="1"/>
  <c r="D391" i="1"/>
  <c r="E390" i="1"/>
  <c r="D390" i="1"/>
  <c r="E384" i="1"/>
  <c r="D384" i="1"/>
  <c r="E382" i="1"/>
  <c r="D382" i="1"/>
  <c r="E381" i="1"/>
  <c r="D381" i="1"/>
  <c r="E380" i="1"/>
  <c r="D380" i="1"/>
  <c r="E379" i="1"/>
  <c r="D379" i="1"/>
  <c r="E378" i="1"/>
  <c r="D378" i="1"/>
  <c r="E377" i="1"/>
  <c r="D377" i="1"/>
  <c r="E376" i="1"/>
  <c r="D376" i="1"/>
  <c r="E375" i="1"/>
  <c r="D375" i="1"/>
  <c r="E362" i="1"/>
  <c r="D362" i="1"/>
  <c r="E360" i="1"/>
  <c r="D360" i="1"/>
  <c r="E359" i="1"/>
  <c r="D359" i="1"/>
  <c r="E358" i="1"/>
  <c r="D358" i="1"/>
  <c r="D357" i="1"/>
  <c r="D356" i="1"/>
  <c r="D355" i="1"/>
  <c r="D354" i="1"/>
  <c r="D353" i="1"/>
  <c r="E351" i="1"/>
  <c r="D351" i="1"/>
  <c r="E350" i="1"/>
  <c r="D350" i="1"/>
  <c r="E349" i="1"/>
  <c r="D349" i="1"/>
  <c r="E348" i="1"/>
  <c r="D348" i="1"/>
  <c r="F348" i="1" s="1"/>
  <c r="H348" i="1" s="1"/>
  <c r="E347" i="1"/>
  <c r="D347" i="1"/>
  <c r="E346" i="1"/>
  <c r="D346" i="1"/>
  <c r="F346" i="1" s="1"/>
  <c r="H346" i="1" s="1"/>
  <c r="E345" i="1"/>
  <c r="D345" i="1"/>
  <c r="E344" i="1"/>
  <c r="D344" i="1"/>
  <c r="E343" i="1"/>
  <c r="D343" i="1"/>
  <c r="E342" i="1"/>
  <c r="D342" i="1"/>
  <c r="E295" i="1"/>
  <c r="E294" i="1"/>
  <c r="F294" i="1"/>
  <c r="H294" i="1" s="1"/>
  <c r="E293" i="1"/>
  <c r="E292" i="1"/>
  <c r="E291" i="1"/>
  <c r="F279" i="1"/>
  <c r="H279" i="1" s="1"/>
  <c r="F268" i="1"/>
  <c r="H268" i="1" s="1"/>
  <c r="F257" i="1"/>
  <c r="H257" i="1" s="1"/>
  <c r="E229" i="1"/>
  <c r="E228" i="1"/>
  <c r="E227" i="1"/>
  <c r="E226" i="1"/>
  <c r="E225" i="1"/>
  <c r="F224" i="1"/>
  <c r="J343" i="1"/>
  <c r="I343" i="1"/>
  <c r="J342" i="1"/>
  <c r="I342" i="1"/>
  <c r="J293" i="1"/>
  <c r="I293" i="1"/>
  <c r="J291" i="1"/>
  <c r="I291" i="1"/>
  <c r="J227" i="1"/>
  <c r="I227" i="1"/>
  <c r="J225" i="1"/>
  <c r="I225" i="1"/>
  <c r="E215" i="1"/>
  <c r="D215" i="1"/>
  <c r="E214" i="1"/>
  <c r="D214" i="1"/>
  <c r="E212" i="1"/>
  <c r="D212" i="1"/>
  <c r="E211" i="1"/>
  <c r="D211" i="1"/>
  <c r="E210" i="1"/>
  <c r="D210" i="1"/>
  <c r="E209" i="1"/>
  <c r="D209" i="1"/>
  <c r="E208" i="1"/>
  <c r="D208" i="1"/>
  <c r="E206" i="1"/>
  <c r="D206" i="1"/>
  <c r="E204" i="1"/>
  <c r="D204" i="1"/>
  <c r="E203" i="1"/>
  <c r="D203" i="1"/>
  <c r="E196" i="1"/>
  <c r="D196" i="1"/>
  <c r="E195" i="1"/>
  <c r="D195" i="1"/>
  <c r="E194" i="1"/>
  <c r="D194" i="1"/>
  <c r="E193" i="1"/>
  <c r="D193" i="1"/>
  <c r="E192" i="1"/>
  <c r="D192" i="1"/>
  <c r="E191" i="1"/>
  <c r="D191" i="1"/>
  <c r="E190" i="1"/>
  <c r="D190" i="1"/>
  <c r="E189" i="1"/>
  <c r="D189" i="1"/>
  <c r="E187" i="1"/>
  <c r="D187" i="1"/>
  <c r="E186" i="1"/>
  <c r="D186" i="1"/>
  <c r="E185" i="1"/>
  <c r="D185" i="1"/>
  <c r="E184" i="1"/>
  <c r="D184" i="1"/>
  <c r="E178" i="1"/>
  <c r="D178" i="1"/>
  <c r="E177" i="1"/>
  <c r="D177" i="1"/>
  <c r="E176" i="1"/>
  <c r="D176" i="1"/>
  <c r="E175" i="1"/>
  <c r="D175" i="1"/>
  <c r="E169" i="1"/>
  <c r="D169" i="1"/>
  <c r="E168" i="1"/>
  <c r="D168" i="1"/>
  <c r="E167" i="1"/>
  <c r="D167" i="1"/>
  <c r="E166" i="1"/>
  <c r="D166" i="1"/>
  <c r="J168" i="1"/>
  <c r="I168" i="1"/>
  <c r="J166" i="1"/>
  <c r="I166" i="1"/>
  <c r="E46" i="1"/>
  <c r="E43" i="1"/>
  <c r="H224" i="1" l="1"/>
  <c r="F362" i="1"/>
  <c r="H362" i="1" s="1"/>
  <c r="F261" i="1"/>
  <c r="H261" i="1" s="1"/>
  <c r="F280" i="1"/>
  <c r="H280" i="1" s="1"/>
  <c r="F358" i="1"/>
  <c r="H358" i="1" s="1"/>
  <c r="F379" i="1"/>
  <c r="H379" i="1" s="1"/>
  <c r="F227" i="1"/>
  <c r="H227" i="1" s="1"/>
  <c r="F400" i="1"/>
  <c r="C143" i="1"/>
  <c r="F452" i="1"/>
  <c r="H452" i="1" s="1"/>
  <c r="C140" i="1"/>
  <c r="F189" i="1"/>
  <c r="H189" i="1" s="1"/>
  <c r="F203" i="1"/>
  <c r="H203" i="1" s="1"/>
  <c r="F214" i="1"/>
  <c r="H214" i="1" s="1"/>
  <c r="F273" i="1"/>
  <c r="H273" i="1" s="1"/>
  <c r="F295" i="1"/>
  <c r="H295" i="1" s="1"/>
  <c r="C142" i="1"/>
  <c r="F460" i="1"/>
  <c r="H460" i="1" s="1"/>
  <c r="F226" i="1"/>
  <c r="H226" i="1" s="1"/>
  <c r="L226" i="1" s="1"/>
  <c r="F258" i="1"/>
  <c r="H258" i="1" s="1"/>
  <c r="F262" i="1"/>
  <c r="H262" i="1" s="1"/>
  <c r="F271" i="1"/>
  <c r="H271" i="1" s="1"/>
  <c r="F281" i="1"/>
  <c r="H281" i="1" s="1"/>
  <c r="F293" i="1"/>
  <c r="H293" i="1" s="1"/>
  <c r="F347" i="1"/>
  <c r="H347" i="1" s="1"/>
  <c r="F351" i="1"/>
  <c r="H351" i="1" s="1"/>
  <c r="F359" i="1"/>
  <c r="H359" i="1" s="1"/>
  <c r="F376" i="1"/>
  <c r="H376" i="1" s="1"/>
  <c r="F380" i="1"/>
  <c r="H380" i="1" s="1"/>
  <c r="F390" i="1"/>
  <c r="H390" i="1" s="1"/>
  <c r="F394" i="1"/>
  <c r="H394" i="1" s="1"/>
  <c r="F429" i="1"/>
  <c r="H429" i="1" s="1"/>
  <c r="F435" i="1"/>
  <c r="H435" i="1" s="1"/>
  <c r="F443" i="1"/>
  <c r="H443" i="1" s="1"/>
  <c r="F167" i="1"/>
  <c r="H167" i="1" s="1"/>
  <c r="F345" i="1"/>
  <c r="H345" i="1" s="1"/>
  <c r="F349" i="1"/>
  <c r="H349" i="1" s="1"/>
  <c r="F431" i="1"/>
  <c r="H431" i="1" s="1"/>
  <c r="F437" i="1"/>
  <c r="H437" i="1" s="1"/>
  <c r="F454" i="1"/>
  <c r="H454" i="1" s="1"/>
  <c r="F459" i="1"/>
  <c r="H459" i="1" s="1"/>
  <c r="F463" i="1"/>
  <c r="H463" i="1" s="1"/>
  <c r="F225" i="1"/>
  <c r="H225" i="1" s="1"/>
  <c r="F270" i="1"/>
  <c r="H270" i="1" s="1"/>
  <c r="F342" i="1"/>
  <c r="H342" i="1" s="1"/>
  <c r="F350" i="1"/>
  <c r="H350" i="1" s="1"/>
  <c r="F260" i="1"/>
  <c r="H260" i="1" s="1"/>
  <c r="F284" i="1"/>
  <c r="H284" i="1" s="1"/>
  <c r="F378" i="1"/>
  <c r="H378" i="1" s="1"/>
  <c r="F382" i="1"/>
  <c r="H382" i="1" s="1"/>
  <c r="F392" i="1"/>
  <c r="H392" i="1" s="1"/>
  <c r="F451" i="1"/>
  <c r="H451" i="1" s="1"/>
  <c r="F457" i="1"/>
  <c r="H457" i="1" s="1"/>
  <c r="F461" i="1"/>
  <c r="H461" i="1" s="1"/>
  <c r="F186" i="1"/>
  <c r="H186" i="1" s="1"/>
  <c r="F195" i="1"/>
  <c r="H195" i="1" s="1"/>
  <c r="F211" i="1"/>
  <c r="H211" i="1" s="1"/>
  <c r="F229" i="1"/>
  <c r="H229" i="1" s="1"/>
  <c r="F169" i="1"/>
  <c r="H169" i="1" s="1"/>
  <c r="F292" i="1"/>
  <c r="H292" i="1" s="1"/>
  <c r="F272" i="1"/>
  <c r="H272" i="1" s="1"/>
  <c r="F344" i="1"/>
  <c r="H344" i="1" s="1"/>
  <c r="F228" i="1"/>
  <c r="H228" i="1" s="1"/>
  <c r="F456" i="1"/>
  <c r="H456" i="1" s="1"/>
  <c r="F177" i="1"/>
  <c r="H177" i="1" s="1"/>
  <c r="F191" i="1"/>
  <c r="H191" i="1" s="1"/>
  <c r="F206" i="1"/>
  <c r="H206" i="1" s="1"/>
  <c r="F430" i="1"/>
  <c r="H430" i="1" s="1"/>
  <c r="F436" i="1"/>
  <c r="H436" i="1" s="1"/>
  <c r="F440" i="1"/>
  <c r="H440" i="1" s="1"/>
  <c r="F269" i="1"/>
  <c r="H269" i="1" s="1"/>
  <c r="F291" i="1"/>
  <c r="H291" i="1" s="1"/>
  <c r="F427" i="1"/>
  <c r="H427" i="1" s="1"/>
  <c r="F441" i="1"/>
  <c r="H441" i="1" s="1"/>
  <c r="F184" i="1"/>
  <c r="H184" i="1" s="1"/>
  <c r="F193" i="1"/>
  <c r="H193" i="1" s="1"/>
  <c r="F209" i="1"/>
  <c r="H209" i="1" s="1"/>
  <c r="F428" i="1"/>
  <c r="H428" i="1" s="1"/>
  <c r="F434" i="1"/>
  <c r="H434" i="1" s="1"/>
  <c r="F438" i="1"/>
  <c r="H438" i="1" s="1"/>
  <c r="F442" i="1"/>
  <c r="H442" i="1" s="1"/>
  <c r="F343" i="1"/>
  <c r="H343" i="1" s="1"/>
  <c r="F375" i="1"/>
  <c r="H375" i="1" s="1"/>
  <c r="F384" i="1"/>
  <c r="H384" i="1" s="1"/>
  <c r="F439" i="1"/>
  <c r="H439" i="1" s="1"/>
  <c r="H401" i="1"/>
  <c r="F176" i="1"/>
  <c r="H176" i="1" s="1"/>
  <c r="F178" i="1"/>
  <c r="H178" i="1" s="1"/>
  <c r="F185" i="1"/>
  <c r="H185" i="1" s="1"/>
  <c r="F187" i="1"/>
  <c r="H187" i="1" s="1"/>
  <c r="F190" i="1"/>
  <c r="H190" i="1" s="1"/>
  <c r="F192" i="1"/>
  <c r="H192" i="1" s="1"/>
  <c r="F194" i="1"/>
  <c r="H194" i="1" s="1"/>
  <c r="F196" i="1"/>
  <c r="H196" i="1" s="1"/>
  <c r="F204" i="1"/>
  <c r="H204" i="1" s="1"/>
  <c r="F208" i="1"/>
  <c r="H208" i="1" s="1"/>
  <c r="F210" i="1"/>
  <c r="H210" i="1" s="1"/>
  <c r="F212" i="1"/>
  <c r="H212" i="1" s="1"/>
  <c r="F215" i="1"/>
  <c r="H215" i="1" s="1"/>
  <c r="F282" i="1"/>
  <c r="H282" i="1" s="1"/>
  <c r="F360" i="1"/>
  <c r="H360" i="1" s="1"/>
  <c r="F377" i="1"/>
  <c r="H377" i="1" s="1"/>
  <c r="F381" i="1"/>
  <c r="H381" i="1" s="1"/>
  <c r="F391" i="1"/>
  <c r="H391" i="1" s="1"/>
  <c r="F393" i="1"/>
  <c r="H393" i="1" s="1"/>
  <c r="F395" i="1"/>
  <c r="H395" i="1" s="1"/>
  <c r="F422" i="1"/>
  <c r="F450" i="1"/>
  <c r="H450" i="1" s="1"/>
  <c r="F458" i="1"/>
  <c r="H458" i="1" s="1"/>
  <c r="F462" i="1"/>
  <c r="H462" i="1" s="1"/>
  <c r="F166" i="1"/>
  <c r="F168" i="1"/>
  <c r="H168" i="1" s="1"/>
  <c r="F259" i="1"/>
  <c r="H259" i="1" s="1"/>
  <c r="F151" i="1"/>
  <c r="H400" i="1" l="1"/>
  <c r="G143" i="1" s="1"/>
  <c r="E143" i="1"/>
  <c r="H422" i="1"/>
  <c r="H166"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l="1"/>
  <c r="E44" i="7"/>
  <c r="E31" i="1"/>
  <c r="B468" i="1" l="1"/>
  <c r="F152" i="1" l="1"/>
  <c r="H152" i="1" s="1"/>
  <c r="F153" i="1"/>
  <c r="H153" i="1" s="1"/>
  <c r="F154" i="1"/>
  <c r="H154" i="1" s="1"/>
  <c r="H151" i="1"/>
  <c r="G59" i="1" l="1"/>
  <c r="C59" i="1"/>
  <c r="G57" i="1"/>
  <c r="C57" i="1"/>
  <c r="C55" i="1"/>
  <c r="S33" i="1" l="1"/>
  <c r="F11" i="5" l="1"/>
  <c r="G11" i="5" s="1"/>
  <c r="F10" i="5"/>
  <c r="G10" i="5" s="1"/>
  <c r="F9" i="5"/>
  <c r="G9" i="5" s="1"/>
  <c r="F8" i="5"/>
  <c r="G8" i="5" s="1"/>
  <c r="F7" i="5"/>
  <c r="G7" i="5" s="1"/>
  <c r="F6" i="5"/>
  <c r="G6" i="5" s="1"/>
  <c r="F5" i="5"/>
  <c r="G5" i="5" s="1"/>
  <c r="G12" i="5" s="1"/>
  <c r="D495" i="1"/>
  <c r="B469" i="1"/>
  <c r="F449" i="1"/>
  <c r="H449" i="1" s="1"/>
  <c r="F448" i="1"/>
  <c r="H448" i="1" s="1"/>
  <c r="F447" i="1"/>
  <c r="H447" i="1" s="1"/>
  <c r="F446" i="1"/>
  <c r="H446" i="1" s="1"/>
  <c r="J446" i="1" s="1"/>
  <c r="F445" i="1"/>
  <c r="E142" i="1" s="1"/>
  <c r="F357" i="1"/>
  <c r="H357" i="1" s="1"/>
  <c r="F356" i="1"/>
  <c r="H356" i="1" s="1"/>
  <c r="F355" i="1"/>
  <c r="H355" i="1" s="1"/>
  <c r="F354" i="1"/>
  <c r="F353" i="1"/>
  <c r="H353" i="1" s="1"/>
  <c r="F290" i="1"/>
  <c r="H290" i="1" s="1"/>
  <c r="F289" i="1"/>
  <c r="H289" i="1" s="1"/>
  <c r="F288" i="1"/>
  <c r="H288" i="1" s="1"/>
  <c r="F287" i="1"/>
  <c r="H287" i="1" s="1"/>
  <c r="F286" i="1"/>
  <c r="F175" i="1"/>
  <c r="A163" i="1"/>
  <c r="A164" i="1" s="1"/>
  <c r="A165" i="1" s="1"/>
  <c r="A166" i="1" s="1"/>
  <c r="A167" i="1" s="1"/>
  <c r="A168" i="1" s="1"/>
  <c r="A169" i="1" s="1"/>
  <c r="A152" i="1"/>
  <c r="A153" i="1" s="1"/>
  <c r="A154" i="1" s="1"/>
  <c r="F132" i="1"/>
  <c r="C106" i="1"/>
  <c r="C92" i="1"/>
  <c r="C78" i="1"/>
  <c r="D72" i="1"/>
  <c r="D65" i="1"/>
  <c r="C51" i="1"/>
  <c r="E44" i="1"/>
  <c r="E45" i="1" s="1"/>
  <c r="E28" i="1"/>
  <c r="E26" i="1"/>
  <c r="C16" i="1"/>
  <c r="I15" i="1"/>
  <c r="Z13" i="1"/>
  <c r="E8" i="1"/>
  <c r="E3" i="1"/>
  <c r="H107" i="1"/>
  <c r="H79" i="1"/>
  <c r="H93" i="1"/>
  <c r="E141" i="1" l="1"/>
  <c r="C141" i="1"/>
  <c r="H175" i="1"/>
  <c r="G140" i="1" s="1"/>
  <c r="E140" i="1"/>
  <c r="H445" i="1"/>
  <c r="G142" i="1" s="1"/>
  <c r="H286" i="1"/>
  <c r="G141" i="1" s="1"/>
  <c r="J78" i="1"/>
  <c r="J80" i="1" s="1"/>
  <c r="J81" i="1"/>
  <c r="J82" i="1"/>
  <c r="J83" i="1"/>
  <c r="C82" i="1" s="1"/>
  <c r="J97" i="1"/>
  <c r="C96" i="1" s="1"/>
  <c r="D101" i="1"/>
  <c r="D103" i="1"/>
  <c r="J96" i="1"/>
  <c r="D102" i="1"/>
  <c r="J92" i="1"/>
  <c r="J94" i="1" s="1"/>
  <c r="D100" i="1"/>
  <c r="J95" i="1"/>
  <c r="D99" i="1"/>
  <c r="D105" i="1"/>
  <c r="D104" i="1"/>
  <c r="D98" i="1"/>
  <c r="D86" i="1"/>
  <c r="D88" i="1"/>
  <c r="D87" i="1"/>
  <c r="D91" i="1"/>
  <c r="D85" i="1"/>
  <c r="D90" i="1"/>
  <c r="D84" i="1"/>
  <c r="D89" i="1"/>
  <c r="J106" i="1"/>
  <c r="J108" i="1" s="1"/>
  <c r="D115" i="1"/>
  <c r="D117" i="1"/>
  <c r="J111" i="1"/>
  <c r="D116" i="1"/>
  <c r="J110" i="1"/>
  <c r="D114" i="1"/>
  <c r="J109" i="1"/>
  <c r="D113" i="1"/>
  <c r="D119" i="1"/>
  <c r="D118" i="1"/>
  <c r="B107" i="1"/>
  <c r="B93" i="1"/>
  <c r="B79" i="1"/>
  <c r="J84" i="1" s="1"/>
  <c r="J141" i="1" l="1"/>
  <c r="C144" i="1"/>
  <c r="C145" i="1" s="1"/>
  <c r="C110" i="1"/>
  <c r="D110" i="1" s="1"/>
  <c r="E144" i="1"/>
  <c r="E145" i="1" s="1"/>
  <c r="G144" i="1"/>
  <c r="G145" i="1" s="1"/>
  <c r="D96" i="1"/>
  <c r="D82" i="1"/>
  <c r="D112" i="1"/>
  <c r="J117" i="1"/>
  <c r="J114" i="1"/>
  <c r="J116" i="1"/>
  <c r="J115" i="1"/>
  <c r="J112" i="1"/>
  <c r="J113" i="1" s="1"/>
  <c r="J118" i="1" s="1"/>
  <c r="J119" i="1" s="1"/>
  <c r="J103" i="1"/>
  <c r="J100" i="1"/>
  <c r="J102" i="1"/>
  <c r="J101" i="1"/>
  <c r="J98" i="1"/>
  <c r="J99" i="1" s="1"/>
  <c r="J88" i="1"/>
  <c r="J86" i="1"/>
  <c r="J87" i="1"/>
  <c r="J85" i="1"/>
  <c r="J90" i="1" s="1"/>
  <c r="J91" i="1" s="1"/>
  <c r="C83" i="1" s="1"/>
  <c r="J89" i="1"/>
  <c r="C111" i="1" l="1"/>
  <c r="E110" i="1" s="1"/>
  <c r="J79" i="1"/>
  <c r="J104" i="1"/>
  <c r="J105" i="1" s="1"/>
  <c r="E82" i="1"/>
  <c r="D83" i="1"/>
  <c r="I79" i="1" s="1"/>
  <c r="G82" i="1"/>
  <c r="D76" i="1" s="1"/>
  <c r="G110" i="1" l="1"/>
  <c r="D111" i="1"/>
  <c r="I107" i="1" s="1"/>
  <c r="I108" i="1" s="1"/>
  <c r="J107" i="1"/>
  <c r="C97" i="1"/>
  <c r="F77" i="1"/>
  <c r="D77" i="1"/>
  <c r="I80" i="1"/>
  <c r="I78" i="1" s="1"/>
  <c r="C80" i="1" s="1"/>
  <c r="I106" i="1" l="1"/>
  <c r="C108" i="1" s="1"/>
  <c r="E96" i="1"/>
  <c r="D97" i="1"/>
  <c r="I93" i="1" s="1"/>
  <c r="I94" i="1" s="1"/>
  <c r="G96" i="1"/>
  <c r="J93" i="1"/>
  <c r="I92" i="1" l="1"/>
  <c r="C9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C60" authorId="1" shapeId="0">
      <text>
        <r>
          <rPr>
            <b/>
            <sz val="9"/>
            <color indexed="81"/>
            <rFont val="Tahoma"/>
            <family val="2"/>
          </rPr>
          <t>SACHIN:</t>
        </r>
        <r>
          <rPr>
            <sz val="9"/>
            <color indexed="81"/>
            <rFont val="Tahoma"/>
            <family val="2"/>
          </rPr>
          <t xml:space="preserve">
Height from AMSL</t>
        </r>
      </text>
    </comment>
    <comment ref="D6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5"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<sst xmlns="http://schemas.openxmlformats.org/spreadsheetml/2006/main" count="1021" uniqueCount="444">
  <si>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</si>
  <si>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</si>
  <si>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</si>
  <si>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</si>
  <si>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</si>
  <si>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</si>
  <si>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</si>
  <si>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</si>
  <si>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</si>
  <si>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</si>
  <si>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</si>
  <si>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</si>
  <si>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</si>
  <si>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</si>
  <si>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</si>
  <si>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</si>
  <si>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</si>
  <si>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</si>
  <si>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</si>
  <si>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</si>
  <si>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</si>
  <si>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</si>
  <si>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</si>
  <si>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</si>
  <si>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</si>
  <si>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</si>
  <si>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</si>
  <si>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</si>
  <si>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</si>
  <si>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</si>
  <si>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</si>
  <si>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</si>
  <si>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</si>
  <si>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</si>
  <si>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</si>
  <si>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</si>
  <si>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</si>
  <si>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</si>
  <si>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</si>
  <si>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</si>
  <si>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</si>
  <si>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</si>
  <si>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</si>
  <si>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</si>
  <si>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</si>
  <si>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</si>
  <si>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</si>
  <si>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</si>
  <si>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</si>
  <si>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</si>
  <si>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</si>
  <si>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</si>
  <si>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</si>
  <si>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</si>
  <si>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</si>
  <si>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</si>
  <si>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</si>
  <si>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</si>
  <si>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</si>
  <si>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</si>
  <si>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</si>
  <si>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</si>
  <si>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</si>
  <si>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</si>
  <si>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</si>
  <si>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</si>
  <si>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</si>
  <si>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</si>
  <si>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</si>
  <si>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</si>
  <si>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</si>
  <si>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</si>
  <si>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</si>
  <si>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</si>
  <si>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</si>
  <si>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</si>
  <si>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</si>
  <si>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</si>
  <si>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</si>
  <si>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</si>
  <si>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</si>
  <si>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</si>
  <si>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</si>
  <si>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</si>
  <si>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</si>
  <si>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</si>
  <si>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</si>
  <si>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</si>
  <si>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</si>
  <si>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</si>
  <si>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</si>
  <si>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</si>
  <si>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</si>
  <si>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</si>
  <si>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</si>
  <si>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</si>
  <si>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</si>
  <si>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</si>
  <si>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</si>
  <si>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</si>
  <si>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</si>
  <si>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</si>
  <si>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</si>
  <si>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</si>
  <si>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</si>
  <si>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</si>
  <si>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</si>
  <si>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</si>
  <si>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</si>
  <si>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</si>
  <si>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</si>
  <si>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</si>
  <si>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</si>
  <si>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</si>
  <si>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</si>
  <si>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</si>
  <si>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</si>
  <si>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</si>
  <si>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</si>
  <si>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</si>
  <si>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</si>
  <si>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</si>
  <si>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</si>
  <si>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</si>
  <si>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</si>
  <si>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</si>
  <si>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</si>
  <si>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</si>
  <si>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</si>
  <si>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</si>
  <si>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</si>
  <si>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</si>
  <si>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</si>
  <si>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</si>
  <si>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</si>
  <si>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</si>
  <si>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</si>
  <si>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</si>
  <si>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</si>
  <si>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</si>
  <si>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</si>
  <si>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</si>
  <si>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</si>
  <si>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</si>
  <si>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</si>
  <si>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</si>
  <si>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</si>
  <si>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</si>
  <si>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</si>
  <si>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</si>
  <si>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</si>
  <si>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</si>
  <si>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</si>
  <si>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</si>
  <si>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</si>
  <si>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</si>
  <si>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</si>
  <si>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</si>
  <si>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</si>
  <si>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</si>
  <si>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</si>
  <si>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</si>
  <si>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</si>
  <si>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</si>
  <si>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</si>
  <si>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</si>
  <si>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</si>
  <si>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</si>
  <si>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</si>
  <si>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</si>
  <si>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</si>
  <si>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</si>
  <si>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</si>
  <si>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</si>
  <si>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</si>
  <si>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</si>
  <si>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</si>
  <si>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</si>
  <si>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</si>
  <si>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</si>
  <si>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</si>
  <si>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</si>
  <si>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</si>
  <si>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</si>
  <si>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</si>
  <si>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</si>
  <si>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</si>
  <si>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</si>
  <si>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</si>
  <si>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</si>
  <si>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</si>
  <si>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</si>
  <si>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</si>
  <si>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</si>
  <si>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</si>
  <si>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</si>
  <si>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</si>
  <si>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</si>
  <si>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</si>
  <si>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</si>
  <si>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</si>
  <si>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</si>
  <si>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</si>
  <si>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</si>
  <si>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</si>
  <si>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</si>
  <si>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</si>
  <si>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</si>
  <si>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</si>
  <si>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</si>
  <si>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</si>
  <si>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</si>
  <si>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</si>
  <si>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</si>
  <si>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</si>
  <si>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</si>
  <si>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</si>
  <si>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</si>
  <si>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</si>
  <si>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</si>
  <si>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</si>
  <si>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</si>
  <si>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</si>
  <si>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</si>
  <si>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</si>
  <si>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</si>
  <si>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</si>
  <si>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</si>
  <si>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</si>
  <si>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</si>
  <si>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</si>
  <si>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</si>
  <si>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</si>
  <si>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</si>
  <si>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</si>
  <si>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</si>
  <si>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</si>
  <si>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</si>
  <si>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</si>
  <si>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</si>
  <si>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</si>
  <si>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</si>
  <si>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</si>
  <si>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</si>
  <si>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</si>
  <si>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</si>
  <si>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</si>
  <si>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</si>
  <si>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</si>
  <si>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</si>
  <si>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</si>
  <si>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</si>
  <si>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</si>
  <si>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</si>
  <si>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</si>
  <si>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</si>
  <si>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</si>
  <si>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</si>
  <si>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</si>
  <si>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</si>
  <si>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</si>
  <si>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</si>
  <si>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</si>
  <si>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</si>
  <si>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</si>
  <si>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</si>
  <si>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</si>
  <si>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</si>
  <si>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</si>
  <si>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</si>
  <si>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</si>
  <si>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</si>
  <si>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</si>
  <si>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</si>
  <si>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</si>
  <si>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</si>
  <si>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</si>
  <si>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</si>
  <si>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</si>
  <si>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</si>
  <si>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</si>
  <si>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</si>
  <si>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</si>
  <si>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</si>
  <si>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</si>
  <si>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</si>
  <si>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</si>
  <si>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</si>
  <si>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</si>
  <si>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</si>
  <si>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</si>
  <si>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</si>
  <si>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</si>
  <si>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</si>
  <si>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</si>
  <si>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</si>
  <si>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</si>
  <si>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</si>
  <si>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</si>
  <si>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</si>
  <si>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</si>
  <si>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</si>
  <si>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</si>
  <si>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</si>
  <si>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</si>
  <si>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</si>
  <si>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</si>
  <si>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</si>
  <si>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</si>
  <si>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</si>
  <si>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</si>
  <si>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</si>
  <si>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</si>
  <si>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</si>
  <si>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</si>
  <si>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</si>
  <si>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</si>
  <si>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</si>
  <si>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</si>
  <si>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</si>
  <si>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</si>
  <si>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</si>
  <si>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</si>
  <si>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</si>
  <si>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</si>
  <si>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</si>
  <si>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</si>
  <si>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</si>
  <si>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</si>
  <si>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</si>
  <si>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</si>
  <si>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</si>
  <si>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</si>
  <si>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Ajay Pratap Ashar</t>
  </si>
  <si>
    <t>Ashar Merac Phase I</t>
  </si>
  <si>
    <t>Mr. Akshay 8657882748</t>
  </si>
  <si>
    <t>Building D1, D2 &amp; D3</t>
  </si>
  <si>
    <t>Pachpakhadi</t>
  </si>
  <si>
    <t>412, H No.2(Pt), S No. 413 H No.2(PT), S No.422 H .No.2(Pt) of SubPlot A1 &amp; H No.412 H No.2(Pt) of Sub plot A2 &amp; S No.425 H No.2(PT), S No.426(PT) of subplot A4-X &amp; S No.423 HNo.2,S No.426 H No.2(Pt),S No.484(part) of subplot A5</t>
  </si>
  <si>
    <t>Survey No</t>
  </si>
  <si>
    <t>Shree Nagar</t>
  </si>
  <si>
    <t>SG Barve Marg</t>
  </si>
  <si>
    <t>P51700056361</t>
  </si>
  <si>
    <t>03 Building</t>
  </si>
  <si>
    <t>Thane Municipal Corporation</t>
  </si>
  <si>
    <t>Building D3 = Stilt + 1st(Part) to 35th Floor</t>
  </si>
  <si>
    <t>As per RERA - 31/12/2028</t>
  </si>
  <si>
    <t>Open Plot</t>
  </si>
  <si>
    <t>Internal Road</t>
  </si>
  <si>
    <t>Under Construction Bldg</t>
  </si>
  <si>
    <t>19.193730,72.947481</t>
  </si>
  <si>
    <t>https://maps.app.goo.gl/68RTbjVVcJbuAZLS7</t>
  </si>
  <si>
    <t>Building D1</t>
  </si>
  <si>
    <t>Podium Parking</t>
  </si>
  <si>
    <t>3BHK</t>
  </si>
  <si>
    <t>2BHK</t>
  </si>
  <si>
    <t>6th Floor</t>
  </si>
  <si>
    <t>2nd to 5th Floor For Residential &amp; Podium Parking(Part)</t>
  </si>
  <si>
    <t>Void</t>
  </si>
  <si>
    <t>7th Floor (Part Amenities)</t>
  </si>
  <si>
    <t>Amenities Area</t>
  </si>
  <si>
    <t>9th to 12th, 14th to 17th, 19th, 21st, 23rd to 26th, 28th to 30th, 32nd to 36th Floor</t>
  </si>
  <si>
    <t>Building D1 = Stilt + 1st(Part) to 36th Floor</t>
  </si>
  <si>
    <t>20th Floor For Recreational Area</t>
  </si>
  <si>
    <t>Refuge Area</t>
  </si>
  <si>
    <t>8th Floor(Part Refuge Area)</t>
  </si>
  <si>
    <t>Amenity Below</t>
  </si>
  <si>
    <t>13th, 18th, 22nd, 27th &amp; 31st Floor(Part Refuge)</t>
  </si>
  <si>
    <t>1st Floor For Podium Parking</t>
  </si>
  <si>
    <t>Building D2</t>
  </si>
  <si>
    <t>1BHK</t>
  </si>
  <si>
    <t>Premium Entrance Lounge</t>
  </si>
  <si>
    <t>Gym</t>
  </si>
  <si>
    <t>7th Floor</t>
  </si>
  <si>
    <t>8th Floor(Part Refuge)</t>
  </si>
  <si>
    <t>We considered Gross carpet area = Net carpet + Balcony + C.B Area.</t>
  </si>
  <si>
    <t>20th Floor (Recreational Area)</t>
  </si>
  <si>
    <t>Common Terrace</t>
  </si>
  <si>
    <t>We have done APF Valuation for Building D1, D2 &amp; D3 as they are registered on RERA site.</t>
  </si>
  <si>
    <t>5th Floor</t>
  </si>
  <si>
    <t>Mhada</t>
  </si>
  <si>
    <t>6th, 7th, 9th to 12th, 14th to 17th &amp; 19th Floor</t>
  </si>
  <si>
    <t>Sale</t>
  </si>
  <si>
    <t>Sale / Mhada</t>
  </si>
  <si>
    <t>Building D1(Sale)</t>
  </si>
  <si>
    <t>2nd to 4th Floor For Residential</t>
  </si>
  <si>
    <t>21st, 23rd to 26th, 28th to 30th, 32nd to 35th Floors</t>
  </si>
  <si>
    <t>Ajay Songare</t>
  </si>
  <si>
    <t>Tennis Court, Swimming Pool, Indoor Games &amp; etc.</t>
  </si>
  <si>
    <t>As per Approved Plans</t>
  </si>
  <si>
    <t>Sub Plot A3</t>
  </si>
  <si>
    <t>Nalla</t>
  </si>
  <si>
    <t>Sub Plot A1</t>
  </si>
  <si>
    <t xml:space="preserve"> Nalla</t>
  </si>
  <si>
    <t>Other Plot</t>
  </si>
  <si>
    <t>Finland International School</t>
  </si>
  <si>
    <t>VP2000/83/TMCB/TDD/0129/P/C/2024/AUTODCR</t>
  </si>
  <si>
    <t xml:space="preserve">Building D2 = Stilt + 1st(pt) to 2nd(pt) /Podium parking
</t>
  </si>
  <si>
    <t>VP No.2000/83 TMC/TDD/16</t>
  </si>
  <si>
    <t>CC Refered From RERA Site</t>
  </si>
  <si>
    <t>We have taken reference of Commencement Certificate from RERA website.</t>
  </si>
  <si>
    <t>Thane West</t>
  </si>
  <si>
    <t>3.7KM from Thane Railway Station</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</si>
  <si>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</si>
  <si>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</si>
  <si>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</si>
  <si>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 xml:space="preserve">Ground Floor For Society Office, Double Height Entrance Lobby &amp; Meter Room </t>
  </si>
  <si>
    <t>22nd, 27th &amp; 31st Floor (Part Refuge)</t>
  </si>
  <si>
    <t>8th, 13th &amp; 18th Floor (Part Refuge)</t>
  </si>
  <si>
    <t>Building D3 (Sale + Mhada)</t>
  </si>
  <si>
    <t>25th Floor (Part Terrace)</t>
  </si>
  <si>
    <t>21st, 23rd &amp; 24th Floor</t>
  </si>
  <si>
    <t>Security</t>
  </si>
  <si>
    <t>11500 TO 12000</t>
  </si>
  <si>
    <t xml:space="preserve">Sanjay </t>
  </si>
  <si>
    <t>Verbal</t>
  </si>
  <si>
    <t>Case D2 1302 area changes</t>
  </si>
  <si>
    <t>22nd Floor (Part Refuge Area)</t>
  </si>
  <si>
    <t>13th Floor (Part Refuge Area)</t>
  </si>
  <si>
    <t>18th Floor (Part Refuge Area)</t>
  </si>
  <si>
    <t>Sale area changed to 633 from 585 by sanjay for Case D2 1302 on 30/03/2025</t>
  </si>
  <si>
    <t xml:space="preserve">Recommended Rates / Other charges of the Property have been revised on 30/03/2025. </t>
  </si>
  <si>
    <t xml:space="preserve">Approved Floor plan No.
(Building D2)  </t>
  </si>
  <si>
    <t>V.P.2000/83/TMC/TDD/49</t>
  </si>
  <si>
    <t>VP No.2000/83 TMC/TDD/49</t>
  </si>
  <si>
    <t>Building D1 = Stilt + 1st(Part) to 5th(Part) Podium Parking + 6th to 12th Floor
Building D2 = Stilt + 1st(pt) to 2nd(pt) /Podium parking
Building D3 = Stilt + 1st to 12th Floor.</t>
  </si>
  <si>
    <t xml:space="preserve">Ground Floor For Double Height Entrance Lobby &amp; Meter Room </t>
  </si>
  <si>
    <t>2nd Floor For Residential &amp; Podium Parking(Part)</t>
  </si>
  <si>
    <t>3rd to 4th For Residential &amp; Podium Parking(Part)</t>
  </si>
  <si>
    <t>5th For Residential &amp; Podium Parking(Part)</t>
  </si>
  <si>
    <t>9th to 12th, 14th to 17th &amp; 19th Floor</t>
  </si>
  <si>
    <t>13th &amp; 18th Floor (Part Refuge Area)</t>
  </si>
  <si>
    <t>22nd, 27th &amp; 31st Floor (Part Refuge Area)</t>
  </si>
  <si>
    <t>21st Floor</t>
  </si>
  <si>
    <t>23rd to 26th, 28th to 30th &amp; 32nd Floor</t>
  </si>
  <si>
    <t>We have updated latest CC &amp; latest approved floor plans for building D2 (On 23/04/2025).</t>
  </si>
  <si>
    <t>Building D1 = Stilt + 1st(Part) to 36th Floor
Building D2 = Stilt + 1st( pt) to 5th (pt) Floor + 6th to 32nd Floor
Building D3 = Stilt + 1st to 35th Floor.</t>
  </si>
  <si>
    <t>Building D2 = Stilt + 1st( pt) to 5th (pt) Floor + 6th to 32nd Floor</t>
  </si>
  <si>
    <t>Sale Flats - 788, Mhada Flats - 40</t>
  </si>
  <si>
    <t>Building D3</t>
  </si>
  <si>
    <t>Building D2 (Sale)</t>
  </si>
  <si>
    <t xml:space="preserve">The construction percentage of Building D2 has been reduced due to the approved numbers of floor.
</t>
  </si>
  <si>
    <t>Building D1, D2 &amp; D3 = Construction work is in process at the time of visit. 
(Internal visit was not allowed.)</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</si>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</sst>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4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9"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8" xfId="1" applyFont="1" applyBorder="1"/>
    <xf numFmtId="0" fontId="17" fillId="0" borderId="8" xfId="0" applyFont="1" applyBorder="1" applyProtection="1">
      <protection hidden="1"/>
    </xf>
    <xf numFmtId="1" fontId="0" fillId="0" borderId="8" xfId="0" applyNumberFormat="1" applyBorder="1"/>
    <xf numFmtId="1" fontId="0" fillId="0" borderId="8" xfId="0" applyNumberFormat="1" applyBorder="1" applyAlignment="1">
      <alignment horizontal="right"/>
    </xf>
    <xf numFmtId="1" fontId="0" fillId="0" borderId="10"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3" fillId="2" borderId="22" xfId="0" applyFont="1" applyFill="1" applyBorder="1"/>
    <xf numFmtId="0" fontId="24" fillId="0" borderId="23"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19" xfId="0" applyBorder="1"/>
    <xf numFmtId="0" fontId="0" fillId="0" borderId="6"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1" fontId="5" fillId="0" borderId="6" xfId="1" applyNumberFormat="1" applyFont="1" applyBorder="1" applyAlignment="1" applyProtection="1">
      <alignment horizontal="center" vertical="center" wrapText="1"/>
      <protection locked="0"/>
    </xf>
    <xf numFmtId="2" fontId="6" fillId="0" borderId="0" xfId="1" applyNumberFormat="1" applyFont="1" applyAlignment="1">
      <alignment horizontal="center" vertical="center"/>
    </xf>
    <xf numFmtId="164" fontId="6" fillId="0" borderId="0" xfId="1" applyNumberFormat="1" applyFont="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2"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1" fontId="6" fillId="0" borderId="0" xfId="0" applyNumberFormat="1" applyFont="1" applyAlignment="1">
      <alignment horizontal="center" vertical="center"/>
    </xf>
    <xf numFmtId="1" fontId="6" fillId="0" borderId="1" xfId="1" applyNumberFormat="1" applyFont="1" applyBorder="1" applyAlignment="1" applyProtection="1">
      <alignment horizontal="center" vertical="top" wrapText="1"/>
      <protection locked="0"/>
    </xf>
    <xf numFmtId="0" fontId="23" fillId="2" borderId="11" xfId="0" applyFont="1" applyFill="1" applyBorder="1"/>
    <xf numFmtId="0" fontId="24" fillId="0" borderId="7" xfId="0" applyFont="1" applyBorder="1"/>
    <xf numFmtId="0" fontId="5" fillId="5" borderId="1" xfId="1" applyFont="1" applyFill="1" applyBorder="1" applyAlignment="1" applyProtection="1">
      <alignment vertical="top" wrapText="1"/>
      <protection locked="0"/>
    </xf>
    <xf numFmtId="0" fontId="11" fillId="0" borderId="3" xfId="1" applyFont="1" applyBorder="1" applyAlignment="1" applyProtection="1">
      <alignment horizontal="center" vertical="top" wrapText="1"/>
      <protection locked="0"/>
    </xf>
    <xf numFmtId="9" fontId="11" fillId="0" borderId="3" xfId="8" applyFont="1" applyFill="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 fontId="5" fillId="0" borderId="6" xfId="1" applyNumberFormat="1" applyFont="1" applyBorder="1" applyAlignment="1" applyProtection="1">
      <alignment horizontal="center" vertical="center" wrapText="1"/>
      <protection locked="0"/>
    </xf>
    <xf numFmtId="1" fontId="5" fillId="0" borderId="7" xfId="1" applyNumberFormat="1" applyFont="1" applyBorder="1" applyAlignment="1" applyProtection="1">
      <alignment horizontal="center" vertical="center" wrapText="1"/>
      <protection locked="0"/>
    </xf>
    <xf numFmtId="1" fontId="12" fillId="0" borderId="6" xfId="0" applyNumberFormat="1" applyFont="1" applyBorder="1" applyAlignment="1" applyProtection="1">
      <alignment vertical="top" wrapText="1"/>
      <protection locked="0"/>
    </xf>
    <xf numFmtId="1" fontId="12" fillId="0" borderId="17" xfId="0" applyNumberFormat="1" applyFont="1" applyBorder="1" applyAlignment="1" applyProtection="1">
      <alignment vertical="top" wrapText="1"/>
      <protection locked="0"/>
    </xf>
    <xf numFmtId="1" fontId="12" fillId="0" borderId="7" xfId="0" applyNumberFormat="1" applyFont="1" applyBorder="1" applyAlignment="1" applyProtection="1">
      <alignment vertical="top" wrapText="1"/>
      <protection locked="0"/>
    </xf>
    <xf numFmtId="1" fontId="5" fillId="0" borderId="3" xfId="0" applyNumberFormat="1" applyFont="1" applyBorder="1" applyAlignment="1" applyProtection="1">
      <alignment horizontal="center" vertical="center" wrapText="1"/>
      <protection locked="0"/>
    </xf>
    <xf numFmtId="1" fontId="5" fillId="0" borderId="12"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0" fontId="6" fillId="0" borderId="27"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2" fillId="0" borderId="1" xfId="1"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0" fontId="6" fillId="0" borderId="0" xfId="1" applyFont="1" applyAlignment="1">
      <alignment horizontal="center" vertical="center"/>
    </xf>
    <xf numFmtId="1" fontId="7" fillId="0" borderId="6"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7" xfId="1" applyNumberFormat="1" applyFont="1" applyBorder="1" applyAlignment="1" applyProtection="1">
      <alignment horizontal="center" vertical="center" wrapText="1"/>
      <protection locked="0"/>
    </xf>
    <xf numFmtId="0" fontId="5" fillId="0" borderId="1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14" fontId="5" fillId="0" borderId="6" xfId="1" applyNumberFormat="1" applyFont="1" applyBorder="1" applyAlignment="1" applyProtection="1">
      <alignment horizontal="left" vertical="top" wrapText="1"/>
      <protection locked="0"/>
    </xf>
    <xf numFmtId="0" fontId="5" fillId="5" borderId="6" xfId="1" applyFont="1" applyFill="1" applyBorder="1" applyAlignment="1" applyProtection="1">
      <alignment horizontal="left" vertical="top" wrapText="1"/>
      <protection locked="0"/>
    </xf>
    <xf numFmtId="0" fontId="5" fillId="5" borderId="7" xfId="1" applyFont="1" applyFill="1" applyBorder="1" applyAlignment="1" applyProtection="1">
      <alignment horizontal="left" vertical="top" wrapText="1"/>
      <protection locked="0"/>
    </xf>
    <xf numFmtId="0" fontId="5" fillId="5" borderId="17" xfId="1" applyFont="1" applyFill="1" applyBorder="1" applyAlignment="1" applyProtection="1">
      <alignment horizontal="left" vertical="top" wrapText="1"/>
      <protection locked="0"/>
    </xf>
    <xf numFmtId="14" fontId="5" fillId="5" borderId="6" xfId="1" applyNumberFormat="1" applyFont="1" applyFill="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1" fontId="12" fillId="0" borderId="3" xfId="1" applyNumberFormat="1" applyFont="1" applyBorder="1" applyAlignment="1" applyProtection="1">
      <alignment horizontal="center" vertical="top" wrapText="1"/>
      <protection locked="0"/>
    </xf>
    <xf numFmtId="1" fontId="12" fillId="0" borderId="12"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5" fillId="0" borderId="13"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4"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0" xfId="1" applyNumberFormat="1" applyFont="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5" fillId="0" borderId="15"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16" xfId="1" applyNumberFormat="1" applyFont="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9" fontId="6" fillId="0" borderId="1" xfId="8"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0" fontId="7" fillId="0" borderId="1" xfId="1" applyFont="1" applyBorder="1" applyAlignment="1" applyProtection="1">
      <alignment horizontal="left" vertical="top"/>
      <protection locked="0"/>
    </xf>
    <xf numFmtId="0" fontId="12" fillId="0" borderId="6"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9" fontId="11" fillId="0" borderId="13" xfId="8" applyFont="1" applyFill="1" applyBorder="1" applyAlignment="1" applyProtection="1">
      <alignment horizontal="center" vertical="center" wrapText="1"/>
      <protection locked="0"/>
    </xf>
    <xf numFmtId="9" fontId="11" fillId="0" borderId="21" xfId="8" applyFont="1" applyFill="1" applyBorder="1" applyAlignment="1" applyProtection="1">
      <alignment horizontal="center" vertical="center" wrapText="1"/>
      <protection locked="0"/>
    </xf>
    <xf numFmtId="9" fontId="11" fillId="0" borderId="19" xfId="8" applyFont="1" applyFill="1" applyBorder="1" applyAlignment="1" applyProtection="1">
      <alignment horizontal="center" vertical="center" wrapText="1"/>
      <protection locked="0"/>
    </xf>
    <xf numFmtId="9" fontId="11" fillId="0" borderId="8" xfId="8" applyFont="1" applyFill="1" applyBorder="1" applyAlignment="1" applyProtection="1">
      <alignment horizontal="center" vertical="center" wrapText="1"/>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1" fontId="12" fillId="0" borderId="6" xfId="1"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center" wrapText="1"/>
      <protection locked="0"/>
    </xf>
    <xf numFmtId="1" fontId="12" fillId="0" borderId="7" xfId="1" applyNumberFormat="1" applyFont="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2" xfId="1" applyNumberFormat="1" applyFont="1" applyBorder="1" applyAlignment="1" applyProtection="1">
      <alignment horizontal="center" vertical="top" wrapText="1"/>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3"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9" fontId="11" fillId="0" borderId="14" xfId="8" applyFont="1" applyFill="1" applyBorder="1" applyAlignment="1" applyProtection="1">
      <alignment horizontal="center" vertical="center" wrapText="1"/>
      <protection locked="0"/>
    </xf>
    <xf numFmtId="9" fontId="11" fillId="0" borderId="20" xfId="8"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vertical="top"/>
      <protection locked="0"/>
    </xf>
    <xf numFmtId="1" fontId="7" fillId="0" borderId="25" xfId="0" applyNumberFormat="1" applyFont="1" applyBorder="1" applyAlignment="1" applyProtection="1">
      <alignment horizontal="center" vertical="top" wrapText="1"/>
      <protection locked="0"/>
    </xf>
    <xf numFmtId="1" fontId="7" fillId="0" borderId="26" xfId="0" applyNumberFormat="1" applyFont="1" applyBorder="1" applyAlignment="1" applyProtection="1">
      <alignment horizontal="center" vertical="top" wrapText="1"/>
      <protection locked="0"/>
    </xf>
    <xf numFmtId="0" fontId="7" fillId="0" borderId="12" xfId="1" applyFont="1" applyBorder="1" applyAlignment="1" applyProtection="1">
      <alignment horizontal="center" vertical="top"/>
      <protection locked="0"/>
    </xf>
    <xf numFmtId="1" fontId="12" fillId="0" borderId="13" xfId="1" applyNumberFormat="1" applyFont="1" applyBorder="1" applyAlignment="1" applyProtection="1">
      <alignment horizontal="center" vertical="top" wrapText="1"/>
      <protection locked="0"/>
    </xf>
    <xf numFmtId="1" fontId="12" fillId="0" borderId="15" xfId="1" applyNumberFormat="1" applyFont="1" applyBorder="1" applyAlignment="1" applyProtection="1">
      <alignment horizontal="center" vertical="top" wrapText="1"/>
      <protection locked="0"/>
    </xf>
    <xf numFmtId="1" fontId="11" fillId="0" borderId="6" xfId="1" applyNumberFormat="1" applyFont="1" applyBorder="1" applyAlignment="1" applyProtection="1">
      <alignment horizontal="center" vertical="center" wrapText="1"/>
      <protection locked="0"/>
    </xf>
    <xf numFmtId="1" fontId="11" fillId="0" borderId="7" xfId="1" applyNumberFormat="1" applyFont="1" applyBorder="1" applyAlignment="1" applyProtection="1">
      <alignment horizontal="center" vertical="center" wrapText="1"/>
      <protection locked="0"/>
    </xf>
    <xf numFmtId="1" fontId="7" fillId="0" borderId="24" xfId="0" applyNumberFormat="1" applyFont="1" applyBorder="1" applyAlignment="1" applyProtection="1">
      <alignment horizontal="center" vertical="center" wrapText="1"/>
      <protection locked="0"/>
    </xf>
    <xf numFmtId="1" fontId="7" fillId="0" borderId="25" xfId="0" applyNumberFormat="1" applyFont="1" applyBorder="1" applyAlignment="1" applyProtection="1">
      <alignment horizontal="center" vertical="center" wrapText="1"/>
      <protection locked="0"/>
    </xf>
    <xf numFmtId="0" fontId="9" fillId="0" borderId="25" xfId="0" applyFont="1" applyBorder="1" applyAlignment="1" applyProtection="1">
      <alignment horizontal="center" vertical="center"/>
      <protection locked="0"/>
    </xf>
    <xf numFmtId="1" fontId="9" fillId="0" borderId="25" xfId="0" applyNumberFormat="1" applyFont="1" applyBorder="1" applyAlignment="1" applyProtection="1">
      <alignment horizontal="center" vertical="top" wrapText="1"/>
      <protection locked="0"/>
    </xf>
    <xf numFmtId="1" fontId="11" fillId="0" borderId="17" xfId="1" applyNumberFormat="1" applyFont="1" applyBorder="1" applyAlignment="1" applyProtection="1">
      <alignment horizontal="center" vertical="center" wrapText="1"/>
      <protection locked="0"/>
    </xf>
    <xf numFmtId="1" fontId="7" fillId="0" borderId="6" xfId="0" applyNumberFormat="1" applyFont="1" applyBorder="1" applyAlignment="1" applyProtection="1">
      <alignment vertical="top" wrapText="1"/>
      <protection locked="0"/>
    </xf>
    <xf numFmtId="1" fontId="7" fillId="0" borderId="17" xfId="0" applyNumberFormat="1" applyFont="1" applyBorder="1" applyAlignment="1" applyProtection="1">
      <alignment vertical="top" wrapText="1"/>
      <protection locked="0"/>
    </xf>
    <xf numFmtId="1" fontId="7" fillId="0" borderId="7" xfId="0" applyNumberFormat="1" applyFont="1" applyBorder="1" applyAlignment="1" applyProtection="1">
      <alignment vertical="top" wrapText="1"/>
      <protection locked="0"/>
    </xf>
    <xf numFmtId="1" fontId="11" fillId="0" borderId="1" xfId="0" applyNumberFormat="1" applyFont="1" applyBorder="1" applyAlignment="1" applyProtection="1">
      <alignment horizontal="center" vertical="center" wrapText="1"/>
      <protection locked="0"/>
    </xf>
    <xf numFmtId="1" fontId="16" fillId="0" borderId="6" xfId="0" applyNumberFormat="1" applyFont="1" applyBorder="1" applyAlignment="1" applyProtection="1">
      <alignment vertical="top" wrapText="1"/>
      <protection locked="0"/>
    </xf>
    <xf numFmtId="1" fontId="16" fillId="0" borderId="17" xfId="0" applyNumberFormat="1" applyFont="1" applyBorder="1" applyAlignment="1" applyProtection="1">
      <alignment vertical="top" wrapText="1"/>
      <protection locked="0"/>
    </xf>
    <xf numFmtId="1" fontId="16" fillId="0" borderId="7"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1" fillId="0" borderId="1" xfId="1" applyFont="1" applyBorder="1" applyAlignment="1" applyProtection="1">
      <alignment vertical="top"/>
      <protection locked="0"/>
    </xf>
    <xf numFmtId="1" fontId="7" fillId="5" borderId="6" xfId="1" applyNumberFormat="1" applyFont="1" applyFill="1" applyBorder="1" applyAlignment="1" applyProtection="1">
      <alignment horizontal="center" vertical="center" wrapText="1"/>
      <protection locked="0"/>
    </xf>
    <xf numFmtId="1" fontId="7" fillId="5" borderId="17" xfId="1" applyNumberFormat="1" applyFont="1" applyFill="1" applyBorder="1" applyAlignment="1" applyProtection="1">
      <alignment horizontal="center" vertical="center" wrapText="1"/>
      <protection locked="0"/>
    </xf>
    <xf numFmtId="1" fontId="7" fillId="5" borderId="7" xfId="1" applyNumberFormat="1" applyFont="1" applyFill="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protection locked="0"/>
    </xf>
    <xf numFmtId="0" fontId="7" fillId="0" borderId="1" xfId="1" applyFont="1" applyBorder="1" applyAlignment="1" applyProtection="1">
      <alignment vertical="top"/>
      <protection locked="0"/>
    </xf>
    <xf numFmtId="0" fontId="7" fillId="0" borderId="6" xfId="1" applyFont="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14" fillId="0" borderId="13"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5" fillId="0" borderId="6" xfId="1" applyFont="1" applyBorder="1" applyAlignment="1" applyProtection="1">
      <alignment vertical="top" wrapText="1"/>
      <protection locked="0"/>
    </xf>
    <xf numFmtId="0" fontId="5" fillId="0" borderId="17" xfId="1" applyFont="1" applyBorder="1" applyAlignment="1" applyProtection="1">
      <alignment vertical="top" wrapText="1"/>
      <protection locked="0"/>
    </xf>
    <xf numFmtId="0" fontId="5" fillId="0" borderId="7" xfId="1" applyFont="1" applyBorder="1" applyAlignment="1" applyProtection="1">
      <alignment vertical="top" wrapText="1"/>
      <protection locked="0"/>
    </xf>
    <xf numFmtId="0" fontId="6" fillId="0" borderId="19" xfId="1" applyFont="1" applyBorder="1" applyAlignment="1">
      <alignment horizontal="center"/>
    </xf>
    <xf numFmtId="0" fontId="6" fillId="0" borderId="0" xfId="1" applyFont="1" applyAlignment="1">
      <alignment horizontal="center"/>
    </xf>
    <xf numFmtId="0" fontId="7" fillId="0" borderId="6"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7" fillId="2" borderId="6" xfId="1" applyNumberFormat="1" applyFont="1" applyFill="1" applyBorder="1" applyAlignment="1" applyProtection="1">
      <alignment horizontal="center" vertical="center" wrapText="1"/>
      <protection locked="0"/>
    </xf>
    <xf numFmtId="1" fontId="7" fillId="2" borderId="17" xfId="1" applyNumberFormat="1" applyFont="1" applyFill="1" applyBorder="1" applyAlignment="1" applyProtection="1">
      <alignment horizontal="center" vertical="center" wrapText="1"/>
      <protection locked="0"/>
    </xf>
    <xf numFmtId="1" fontId="7" fillId="2" borderId="7" xfId="1" applyNumberFormat="1" applyFont="1" applyFill="1" applyBorder="1" applyAlignment="1" applyProtection="1">
      <alignment horizontal="center" vertical="center" wrapText="1"/>
      <protection locked="0"/>
    </xf>
    <xf numFmtId="1" fontId="14" fillId="2" borderId="19" xfId="1" applyNumberFormat="1" applyFont="1" applyFill="1" applyBorder="1" applyAlignment="1">
      <alignment horizontal="center" vertical="center"/>
    </xf>
    <xf numFmtId="1" fontId="14" fillId="2" borderId="0" xfId="1" applyNumberFormat="1" applyFont="1" applyFill="1" applyAlignment="1">
      <alignment horizontal="center" vertical="center"/>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7" fillId="0" borderId="28"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9" xfId="1" applyFont="1" applyBorder="1" applyAlignment="1" applyProtection="1">
      <alignment horizontal="left" vertical="top" wrapText="1"/>
      <protection locked="0"/>
    </xf>
    <xf numFmtId="9" fontId="11" fillId="0" borderId="1" xfId="8" applyFont="1" applyFill="1" applyBorder="1" applyAlignment="1" applyProtection="1">
      <alignment horizontal="center" vertical="center" wrapText="1"/>
      <protection locked="0"/>
    </xf>
    <xf numFmtId="1" fontId="7" fillId="5" borderId="1" xfId="1" applyNumberFormat="1"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xdr:from>
      <xdr:col>0</xdr:col>
      <xdr:colOff>733425</xdr:colOff>
      <xdr:row>539</xdr:row>
      <xdr:rowOff>38100</xdr:rowOff>
    </xdr:from>
    <xdr:to>
      <xdr:col>7</xdr:col>
      <xdr:colOff>11775</xdr:colOff>
      <xdr:row>567</xdr:row>
      <xdr:rowOff>41940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733425" y="94411800"/>
          <a:ext cx="5107650" cy="5515640"/>
          <a:chOff x="807602" y="513018"/>
          <a:chExt cx="4860000" cy="5604540"/>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57601" y="513018"/>
            <a:ext cx="4560002" cy="2880000"/>
          </a:xfrm>
          <a:prstGeom prst="rect">
            <a:avLst/>
          </a:prstGeom>
          <a:ln>
            <a:solidFill>
              <a:schemeClr val="tx1"/>
            </a:solidFill>
          </a:ln>
        </xdr:spPr>
      </xdr:pic>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07602" y="4065558"/>
            <a:ext cx="4860000" cy="2052000"/>
          </a:xfrm>
          <a:prstGeom prst="rect">
            <a:avLst/>
          </a:prstGeom>
          <a:ln>
            <a:solidFill>
              <a:schemeClr val="tx1"/>
            </a:solidFill>
          </a:ln>
        </xdr:spPr>
      </xdr:pic>
    </xdr:grpSp>
    <xdr:clientData/>
  </xdr:twoCellAnchor>
  <xdr:twoCellAnchor editAs="oneCell">
    <xdr:from>
      <xdr:col>10</xdr:col>
      <xdr:colOff>228600</xdr:colOff>
      <xdr:row>42</xdr:row>
      <xdr:rowOff>152400</xdr:rowOff>
    </xdr:from>
    <xdr:to>
      <xdr:col>13</xdr:col>
      <xdr:colOff>581300</xdr:colOff>
      <xdr:row>48</xdr:row>
      <xdr:rowOff>396956</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870950" y="10483850"/>
          <a:ext cx="3007000" cy="1425656"/>
        </a:xfrm>
        <a:prstGeom prst="rect">
          <a:avLst/>
        </a:prstGeom>
        <a:ln>
          <a:solidFill>
            <a:schemeClr val="tx1"/>
          </a:solidFill>
        </a:ln>
      </xdr:spPr>
    </xdr:pic>
    <xdr:clientData/>
  </xdr:twoCellAnchor>
  <xdr:twoCellAnchor editAs="oneCell">
    <xdr:from>
      <xdr:col>8</xdr:col>
      <xdr:colOff>304800</xdr:colOff>
      <xdr:row>16</xdr:row>
      <xdr:rowOff>66675</xdr:rowOff>
    </xdr:from>
    <xdr:to>
      <xdr:col>12</xdr:col>
      <xdr:colOff>224975</xdr:colOff>
      <xdr:row>16</xdr:row>
      <xdr:rowOff>698254</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619875" y="4486275"/>
          <a:ext cx="3600000" cy="631579"/>
        </a:xfrm>
        <a:prstGeom prst="rect">
          <a:avLst/>
        </a:prstGeom>
        <a:ln>
          <a:solidFill>
            <a:schemeClr val="tx1"/>
          </a:solidFill>
        </a:ln>
      </xdr:spPr>
    </xdr:pic>
    <xdr:clientData/>
  </xdr:twoCellAnchor>
  <xdr:twoCellAnchor editAs="oneCell">
    <xdr:from>
      <xdr:col>8</xdr:col>
      <xdr:colOff>190500</xdr:colOff>
      <xdr:row>50</xdr:row>
      <xdr:rowOff>161925</xdr:rowOff>
    </xdr:from>
    <xdr:to>
      <xdr:col>14</xdr:col>
      <xdr:colOff>462852</xdr:colOff>
      <xdr:row>51</xdr:row>
      <xdr:rowOff>244439</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5"/>
        <a:stretch>
          <a:fillRect/>
        </a:stretch>
      </xdr:blipFill>
      <xdr:spPr>
        <a:xfrm>
          <a:off x="6505575" y="12420600"/>
          <a:ext cx="5580952" cy="285714"/>
        </a:xfrm>
        <a:prstGeom prst="rect">
          <a:avLst/>
        </a:prstGeom>
        <a:ln>
          <a:solidFill>
            <a:schemeClr val="tx1"/>
          </a:solidFill>
        </a:ln>
      </xdr:spPr>
    </xdr:pic>
    <xdr:clientData/>
  </xdr:twoCellAnchor>
  <xdr:twoCellAnchor editAs="oneCell">
    <xdr:from>
      <xdr:col>8</xdr:col>
      <xdr:colOff>542925</xdr:colOff>
      <xdr:row>64</xdr:row>
      <xdr:rowOff>171451</xdr:rowOff>
    </xdr:from>
    <xdr:to>
      <xdr:col>14</xdr:col>
      <xdr:colOff>274325</xdr:colOff>
      <xdr:row>66</xdr:row>
      <xdr:rowOff>211456</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6858000" y="13887451"/>
          <a:ext cx="5040000" cy="440054"/>
        </a:xfrm>
        <a:prstGeom prst="rect">
          <a:avLst/>
        </a:prstGeom>
        <a:ln>
          <a:solidFill>
            <a:schemeClr val="tx1"/>
          </a:solidFill>
        </a:ln>
      </xdr:spPr>
    </xdr:pic>
    <xdr:clientData/>
  </xdr:twoCellAnchor>
  <xdr:twoCellAnchor editAs="oneCell">
    <xdr:from>
      <xdr:col>8</xdr:col>
      <xdr:colOff>333375</xdr:colOff>
      <xdr:row>61</xdr:row>
      <xdr:rowOff>28575</xdr:rowOff>
    </xdr:from>
    <xdr:to>
      <xdr:col>14</xdr:col>
      <xdr:colOff>424775</xdr:colOff>
      <xdr:row>64</xdr:row>
      <xdr:rowOff>76706</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648450" y="13087350"/>
          <a:ext cx="5400000" cy="276731"/>
        </a:xfrm>
        <a:prstGeom prst="rect">
          <a:avLst/>
        </a:prstGeom>
        <a:ln>
          <a:solidFill>
            <a:sysClr val="windowText" lastClr="000000"/>
          </a:solidFill>
        </a:ln>
      </xdr:spPr>
    </xdr:pic>
    <xdr:clientData/>
  </xdr:twoCellAnchor>
  <xdr:twoCellAnchor editAs="oneCell">
    <xdr:from>
      <xdr:col>8</xdr:col>
      <xdr:colOff>352425</xdr:colOff>
      <xdr:row>66</xdr:row>
      <xdr:rowOff>238125</xdr:rowOff>
    </xdr:from>
    <xdr:to>
      <xdr:col>15</xdr:col>
      <xdr:colOff>2081</xdr:colOff>
      <xdr:row>67</xdr:row>
      <xdr:rowOff>9475</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8"/>
        <a:stretch>
          <a:fillRect/>
        </a:stretch>
      </xdr:blipFill>
      <xdr:spPr>
        <a:xfrm>
          <a:off x="6667500" y="14354175"/>
          <a:ext cx="5761905" cy="390476"/>
        </a:xfrm>
        <a:prstGeom prst="rect">
          <a:avLst/>
        </a:prstGeom>
        <a:ln>
          <a:solidFill>
            <a:schemeClr val="tx1"/>
          </a:solidFill>
        </a:ln>
      </xdr:spPr>
    </xdr:pic>
    <xdr:clientData/>
  </xdr:twoCellAnchor>
  <xdr:twoCellAnchor editAs="oneCell">
    <xdr:from>
      <xdr:col>8</xdr:col>
      <xdr:colOff>523875</xdr:colOff>
      <xdr:row>188</xdr:row>
      <xdr:rowOff>28575</xdr:rowOff>
    </xdr:from>
    <xdr:to>
      <xdr:col>14</xdr:col>
      <xdr:colOff>415275</xdr:colOff>
      <xdr:row>214</xdr:row>
      <xdr:rowOff>66020</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9"/>
        <a:stretch>
          <a:fillRect/>
        </a:stretch>
      </xdr:blipFill>
      <xdr:spPr>
        <a:xfrm>
          <a:off x="6838950" y="37242750"/>
          <a:ext cx="5200000" cy="5238095"/>
        </a:xfrm>
        <a:prstGeom prst="rect">
          <a:avLst/>
        </a:prstGeom>
        <a:ln>
          <a:solidFill>
            <a:schemeClr val="tx1"/>
          </a:solidFill>
        </a:ln>
      </xdr:spPr>
    </xdr:pic>
    <xdr:clientData/>
  </xdr:twoCellAnchor>
  <xdr:twoCellAnchor>
    <xdr:from>
      <xdr:col>1</xdr:col>
      <xdr:colOff>466725</xdr:colOff>
      <xdr:row>599</xdr:row>
      <xdr:rowOff>28575</xdr:rowOff>
    </xdr:from>
    <xdr:to>
      <xdr:col>5</xdr:col>
      <xdr:colOff>723450</xdr:colOff>
      <xdr:row>613</xdr:row>
      <xdr:rowOff>108225</xdr:rowOff>
    </xdr:to>
    <xdr:grpSp>
      <xdr:nvGrpSpPr>
        <xdr:cNvPr id="40" name="Group 39">
          <a:extLst>
            <a:ext uri="{FF2B5EF4-FFF2-40B4-BE49-F238E27FC236}">
              <a16:creationId xmlns:a16="http://schemas.microsoft.com/office/drawing/2014/main" id="{00000000-0008-0000-0000-000028000000}"/>
            </a:ext>
          </a:extLst>
        </xdr:cNvPr>
        <xdr:cNvGrpSpPr/>
      </xdr:nvGrpSpPr>
      <xdr:grpSpPr>
        <a:xfrm>
          <a:off x="1266825" y="106213275"/>
          <a:ext cx="3742875" cy="2835550"/>
          <a:chOff x="3536452" y="2505989"/>
          <a:chExt cx="3600000" cy="2880000"/>
        </a:xfrm>
      </xdr:grpSpPr>
      <xdr:grpSp>
        <xdr:nvGrpSpPr>
          <xdr:cNvPr id="41" name="Group 40">
            <a:extLst>
              <a:ext uri="{FF2B5EF4-FFF2-40B4-BE49-F238E27FC236}">
                <a16:creationId xmlns:a16="http://schemas.microsoft.com/office/drawing/2014/main" id="{00000000-0008-0000-0000-000029000000}"/>
              </a:ext>
            </a:extLst>
          </xdr:cNvPr>
          <xdr:cNvGrpSpPr/>
        </xdr:nvGrpSpPr>
        <xdr:grpSpPr>
          <a:xfrm>
            <a:off x="3536452" y="2505989"/>
            <a:ext cx="3600000" cy="2880000"/>
            <a:chOff x="1318819" y="2591714"/>
            <a:chExt cx="3600000" cy="2880000"/>
          </a:xfrm>
        </xdr:grpSpPr>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1318819" y="2591714"/>
              <a:ext cx="3600000" cy="2880000"/>
            </a:xfrm>
            <a:prstGeom prst="rect">
              <a:avLst/>
            </a:prstGeom>
            <a:ln>
              <a:solidFill>
                <a:schemeClr val="tx1"/>
              </a:solidFill>
            </a:ln>
          </xdr:spPr>
        </xdr:pic>
        <xdr:sp macro="" textlink="">
          <xdr:nvSpPr>
            <xdr:cNvPr id="44" name="Freeform 43">
              <a:extLst>
                <a:ext uri="{FF2B5EF4-FFF2-40B4-BE49-F238E27FC236}">
                  <a16:creationId xmlns:a16="http://schemas.microsoft.com/office/drawing/2014/main" id="{00000000-0008-0000-0000-00002C000000}"/>
                </a:ext>
              </a:extLst>
            </xdr:cNvPr>
            <xdr:cNvSpPr/>
          </xdr:nvSpPr>
          <xdr:spPr>
            <a:xfrm>
              <a:off x="2771775" y="3286125"/>
              <a:ext cx="942975" cy="1924050"/>
            </a:xfrm>
            <a:custGeom>
              <a:avLst/>
              <a:gdLst>
                <a:gd name="connsiteX0" fmla="*/ 123825 w 942975"/>
                <a:gd name="connsiteY0" fmla="*/ 0 h 1924050"/>
                <a:gd name="connsiteX1" fmla="*/ 942975 w 942975"/>
                <a:gd name="connsiteY1" fmla="*/ 133350 h 1924050"/>
                <a:gd name="connsiteX2" fmla="*/ 781050 w 942975"/>
                <a:gd name="connsiteY2" fmla="*/ 866775 h 1924050"/>
                <a:gd name="connsiteX3" fmla="*/ 800100 w 942975"/>
                <a:gd name="connsiteY3" fmla="*/ 1924050 h 1924050"/>
                <a:gd name="connsiteX4" fmla="*/ 0 w 942975"/>
                <a:gd name="connsiteY4" fmla="*/ 1876425 h 1924050"/>
                <a:gd name="connsiteX5" fmla="*/ 123825 w 942975"/>
                <a:gd name="connsiteY5" fmla="*/ 1619250 h 1924050"/>
                <a:gd name="connsiteX6" fmla="*/ 123825 w 942975"/>
                <a:gd name="connsiteY6" fmla="*/ 0 h 1924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942975" h="1924050">
                  <a:moveTo>
                    <a:pt x="123825" y="0"/>
                  </a:moveTo>
                  <a:lnTo>
                    <a:pt x="942975" y="133350"/>
                  </a:lnTo>
                  <a:lnTo>
                    <a:pt x="781050" y="866775"/>
                  </a:lnTo>
                  <a:lnTo>
                    <a:pt x="800100" y="1924050"/>
                  </a:lnTo>
                  <a:lnTo>
                    <a:pt x="0" y="1876425"/>
                  </a:lnTo>
                  <a:lnTo>
                    <a:pt x="123825" y="1619250"/>
                  </a:lnTo>
                  <a:lnTo>
                    <a:pt x="123825" y="0"/>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42" name="TextBox 18">
            <a:extLst>
              <a:ext uri="{FF2B5EF4-FFF2-40B4-BE49-F238E27FC236}">
                <a16:creationId xmlns:a16="http://schemas.microsoft.com/office/drawing/2014/main" id="{00000000-0008-0000-0000-00002A000000}"/>
              </a:ext>
            </a:extLst>
          </xdr:cNvPr>
          <xdr:cNvSpPr txBox="1"/>
        </xdr:nvSpPr>
        <xdr:spPr>
          <a:xfrm rot="5597029">
            <a:off x="4863893" y="4181383"/>
            <a:ext cx="1194004" cy="2308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FF0000"/>
                </a:solidFill>
              </a:rPr>
              <a:t>Ashar Merac Phase I</a:t>
            </a:r>
            <a:endParaRPr lang="en-IN" sz="900" b="1">
              <a:solidFill>
                <a:srgbClr val="FF0000"/>
              </a:solidFill>
            </a:endParaRPr>
          </a:p>
        </xdr:txBody>
      </xdr:sp>
    </xdr:grpSp>
    <xdr:clientData/>
  </xdr:twoCellAnchor>
  <xdr:twoCellAnchor editAs="oneCell">
    <xdr:from>
      <xdr:col>0</xdr:col>
      <xdr:colOff>752475</xdr:colOff>
      <xdr:row>583</xdr:row>
      <xdr:rowOff>19050</xdr:rowOff>
    </xdr:from>
    <xdr:to>
      <xdr:col>6</xdr:col>
      <xdr:colOff>628650</xdr:colOff>
      <xdr:row>597</xdr:row>
      <xdr:rowOff>9524</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11"/>
        <a:srcRect l="13954" t="10054" r="5569" b="12423"/>
        <a:stretch/>
      </xdr:blipFill>
      <xdr:spPr>
        <a:xfrm>
          <a:off x="752475" y="100965000"/>
          <a:ext cx="4724400" cy="2790825"/>
        </a:xfrm>
        <a:prstGeom prst="rect">
          <a:avLst/>
        </a:prstGeom>
        <a:ln>
          <a:solidFill>
            <a:schemeClr val="tx1"/>
          </a:solidFill>
        </a:ln>
      </xdr:spPr>
    </xdr:pic>
    <xdr:clientData/>
  </xdr:twoCellAnchor>
  <xdr:twoCellAnchor>
    <xdr:from>
      <xdr:col>8</xdr:col>
      <xdr:colOff>989330</xdr:colOff>
      <xdr:row>496</xdr:row>
      <xdr:rowOff>148590</xdr:rowOff>
    </xdr:from>
    <xdr:to>
      <xdr:col>15</xdr:col>
      <xdr:colOff>769502</xdr:colOff>
      <xdr:row>523</xdr:row>
      <xdr:rowOff>18763</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586980" y="86064090"/>
          <a:ext cx="6180972" cy="5178773"/>
          <a:chOff x="234950" y="80473550"/>
          <a:chExt cx="6191132" cy="5178773"/>
        </a:xfrm>
      </xdr:grpSpPr>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963695" y="83492323"/>
            <a:ext cx="1618313" cy="216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268331" y="80473550"/>
            <a:ext cx="2157751" cy="2880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936408" y="83492323"/>
            <a:ext cx="2877333" cy="216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34950" y="80473550"/>
            <a:ext cx="3836444" cy="2880000"/>
          </a:xfrm>
          <a:prstGeom prst="rect">
            <a:avLst/>
          </a:prstGeom>
          <a:ln>
            <a:solidFill>
              <a:schemeClr val="tx1"/>
            </a:solidFill>
          </a:ln>
        </xdr:spPr>
      </xdr:pic>
    </xdr:grpSp>
    <xdr:clientData/>
  </xdr:twoCellAnchor>
  <xdr:twoCellAnchor editAs="oneCell">
    <xdr:from>
      <xdr:col>8</xdr:col>
      <xdr:colOff>120650</xdr:colOff>
      <xdr:row>42</xdr:row>
      <xdr:rowOff>190500</xdr:rowOff>
    </xdr:from>
    <xdr:to>
      <xdr:col>11</xdr:col>
      <xdr:colOff>786950</xdr:colOff>
      <xdr:row>53</xdr:row>
      <xdr:rowOff>356008</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6"/>
        <a:stretch>
          <a:fillRect/>
        </a:stretch>
      </xdr:blipFill>
      <xdr:spPr>
        <a:xfrm>
          <a:off x="6743700" y="10521950"/>
          <a:ext cx="3600000" cy="2762658"/>
        </a:xfrm>
        <a:prstGeom prst="rect">
          <a:avLst/>
        </a:prstGeom>
        <a:ln>
          <a:solidFill>
            <a:schemeClr val="tx1"/>
          </a:solidFill>
        </a:ln>
      </xdr:spPr>
    </xdr:pic>
    <xdr:clientData/>
  </xdr:twoCellAnchor>
  <xdr:twoCellAnchor editAs="oneCell">
    <xdr:from>
      <xdr:col>8</xdr:col>
      <xdr:colOff>571500</xdr:colOff>
      <xdr:row>248</xdr:row>
      <xdr:rowOff>69850</xdr:rowOff>
    </xdr:from>
    <xdr:to>
      <xdr:col>12</xdr:col>
      <xdr:colOff>323400</xdr:colOff>
      <xdr:row>263</xdr:row>
      <xdr:rowOff>15668</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7"/>
        <a:stretch>
          <a:fillRect/>
        </a:stretch>
      </xdr:blipFill>
      <xdr:spPr>
        <a:xfrm>
          <a:off x="7194550" y="46964600"/>
          <a:ext cx="3600000" cy="2898568"/>
        </a:xfrm>
        <a:prstGeom prst="rect">
          <a:avLst/>
        </a:prstGeom>
        <a:ln>
          <a:solidFill>
            <a:schemeClr val="tx1"/>
          </a:solidFill>
        </a:ln>
      </xdr:spPr>
    </xdr:pic>
    <xdr:clientData/>
  </xdr:twoCellAnchor>
  <xdr:twoCellAnchor editAs="oneCell">
    <xdr:from>
      <xdr:col>8</xdr:col>
      <xdr:colOff>527050</xdr:colOff>
      <xdr:row>284</xdr:row>
      <xdr:rowOff>44450</xdr:rowOff>
    </xdr:from>
    <xdr:to>
      <xdr:col>12</xdr:col>
      <xdr:colOff>278950</xdr:colOff>
      <xdr:row>305</xdr:row>
      <xdr:rowOff>37819</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8"/>
        <a:stretch>
          <a:fillRect/>
        </a:stretch>
      </xdr:blipFill>
      <xdr:spPr>
        <a:xfrm>
          <a:off x="7150100" y="54025800"/>
          <a:ext cx="3600000" cy="4127219"/>
        </a:xfrm>
        <a:prstGeom prst="rect">
          <a:avLst/>
        </a:prstGeom>
        <a:ln>
          <a:solidFill>
            <a:schemeClr val="tx1"/>
          </a:solidFill>
        </a:ln>
      </xdr:spPr>
    </xdr:pic>
    <xdr:clientData/>
  </xdr:twoCellAnchor>
  <xdr:twoCellAnchor editAs="oneCell">
    <xdr:from>
      <xdr:col>8</xdr:col>
      <xdr:colOff>444500</xdr:colOff>
      <xdr:row>308</xdr:row>
      <xdr:rowOff>38100</xdr:rowOff>
    </xdr:from>
    <xdr:to>
      <xdr:col>12</xdr:col>
      <xdr:colOff>196400</xdr:colOff>
      <xdr:row>313</xdr:row>
      <xdr:rowOff>112366</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9"/>
        <a:stretch>
          <a:fillRect/>
        </a:stretch>
      </xdr:blipFill>
      <xdr:spPr>
        <a:xfrm>
          <a:off x="7067550" y="58743850"/>
          <a:ext cx="3600000" cy="1058516"/>
        </a:xfrm>
        <a:prstGeom prst="rect">
          <a:avLst/>
        </a:prstGeom>
        <a:ln>
          <a:solidFill>
            <a:schemeClr val="tx1"/>
          </a:solidFill>
        </a:ln>
      </xdr:spPr>
    </xdr:pic>
    <xdr:clientData/>
  </xdr:twoCellAnchor>
  <xdr:twoCellAnchor>
    <xdr:from>
      <xdr:col>0</xdr:col>
      <xdr:colOff>82550</xdr:colOff>
      <xdr:row>496</xdr:row>
      <xdr:rowOff>50800</xdr:rowOff>
    </xdr:from>
    <xdr:to>
      <xdr:col>7</xdr:col>
      <xdr:colOff>669921</xdr:colOff>
      <xdr:row>529</xdr:row>
      <xdr:rowOff>165753</xdr:rowOff>
    </xdr:to>
    <xdr:grpSp>
      <xdr:nvGrpSpPr>
        <xdr:cNvPr id="11" name="Group 10"/>
        <xdr:cNvGrpSpPr/>
      </xdr:nvGrpSpPr>
      <xdr:grpSpPr>
        <a:xfrm>
          <a:off x="82550" y="85966300"/>
          <a:ext cx="6416671" cy="6604653"/>
          <a:chOff x="82550" y="85839300"/>
          <a:chExt cx="6416671" cy="6604653"/>
        </a:xfrm>
      </xdr:grpSpPr>
      <xdr:pic>
        <xdr:nvPicPr>
          <xdr:cNvPr id="31" name="Picture 3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880908" y="90283953"/>
            <a:ext cx="1618313" cy="21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82550" y="90283953"/>
            <a:ext cx="2877333"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22"/>
          <a:stretch>
            <a:fillRect/>
          </a:stretch>
        </xdr:blipFill>
        <xdr:spPr>
          <a:xfrm>
            <a:off x="410312" y="85839300"/>
            <a:ext cx="5754666" cy="432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111239" y="90283953"/>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68RTbjVVcJbuAZLS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581"/>
  <sheetViews>
    <sheetView tabSelected="1" view="pageBreakPreview" zoomScaleNormal="100" zoomScaleSheetLayoutView="100" zoomScalePageLayoutView="85" workbookViewId="0">
      <selection activeCell="E10" sqref="E10:H10"/>
    </sheetView>
  </sheetViews>
  <sheetFormatPr defaultColWidth="9.08984375" defaultRowHeight="15.5" x14ac:dyDescent="0.35"/>
  <cols>
    <col min="1" max="1" width="11.453125" style="38" customWidth="1"/>
    <col min="2" max="2" width="12" style="38" customWidth="1"/>
    <col min="3" max="3" width="12.6328125" style="38" customWidth="1"/>
    <col min="4" max="4" width="13.6328125" style="38" customWidth="1"/>
    <col min="5" max="5" width="11.6328125" style="38" customWidth="1"/>
    <col min="6" max="6" width="11.08984375" style="38" customWidth="1"/>
    <col min="7" max="8" width="11" style="38" customWidth="1"/>
    <col min="9" max="9" width="17.453125" style="19" customWidth="1"/>
    <col min="10" max="10" width="11.453125" style="19" customWidth="1"/>
    <col min="11" max="12" width="13.08984375" style="19" customWidth="1"/>
    <col min="13" max="13" width="11.90625" style="19" customWidth="1"/>
    <col min="14" max="14" width="12.54296875" style="19" customWidth="1"/>
    <col min="15" max="15" width="12.08984375" style="19" customWidth="1"/>
    <col min="16" max="16" width="11.6328125" style="19" customWidth="1"/>
    <col min="17" max="18" width="9.08984375" style="19"/>
    <col min="19" max="19" width="10.90625" style="19" bestFit="1" customWidth="1"/>
    <col min="20" max="20" width="10.6328125" style="19" customWidth="1"/>
    <col min="21" max="247" width="9.08984375" style="19"/>
    <col min="248" max="248" width="8.6328125" style="19" customWidth="1"/>
    <col min="249" max="249" width="9.90625" style="19" customWidth="1"/>
    <col min="250" max="250" width="14.453125" style="19" customWidth="1"/>
    <col min="251" max="251" width="7.36328125" style="19" customWidth="1"/>
    <col min="252" max="252" width="5.54296875" style="19" customWidth="1"/>
    <col min="253" max="253" width="9" style="19" customWidth="1"/>
    <col min="254" max="255" width="9.90625" style="19" customWidth="1"/>
    <col min="256" max="256" width="11.08984375" style="19" customWidth="1"/>
    <col min="257" max="257" width="2.90625" style="19" customWidth="1"/>
    <col min="258" max="258" width="3.54296875" style="19" customWidth="1"/>
    <col min="259" max="503" width="9.08984375" style="19"/>
    <col min="504" max="504" width="8.6328125" style="19" customWidth="1"/>
    <col min="505" max="505" width="9.90625" style="19" customWidth="1"/>
    <col min="506" max="506" width="14.453125" style="19" customWidth="1"/>
    <col min="507" max="507" width="7.36328125" style="19" customWidth="1"/>
    <col min="508" max="508" width="5.54296875" style="19" customWidth="1"/>
    <col min="509" max="509" width="9" style="19" customWidth="1"/>
    <col min="510" max="511" width="9.90625" style="19" customWidth="1"/>
    <col min="512" max="512" width="11.08984375" style="19" customWidth="1"/>
    <col min="513" max="513" width="2.90625" style="19" customWidth="1"/>
    <col min="514" max="514" width="3.54296875" style="19" customWidth="1"/>
    <col min="515" max="759" width="9.08984375" style="19"/>
    <col min="760" max="760" width="8.6328125" style="19" customWidth="1"/>
    <col min="761" max="761" width="9.90625" style="19" customWidth="1"/>
    <col min="762" max="762" width="14.453125" style="19" customWidth="1"/>
    <col min="763" max="763" width="7.36328125" style="19" customWidth="1"/>
    <col min="764" max="764" width="5.54296875" style="19" customWidth="1"/>
    <col min="765" max="765" width="9" style="19" customWidth="1"/>
    <col min="766" max="767" width="9.90625" style="19" customWidth="1"/>
    <col min="768" max="768" width="11.08984375" style="19" customWidth="1"/>
    <col min="769" max="769" width="2.90625" style="19" customWidth="1"/>
    <col min="770" max="770" width="3.54296875" style="19" customWidth="1"/>
    <col min="771" max="1015" width="9.08984375" style="19"/>
    <col min="1016" max="1016" width="8.6328125" style="19" customWidth="1"/>
    <col min="1017" max="1017" width="9.90625" style="19" customWidth="1"/>
    <col min="1018" max="1018" width="14.453125" style="19" customWidth="1"/>
    <col min="1019" max="1019" width="7.36328125" style="19" customWidth="1"/>
    <col min="1020" max="1020" width="5.54296875" style="19" customWidth="1"/>
    <col min="1021" max="1021" width="9" style="19" customWidth="1"/>
    <col min="1022" max="1023" width="9.90625" style="19" customWidth="1"/>
    <col min="1024" max="1024" width="11.08984375" style="19" customWidth="1"/>
    <col min="1025" max="1025" width="2.90625" style="19" customWidth="1"/>
    <col min="1026" max="1026" width="3.54296875" style="19" customWidth="1"/>
    <col min="1027" max="1271" width="9.08984375" style="19"/>
    <col min="1272" max="1272" width="8.6328125" style="19" customWidth="1"/>
    <col min="1273" max="1273" width="9.90625" style="19" customWidth="1"/>
    <col min="1274" max="1274" width="14.453125" style="19" customWidth="1"/>
    <col min="1275" max="1275" width="7.36328125" style="19" customWidth="1"/>
    <col min="1276" max="1276" width="5.54296875" style="19" customWidth="1"/>
    <col min="1277" max="1277" width="9" style="19" customWidth="1"/>
    <col min="1278" max="1279" width="9.90625" style="19" customWidth="1"/>
    <col min="1280" max="1280" width="11.08984375" style="19" customWidth="1"/>
    <col min="1281" max="1281" width="2.90625" style="19" customWidth="1"/>
    <col min="1282" max="1282" width="3.54296875" style="19" customWidth="1"/>
    <col min="1283" max="1527" width="9.08984375" style="19"/>
    <col min="1528" max="1528" width="8.6328125" style="19" customWidth="1"/>
    <col min="1529" max="1529" width="9.90625" style="19" customWidth="1"/>
    <col min="1530" max="1530" width="14.453125" style="19" customWidth="1"/>
    <col min="1531" max="1531" width="7.36328125" style="19" customWidth="1"/>
    <col min="1532" max="1532" width="5.54296875" style="19" customWidth="1"/>
    <col min="1533" max="1533" width="9" style="19" customWidth="1"/>
    <col min="1534" max="1535" width="9.90625" style="19" customWidth="1"/>
    <col min="1536" max="1536" width="11.08984375" style="19" customWidth="1"/>
    <col min="1537" max="1537" width="2.90625" style="19" customWidth="1"/>
    <col min="1538" max="1538" width="3.54296875" style="19" customWidth="1"/>
    <col min="1539" max="1783" width="9.08984375" style="19"/>
    <col min="1784" max="1784" width="8.6328125" style="19" customWidth="1"/>
    <col min="1785" max="1785" width="9.90625" style="19" customWidth="1"/>
    <col min="1786" max="1786" width="14.453125" style="19" customWidth="1"/>
    <col min="1787" max="1787" width="7.36328125" style="19" customWidth="1"/>
    <col min="1788" max="1788" width="5.54296875" style="19" customWidth="1"/>
    <col min="1789" max="1789" width="9" style="19" customWidth="1"/>
    <col min="1790" max="1791" width="9.90625" style="19" customWidth="1"/>
    <col min="1792" max="1792" width="11.08984375" style="19" customWidth="1"/>
    <col min="1793" max="1793" width="2.90625" style="19" customWidth="1"/>
    <col min="1794" max="1794" width="3.54296875" style="19" customWidth="1"/>
    <col min="1795" max="2039" width="9.08984375" style="19"/>
    <col min="2040" max="2040" width="8.6328125" style="19" customWidth="1"/>
    <col min="2041" max="2041" width="9.90625" style="19" customWidth="1"/>
    <col min="2042" max="2042" width="14.453125" style="19" customWidth="1"/>
    <col min="2043" max="2043" width="7.36328125" style="19" customWidth="1"/>
    <col min="2044" max="2044" width="5.54296875" style="19" customWidth="1"/>
    <col min="2045" max="2045" width="9" style="19" customWidth="1"/>
    <col min="2046" max="2047" width="9.90625" style="19" customWidth="1"/>
    <col min="2048" max="2048" width="11.08984375" style="19" customWidth="1"/>
    <col min="2049" max="2049" width="2.90625" style="19" customWidth="1"/>
    <col min="2050" max="2050" width="3.54296875" style="19" customWidth="1"/>
    <col min="2051" max="2295" width="9.08984375" style="19"/>
    <col min="2296" max="2296" width="8.6328125" style="19" customWidth="1"/>
    <col min="2297" max="2297" width="9.90625" style="19" customWidth="1"/>
    <col min="2298" max="2298" width="14.453125" style="19" customWidth="1"/>
    <col min="2299" max="2299" width="7.36328125" style="19" customWidth="1"/>
    <col min="2300" max="2300" width="5.54296875" style="19" customWidth="1"/>
    <col min="2301" max="2301" width="9" style="19" customWidth="1"/>
    <col min="2302" max="2303" width="9.90625" style="19" customWidth="1"/>
    <col min="2304" max="2304" width="11.08984375" style="19" customWidth="1"/>
    <col min="2305" max="2305" width="2.90625" style="19" customWidth="1"/>
    <col min="2306" max="2306" width="3.54296875" style="19" customWidth="1"/>
    <col min="2307" max="2551" width="9.08984375" style="19"/>
    <col min="2552" max="2552" width="8.6328125" style="19" customWidth="1"/>
    <col min="2553" max="2553" width="9.90625" style="19" customWidth="1"/>
    <col min="2554" max="2554" width="14.453125" style="19" customWidth="1"/>
    <col min="2555" max="2555" width="7.36328125" style="19" customWidth="1"/>
    <col min="2556" max="2556" width="5.54296875" style="19" customWidth="1"/>
    <col min="2557" max="2557" width="9" style="19" customWidth="1"/>
    <col min="2558" max="2559" width="9.90625" style="19" customWidth="1"/>
    <col min="2560" max="2560" width="11.08984375" style="19" customWidth="1"/>
    <col min="2561" max="2561" width="2.90625" style="19" customWidth="1"/>
    <col min="2562" max="2562" width="3.54296875" style="19" customWidth="1"/>
    <col min="2563" max="2807" width="9.08984375" style="19"/>
    <col min="2808" max="2808" width="8.6328125" style="19" customWidth="1"/>
    <col min="2809" max="2809" width="9.90625" style="19" customWidth="1"/>
    <col min="2810" max="2810" width="14.453125" style="19" customWidth="1"/>
    <col min="2811" max="2811" width="7.36328125" style="19" customWidth="1"/>
    <col min="2812" max="2812" width="5.54296875" style="19" customWidth="1"/>
    <col min="2813" max="2813" width="9" style="19" customWidth="1"/>
    <col min="2814" max="2815" width="9.90625" style="19" customWidth="1"/>
    <col min="2816" max="2816" width="11.08984375" style="19" customWidth="1"/>
    <col min="2817" max="2817" width="2.90625" style="19" customWidth="1"/>
    <col min="2818" max="2818" width="3.54296875" style="19" customWidth="1"/>
    <col min="2819" max="3063" width="9.08984375" style="19"/>
    <col min="3064" max="3064" width="8.6328125" style="19" customWidth="1"/>
    <col min="3065" max="3065" width="9.90625" style="19" customWidth="1"/>
    <col min="3066" max="3066" width="14.453125" style="19" customWidth="1"/>
    <col min="3067" max="3067" width="7.36328125" style="19" customWidth="1"/>
    <col min="3068" max="3068" width="5.54296875" style="19" customWidth="1"/>
    <col min="3069" max="3069" width="9" style="19" customWidth="1"/>
    <col min="3070" max="3071" width="9.90625" style="19" customWidth="1"/>
    <col min="3072" max="3072" width="11.08984375" style="19" customWidth="1"/>
    <col min="3073" max="3073" width="2.90625" style="19" customWidth="1"/>
    <col min="3074" max="3074" width="3.54296875" style="19" customWidth="1"/>
    <col min="3075" max="3319" width="9.08984375" style="19"/>
    <col min="3320" max="3320" width="8.6328125" style="19" customWidth="1"/>
    <col min="3321" max="3321" width="9.90625" style="19" customWidth="1"/>
    <col min="3322" max="3322" width="14.453125" style="19" customWidth="1"/>
    <col min="3323" max="3323" width="7.36328125" style="19" customWidth="1"/>
    <col min="3324" max="3324" width="5.54296875" style="19" customWidth="1"/>
    <col min="3325" max="3325" width="9" style="19" customWidth="1"/>
    <col min="3326" max="3327" width="9.90625" style="19" customWidth="1"/>
    <col min="3328" max="3328" width="11.08984375" style="19" customWidth="1"/>
    <col min="3329" max="3329" width="2.90625" style="19" customWidth="1"/>
    <col min="3330" max="3330" width="3.54296875" style="19" customWidth="1"/>
    <col min="3331" max="3575" width="9.08984375" style="19"/>
    <col min="3576" max="3576" width="8.6328125" style="19" customWidth="1"/>
    <col min="3577" max="3577" width="9.90625" style="19" customWidth="1"/>
    <col min="3578" max="3578" width="14.453125" style="19" customWidth="1"/>
    <col min="3579" max="3579" width="7.36328125" style="19" customWidth="1"/>
    <col min="3580" max="3580" width="5.54296875" style="19" customWidth="1"/>
    <col min="3581" max="3581" width="9" style="19" customWidth="1"/>
    <col min="3582" max="3583" width="9.90625" style="19" customWidth="1"/>
    <col min="3584" max="3584" width="11.08984375" style="19" customWidth="1"/>
    <col min="3585" max="3585" width="2.90625" style="19" customWidth="1"/>
    <col min="3586" max="3586" width="3.54296875" style="19" customWidth="1"/>
    <col min="3587" max="3831" width="9.08984375" style="19"/>
    <col min="3832" max="3832" width="8.6328125" style="19" customWidth="1"/>
    <col min="3833" max="3833" width="9.90625" style="19" customWidth="1"/>
    <col min="3834" max="3834" width="14.453125" style="19" customWidth="1"/>
    <col min="3835" max="3835" width="7.36328125" style="19" customWidth="1"/>
    <col min="3836" max="3836" width="5.54296875" style="19" customWidth="1"/>
    <col min="3837" max="3837" width="9" style="19" customWidth="1"/>
    <col min="3838" max="3839" width="9.90625" style="19" customWidth="1"/>
    <col min="3840" max="3840" width="11.08984375" style="19" customWidth="1"/>
    <col min="3841" max="3841" width="2.90625" style="19" customWidth="1"/>
    <col min="3842" max="3842" width="3.54296875" style="19" customWidth="1"/>
    <col min="3843" max="4087" width="9.08984375" style="19"/>
    <col min="4088" max="4088" width="8.6328125" style="19" customWidth="1"/>
    <col min="4089" max="4089" width="9.90625" style="19" customWidth="1"/>
    <col min="4090" max="4090" width="14.453125" style="19" customWidth="1"/>
    <col min="4091" max="4091" width="7.36328125" style="19" customWidth="1"/>
    <col min="4092" max="4092" width="5.54296875" style="19" customWidth="1"/>
    <col min="4093" max="4093" width="9" style="19" customWidth="1"/>
    <col min="4094" max="4095" width="9.90625" style="19" customWidth="1"/>
    <col min="4096" max="4096" width="11.08984375" style="19" customWidth="1"/>
    <col min="4097" max="4097" width="2.90625" style="19" customWidth="1"/>
    <col min="4098" max="4098" width="3.54296875" style="19" customWidth="1"/>
    <col min="4099" max="4343" width="9.08984375" style="19"/>
    <col min="4344" max="4344" width="8.6328125" style="19" customWidth="1"/>
    <col min="4345" max="4345" width="9.90625" style="19" customWidth="1"/>
    <col min="4346" max="4346" width="14.453125" style="19" customWidth="1"/>
    <col min="4347" max="4347" width="7.36328125" style="19" customWidth="1"/>
    <col min="4348" max="4348" width="5.54296875" style="19" customWidth="1"/>
    <col min="4349" max="4349" width="9" style="19" customWidth="1"/>
    <col min="4350" max="4351" width="9.90625" style="19" customWidth="1"/>
    <col min="4352" max="4352" width="11.08984375" style="19" customWidth="1"/>
    <col min="4353" max="4353" width="2.90625" style="19" customWidth="1"/>
    <col min="4354" max="4354" width="3.54296875" style="19" customWidth="1"/>
    <col min="4355" max="4599" width="9.08984375" style="19"/>
    <col min="4600" max="4600" width="8.6328125" style="19" customWidth="1"/>
    <col min="4601" max="4601" width="9.90625" style="19" customWidth="1"/>
    <col min="4602" max="4602" width="14.453125" style="19" customWidth="1"/>
    <col min="4603" max="4603" width="7.36328125" style="19" customWidth="1"/>
    <col min="4604" max="4604" width="5.54296875" style="19" customWidth="1"/>
    <col min="4605" max="4605" width="9" style="19" customWidth="1"/>
    <col min="4606" max="4607" width="9.90625" style="19" customWidth="1"/>
    <col min="4608" max="4608" width="11.08984375" style="19" customWidth="1"/>
    <col min="4609" max="4609" width="2.90625" style="19" customWidth="1"/>
    <col min="4610" max="4610" width="3.54296875" style="19" customWidth="1"/>
    <col min="4611" max="4855" width="9.08984375" style="19"/>
    <col min="4856" max="4856" width="8.6328125" style="19" customWidth="1"/>
    <col min="4857" max="4857" width="9.90625" style="19" customWidth="1"/>
    <col min="4858" max="4858" width="14.453125" style="19" customWidth="1"/>
    <col min="4859" max="4859" width="7.36328125" style="19" customWidth="1"/>
    <col min="4860" max="4860" width="5.54296875" style="19" customWidth="1"/>
    <col min="4861" max="4861" width="9" style="19" customWidth="1"/>
    <col min="4862" max="4863" width="9.90625" style="19" customWidth="1"/>
    <col min="4864" max="4864" width="11.08984375" style="19" customWidth="1"/>
    <col min="4865" max="4865" width="2.90625" style="19" customWidth="1"/>
    <col min="4866" max="4866" width="3.54296875" style="19" customWidth="1"/>
    <col min="4867" max="5111" width="9.08984375" style="19"/>
    <col min="5112" max="5112" width="8.6328125" style="19" customWidth="1"/>
    <col min="5113" max="5113" width="9.90625" style="19" customWidth="1"/>
    <col min="5114" max="5114" width="14.453125" style="19" customWidth="1"/>
    <col min="5115" max="5115" width="7.36328125" style="19" customWidth="1"/>
    <col min="5116" max="5116" width="5.54296875" style="19" customWidth="1"/>
    <col min="5117" max="5117" width="9" style="19" customWidth="1"/>
    <col min="5118" max="5119" width="9.90625" style="19" customWidth="1"/>
    <col min="5120" max="5120" width="11.08984375" style="19" customWidth="1"/>
    <col min="5121" max="5121" width="2.90625" style="19" customWidth="1"/>
    <col min="5122" max="5122" width="3.54296875" style="19" customWidth="1"/>
    <col min="5123" max="5367" width="9.08984375" style="19"/>
    <col min="5368" max="5368" width="8.6328125" style="19" customWidth="1"/>
    <col min="5369" max="5369" width="9.90625" style="19" customWidth="1"/>
    <col min="5370" max="5370" width="14.453125" style="19" customWidth="1"/>
    <col min="5371" max="5371" width="7.36328125" style="19" customWidth="1"/>
    <col min="5372" max="5372" width="5.54296875" style="19" customWidth="1"/>
    <col min="5373" max="5373" width="9" style="19" customWidth="1"/>
    <col min="5374" max="5375" width="9.90625" style="19" customWidth="1"/>
    <col min="5376" max="5376" width="11.08984375" style="19" customWidth="1"/>
    <col min="5377" max="5377" width="2.90625" style="19" customWidth="1"/>
    <col min="5378" max="5378" width="3.54296875" style="19" customWidth="1"/>
    <col min="5379" max="5623" width="9.08984375" style="19"/>
    <col min="5624" max="5624" width="8.6328125" style="19" customWidth="1"/>
    <col min="5625" max="5625" width="9.90625" style="19" customWidth="1"/>
    <col min="5626" max="5626" width="14.453125" style="19" customWidth="1"/>
    <col min="5627" max="5627" width="7.36328125" style="19" customWidth="1"/>
    <col min="5628" max="5628" width="5.54296875" style="19" customWidth="1"/>
    <col min="5629" max="5629" width="9" style="19" customWidth="1"/>
    <col min="5630" max="5631" width="9.90625" style="19" customWidth="1"/>
    <col min="5632" max="5632" width="11.08984375" style="19" customWidth="1"/>
    <col min="5633" max="5633" width="2.90625" style="19" customWidth="1"/>
    <col min="5634" max="5634" width="3.54296875" style="19" customWidth="1"/>
    <col min="5635" max="5879" width="9.08984375" style="19"/>
    <col min="5880" max="5880" width="8.6328125" style="19" customWidth="1"/>
    <col min="5881" max="5881" width="9.90625" style="19" customWidth="1"/>
    <col min="5882" max="5882" width="14.453125" style="19" customWidth="1"/>
    <col min="5883" max="5883" width="7.36328125" style="19" customWidth="1"/>
    <col min="5884" max="5884" width="5.54296875" style="19" customWidth="1"/>
    <col min="5885" max="5885" width="9" style="19" customWidth="1"/>
    <col min="5886" max="5887" width="9.90625" style="19" customWidth="1"/>
    <col min="5888" max="5888" width="11.08984375" style="19" customWidth="1"/>
    <col min="5889" max="5889" width="2.90625" style="19" customWidth="1"/>
    <col min="5890" max="5890" width="3.54296875" style="19" customWidth="1"/>
    <col min="5891" max="6135" width="9.08984375" style="19"/>
    <col min="6136" max="6136" width="8.6328125" style="19" customWidth="1"/>
    <col min="6137" max="6137" width="9.90625" style="19" customWidth="1"/>
    <col min="6138" max="6138" width="14.453125" style="19" customWidth="1"/>
    <col min="6139" max="6139" width="7.36328125" style="19" customWidth="1"/>
    <col min="6140" max="6140" width="5.54296875" style="19" customWidth="1"/>
    <col min="6141" max="6141" width="9" style="19" customWidth="1"/>
    <col min="6142" max="6143" width="9.90625" style="19" customWidth="1"/>
    <col min="6144" max="6144" width="11.08984375" style="19" customWidth="1"/>
    <col min="6145" max="6145" width="2.90625" style="19" customWidth="1"/>
    <col min="6146" max="6146" width="3.54296875" style="19" customWidth="1"/>
    <col min="6147" max="6391" width="9.08984375" style="19"/>
    <col min="6392" max="6392" width="8.6328125" style="19" customWidth="1"/>
    <col min="6393" max="6393" width="9.90625" style="19" customWidth="1"/>
    <col min="6394" max="6394" width="14.453125" style="19" customWidth="1"/>
    <col min="6395" max="6395" width="7.36328125" style="19" customWidth="1"/>
    <col min="6396" max="6396" width="5.54296875" style="19" customWidth="1"/>
    <col min="6397" max="6397" width="9" style="19" customWidth="1"/>
    <col min="6398" max="6399" width="9.90625" style="19" customWidth="1"/>
    <col min="6400" max="6400" width="11.08984375" style="19" customWidth="1"/>
    <col min="6401" max="6401" width="2.90625" style="19" customWidth="1"/>
    <col min="6402" max="6402" width="3.54296875" style="19" customWidth="1"/>
    <col min="6403" max="6647" width="9.08984375" style="19"/>
    <col min="6648" max="6648" width="8.6328125" style="19" customWidth="1"/>
    <col min="6649" max="6649" width="9.90625" style="19" customWidth="1"/>
    <col min="6650" max="6650" width="14.453125" style="19" customWidth="1"/>
    <col min="6651" max="6651" width="7.36328125" style="19" customWidth="1"/>
    <col min="6652" max="6652" width="5.54296875" style="19" customWidth="1"/>
    <col min="6653" max="6653" width="9" style="19" customWidth="1"/>
    <col min="6654" max="6655" width="9.90625" style="19" customWidth="1"/>
    <col min="6656" max="6656" width="11.08984375" style="19" customWidth="1"/>
    <col min="6657" max="6657" width="2.90625" style="19" customWidth="1"/>
    <col min="6658" max="6658" width="3.54296875" style="19" customWidth="1"/>
    <col min="6659" max="6903" width="9.08984375" style="19"/>
    <col min="6904" max="6904" width="8.6328125" style="19" customWidth="1"/>
    <col min="6905" max="6905" width="9.90625" style="19" customWidth="1"/>
    <col min="6906" max="6906" width="14.453125" style="19" customWidth="1"/>
    <col min="6907" max="6907" width="7.36328125" style="19" customWidth="1"/>
    <col min="6908" max="6908" width="5.54296875" style="19" customWidth="1"/>
    <col min="6909" max="6909" width="9" style="19" customWidth="1"/>
    <col min="6910" max="6911" width="9.90625" style="19" customWidth="1"/>
    <col min="6912" max="6912" width="11.08984375" style="19" customWidth="1"/>
    <col min="6913" max="6913" width="2.90625" style="19" customWidth="1"/>
    <col min="6914" max="6914" width="3.54296875" style="19" customWidth="1"/>
    <col min="6915" max="7159" width="9.08984375" style="19"/>
    <col min="7160" max="7160" width="8.6328125" style="19" customWidth="1"/>
    <col min="7161" max="7161" width="9.90625" style="19" customWidth="1"/>
    <col min="7162" max="7162" width="14.453125" style="19" customWidth="1"/>
    <col min="7163" max="7163" width="7.36328125" style="19" customWidth="1"/>
    <col min="7164" max="7164" width="5.54296875" style="19" customWidth="1"/>
    <col min="7165" max="7165" width="9" style="19" customWidth="1"/>
    <col min="7166" max="7167" width="9.90625" style="19" customWidth="1"/>
    <col min="7168" max="7168" width="11.08984375" style="19" customWidth="1"/>
    <col min="7169" max="7169" width="2.90625" style="19" customWidth="1"/>
    <col min="7170" max="7170" width="3.54296875" style="19" customWidth="1"/>
    <col min="7171" max="7415" width="9.08984375" style="19"/>
    <col min="7416" max="7416" width="8.6328125" style="19" customWidth="1"/>
    <col min="7417" max="7417" width="9.90625" style="19" customWidth="1"/>
    <col min="7418" max="7418" width="14.453125" style="19" customWidth="1"/>
    <col min="7419" max="7419" width="7.36328125" style="19" customWidth="1"/>
    <col min="7420" max="7420" width="5.54296875" style="19" customWidth="1"/>
    <col min="7421" max="7421" width="9" style="19" customWidth="1"/>
    <col min="7422" max="7423" width="9.90625" style="19" customWidth="1"/>
    <col min="7424" max="7424" width="11.08984375" style="19" customWidth="1"/>
    <col min="7425" max="7425" width="2.90625" style="19" customWidth="1"/>
    <col min="7426" max="7426" width="3.54296875" style="19" customWidth="1"/>
    <col min="7427" max="7671" width="9.08984375" style="19"/>
    <col min="7672" max="7672" width="8.6328125" style="19" customWidth="1"/>
    <col min="7673" max="7673" width="9.90625" style="19" customWidth="1"/>
    <col min="7674" max="7674" width="14.453125" style="19" customWidth="1"/>
    <col min="7675" max="7675" width="7.36328125" style="19" customWidth="1"/>
    <col min="7676" max="7676" width="5.54296875" style="19" customWidth="1"/>
    <col min="7677" max="7677" width="9" style="19" customWidth="1"/>
    <col min="7678" max="7679" width="9.90625" style="19" customWidth="1"/>
    <col min="7680" max="7680" width="11.08984375" style="19" customWidth="1"/>
    <col min="7681" max="7681" width="2.90625" style="19" customWidth="1"/>
    <col min="7682" max="7682" width="3.54296875" style="19" customWidth="1"/>
    <col min="7683" max="7927" width="9.08984375" style="19"/>
    <col min="7928" max="7928" width="8.6328125" style="19" customWidth="1"/>
    <col min="7929" max="7929" width="9.90625" style="19" customWidth="1"/>
    <col min="7930" max="7930" width="14.453125" style="19" customWidth="1"/>
    <col min="7931" max="7931" width="7.36328125" style="19" customWidth="1"/>
    <col min="7932" max="7932" width="5.54296875" style="19" customWidth="1"/>
    <col min="7933" max="7933" width="9" style="19" customWidth="1"/>
    <col min="7934" max="7935" width="9.90625" style="19" customWidth="1"/>
    <col min="7936" max="7936" width="11.08984375" style="19" customWidth="1"/>
    <col min="7937" max="7937" width="2.90625" style="19" customWidth="1"/>
    <col min="7938" max="7938" width="3.54296875" style="19" customWidth="1"/>
    <col min="7939" max="8183" width="9.08984375" style="19"/>
    <col min="8184" max="8184" width="8.6328125" style="19" customWidth="1"/>
    <col min="8185" max="8185" width="9.90625" style="19" customWidth="1"/>
    <col min="8186" max="8186" width="14.453125" style="19" customWidth="1"/>
    <col min="8187" max="8187" width="7.36328125" style="19" customWidth="1"/>
    <col min="8188" max="8188" width="5.54296875" style="19" customWidth="1"/>
    <col min="8189" max="8189" width="9" style="19" customWidth="1"/>
    <col min="8190" max="8191" width="9.90625" style="19" customWidth="1"/>
    <col min="8192" max="8192" width="11.08984375" style="19" customWidth="1"/>
    <col min="8193" max="8193" width="2.90625" style="19" customWidth="1"/>
    <col min="8194" max="8194" width="3.54296875" style="19" customWidth="1"/>
    <col min="8195" max="8439" width="9.08984375" style="19"/>
    <col min="8440" max="8440" width="8.6328125" style="19" customWidth="1"/>
    <col min="8441" max="8441" width="9.90625" style="19" customWidth="1"/>
    <col min="8442" max="8442" width="14.453125" style="19" customWidth="1"/>
    <col min="8443" max="8443" width="7.36328125" style="19" customWidth="1"/>
    <col min="8444" max="8444" width="5.54296875" style="19" customWidth="1"/>
    <col min="8445" max="8445" width="9" style="19" customWidth="1"/>
    <col min="8446" max="8447" width="9.90625" style="19" customWidth="1"/>
    <col min="8448" max="8448" width="11.08984375" style="19" customWidth="1"/>
    <col min="8449" max="8449" width="2.90625" style="19" customWidth="1"/>
    <col min="8450" max="8450" width="3.54296875" style="19" customWidth="1"/>
    <col min="8451" max="8695" width="9.08984375" style="19"/>
    <col min="8696" max="8696" width="8.6328125" style="19" customWidth="1"/>
    <col min="8697" max="8697" width="9.90625" style="19" customWidth="1"/>
    <col min="8698" max="8698" width="14.453125" style="19" customWidth="1"/>
    <col min="8699" max="8699" width="7.36328125" style="19" customWidth="1"/>
    <col min="8700" max="8700" width="5.54296875" style="19" customWidth="1"/>
    <col min="8701" max="8701" width="9" style="19" customWidth="1"/>
    <col min="8702" max="8703" width="9.90625" style="19" customWidth="1"/>
    <col min="8704" max="8704" width="11.08984375" style="19" customWidth="1"/>
    <col min="8705" max="8705" width="2.90625" style="19" customWidth="1"/>
    <col min="8706" max="8706" width="3.54296875" style="19" customWidth="1"/>
    <col min="8707" max="8951" width="9.08984375" style="19"/>
    <col min="8952" max="8952" width="8.6328125" style="19" customWidth="1"/>
    <col min="8953" max="8953" width="9.90625" style="19" customWidth="1"/>
    <col min="8954" max="8954" width="14.453125" style="19" customWidth="1"/>
    <col min="8955" max="8955" width="7.36328125" style="19" customWidth="1"/>
    <col min="8956" max="8956" width="5.54296875" style="19" customWidth="1"/>
    <col min="8957" max="8957" width="9" style="19" customWidth="1"/>
    <col min="8958" max="8959" width="9.90625" style="19" customWidth="1"/>
    <col min="8960" max="8960" width="11.08984375" style="19" customWidth="1"/>
    <col min="8961" max="8961" width="2.90625" style="19" customWidth="1"/>
    <col min="8962" max="8962" width="3.54296875" style="19" customWidth="1"/>
    <col min="8963" max="9207" width="9.08984375" style="19"/>
    <col min="9208" max="9208" width="8.6328125" style="19" customWidth="1"/>
    <col min="9209" max="9209" width="9.90625" style="19" customWidth="1"/>
    <col min="9210" max="9210" width="14.453125" style="19" customWidth="1"/>
    <col min="9211" max="9211" width="7.36328125" style="19" customWidth="1"/>
    <col min="9212" max="9212" width="5.54296875" style="19" customWidth="1"/>
    <col min="9213" max="9213" width="9" style="19" customWidth="1"/>
    <col min="9214" max="9215" width="9.90625" style="19" customWidth="1"/>
    <col min="9216" max="9216" width="11.08984375" style="19" customWidth="1"/>
    <col min="9217" max="9217" width="2.90625" style="19" customWidth="1"/>
    <col min="9218" max="9218" width="3.54296875" style="19" customWidth="1"/>
    <col min="9219" max="9463" width="9.08984375" style="19"/>
    <col min="9464" max="9464" width="8.6328125" style="19" customWidth="1"/>
    <col min="9465" max="9465" width="9.90625" style="19" customWidth="1"/>
    <col min="9466" max="9466" width="14.453125" style="19" customWidth="1"/>
    <col min="9467" max="9467" width="7.36328125" style="19" customWidth="1"/>
    <col min="9468" max="9468" width="5.54296875" style="19" customWidth="1"/>
    <col min="9469" max="9469" width="9" style="19" customWidth="1"/>
    <col min="9470" max="9471" width="9.90625" style="19" customWidth="1"/>
    <col min="9472" max="9472" width="11.08984375" style="19" customWidth="1"/>
    <col min="9473" max="9473" width="2.90625" style="19" customWidth="1"/>
    <col min="9474" max="9474" width="3.54296875" style="19" customWidth="1"/>
    <col min="9475" max="9719" width="9.08984375" style="19"/>
    <col min="9720" max="9720" width="8.6328125" style="19" customWidth="1"/>
    <col min="9721" max="9721" width="9.90625" style="19" customWidth="1"/>
    <col min="9722" max="9722" width="14.453125" style="19" customWidth="1"/>
    <col min="9723" max="9723" width="7.36328125" style="19" customWidth="1"/>
    <col min="9724" max="9724" width="5.54296875" style="19" customWidth="1"/>
    <col min="9725" max="9725" width="9" style="19" customWidth="1"/>
    <col min="9726" max="9727" width="9.90625" style="19" customWidth="1"/>
    <col min="9728" max="9728" width="11.08984375" style="19" customWidth="1"/>
    <col min="9729" max="9729" width="2.90625" style="19" customWidth="1"/>
    <col min="9730" max="9730" width="3.54296875" style="19" customWidth="1"/>
    <col min="9731" max="9975" width="9.08984375" style="19"/>
    <col min="9976" max="9976" width="8.6328125" style="19" customWidth="1"/>
    <col min="9977" max="9977" width="9.90625" style="19" customWidth="1"/>
    <col min="9978" max="9978" width="14.453125" style="19" customWidth="1"/>
    <col min="9979" max="9979" width="7.36328125" style="19" customWidth="1"/>
    <col min="9980" max="9980" width="5.54296875" style="19" customWidth="1"/>
    <col min="9981" max="9981" width="9" style="19" customWidth="1"/>
    <col min="9982" max="9983" width="9.90625" style="19" customWidth="1"/>
    <col min="9984" max="9984" width="11.08984375" style="19" customWidth="1"/>
    <col min="9985" max="9985" width="2.90625" style="19" customWidth="1"/>
    <col min="9986" max="9986" width="3.54296875" style="19" customWidth="1"/>
    <col min="9987" max="10231" width="9.08984375" style="19"/>
    <col min="10232" max="10232" width="8.6328125" style="19" customWidth="1"/>
    <col min="10233" max="10233" width="9.90625" style="19" customWidth="1"/>
    <col min="10234" max="10234" width="14.453125" style="19" customWidth="1"/>
    <col min="10235" max="10235" width="7.36328125" style="19" customWidth="1"/>
    <col min="10236" max="10236" width="5.54296875" style="19" customWidth="1"/>
    <col min="10237" max="10237" width="9" style="19" customWidth="1"/>
    <col min="10238" max="10239" width="9.90625" style="19" customWidth="1"/>
    <col min="10240" max="10240" width="11.08984375" style="19" customWidth="1"/>
    <col min="10241" max="10241" width="2.90625" style="19" customWidth="1"/>
    <col min="10242" max="10242" width="3.54296875" style="19" customWidth="1"/>
    <col min="10243" max="10487" width="9.08984375" style="19"/>
    <col min="10488" max="10488" width="8.6328125" style="19" customWidth="1"/>
    <col min="10489" max="10489" width="9.90625" style="19" customWidth="1"/>
    <col min="10490" max="10490" width="14.453125" style="19" customWidth="1"/>
    <col min="10491" max="10491" width="7.36328125" style="19" customWidth="1"/>
    <col min="10492" max="10492" width="5.54296875" style="19" customWidth="1"/>
    <col min="10493" max="10493" width="9" style="19" customWidth="1"/>
    <col min="10494" max="10495" width="9.90625" style="19" customWidth="1"/>
    <col min="10496" max="10496" width="11.08984375" style="19" customWidth="1"/>
    <col min="10497" max="10497" width="2.90625" style="19" customWidth="1"/>
    <col min="10498" max="10498" width="3.54296875" style="19" customWidth="1"/>
    <col min="10499" max="10743" width="9.08984375" style="19"/>
    <col min="10744" max="10744" width="8.6328125" style="19" customWidth="1"/>
    <col min="10745" max="10745" width="9.90625" style="19" customWidth="1"/>
    <col min="10746" max="10746" width="14.453125" style="19" customWidth="1"/>
    <col min="10747" max="10747" width="7.36328125" style="19" customWidth="1"/>
    <col min="10748" max="10748" width="5.54296875" style="19" customWidth="1"/>
    <col min="10749" max="10749" width="9" style="19" customWidth="1"/>
    <col min="10750" max="10751" width="9.90625" style="19" customWidth="1"/>
    <col min="10752" max="10752" width="11.08984375" style="19" customWidth="1"/>
    <col min="10753" max="10753" width="2.90625" style="19" customWidth="1"/>
    <col min="10754" max="10754" width="3.54296875" style="19" customWidth="1"/>
    <col min="10755" max="10999" width="9.08984375" style="19"/>
    <col min="11000" max="11000" width="8.6328125" style="19" customWidth="1"/>
    <col min="11001" max="11001" width="9.90625" style="19" customWidth="1"/>
    <col min="11002" max="11002" width="14.453125" style="19" customWidth="1"/>
    <col min="11003" max="11003" width="7.36328125" style="19" customWidth="1"/>
    <col min="11004" max="11004" width="5.54296875" style="19" customWidth="1"/>
    <col min="11005" max="11005" width="9" style="19" customWidth="1"/>
    <col min="11006" max="11007" width="9.90625" style="19" customWidth="1"/>
    <col min="11008" max="11008" width="11.08984375" style="19" customWidth="1"/>
    <col min="11009" max="11009" width="2.90625" style="19" customWidth="1"/>
    <col min="11010" max="11010" width="3.54296875" style="19" customWidth="1"/>
    <col min="11011" max="11255" width="9.08984375" style="19"/>
    <col min="11256" max="11256" width="8.6328125" style="19" customWidth="1"/>
    <col min="11257" max="11257" width="9.90625" style="19" customWidth="1"/>
    <col min="11258" max="11258" width="14.453125" style="19" customWidth="1"/>
    <col min="11259" max="11259" width="7.36328125" style="19" customWidth="1"/>
    <col min="11260" max="11260" width="5.54296875" style="19" customWidth="1"/>
    <col min="11261" max="11261" width="9" style="19" customWidth="1"/>
    <col min="11262" max="11263" width="9.90625" style="19" customWidth="1"/>
    <col min="11264" max="11264" width="11.08984375" style="19" customWidth="1"/>
    <col min="11265" max="11265" width="2.90625" style="19" customWidth="1"/>
    <col min="11266" max="11266" width="3.54296875" style="19" customWidth="1"/>
    <col min="11267" max="11511" width="9.08984375" style="19"/>
    <col min="11512" max="11512" width="8.6328125" style="19" customWidth="1"/>
    <col min="11513" max="11513" width="9.90625" style="19" customWidth="1"/>
    <col min="11514" max="11514" width="14.453125" style="19" customWidth="1"/>
    <col min="11515" max="11515" width="7.36328125" style="19" customWidth="1"/>
    <col min="11516" max="11516" width="5.54296875" style="19" customWidth="1"/>
    <col min="11517" max="11517" width="9" style="19" customWidth="1"/>
    <col min="11518" max="11519" width="9.90625" style="19" customWidth="1"/>
    <col min="11520" max="11520" width="11.08984375" style="19" customWidth="1"/>
    <col min="11521" max="11521" width="2.90625" style="19" customWidth="1"/>
    <col min="11522" max="11522" width="3.54296875" style="19" customWidth="1"/>
    <col min="11523" max="11767" width="9.08984375" style="19"/>
    <col min="11768" max="11768" width="8.6328125" style="19" customWidth="1"/>
    <col min="11769" max="11769" width="9.90625" style="19" customWidth="1"/>
    <col min="11770" max="11770" width="14.453125" style="19" customWidth="1"/>
    <col min="11771" max="11771" width="7.36328125" style="19" customWidth="1"/>
    <col min="11772" max="11772" width="5.54296875" style="19" customWidth="1"/>
    <col min="11773" max="11773" width="9" style="19" customWidth="1"/>
    <col min="11774" max="11775" width="9.90625" style="19" customWidth="1"/>
    <col min="11776" max="11776" width="11.08984375" style="19" customWidth="1"/>
    <col min="11777" max="11777" width="2.90625" style="19" customWidth="1"/>
    <col min="11778" max="11778" width="3.54296875" style="19" customWidth="1"/>
    <col min="11779" max="12023" width="9.08984375" style="19"/>
    <col min="12024" max="12024" width="8.6328125" style="19" customWidth="1"/>
    <col min="12025" max="12025" width="9.90625" style="19" customWidth="1"/>
    <col min="12026" max="12026" width="14.453125" style="19" customWidth="1"/>
    <col min="12027" max="12027" width="7.36328125" style="19" customWidth="1"/>
    <col min="12028" max="12028" width="5.54296875" style="19" customWidth="1"/>
    <col min="12029" max="12029" width="9" style="19" customWidth="1"/>
    <col min="12030" max="12031" width="9.90625" style="19" customWidth="1"/>
    <col min="12032" max="12032" width="11.08984375" style="19" customWidth="1"/>
    <col min="12033" max="12033" width="2.90625" style="19" customWidth="1"/>
    <col min="12034" max="12034" width="3.54296875" style="19" customWidth="1"/>
    <col min="12035" max="12279" width="9.08984375" style="19"/>
    <col min="12280" max="12280" width="8.6328125" style="19" customWidth="1"/>
    <col min="12281" max="12281" width="9.90625" style="19" customWidth="1"/>
    <col min="12282" max="12282" width="14.453125" style="19" customWidth="1"/>
    <col min="12283" max="12283" width="7.36328125" style="19" customWidth="1"/>
    <col min="12284" max="12284" width="5.54296875" style="19" customWidth="1"/>
    <col min="12285" max="12285" width="9" style="19" customWidth="1"/>
    <col min="12286" max="12287" width="9.90625" style="19" customWidth="1"/>
    <col min="12288" max="12288" width="11.08984375" style="19" customWidth="1"/>
    <col min="12289" max="12289" width="2.90625" style="19" customWidth="1"/>
    <col min="12290" max="12290" width="3.54296875" style="19" customWidth="1"/>
    <col min="12291" max="12535" width="9.08984375" style="19"/>
    <col min="12536" max="12536" width="8.6328125" style="19" customWidth="1"/>
    <col min="12537" max="12537" width="9.90625" style="19" customWidth="1"/>
    <col min="12538" max="12538" width="14.453125" style="19" customWidth="1"/>
    <col min="12539" max="12539" width="7.36328125" style="19" customWidth="1"/>
    <col min="12540" max="12540" width="5.54296875" style="19" customWidth="1"/>
    <col min="12541" max="12541" width="9" style="19" customWidth="1"/>
    <col min="12542" max="12543" width="9.90625" style="19" customWidth="1"/>
    <col min="12544" max="12544" width="11.08984375" style="19" customWidth="1"/>
    <col min="12545" max="12545" width="2.90625" style="19" customWidth="1"/>
    <col min="12546" max="12546" width="3.54296875" style="19" customWidth="1"/>
    <col min="12547" max="12791" width="9.08984375" style="19"/>
    <col min="12792" max="12792" width="8.6328125" style="19" customWidth="1"/>
    <col min="12793" max="12793" width="9.90625" style="19" customWidth="1"/>
    <col min="12794" max="12794" width="14.453125" style="19" customWidth="1"/>
    <col min="12795" max="12795" width="7.36328125" style="19" customWidth="1"/>
    <col min="12796" max="12796" width="5.54296875" style="19" customWidth="1"/>
    <col min="12797" max="12797" width="9" style="19" customWidth="1"/>
    <col min="12798" max="12799" width="9.90625" style="19" customWidth="1"/>
    <col min="12800" max="12800" width="11.08984375" style="19" customWidth="1"/>
    <col min="12801" max="12801" width="2.90625" style="19" customWidth="1"/>
    <col min="12802" max="12802" width="3.54296875" style="19" customWidth="1"/>
    <col min="12803" max="13047" width="9.08984375" style="19"/>
    <col min="13048" max="13048" width="8.6328125" style="19" customWidth="1"/>
    <col min="13049" max="13049" width="9.90625" style="19" customWidth="1"/>
    <col min="13050" max="13050" width="14.453125" style="19" customWidth="1"/>
    <col min="13051" max="13051" width="7.36328125" style="19" customWidth="1"/>
    <col min="13052" max="13052" width="5.54296875" style="19" customWidth="1"/>
    <col min="13053" max="13053" width="9" style="19" customWidth="1"/>
    <col min="13054" max="13055" width="9.90625" style="19" customWidth="1"/>
    <col min="13056" max="13056" width="11.08984375" style="19" customWidth="1"/>
    <col min="13057" max="13057" width="2.90625" style="19" customWidth="1"/>
    <col min="13058" max="13058" width="3.54296875" style="19" customWidth="1"/>
    <col min="13059" max="13303" width="9.08984375" style="19"/>
    <col min="13304" max="13304" width="8.6328125" style="19" customWidth="1"/>
    <col min="13305" max="13305" width="9.90625" style="19" customWidth="1"/>
    <col min="13306" max="13306" width="14.453125" style="19" customWidth="1"/>
    <col min="13307" max="13307" width="7.36328125" style="19" customWidth="1"/>
    <col min="13308" max="13308" width="5.54296875" style="19" customWidth="1"/>
    <col min="13309" max="13309" width="9" style="19" customWidth="1"/>
    <col min="13310" max="13311" width="9.90625" style="19" customWidth="1"/>
    <col min="13312" max="13312" width="11.08984375" style="19" customWidth="1"/>
    <col min="13313" max="13313" width="2.90625" style="19" customWidth="1"/>
    <col min="13314" max="13314" width="3.54296875" style="19" customWidth="1"/>
    <col min="13315" max="13559" width="9.08984375" style="19"/>
    <col min="13560" max="13560" width="8.6328125" style="19" customWidth="1"/>
    <col min="13561" max="13561" width="9.90625" style="19" customWidth="1"/>
    <col min="13562" max="13562" width="14.453125" style="19" customWidth="1"/>
    <col min="13563" max="13563" width="7.36328125" style="19" customWidth="1"/>
    <col min="13564" max="13564" width="5.54296875" style="19" customWidth="1"/>
    <col min="13565" max="13565" width="9" style="19" customWidth="1"/>
    <col min="13566" max="13567" width="9.90625" style="19" customWidth="1"/>
    <col min="13568" max="13568" width="11.08984375" style="19" customWidth="1"/>
    <col min="13569" max="13569" width="2.90625" style="19" customWidth="1"/>
    <col min="13570" max="13570" width="3.54296875" style="19" customWidth="1"/>
    <col min="13571" max="13815" width="9.08984375" style="19"/>
    <col min="13816" max="13816" width="8.6328125" style="19" customWidth="1"/>
    <col min="13817" max="13817" width="9.90625" style="19" customWidth="1"/>
    <col min="13818" max="13818" width="14.453125" style="19" customWidth="1"/>
    <col min="13819" max="13819" width="7.36328125" style="19" customWidth="1"/>
    <col min="13820" max="13820" width="5.54296875" style="19" customWidth="1"/>
    <col min="13821" max="13821" width="9" style="19" customWidth="1"/>
    <col min="13822" max="13823" width="9.90625" style="19" customWidth="1"/>
    <col min="13824" max="13824" width="11.08984375" style="19" customWidth="1"/>
    <col min="13825" max="13825" width="2.90625" style="19" customWidth="1"/>
    <col min="13826" max="13826" width="3.54296875" style="19" customWidth="1"/>
    <col min="13827" max="14071" width="9.08984375" style="19"/>
    <col min="14072" max="14072" width="8.6328125" style="19" customWidth="1"/>
    <col min="14073" max="14073" width="9.90625" style="19" customWidth="1"/>
    <col min="14074" max="14074" width="14.453125" style="19" customWidth="1"/>
    <col min="14075" max="14075" width="7.36328125" style="19" customWidth="1"/>
    <col min="14076" max="14076" width="5.54296875" style="19" customWidth="1"/>
    <col min="14077" max="14077" width="9" style="19" customWidth="1"/>
    <col min="14078" max="14079" width="9.90625" style="19" customWidth="1"/>
    <col min="14080" max="14080" width="11.08984375" style="19" customWidth="1"/>
    <col min="14081" max="14081" width="2.90625" style="19" customWidth="1"/>
    <col min="14082" max="14082" width="3.54296875" style="19" customWidth="1"/>
    <col min="14083" max="14327" width="9.08984375" style="19"/>
    <col min="14328" max="14328" width="8.6328125" style="19" customWidth="1"/>
    <col min="14329" max="14329" width="9.90625" style="19" customWidth="1"/>
    <col min="14330" max="14330" width="14.453125" style="19" customWidth="1"/>
    <col min="14331" max="14331" width="7.36328125" style="19" customWidth="1"/>
    <col min="14332" max="14332" width="5.54296875" style="19" customWidth="1"/>
    <col min="14333" max="14333" width="9" style="19" customWidth="1"/>
    <col min="14334" max="14335" width="9.90625" style="19" customWidth="1"/>
    <col min="14336" max="14336" width="11.08984375" style="19" customWidth="1"/>
    <col min="14337" max="14337" width="2.90625" style="19" customWidth="1"/>
    <col min="14338" max="14338" width="3.54296875" style="19" customWidth="1"/>
    <col min="14339" max="14583" width="9.08984375" style="19"/>
    <col min="14584" max="14584" width="8.6328125" style="19" customWidth="1"/>
    <col min="14585" max="14585" width="9.90625" style="19" customWidth="1"/>
    <col min="14586" max="14586" width="14.453125" style="19" customWidth="1"/>
    <col min="14587" max="14587" width="7.36328125" style="19" customWidth="1"/>
    <col min="14588" max="14588" width="5.54296875" style="19" customWidth="1"/>
    <col min="14589" max="14589" width="9" style="19" customWidth="1"/>
    <col min="14590" max="14591" width="9.90625" style="19" customWidth="1"/>
    <col min="14592" max="14592" width="11.08984375" style="19" customWidth="1"/>
    <col min="14593" max="14593" width="2.90625" style="19" customWidth="1"/>
    <col min="14594" max="14594" width="3.54296875" style="19" customWidth="1"/>
    <col min="14595" max="14839" width="9.08984375" style="19"/>
    <col min="14840" max="14840" width="8.6328125" style="19" customWidth="1"/>
    <col min="14841" max="14841" width="9.90625" style="19" customWidth="1"/>
    <col min="14842" max="14842" width="14.453125" style="19" customWidth="1"/>
    <col min="14843" max="14843" width="7.36328125" style="19" customWidth="1"/>
    <col min="14844" max="14844" width="5.54296875" style="19" customWidth="1"/>
    <col min="14845" max="14845" width="9" style="19" customWidth="1"/>
    <col min="14846" max="14847" width="9.90625" style="19" customWidth="1"/>
    <col min="14848" max="14848" width="11.08984375" style="19" customWidth="1"/>
    <col min="14849" max="14849" width="2.90625" style="19" customWidth="1"/>
    <col min="14850" max="14850" width="3.54296875" style="19" customWidth="1"/>
    <col min="14851" max="15095" width="9.08984375" style="19"/>
    <col min="15096" max="15096" width="8.6328125" style="19" customWidth="1"/>
    <col min="15097" max="15097" width="9.90625" style="19" customWidth="1"/>
    <col min="15098" max="15098" width="14.453125" style="19" customWidth="1"/>
    <col min="15099" max="15099" width="7.36328125" style="19" customWidth="1"/>
    <col min="15100" max="15100" width="5.54296875" style="19" customWidth="1"/>
    <col min="15101" max="15101" width="9" style="19" customWidth="1"/>
    <col min="15102" max="15103" width="9.90625" style="19" customWidth="1"/>
    <col min="15104" max="15104" width="11.08984375" style="19" customWidth="1"/>
    <col min="15105" max="15105" width="2.90625" style="19" customWidth="1"/>
    <col min="15106" max="15106" width="3.54296875" style="19" customWidth="1"/>
    <col min="15107" max="15351" width="9.08984375" style="19"/>
    <col min="15352" max="15352" width="8.6328125" style="19" customWidth="1"/>
    <col min="15353" max="15353" width="9.90625" style="19" customWidth="1"/>
    <col min="15354" max="15354" width="14.453125" style="19" customWidth="1"/>
    <col min="15355" max="15355" width="7.36328125" style="19" customWidth="1"/>
    <col min="15356" max="15356" width="5.54296875" style="19" customWidth="1"/>
    <col min="15357" max="15357" width="9" style="19" customWidth="1"/>
    <col min="15358" max="15359" width="9.90625" style="19" customWidth="1"/>
    <col min="15360" max="15360" width="11.08984375" style="19" customWidth="1"/>
    <col min="15361" max="15361" width="2.90625" style="19" customWidth="1"/>
    <col min="15362" max="15362" width="3.54296875" style="19" customWidth="1"/>
    <col min="15363" max="15607" width="9.08984375" style="19"/>
    <col min="15608" max="15608" width="8.6328125" style="19" customWidth="1"/>
    <col min="15609" max="15609" width="9.90625" style="19" customWidth="1"/>
    <col min="15610" max="15610" width="14.453125" style="19" customWidth="1"/>
    <col min="15611" max="15611" width="7.36328125" style="19" customWidth="1"/>
    <col min="15612" max="15612" width="5.54296875" style="19" customWidth="1"/>
    <col min="15613" max="15613" width="9" style="19" customWidth="1"/>
    <col min="15614" max="15615" width="9.90625" style="19" customWidth="1"/>
    <col min="15616" max="15616" width="11.08984375" style="19" customWidth="1"/>
    <col min="15617" max="15617" width="2.90625" style="19" customWidth="1"/>
    <col min="15618" max="15618" width="3.54296875" style="19" customWidth="1"/>
    <col min="15619" max="15863" width="9.08984375" style="19"/>
    <col min="15864" max="15864" width="8.6328125" style="19" customWidth="1"/>
    <col min="15865" max="15865" width="9.90625" style="19" customWidth="1"/>
    <col min="15866" max="15866" width="14.453125" style="19" customWidth="1"/>
    <col min="15867" max="15867" width="7.36328125" style="19" customWidth="1"/>
    <col min="15868" max="15868" width="5.54296875" style="19" customWidth="1"/>
    <col min="15869" max="15869" width="9" style="19" customWidth="1"/>
    <col min="15870" max="15871" width="9.90625" style="19" customWidth="1"/>
    <col min="15872" max="15872" width="11.08984375" style="19" customWidth="1"/>
    <col min="15873" max="15873" width="2.90625" style="19" customWidth="1"/>
    <col min="15874" max="15874" width="3.54296875" style="19" customWidth="1"/>
    <col min="15875" max="16119" width="9.08984375" style="19"/>
    <col min="16120" max="16120" width="8.6328125" style="19" customWidth="1"/>
    <col min="16121" max="16121" width="9.90625" style="19" customWidth="1"/>
    <col min="16122" max="16122" width="14.453125" style="19" customWidth="1"/>
    <col min="16123" max="16123" width="7.36328125" style="19" customWidth="1"/>
    <col min="16124" max="16124" width="5.54296875" style="19" customWidth="1"/>
    <col min="16125" max="16125" width="9" style="19" customWidth="1"/>
    <col min="16126" max="16127" width="9.90625" style="19" customWidth="1"/>
    <col min="16128" max="16128" width="11.08984375" style="19" customWidth="1"/>
    <col min="16129" max="16129" width="2.90625" style="19" customWidth="1"/>
    <col min="16130" max="16130" width="3.54296875" style="19" customWidth="1"/>
    <col min="16131" max="16384" width="9.08984375" style="19"/>
  </cols>
  <sheetData>
    <row r="1" spans="1:26" ht="46.5" customHeight="1" x14ac:dyDescent="0.35">
      <c r="A1" s="182" t="s">
        <v>161</v>
      </c>
      <c r="B1" s="182"/>
      <c r="C1" s="182"/>
      <c r="D1" s="182"/>
      <c r="E1" s="182"/>
      <c r="F1" s="182"/>
      <c r="G1" s="182"/>
      <c r="H1" s="182"/>
    </row>
    <row r="2" spans="1:26" ht="16.5" customHeight="1" x14ac:dyDescent="0.35">
      <c r="A2" s="183" t="s">
        <v>0</v>
      </c>
      <c r="B2" s="183"/>
      <c r="C2" s="183"/>
      <c r="D2" s="183"/>
      <c r="E2" s="183"/>
      <c r="F2" s="183"/>
      <c r="G2" s="183"/>
      <c r="H2" s="183"/>
    </row>
    <row r="3" spans="1:26" x14ac:dyDescent="0.35">
      <c r="A3" s="113" t="s">
        <v>1</v>
      </c>
      <c r="B3" s="113"/>
      <c r="C3" s="113"/>
      <c r="D3" s="113"/>
      <c r="E3" s="113" t="str">
        <f ca="1">TEXT(TODAY(),"DD/MM/YYYY")</f>
        <v>08/09/2025</v>
      </c>
      <c r="F3" s="113"/>
      <c r="G3" s="113"/>
      <c r="H3" s="113"/>
      <c r="K3" s="51" t="s">
        <v>234</v>
      </c>
      <c r="L3" s="49" t="s">
        <v>232</v>
      </c>
      <c r="M3" s="49" t="s">
        <v>237</v>
      </c>
      <c r="N3" s="49" t="s">
        <v>235</v>
      </c>
      <c r="O3" s="49" t="s">
        <v>236</v>
      </c>
      <c r="P3" s="49" t="s">
        <v>238</v>
      </c>
    </row>
    <row r="4" spans="1:26" ht="15" customHeight="1" x14ac:dyDescent="0.35">
      <c r="A4" s="113" t="s">
        <v>231</v>
      </c>
      <c r="B4" s="113"/>
      <c r="C4" s="113"/>
      <c r="D4" s="113"/>
      <c r="E4" s="113" t="s">
        <v>232</v>
      </c>
      <c r="F4" s="113"/>
      <c r="G4" s="113"/>
      <c r="H4" s="113"/>
      <c r="K4" s="48" t="s">
        <v>233</v>
      </c>
      <c r="L4" s="49" t="s">
        <v>167</v>
      </c>
      <c r="M4" s="49" t="s">
        <v>242</v>
      </c>
      <c r="N4" s="49" t="s">
        <v>244</v>
      </c>
      <c r="O4" s="49" t="s">
        <v>246</v>
      </c>
      <c r="P4" s="49"/>
    </row>
    <row r="5" spans="1:26" ht="15" customHeight="1" x14ac:dyDescent="0.35">
      <c r="A5" s="113" t="s">
        <v>2</v>
      </c>
      <c r="B5" s="113"/>
      <c r="C5" s="113"/>
      <c r="D5" s="113"/>
      <c r="E5" s="113" t="s">
        <v>239</v>
      </c>
      <c r="F5" s="113"/>
      <c r="G5" s="113"/>
      <c r="H5" s="113"/>
      <c r="K5" s="48"/>
      <c r="L5" s="49" t="s">
        <v>239</v>
      </c>
      <c r="M5" s="49" t="s">
        <v>243</v>
      </c>
      <c r="N5" s="49" t="s">
        <v>245</v>
      </c>
      <c r="O5" s="49" t="s">
        <v>247</v>
      </c>
      <c r="P5" s="49"/>
    </row>
    <row r="6" spans="1:26" x14ac:dyDescent="0.35">
      <c r="A6" s="113" t="s">
        <v>3</v>
      </c>
      <c r="B6" s="113"/>
      <c r="C6" s="113"/>
      <c r="D6" s="113"/>
      <c r="E6" s="184">
        <v>45906</v>
      </c>
      <c r="F6" s="113"/>
      <c r="G6" s="113"/>
      <c r="H6" s="113"/>
      <c r="K6" s="48"/>
      <c r="L6" s="49" t="s">
        <v>240</v>
      </c>
      <c r="M6" s="49"/>
      <c r="N6" s="49"/>
      <c r="O6" s="49" t="s">
        <v>248</v>
      </c>
      <c r="P6" s="49"/>
    </row>
    <row r="7" spans="1:26" ht="16.5" customHeight="1" x14ac:dyDescent="0.35">
      <c r="A7" s="113" t="s">
        <v>4</v>
      </c>
      <c r="B7" s="113"/>
      <c r="C7" s="113"/>
      <c r="D7" s="113"/>
      <c r="E7" s="113" t="s">
        <v>333</v>
      </c>
      <c r="F7" s="113"/>
      <c r="G7" s="113"/>
      <c r="H7" s="113"/>
      <c r="K7" s="48"/>
      <c r="L7" s="49" t="s">
        <v>241</v>
      </c>
      <c r="M7" s="49"/>
      <c r="N7" s="49"/>
      <c r="O7" s="49" t="s">
        <v>248</v>
      </c>
      <c r="P7" s="49"/>
    </row>
    <row r="8" spans="1:26" ht="15" customHeight="1" x14ac:dyDescent="0.35">
      <c r="A8" s="113" t="s">
        <v>5</v>
      </c>
      <c r="B8" s="113"/>
      <c r="C8" s="113"/>
      <c r="D8" s="113"/>
      <c r="E8" s="113" t="str">
        <f>E7</f>
        <v>Ajay Pratap Ashar</v>
      </c>
      <c r="F8" s="113"/>
      <c r="G8" s="113"/>
      <c r="H8" s="113"/>
      <c r="K8" s="48"/>
      <c r="L8" s="49"/>
      <c r="M8" s="49"/>
      <c r="N8" s="49"/>
      <c r="O8" s="49" t="s">
        <v>249</v>
      </c>
      <c r="P8" s="49"/>
    </row>
    <row r="9" spans="1:26" x14ac:dyDescent="0.35">
      <c r="A9" s="113" t="s">
        <v>6</v>
      </c>
      <c r="B9" s="113"/>
      <c r="C9" s="113"/>
      <c r="D9" s="113"/>
      <c r="E9" s="178" t="s">
        <v>334</v>
      </c>
      <c r="F9" s="178"/>
      <c r="G9" s="178"/>
      <c r="H9" s="178"/>
      <c r="K9" s="48"/>
      <c r="L9" s="49"/>
      <c r="M9" s="49"/>
      <c r="N9" s="49"/>
      <c r="O9" s="49" t="s">
        <v>250</v>
      </c>
      <c r="P9" s="49"/>
    </row>
    <row r="10" spans="1:26" x14ac:dyDescent="0.35">
      <c r="A10" s="113" t="s">
        <v>164</v>
      </c>
      <c r="B10" s="113"/>
      <c r="C10" s="113"/>
      <c r="D10" s="113"/>
      <c r="E10" s="113" t="s">
        <v>335</v>
      </c>
      <c r="F10" s="113"/>
      <c r="G10" s="113"/>
      <c r="H10" s="113"/>
      <c r="K10" s="48"/>
      <c r="L10" s="49"/>
      <c r="M10" s="49"/>
      <c r="N10" s="49"/>
      <c r="O10" s="49"/>
      <c r="P10" s="49"/>
    </row>
    <row r="11" spans="1:26" x14ac:dyDescent="0.35">
      <c r="A11" s="113" t="s">
        <v>165</v>
      </c>
      <c r="B11" s="113"/>
      <c r="C11" s="113"/>
      <c r="D11" s="113"/>
      <c r="E11" s="113" t="s">
        <v>412</v>
      </c>
      <c r="F11" s="113"/>
      <c r="G11" s="113"/>
      <c r="H11" s="113"/>
      <c r="I11" s="113" t="s">
        <v>335</v>
      </c>
      <c r="J11" s="113"/>
      <c r="K11" s="113"/>
      <c r="L11" s="113"/>
    </row>
    <row r="12" spans="1:26" x14ac:dyDescent="0.35">
      <c r="A12" s="113" t="s">
        <v>7</v>
      </c>
      <c r="B12" s="113"/>
      <c r="C12" s="113"/>
      <c r="D12" s="113"/>
      <c r="E12" s="113" t="s">
        <v>336</v>
      </c>
      <c r="F12" s="113"/>
      <c r="G12" s="113"/>
      <c r="H12" s="113"/>
    </row>
    <row r="13" spans="1:26" x14ac:dyDescent="0.35">
      <c r="A13" s="113" t="s">
        <v>168</v>
      </c>
      <c r="B13" s="113"/>
      <c r="C13" s="113"/>
      <c r="D13" s="113"/>
      <c r="E13" s="113" t="s">
        <v>28</v>
      </c>
      <c r="F13" s="113"/>
      <c r="G13" s="113"/>
      <c r="H13" s="113"/>
      <c r="S13" s="49" t="s">
        <v>176</v>
      </c>
      <c r="T13" s="49" t="s">
        <v>185</v>
      </c>
      <c r="U13" s="49" t="s">
        <v>169</v>
      </c>
      <c r="V13" s="49" t="s">
        <v>190</v>
      </c>
      <c r="W13" s="49" t="s">
        <v>208</v>
      </c>
      <c r="X13"/>
      <c r="Y13" t="s">
        <v>190</v>
      </c>
      <c r="Z13" t="e">
        <f ca="1">OFFSET($S$13,1,MATCH($G20,$S$13:$W$13,0)-1,15,1)</f>
        <v>#VALUE!</v>
      </c>
    </row>
    <row r="14" spans="1:26" ht="15.75" customHeight="1" x14ac:dyDescent="0.35">
      <c r="A14" s="98" t="s">
        <v>277</v>
      </c>
      <c r="B14" s="98"/>
      <c r="C14" s="98"/>
      <c r="D14" s="98"/>
      <c r="E14" s="145" t="s">
        <v>223</v>
      </c>
      <c r="F14" s="145"/>
      <c r="G14" s="145"/>
      <c r="H14" s="145"/>
      <c r="S14" s="49" t="s">
        <v>176</v>
      </c>
      <c r="T14" s="49" t="s">
        <v>183</v>
      </c>
      <c r="U14" s="49" t="s">
        <v>205</v>
      </c>
      <c r="V14" s="49" t="s">
        <v>191</v>
      </c>
      <c r="W14" s="49" t="s">
        <v>209</v>
      </c>
      <c r="X14"/>
      <c r="Y14"/>
      <c r="Z14"/>
    </row>
    <row r="15" spans="1:26" x14ac:dyDescent="0.35">
      <c r="A15" s="98" t="s">
        <v>8</v>
      </c>
      <c r="B15" s="98"/>
      <c r="C15" s="98"/>
      <c r="D15" s="98"/>
      <c r="E15" s="145" t="s">
        <v>342</v>
      </c>
      <c r="F15" s="113"/>
      <c r="G15" s="113"/>
      <c r="H15" s="113"/>
      <c r="I15" s="224" t="e">
        <f ca="1">OFFSET($D$5,1,MATCH($J13,$D$5:$H$5,0)-1,15,1)</f>
        <v>#N/A</v>
      </c>
      <c r="J15" s="225"/>
      <c r="K15" s="225"/>
      <c r="L15" s="225"/>
      <c r="M15" s="225"/>
      <c r="N15" s="225"/>
      <c r="O15" s="225"/>
      <c r="P15" s="225"/>
      <c r="S15" s="49" t="s">
        <v>177</v>
      </c>
      <c r="T15" s="49" t="s">
        <v>184</v>
      </c>
      <c r="U15" s="49" t="s">
        <v>206</v>
      </c>
      <c r="V15" s="49" t="s">
        <v>192</v>
      </c>
      <c r="W15" s="49" t="s">
        <v>222</v>
      </c>
      <c r="X15"/>
      <c r="Y15"/>
      <c r="Z15"/>
    </row>
    <row r="16" spans="1:26" ht="81.75" customHeight="1" x14ac:dyDescent="0.35">
      <c r="A16" s="156" t="s">
        <v>9</v>
      </c>
      <c r="B16" s="156"/>
      <c r="C16" s="156" t="str">
        <f>CONCATENATE((IF(OR(E9="",E9="NA"),"",E9)),", ",(IF(OR(A17="",A17="NA"),"",A17)),".",(IF(OR(C17="",C17="NA"),"",C17)),", near ",(IF(OR(C22="",C22="NA"),"",C22)),", ",(IF(OR(C19="",C19="NA"),"",C19)),", ",(IF(OR(C18="",C18="NA"),"",C18)),", ",(IF(OR(G19="",G19="NA"),"",G19)),", ",(IF(OR(C20="",C20="NA"),"",C20)),", ",(IF(OR(C21="",C21="NA"),"",C21)),", ",(IF(OR(G20="",G20="NA"),"",G20))," - ",(IF(OR(G21="",G21="NA"),"",G21)),".")</f>
        <v>Ashar Merac Phase I, Survey No.412, H No.2(Pt), S No. 413 H No.2(PT), S No.422 H .No.2(Pt) of SubPlot A1 &amp; H No.412 H No.2(Pt) of Sub plot A2 &amp; S No.425 H No.2(PT), S No.426(PT) of subplot A4-X &amp; S No.423 HNo.2,S No.426 H No.2(Pt),S No.484(part) of subplot A5, near Finland International School, SG Barve Marg, Shree Nagar, Pachpakhadi, Thane West, Thane, Thane - 400604.</v>
      </c>
      <c r="D16" s="156"/>
      <c r="E16" s="156"/>
      <c r="F16" s="156"/>
      <c r="G16" s="156"/>
      <c r="H16" s="156"/>
      <c r="S16" s="49" t="s">
        <v>178</v>
      </c>
      <c r="T16" s="49" t="s">
        <v>186</v>
      </c>
      <c r="U16" s="49" t="s">
        <v>207</v>
      </c>
      <c r="V16" s="49" t="s">
        <v>193</v>
      </c>
      <c r="W16" s="49" t="s">
        <v>210</v>
      </c>
      <c r="X16"/>
      <c r="Y16"/>
      <c r="Z16"/>
    </row>
    <row r="17" spans="1:26" ht="63" customHeight="1" x14ac:dyDescent="0.35">
      <c r="A17" s="145" t="s">
        <v>339</v>
      </c>
      <c r="B17" s="145"/>
      <c r="C17" s="145" t="s">
        <v>338</v>
      </c>
      <c r="D17" s="145"/>
      <c r="E17" s="145"/>
      <c r="F17" s="145"/>
      <c r="G17" s="145"/>
      <c r="H17" s="145"/>
      <c r="S17" s="49" t="s">
        <v>179</v>
      </c>
      <c r="T17" s="49" t="s">
        <v>187</v>
      </c>
      <c r="U17" s="49" t="s">
        <v>169</v>
      </c>
      <c r="V17" s="49" t="s">
        <v>194</v>
      </c>
      <c r="W17" s="49" t="s">
        <v>211</v>
      </c>
      <c r="X17"/>
      <c r="Y17"/>
      <c r="Z17"/>
    </row>
    <row r="18" spans="1:26" ht="15.75" customHeight="1" x14ac:dyDescent="0.35">
      <c r="A18" s="145" t="s">
        <v>159</v>
      </c>
      <c r="B18" s="145"/>
      <c r="C18" s="145" t="s">
        <v>340</v>
      </c>
      <c r="D18" s="145"/>
      <c r="E18" s="145"/>
      <c r="F18" s="145"/>
      <c r="G18" s="145"/>
      <c r="H18" s="145"/>
      <c r="S18" s="49" t="s">
        <v>180</v>
      </c>
      <c r="T18" s="49" t="s">
        <v>185</v>
      </c>
      <c r="U18" s="49"/>
      <c r="V18" s="49" t="s">
        <v>195</v>
      </c>
      <c r="W18" s="49" t="s">
        <v>212</v>
      </c>
      <c r="X18"/>
      <c r="Y18"/>
      <c r="Z18"/>
    </row>
    <row r="19" spans="1:26" ht="15.75" customHeight="1" x14ac:dyDescent="0.35">
      <c r="A19" s="156" t="s">
        <v>10</v>
      </c>
      <c r="B19" s="156"/>
      <c r="C19" s="113" t="s">
        <v>341</v>
      </c>
      <c r="D19" s="113"/>
      <c r="E19" s="156" t="s">
        <v>70</v>
      </c>
      <c r="F19" s="156"/>
      <c r="G19" s="145" t="s">
        <v>337</v>
      </c>
      <c r="H19" s="145"/>
      <c r="S19" s="49" t="s">
        <v>181</v>
      </c>
      <c r="T19" s="49" t="s">
        <v>188</v>
      </c>
      <c r="U19" s="49"/>
      <c r="V19" s="49" t="s">
        <v>196</v>
      </c>
      <c r="W19" s="49" t="s">
        <v>213</v>
      </c>
      <c r="X19"/>
      <c r="Y19"/>
      <c r="Z19"/>
    </row>
    <row r="20" spans="1:26" x14ac:dyDescent="0.35">
      <c r="A20" s="98" t="s">
        <v>12</v>
      </c>
      <c r="B20" s="98"/>
      <c r="C20" s="145" t="s">
        <v>401</v>
      </c>
      <c r="D20" s="145"/>
      <c r="E20" s="145" t="s">
        <v>11</v>
      </c>
      <c r="F20" s="145"/>
      <c r="G20" s="181" t="s">
        <v>176</v>
      </c>
      <c r="H20" s="181"/>
      <c r="S20" s="49" t="s">
        <v>182</v>
      </c>
      <c r="T20" s="49" t="s">
        <v>189</v>
      </c>
      <c r="U20" s="49"/>
      <c r="V20" s="49" t="s">
        <v>197</v>
      </c>
      <c r="W20" s="49" t="s">
        <v>214</v>
      </c>
      <c r="X20"/>
      <c r="Y20"/>
      <c r="Z20"/>
    </row>
    <row r="21" spans="1:26" x14ac:dyDescent="0.35">
      <c r="A21" s="98" t="s">
        <v>71</v>
      </c>
      <c r="B21" s="98"/>
      <c r="C21" s="145" t="s">
        <v>176</v>
      </c>
      <c r="D21" s="145"/>
      <c r="E21" s="145" t="s">
        <v>13</v>
      </c>
      <c r="F21" s="145"/>
      <c r="G21" s="145">
        <v>400604</v>
      </c>
      <c r="H21" s="145"/>
      <c r="S21" s="49"/>
      <c r="T21" s="49"/>
      <c r="U21" s="49"/>
      <c r="V21" s="49" t="s">
        <v>198</v>
      </c>
      <c r="W21" s="49" t="s">
        <v>215</v>
      </c>
      <c r="X21"/>
      <c r="Y21"/>
      <c r="Z21"/>
    </row>
    <row r="22" spans="1:26" ht="32.25" customHeight="1" x14ac:dyDescent="0.35">
      <c r="A22" s="98" t="s">
        <v>118</v>
      </c>
      <c r="B22" s="98"/>
      <c r="C22" s="145" t="s">
        <v>395</v>
      </c>
      <c r="D22" s="145"/>
      <c r="E22" s="156" t="s">
        <v>14</v>
      </c>
      <c r="F22" s="156"/>
      <c r="G22" s="145" t="s">
        <v>402</v>
      </c>
      <c r="H22" s="145"/>
      <c r="S22" s="49"/>
      <c r="T22" s="49"/>
      <c r="U22" s="49"/>
      <c r="V22" s="49" t="s">
        <v>199</v>
      </c>
      <c r="W22" s="49" t="s">
        <v>216</v>
      </c>
      <c r="X22"/>
      <c r="Y22"/>
      <c r="Z22"/>
    </row>
    <row r="23" spans="1:26" ht="15" customHeight="1" x14ac:dyDescent="0.35">
      <c r="A23" s="156" t="s">
        <v>73</v>
      </c>
      <c r="B23" s="156"/>
      <c r="C23" s="156"/>
      <c r="D23" s="156"/>
      <c r="E23" s="113" t="s">
        <v>15</v>
      </c>
      <c r="F23" s="113"/>
      <c r="G23" s="113"/>
      <c r="H23" s="113"/>
      <c r="S23" s="49"/>
      <c r="T23" s="49"/>
      <c r="U23" s="49"/>
      <c r="V23" s="49" t="s">
        <v>200</v>
      </c>
      <c r="W23" s="49" t="s">
        <v>217</v>
      </c>
      <c r="X23"/>
      <c r="Y23"/>
      <c r="Z23"/>
    </row>
    <row r="24" spans="1:26" ht="18.75" customHeight="1" x14ac:dyDescent="0.35">
      <c r="A24" s="156"/>
      <c r="B24" s="156"/>
      <c r="C24" s="156"/>
      <c r="D24" s="156"/>
      <c r="E24" s="113"/>
      <c r="F24" s="113"/>
      <c r="G24" s="113"/>
      <c r="H24" s="113"/>
      <c r="S24" s="49"/>
      <c r="T24" s="49"/>
      <c r="U24" s="49"/>
      <c r="V24" s="49" t="s">
        <v>201</v>
      </c>
      <c r="W24" s="49" t="s">
        <v>218</v>
      </c>
      <c r="X24"/>
      <c r="Y24"/>
      <c r="Z24"/>
    </row>
    <row r="25" spans="1:26" ht="15" customHeight="1" x14ac:dyDescent="0.35">
      <c r="A25" s="156" t="s">
        <v>16</v>
      </c>
      <c r="B25" s="156"/>
      <c r="C25" s="156"/>
      <c r="D25" s="156"/>
      <c r="E25" s="145" t="s">
        <v>17</v>
      </c>
      <c r="F25" s="145"/>
      <c r="G25" s="145"/>
      <c r="H25" s="145"/>
      <c r="S25" s="49"/>
      <c r="T25" s="49"/>
      <c r="U25" s="49"/>
      <c r="V25" s="49" t="s">
        <v>202</v>
      </c>
      <c r="W25" s="49" t="s">
        <v>219</v>
      </c>
      <c r="X25"/>
      <c r="Y25"/>
      <c r="Z25"/>
    </row>
    <row r="26" spans="1:26" ht="15" customHeight="1" x14ac:dyDescent="0.35">
      <c r="A26" s="98" t="s">
        <v>18</v>
      </c>
      <c r="B26" s="98"/>
      <c r="C26" s="98"/>
      <c r="D26" s="98"/>
      <c r="E26" s="145" t="str">
        <f>IF(AND(G20="Mumbai"),"Upper Class","Middle Class")</f>
        <v>Middle Class</v>
      </c>
      <c r="F26" s="145"/>
      <c r="G26" s="145"/>
      <c r="H26" s="145"/>
      <c r="S26" s="49"/>
      <c r="T26" s="49"/>
      <c r="U26" s="49"/>
      <c r="V26" s="49" t="s">
        <v>203</v>
      </c>
      <c r="W26" s="49" t="s">
        <v>220</v>
      </c>
      <c r="X26"/>
      <c r="Y26"/>
      <c r="Z26"/>
    </row>
    <row r="27" spans="1:26" x14ac:dyDescent="0.35">
      <c r="A27" s="98" t="s">
        <v>19</v>
      </c>
      <c r="B27" s="98"/>
      <c r="C27" s="98"/>
      <c r="D27" s="98"/>
      <c r="E27" s="145" t="s">
        <v>20</v>
      </c>
      <c r="F27" s="145"/>
      <c r="G27" s="145"/>
      <c r="H27" s="145"/>
      <c r="S27" s="49"/>
      <c r="T27" s="49"/>
      <c r="U27" s="49"/>
      <c r="V27" s="49" t="s">
        <v>204</v>
      </c>
      <c r="W27" s="49" t="s">
        <v>221</v>
      </c>
      <c r="X27"/>
      <c r="Y27"/>
      <c r="Z27"/>
    </row>
    <row r="28" spans="1:26" ht="15.75" customHeight="1" x14ac:dyDescent="0.35">
      <c r="A28" s="98" t="s">
        <v>21</v>
      </c>
      <c r="B28" s="98"/>
      <c r="C28" s="98"/>
      <c r="D28" s="98"/>
      <c r="E28" s="145" t="str">
        <f>IF(AND(G20="Mumbai"),"Developed","Developing")</f>
        <v>Developing</v>
      </c>
      <c r="F28" s="145"/>
      <c r="G28" s="145"/>
      <c r="H28" s="145"/>
    </row>
    <row r="29" spans="1:26" x14ac:dyDescent="0.35">
      <c r="A29" s="98" t="s">
        <v>22</v>
      </c>
      <c r="B29" s="98"/>
      <c r="C29" s="98"/>
      <c r="D29" s="98"/>
      <c r="E29" s="145" t="s">
        <v>23</v>
      </c>
      <c r="F29" s="145"/>
      <c r="G29" s="145"/>
      <c r="H29" s="145"/>
    </row>
    <row r="30" spans="1:26" ht="15.75" customHeight="1" x14ac:dyDescent="0.35">
      <c r="A30" s="98" t="s">
        <v>78</v>
      </c>
      <c r="B30" s="98"/>
      <c r="C30" s="98"/>
      <c r="D30" s="98"/>
      <c r="E30" s="145" t="s">
        <v>79</v>
      </c>
      <c r="F30" s="145"/>
      <c r="G30" s="145"/>
      <c r="H30" s="145"/>
    </row>
    <row r="31" spans="1:26" ht="15" customHeight="1" x14ac:dyDescent="0.35">
      <c r="A31" s="98" t="s">
        <v>30</v>
      </c>
      <c r="B31" s="98"/>
      <c r="C31" s="98"/>
      <c r="D31" s="98"/>
      <c r="E31" s="145" t="str">
        <f>IF(AND(ISNUMBER(SEARCH("Flat",D66)),ISNUMBER(SEARCH("Shop",D66)),ISNUMBER(SEARCH("Office",D66))),"Residential + Commercial",IF(AND(ISNUMBER(SEARCH("Flat",D66)),ISNUMBER(SEARCH("Shop",D66))),"Residential + Commercial",IF(AND(ISNUMBER(SEARCH("Flat",D66)),ISNUMBER(SEARCH("Office",D66))),"Residential + Commercial",IF(AND(ISNUMBER(SEARCH("Shop",D66)),ISNUMBER(SEARCH("Office",D66))),"Commercial",IF(ISNUMBER(SEARCH("Shop",D66)),"Commercial",IF(ISNUMBER(SEARCH("Office",D66)),"Commercial",IF(ISNUMBER(SEARCH("Flat",D66)),"Residential")))))))</f>
        <v>Residential</v>
      </c>
      <c r="F31" s="145"/>
      <c r="G31" s="145"/>
      <c r="H31" s="145"/>
    </row>
    <row r="32" spans="1:26" ht="15.75" customHeight="1" x14ac:dyDescent="0.35">
      <c r="A32" s="98" t="s">
        <v>90</v>
      </c>
      <c r="B32" s="98"/>
      <c r="C32" s="98"/>
      <c r="D32" s="98"/>
      <c r="E32" s="145" t="s">
        <v>31</v>
      </c>
      <c r="F32" s="145"/>
      <c r="G32" s="145"/>
      <c r="H32" s="145"/>
    </row>
    <row r="33" spans="1:19" s="20" customFormat="1" x14ac:dyDescent="0.35">
      <c r="A33" s="180" t="s">
        <v>91</v>
      </c>
      <c r="B33" s="180"/>
      <c r="C33" s="179" t="s">
        <v>170</v>
      </c>
      <c r="D33" s="179"/>
      <c r="E33" s="179"/>
      <c r="F33" s="179" t="s">
        <v>29</v>
      </c>
      <c r="G33" s="179"/>
      <c r="H33" s="179"/>
      <c r="S33" s="20" t="e">
        <f ca="1">OFFSET($S$13,1,MATCH($G20,$S$13:$W$13,0)-1,15,1)</f>
        <v>#VALUE!</v>
      </c>
    </row>
    <row r="34" spans="1:19" s="20" customFormat="1" x14ac:dyDescent="0.35">
      <c r="A34" s="169" t="s">
        <v>24</v>
      </c>
      <c r="B34" s="169" t="s">
        <v>28</v>
      </c>
      <c r="C34" s="170" t="s">
        <v>390</v>
      </c>
      <c r="D34" s="170"/>
      <c r="E34" s="170"/>
      <c r="F34" s="170" t="s">
        <v>349</v>
      </c>
      <c r="G34" s="170"/>
      <c r="H34" s="170"/>
    </row>
    <row r="35" spans="1:19" x14ac:dyDescent="0.35">
      <c r="A35" s="169" t="s">
        <v>25</v>
      </c>
      <c r="B35" s="169" t="s">
        <v>28</v>
      </c>
      <c r="C35" s="170" t="s">
        <v>394</v>
      </c>
      <c r="D35" s="170"/>
      <c r="E35" s="170"/>
      <c r="F35" s="170" t="s">
        <v>348</v>
      </c>
      <c r="G35" s="170"/>
      <c r="H35" s="170"/>
    </row>
    <row r="36" spans="1:19" s="20" customFormat="1" x14ac:dyDescent="0.35">
      <c r="A36" s="169" t="s">
        <v>27</v>
      </c>
      <c r="B36" s="169" t="s">
        <v>28</v>
      </c>
      <c r="C36" s="170" t="s">
        <v>392</v>
      </c>
      <c r="D36" s="170"/>
      <c r="E36" s="170"/>
      <c r="F36" s="170" t="s">
        <v>347</v>
      </c>
      <c r="G36" s="170"/>
      <c r="H36" s="170"/>
    </row>
    <row r="37" spans="1:19" x14ac:dyDescent="0.35">
      <c r="A37" s="169" t="s">
        <v>26</v>
      </c>
      <c r="B37" s="169" t="s">
        <v>28</v>
      </c>
      <c r="C37" s="170" t="s">
        <v>393</v>
      </c>
      <c r="D37" s="170"/>
      <c r="E37" s="170"/>
      <c r="F37" s="170" t="s">
        <v>391</v>
      </c>
      <c r="G37" s="170"/>
      <c r="H37" s="170"/>
    </row>
    <row r="38" spans="1:19" x14ac:dyDescent="0.35">
      <c r="A38" s="98" t="s">
        <v>278</v>
      </c>
      <c r="B38" s="98"/>
      <c r="C38" s="98"/>
      <c r="D38" s="98"/>
      <c r="E38" s="98"/>
      <c r="F38" s="98"/>
      <c r="G38" s="98"/>
      <c r="H38" s="98"/>
    </row>
    <row r="39" spans="1:19" ht="15.75" customHeight="1" x14ac:dyDescent="0.35">
      <c r="A39" s="98" t="s">
        <v>162</v>
      </c>
      <c r="B39" s="98"/>
      <c r="C39" s="148" t="s">
        <v>350</v>
      </c>
      <c r="D39" s="148"/>
      <c r="E39" s="148"/>
      <c r="F39" s="148"/>
      <c r="G39" s="148"/>
      <c r="H39" s="148"/>
    </row>
    <row r="40" spans="1:19" x14ac:dyDescent="0.35">
      <c r="A40" s="98" t="s">
        <v>158</v>
      </c>
      <c r="B40" s="98"/>
      <c r="C40" s="144" t="s">
        <v>351</v>
      </c>
      <c r="D40" s="145"/>
      <c r="E40" s="145"/>
      <c r="F40" s="145"/>
      <c r="G40" s="145"/>
      <c r="H40" s="145"/>
    </row>
    <row r="41" spans="1:19" x14ac:dyDescent="0.35">
      <c r="A41" s="148" t="s">
        <v>32</v>
      </c>
      <c r="B41" s="148"/>
      <c r="C41" s="148"/>
      <c r="D41" s="148"/>
      <c r="E41" s="148"/>
      <c r="F41" s="148"/>
      <c r="G41" s="148"/>
      <c r="H41" s="148"/>
    </row>
    <row r="42" spans="1:19" x14ac:dyDescent="0.35">
      <c r="A42" s="98" t="s">
        <v>33</v>
      </c>
      <c r="B42" s="98"/>
      <c r="C42" s="98"/>
      <c r="D42" s="98"/>
      <c r="E42" s="171">
        <v>21407.24</v>
      </c>
      <c r="F42" s="171"/>
      <c r="G42" s="171"/>
      <c r="H42" s="171"/>
    </row>
    <row r="43" spans="1:19" x14ac:dyDescent="0.35">
      <c r="A43" s="98" t="s">
        <v>34</v>
      </c>
      <c r="B43" s="98"/>
      <c r="C43" s="98"/>
      <c r="D43" s="98"/>
      <c r="E43" s="175">
        <f>23547.96/E42</f>
        <v>1.0999998131473276</v>
      </c>
      <c r="F43" s="175"/>
      <c r="G43" s="175"/>
      <c r="H43" s="175"/>
    </row>
    <row r="44" spans="1:19" x14ac:dyDescent="0.35">
      <c r="A44" s="98" t="s">
        <v>35</v>
      </c>
      <c r="B44" s="98"/>
      <c r="C44" s="98"/>
      <c r="D44" s="98"/>
      <c r="E44" s="175">
        <f>E46/E42-E43</f>
        <v>1.4951511731545026</v>
      </c>
      <c r="F44" s="175"/>
      <c r="G44" s="175"/>
      <c r="H44" s="175"/>
    </row>
    <row r="45" spans="1:19" x14ac:dyDescent="0.35">
      <c r="A45" s="98" t="s">
        <v>36</v>
      </c>
      <c r="B45" s="98"/>
      <c r="C45" s="98"/>
      <c r="D45" s="98"/>
      <c r="E45" s="175">
        <f>E43+E44</f>
        <v>2.5951509863018303</v>
      </c>
      <c r="F45" s="175"/>
      <c r="G45" s="175"/>
      <c r="H45" s="175"/>
    </row>
    <row r="46" spans="1:19" x14ac:dyDescent="0.35">
      <c r="A46" s="98" t="s">
        <v>89</v>
      </c>
      <c r="B46" s="98"/>
      <c r="C46" s="98"/>
      <c r="D46" s="98"/>
      <c r="E46" s="176">
        <f>55555.02</f>
        <v>55555.02</v>
      </c>
      <c r="F46" s="176"/>
      <c r="G46" s="176"/>
      <c r="H46" s="176"/>
    </row>
    <row r="47" spans="1:19" x14ac:dyDescent="0.35">
      <c r="A47" s="113" t="s">
        <v>37</v>
      </c>
      <c r="B47" s="113"/>
      <c r="C47" s="113"/>
      <c r="D47" s="113"/>
      <c r="E47" s="113" t="s">
        <v>343</v>
      </c>
      <c r="F47" s="113"/>
      <c r="G47" s="113"/>
      <c r="H47" s="113"/>
    </row>
    <row r="48" spans="1:19" x14ac:dyDescent="0.35">
      <c r="A48" s="148" t="s">
        <v>38</v>
      </c>
      <c r="B48" s="148"/>
      <c r="C48" s="148"/>
      <c r="D48" s="148"/>
      <c r="E48" s="148"/>
      <c r="F48" s="148"/>
      <c r="G48" s="148"/>
      <c r="H48" s="148"/>
    </row>
    <row r="49" spans="1:24" ht="33.75" customHeight="1" x14ac:dyDescent="0.35">
      <c r="A49" s="122" t="s">
        <v>147</v>
      </c>
      <c r="B49" s="124"/>
      <c r="C49" s="149" t="s">
        <v>344</v>
      </c>
      <c r="D49" s="150"/>
      <c r="E49" s="150"/>
      <c r="F49" s="150"/>
      <c r="G49" s="150"/>
      <c r="H49" s="151"/>
      <c r="R49" t="s">
        <v>251</v>
      </c>
      <c r="S49" t="s">
        <v>169</v>
      </c>
      <c r="T49" t="s">
        <v>175</v>
      </c>
      <c r="U49" t="s">
        <v>190</v>
      </c>
      <c r="V49" t="s">
        <v>185</v>
      </c>
    </row>
    <row r="50" spans="1:24" ht="15.75" customHeight="1" x14ac:dyDescent="0.35">
      <c r="A50" s="122" t="s">
        <v>39</v>
      </c>
      <c r="B50" s="124"/>
      <c r="C50" s="122" t="s">
        <v>396</v>
      </c>
      <c r="D50" s="123"/>
      <c r="E50" s="124"/>
      <c r="F50" s="17" t="s">
        <v>40</v>
      </c>
      <c r="G50" s="125">
        <v>45412</v>
      </c>
      <c r="H50" s="124"/>
      <c r="R50"/>
      <c r="S50" t="s">
        <v>252</v>
      </c>
      <c r="T50" t="s">
        <v>257</v>
      </c>
      <c r="U50" t="s">
        <v>268</v>
      </c>
      <c r="V50" t="s">
        <v>273</v>
      </c>
    </row>
    <row r="51" spans="1:24" x14ac:dyDescent="0.35">
      <c r="A51" s="122" t="s">
        <v>41</v>
      </c>
      <c r="B51" s="124"/>
      <c r="C51" s="122" t="str">
        <f>C50</f>
        <v>VP2000/83/TMCB/TDD/0129/P/C/2024/AUTODCR</v>
      </c>
      <c r="D51" s="123"/>
      <c r="E51" s="124"/>
      <c r="F51" s="17" t="s">
        <v>40</v>
      </c>
      <c r="G51" s="125">
        <v>45412</v>
      </c>
      <c r="H51" s="124"/>
      <c r="R51"/>
      <c r="S51" t="s">
        <v>253</v>
      </c>
      <c r="T51" t="s">
        <v>258</v>
      </c>
      <c r="U51" t="s">
        <v>266</v>
      </c>
      <c r="V51" t="s">
        <v>274</v>
      </c>
    </row>
    <row r="52" spans="1:24" ht="31.5" customHeight="1" x14ac:dyDescent="0.35">
      <c r="A52" s="126" t="s">
        <v>422</v>
      </c>
      <c r="B52" s="127"/>
      <c r="C52" s="126" t="s">
        <v>423</v>
      </c>
      <c r="D52" s="128"/>
      <c r="E52" s="127"/>
      <c r="F52" s="81" t="s">
        <v>40</v>
      </c>
      <c r="G52" s="129">
        <v>45601</v>
      </c>
      <c r="H52" s="127"/>
      <c r="R52"/>
      <c r="S52" t="s">
        <v>253</v>
      </c>
      <c r="T52" t="s">
        <v>258</v>
      </c>
      <c r="U52" t="s">
        <v>266</v>
      </c>
      <c r="V52" t="s">
        <v>274</v>
      </c>
    </row>
    <row r="53" spans="1:24" s="21" customFormat="1" ht="15.75" customHeight="1" x14ac:dyDescent="0.35">
      <c r="A53" s="118" t="s">
        <v>151</v>
      </c>
      <c r="B53" s="119"/>
      <c r="C53" s="122" t="s">
        <v>424</v>
      </c>
      <c r="D53" s="123"/>
      <c r="E53" s="124"/>
      <c r="F53" s="17" t="s">
        <v>40</v>
      </c>
      <c r="G53" s="125">
        <f>G52</f>
        <v>45601</v>
      </c>
      <c r="H53" s="124"/>
      <c r="R53"/>
      <c r="S53" t="s">
        <v>254</v>
      </c>
      <c r="T53" t="s">
        <v>259</v>
      </c>
      <c r="U53" t="s">
        <v>256</v>
      </c>
      <c r="V53" t="s">
        <v>275</v>
      </c>
    </row>
    <row r="54" spans="1:24" s="21" customFormat="1" ht="49.5" customHeight="1" x14ac:dyDescent="0.35">
      <c r="A54" s="120"/>
      <c r="B54" s="121"/>
      <c r="C54" s="122" t="s">
        <v>425</v>
      </c>
      <c r="D54" s="123"/>
      <c r="E54" s="123"/>
      <c r="F54" s="123"/>
      <c r="G54" s="123"/>
      <c r="H54" s="124"/>
      <c r="I54" s="21" t="s">
        <v>399</v>
      </c>
      <c r="R54"/>
      <c r="S54" t="s">
        <v>255</v>
      </c>
      <c r="T54" t="s">
        <v>262</v>
      </c>
      <c r="U54" t="s">
        <v>269</v>
      </c>
    </row>
    <row r="55" spans="1:24" s="21" customFormat="1" hidden="1" x14ac:dyDescent="0.35">
      <c r="A55" s="217" t="s">
        <v>279</v>
      </c>
      <c r="B55" s="218"/>
      <c r="C55" s="122" t="str">
        <f>C54</f>
        <v>Building D1 = Stilt + 1st(Part) to 5th(Part) Podium Parking + 6th to 12th Floor
Building D2 = Stilt + 1st(pt) to 2nd(pt) /Podium parking
Building D3 = Stilt + 1st to 12th Floor.</v>
      </c>
      <c r="D55" s="123"/>
      <c r="E55" s="124"/>
      <c r="F55" s="17" t="s">
        <v>40</v>
      </c>
      <c r="G55" s="122"/>
      <c r="H55" s="124"/>
      <c r="R55"/>
      <c r="S55" t="s">
        <v>254</v>
      </c>
      <c r="T55" t="s">
        <v>259</v>
      </c>
      <c r="U55" t="s">
        <v>256</v>
      </c>
      <c r="V55" t="s">
        <v>275</v>
      </c>
    </row>
    <row r="56" spans="1:24" s="21" customFormat="1" ht="32.25" hidden="1" customHeight="1" x14ac:dyDescent="0.35">
      <c r="A56" s="219"/>
      <c r="B56" s="220"/>
      <c r="C56" s="221"/>
      <c r="D56" s="222"/>
      <c r="E56" s="222"/>
      <c r="F56" s="222"/>
      <c r="G56" s="222"/>
      <c r="H56" s="223"/>
      <c r="R56"/>
      <c r="S56" t="s">
        <v>256</v>
      </c>
      <c r="T56" t="s">
        <v>260</v>
      </c>
      <c r="U56" t="s">
        <v>270</v>
      </c>
      <c r="V56" s="19"/>
      <c r="W56" s="19"/>
      <c r="X56" s="19"/>
    </row>
    <row r="57" spans="1:24" s="21" customFormat="1" ht="34.5" hidden="1" customHeight="1" x14ac:dyDescent="0.35">
      <c r="A57" s="217" t="s">
        <v>280</v>
      </c>
      <c r="B57" s="218"/>
      <c r="C57" s="122">
        <f>C56</f>
        <v>0</v>
      </c>
      <c r="D57" s="123"/>
      <c r="E57" s="124"/>
      <c r="F57" s="17" t="s">
        <v>40</v>
      </c>
      <c r="G57" s="122">
        <f>G56</f>
        <v>0</v>
      </c>
      <c r="H57" s="124"/>
      <c r="R57"/>
      <c r="S57" s="19"/>
      <c r="T57" t="s">
        <v>261</v>
      </c>
      <c r="U57" t="s">
        <v>271</v>
      </c>
      <c r="V57" s="19"/>
      <c r="W57" s="19"/>
      <c r="X57" s="19"/>
    </row>
    <row r="58" spans="1:24" s="21" customFormat="1" ht="41.25" hidden="1" customHeight="1" x14ac:dyDescent="0.35">
      <c r="A58" s="219"/>
      <c r="B58" s="220"/>
      <c r="C58" s="122"/>
      <c r="D58" s="123"/>
      <c r="E58" s="123"/>
      <c r="F58" s="123"/>
      <c r="G58" s="123"/>
      <c r="H58" s="124"/>
      <c r="R58"/>
      <c r="S58" s="19"/>
      <c r="T58" t="s">
        <v>263</v>
      </c>
      <c r="U58" t="s">
        <v>272</v>
      </c>
      <c r="V58" s="19"/>
      <c r="W58" s="19"/>
      <c r="X58" s="19"/>
    </row>
    <row r="59" spans="1:24" s="21" customFormat="1" ht="15.75" hidden="1" customHeight="1" x14ac:dyDescent="0.35">
      <c r="A59" s="217" t="s">
        <v>281</v>
      </c>
      <c r="B59" s="218"/>
      <c r="C59" s="122">
        <f>C58</f>
        <v>0</v>
      </c>
      <c r="D59" s="123"/>
      <c r="E59" s="124"/>
      <c r="F59" s="17" t="s">
        <v>40</v>
      </c>
      <c r="G59" s="122">
        <f>G58</f>
        <v>0</v>
      </c>
      <c r="H59" s="124"/>
      <c r="R59"/>
      <c r="S59" s="19"/>
      <c r="T59" t="s">
        <v>264</v>
      </c>
      <c r="U59" s="19" t="s">
        <v>295</v>
      </c>
      <c r="V59" s="19"/>
      <c r="W59" s="19"/>
      <c r="X59" s="19"/>
    </row>
    <row r="60" spans="1:24" s="21" customFormat="1" ht="33.75" hidden="1" customHeight="1" x14ac:dyDescent="0.35">
      <c r="A60" s="219"/>
      <c r="B60" s="220"/>
      <c r="C60" s="122"/>
      <c r="D60" s="123"/>
      <c r="E60" s="123"/>
      <c r="F60" s="123"/>
      <c r="G60" s="123"/>
      <c r="H60" s="124"/>
      <c r="R60"/>
      <c r="S60" s="19"/>
      <c r="T60" t="s">
        <v>265</v>
      </c>
      <c r="U60" s="19"/>
      <c r="V60" s="19"/>
      <c r="W60" s="19"/>
      <c r="X60" s="19"/>
    </row>
    <row r="61" spans="1:24" hidden="1" x14ac:dyDescent="0.35">
      <c r="A61" s="226" t="s">
        <v>42</v>
      </c>
      <c r="B61" s="227"/>
      <c r="C61" s="226" t="s">
        <v>103</v>
      </c>
      <c r="D61" s="228"/>
      <c r="E61" s="227"/>
      <c r="F61" s="40" t="s">
        <v>40</v>
      </c>
      <c r="G61" s="215" t="s">
        <v>28</v>
      </c>
      <c r="H61" s="216"/>
      <c r="R61"/>
      <c r="T61" t="s">
        <v>267</v>
      </c>
    </row>
    <row r="62" spans="1:24" s="21" customFormat="1" ht="15.75" hidden="1" customHeight="1" x14ac:dyDescent="0.35">
      <c r="A62" s="118" t="s">
        <v>151</v>
      </c>
      <c r="B62" s="119"/>
      <c r="C62" s="122" t="s">
        <v>398</v>
      </c>
      <c r="D62" s="123"/>
      <c r="E62" s="124"/>
      <c r="F62" s="17" t="s">
        <v>40</v>
      </c>
      <c r="G62" s="125">
        <v>45442</v>
      </c>
      <c r="H62" s="124"/>
      <c r="R62"/>
      <c r="S62" t="s">
        <v>254</v>
      </c>
      <c r="T62" t="s">
        <v>259</v>
      </c>
      <c r="U62" t="s">
        <v>256</v>
      </c>
      <c r="V62" t="s">
        <v>275</v>
      </c>
    </row>
    <row r="63" spans="1:24" s="21" customFormat="1" hidden="1" x14ac:dyDescent="0.35">
      <c r="A63" s="120"/>
      <c r="B63" s="121"/>
      <c r="C63" s="122" t="s">
        <v>397</v>
      </c>
      <c r="D63" s="123"/>
      <c r="E63" s="123"/>
      <c r="F63" s="123"/>
      <c r="G63" s="123"/>
      <c r="H63" s="124"/>
      <c r="R63"/>
      <c r="S63" t="s">
        <v>255</v>
      </c>
      <c r="T63" t="s">
        <v>262</v>
      </c>
      <c r="U63" t="s">
        <v>269</v>
      </c>
    </row>
    <row r="64" spans="1:24" x14ac:dyDescent="0.35">
      <c r="A64" s="214" t="s">
        <v>44</v>
      </c>
      <c r="B64" s="214"/>
      <c r="C64" s="214"/>
      <c r="D64" s="214"/>
      <c r="E64" s="214"/>
      <c r="F64" s="214"/>
      <c r="G64" s="214"/>
      <c r="H64" s="214"/>
      <c r="T64" t="s">
        <v>276</v>
      </c>
    </row>
    <row r="65" spans="1:19" x14ac:dyDescent="0.35">
      <c r="A65" s="156" t="s">
        <v>88</v>
      </c>
      <c r="B65" s="156"/>
      <c r="C65" s="156"/>
      <c r="D65" s="98">
        <f>E46</f>
        <v>55555.02</v>
      </c>
      <c r="E65" s="98"/>
      <c r="F65" s="98"/>
      <c r="G65" s="98"/>
      <c r="H65" s="98"/>
      <c r="R65"/>
    </row>
    <row r="66" spans="1:19" x14ac:dyDescent="0.35">
      <c r="A66" s="145" t="s">
        <v>45</v>
      </c>
      <c r="B66" s="113"/>
      <c r="C66" s="113"/>
      <c r="D66" s="113" t="s">
        <v>438</v>
      </c>
      <c r="E66" s="113"/>
      <c r="F66" s="113"/>
      <c r="G66" s="113"/>
      <c r="H66" s="113"/>
      <c r="I66" s="22"/>
      <c r="R66"/>
    </row>
    <row r="67" spans="1:19" ht="48.75" customHeight="1" x14ac:dyDescent="0.35">
      <c r="A67" s="165" t="s">
        <v>46</v>
      </c>
      <c r="B67" s="166"/>
      <c r="C67" s="167"/>
      <c r="D67" s="163" t="s">
        <v>436</v>
      </c>
      <c r="E67" s="164"/>
      <c r="F67" s="164"/>
      <c r="G67" s="164"/>
      <c r="H67" s="164"/>
      <c r="R67"/>
    </row>
    <row r="68" spans="1:19" ht="15.75" customHeight="1" x14ac:dyDescent="0.35">
      <c r="A68" s="145" t="s">
        <v>86</v>
      </c>
      <c r="B68" s="145"/>
      <c r="C68" s="145"/>
      <c r="D68" s="113" t="s">
        <v>362</v>
      </c>
      <c r="E68" s="113"/>
      <c r="F68" s="113"/>
      <c r="G68" s="113"/>
      <c r="H68" s="113"/>
      <c r="R68"/>
    </row>
    <row r="69" spans="1:19" ht="15.75" customHeight="1" x14ac:dyDescent="0.35">
      <c r="A69" s="145"/>
      <c r="B69" s="145"/>
      <c r="C69" s="145"/>
      <c r="D69" s="113" t="s">
        <v>437</v>
      </c>
      <c r="E69" s="113"/>
      <c r="F69" s="113"/>
      <c r="G69" s="113"/>
      <c r="H69" s="113"/>
      <c r="R69"/>
    </row>
    <row r="70" spans="1:19" ht="15.75" customHeight="1" x14ac:dyDescent="0.35">
      <c r="A70" s="145"/>
      <c r="B70" s="145"/>
      <c r="C70" s="145"/>
      <c r="D70" s="113" t="s">
        <v>345</v>
      </c>
      <c r="E70" s="113"/>
      <c r="F70" s="113"/>
      <c r="G70" s="113"/>
      <c r="H70" s="113"/>
      <c r="S70"/>
    </row>
    <row r="71" spans="1:19" ht="15.75" customHeight="1" x14ac:dyDescent="0.35">
      <c r="A71" s="98" t="s">
        <v>43</v>
      </c>
      <c r="B71" s="98"/>
      <c r="C71" s="98"/>
      <c r="D71" s="156" t="s">
        <v>346</v>
      </c>
      <c r="E71" s="156"/>
      <c r="F71" s="156"/>
      <c r="G71" s="156"/>
      <c r="H71" s="156"/>
      <c r="J71" s="23"/>
      <c r="K71" s="22"/>
      <c r="N71" s="22"/>
      <c r="S71"/>
    </row>
    <row r="72" spans="1:19" ht="15.75" customHeight="1" x14ac:dyDescent="0.35">
      <c r="A72" s="98" t="s">
        <v>84</v>
      </c>
      <c r="B72" s="98"/>
      <c r="C72" s="98"/>
      <c r="D72" s="174" t="str">
        <f>(IF(G61="NA","60 Years After Completion",IF(G61&lt;&gt;"NA",""&amp;60-ROUNDDOWN((E3-G61)/360,0)&amp;" Years"," ")))</f>
        <v>60 Years After Completion</v>
      </c>
      <c r="E72" s="174"/>
      <c r="F72" s="174"/>
      <c r="G72" s="174"/>
      <c r="H72" s="174"/>
      <c r="N72" s="22"/>
      <c r="S72"/>
    </row>
    <row r="73" spans="1:19" ht="15.75" customHeight="1" x14ac:dyDescent="0.35">
      <c r="A73" s="98" t="s">
        <v>85</v>
      </c>
      <c r="B73" s="98"/>
      <c r="C73" s="98"/>
      <c r="D73" s="156" t="s">
        <v>23</v>
      </c>
      <c r="E73" s="156"/>
      <c r="F73" s="156"/>
      <c r="G73" s="156"/>
      <c r="H73" s="156"/>
      <c r="J73" s="24"/>
      <c r="K73" s="24"/>
      <c r="S73"/>
    </row>
    <row r="74" spans="1:19" ht="18" customHeight="1" x14ac:dyDescent="0.35">
      <c r="A74" s="113" t="s">
        <v>403</v>
      </c>
      <c r="B74" s="113"/>
      <c r="C74" s="113"/>
      <c r="D74" s="145" t="s">
        <v>388</v>
      </c>
      <c r="E74" s="156"/>
      <c r="F74" s="156"/>
      <c r="G74" s="156"/>
      <c r="H74" s="156"/>
      <c r="I74" s="19" t="s">
        <v>389</v>
      </c>
      <c r="S74"/>
    </row>
    <row r="75" spans="1:19" x14ac:dyDescent="0.35">
      <c r="A75" s="156" t="s">
        <v>144</v>
      </c>
      <c r="B75" s="156"/>
      <c r="C75" s="156"/>
      <c r="D75" s="156" t="s">
        <v>28</v>
      </c>
      <c r="E75" s="156"/>
      <c r="F75" s="156"/>
      <c r="G75" s="156"/>
      <c r="H75" s="156"/>
      <c r="I75" s="25"/>
      <c r="J75" s="25"/>
      <c r="K75" s="25"/>
      <c r="L75" s="25"/>
      <c r="M75" s="25"/>
      <c r="N75" s="25"/>
    </row>
    <row r="76" spans="1:19" ht="15.75" customHeight="1" x14ac:dyDescent="0.35">
      <c r="A76" s="98" t="s">
        <v>83</v>
      </c>
      <c r="B76" s="98"/>
      <c r="C76" s="98"/>
      <c r="D76" s="145" t="str">
        <f ca="1">(IF(G82&gt;95%,"Nothing",IF(G82&gt;0%,"Cement, Aggregate, Steel, etc",IF(G82=0%,"Work not yet Started"))))</f>
        <v>Cement, Aggregate, Steel, etc</v>
      </c>
      <c r="E76" s="145"/>
      <c r="F76" s="145"/>
      <c r="G76" s="145"/>
      <c r="H76" s="145"/>
      <c r="J76" s="24"/>
      <c r="S76"/>
    </row>
    <row r="77" spans="1:19" ht="33.75" customHeight="1" thickBot="1" x14ac:dyDescent="0.4">
      <c r="A77" s="156" t="s">
        <v>116</v>
      </c>
      <c r="B77" s="156"/>
      <c r="C77" s="156"/>
      <c r="D77" s="145" t="str">
        <f ca="1">(IF(D76="Nothing","Yes",IF(D76="Cement, Aggregate, Steel, etc","Under Construction",IF(D76="Work not yet Started","Work not yet Started"))))</f>
        <v>Under Construction</v>
      </c>
      <c r="E77" s="145"/>
      <c r="F77" s="145" t="str">
        <f ca="1">(IF(D76="Nothing","Yes",IF(D76="Cement, Aggregate, Steel, etc","Under Construction",IF(D76="Work not yet Started","Work not yet Started"))))</f>
        <v>Under Construction</v>
      </c>
      <c r="G77" s="145"/>
      <c r="H77" s="145"/>
      <c r="S77"/>
    </row>
    <row r="78" spans="1:19" ht="15.75" customHeight="1" x14ac:dyDescent="0.35">
      <c r="A78" s="105" t="s">
        <v>136</v>
      </c>
      <c r="B78" s="105"/>
      <c r="C78" s="105" t="str">
        <f>D68</f>
        <v>Building D1 = Stilt + 1st(Part) to 36th Floor</v>
      </c>
      <c r="D78" s="105"/>
      <c r="E78" s="105"/>
      <c r="F78" s="105"/>
      <c r="G78" s="105"/>
      <c r="H78" s="105"/>
      <c r="I78" s="79" t="str">
        <f ca="1">IF(D91=100%,"All work Completed. Possession granted to the Building.",IF(D90=100%,"All work Completed, Waiting for OC",I79&amp;""&amp;I80&amp;""&amp;J79&amp;""&amp;J78&amp;" "&amp;J80))</f>
        <v>Excavation, Plinth Completed, RCC upto 6 Slab Completed</v>
      </c>
      <c r="J78" s="44" t="str">
        <f ca="1">(IF(C84=(D79+F79+H79),"",IF(C84&gt;0,", RCC upto "&amp;C84&amp;" Slab","")))&amp;(IF(C85=H79,"",IF(C85&gt;0,", Brickwork upto "&amp;C85&amp;" Floor","")))&amp;(IF(C86=H79,"",IF(C86&gt;0,", Internal Plaster upto "&amp;C86&amp;" Floor","")))&amp;(IF(C87=H79,"",IF(C87&gt;0,", External Plaster upto "&amp;C87&amp;" Floor","")))&amp;(IF(C88=H79,"",IF(C88&gt;0,", Flooring upto "&amp;C88&amp;" Floor","")))&amp;(IF(C89=H79,"",IF(C89&gt;0,", Painting upto "&amp;C89&amp;" Floor","")))&amp;(IF(C90=H79,"",IF(C90&gt;0,", Finishing upto "&amp;C90&amp;" Floor","")))&amp;(IF(C91=H79,"",IF(C91&gt;0,", Possession upto "&amp;C91&amp;" Floor","")))</f>
        <v>, RCC upto 6 Slab</v>
      </c>
      <c r="S78"/>
    </row>
    <row r="79" spans="1:19" x14ac:dyDescent="0.35">
      <c r="A79" s="87" t="s">
        <v>138</v>
      </c>
      <c r="B79" s="87">
        <f>IF(AND(ISNUMBER(SEARCH("1B",C78))),1,IF(AND(ISNUMBER(SEARCH("2B",C78))),2,IF(AND(ISNUMBER(SEARCH("3B",C78))),3,IF(AND(ISNUMBER(SEARCH("4B",C78))),4,IF(ISNUMBER(SEARCH("5B",C78)),5,0)))))</f>
        <v>0</v>
      </c>
      <c r="C79" s="87" t="s">
        <v>69</v>
      </c>
      <c r="D79" s="87">
        <v>1</v>
      </c>
      <c r="E79" s="87" t="s">
        <v>68</v>
      </c>
      <c r="F79" s="87">
        <v>0</v>
      </c>
      <c r="G79" s="87" t="s">
        <v>77</v>
      </c>
      <c r="H79" s="87">
        <f ca="1">--TRIM(RIGHT(SUBSTITUTE(LEFT(C78,_xlfn.AGGREGATE(16,6,FIND({0,1,2,3,4,5,6,7,8,9},C78,ROW(INDIRECT("1:"&amp;LEN(C78)))),1))," ",REPT(" ",LEN(C78))),LEN(C78)))</f>
        <v>36</v>
      </c>
      <c r="I79" s="80" t="str">
        <f ca="1">IF(D82=100%,"Excavation","")&amp;IF(D83=100%,", Plinth","")&amp;IF(D84=100%,", RCC Slab","")&amp;IF(D85=100%,", Brickwork","")&amp;IF(D86=100%,", Internal Plaster","")&amp;IF(D87=100%,", External Plaster","")&amp;IF(D88=100%,", Flooring","")&amp;IF(D89=100%,", Painting","")&amp;IF(D90=100%,", Building common Amenities","")</f>
        <v>Excavation, Plinth</v>
      </c>
      <c r="J79" s="46" t="str">
        <f ca="1">(IF(C82=0,"Work not yet Started.",IF(D82=25%,"Piling work in process",IF(D82=50%,"Excavation work in process",IF(D82=100%,"","0")))))&amp;(IF(C83=0%,"",IF(C83=J84,", Footing work is process",IF(C83=J85,", Footing work Completed",IF(C83=J86,", 1st Basement Completed",IF(C83=J87,", 1st &amp; 2nd Basement Completed",IF(C83=J88,", 1st to 3rd Basement Completed",IF(C83=J89,", 1st to 4th Basement Completed",IF(C83=J90,", Plinth work is process",IF(C83=J91,"","0"))))))))))</f>
        <v/>
      </c>
      <c r="S79"/>
    </row>
    <row r="80" spans="1:19" x14ac:dyDescent="0.35">
      <c r="A80" s="178" t="s">
        <v>87</v>
      </c>
      <c r="B80" s="178"/>
      <c r="C80" s="105" t="str">
        <f ca="1">I78</f>
        <v>Excavation, Plinth Completed, RCC upto 6 Slab Completed</v>
      </c>
      <c r="D80" s="105"/>
      <c r="E80" s="105"/>
      <c r="F80" s="105"/>
      <c r="G80" s="105"/>
      <c r="H80" s="105"/>
      <c r="I80" s="80" t="str">
        <f ca="1">IF(I79&lt;&gt;""," Completed","")</f>
        <v xml:space="preserve"> Completed</v>
      </c>
      <c r="J80" s="46" t="str">
        <f ca="1">IF(J78&lt;&gt;"","Completed","")</f>
        <v>Completed</v>
      </c>
      <c r="S80"/>
    </row>
    <row r="81" spans="1:19" ht="15.75" customHeight="1" x14ac:dyDescent="0.35">
      <c r="A81" s="111" t="s">
        <v>47</v>
      </c>
      <c r="B81" s="111"/>
      <c r="C81" s="86" t="s">
        <v>135</v>
      </c>
      <c r="D81" s="86" t="s">
        <v>80</v>
      </c>
      <c r="E81" s="111" t="s">
        <v>82</v>
      </c>
      <c r="F81" s="111"/>
      <c r="G81" s="111" t="s">
        <v>81</v>
      </c>
      <c r="H81" s="111"/>
      <c r="I81" s="13" t="s">
        <v>137</v>
      </c>
      <c r="J81" s="26">
        <f ca="1">H79*25%</f>
        <v>9</v>
      </c>
      <c r="S81"/>
    </row>
    <row r="82" spans="1:19" x14ac:dyDescent="0.35">
      <c r="A82" s="111" t="s">
        <v>124</v>
      </c>
      <c r="B82" s="111"/>
      <c r="C82" s="86">
        <f ca="1">J83</f>
        <v>36</v>
      </c>
      <c r="D82" s="71">
        <f ca="1">((100/H79)*C82)/100</f>
        <v>1</v>
      </c>
      <c r="E82" s="245">
        <f ca="1">(((C83/H79*10)+(40/(D79+F79+H79)*C84)+(7.5/(H79)*C85)+(7.5/(H79)*C86)+(10/H79*C87)+(10/H79*C88)+(5/H79*C89)+(5/H79*C90)+(5/H79*C91))/100)</f>
        <v>0.16486486486486487</v>
      </c>
      <c r="F82" s="245"/>
      <c r="G82" s="245">
        <f ca="1">((((C82/H79)*20)+((C83/H79)*25)+(30/(H79+F79+D79)*C84)+(5/H79*C85)+(5/H79*C86)+(5/H79*C87)+(5/H79*C88)+(0/H79*C89)+(0/H79*C90)+(5/H79*C91))/100)</f>
        <v>0.49864864864864861</v>
      </c>
      <c r="H82" s="245"/>
      <c r="I82" s="13" t="s">
        <v>98</v>
      </c>
      <c r="J82" s="27">
        <f ca="1">H79*50%</f>
        <v>18</v>
      </c>
    </row>
    <row r="83" spans="1:19" x14ac:dyDescent="0.35">
      <c r="A83" s="111" t="s">
        <v>48</v>
      </c>
      <c r="B83" s="111"/>
      <c r="C83" s="72">
        <f ca="1">J91</f>
        <v>36</v>
      </c>
      <c r="D83" s="71">
        <f ca="1">((100/H79)*C83)/100</f>
        <v>1</v>
      </c>
      <c r="E83" s="245"/>
      <c r="F83" s="245"/>
      <c r="G83" s="245"/>
      <c r="H83" s="245"/>
      <c r="I83" s="13" t="s">
        <v>99</v>
      </c>
      <c r="J83" s="27">
        <f ca="1">H79</f>
        <v>36</v>
      </c>
      <c r="S83"/>
    </row>
    <row r="84" spans="1:19" ht="15.75" customHeight="1" x14ac:dyDescent="0.35">
      <c r="A84" s="111" t="s">
        <v>125</v>
      </c>
      <c r="B84" s="111"/>
      <c r="C84" s="86">
        <v>6</v>
      </c>
      <c r="D84" s="71">
        <f ca="1">((100/(D79+F79+H79))*C84)/100</f>
        <v>0.16216216216216217</v>
      </c>
      <c r="E84" s="245"/>
      <c r="F84" s="245"/>
      <c r="G84" s="245"/>
      <c r="H84" s="245"/>
      <c r="I84" s="13" t="s">
        <v>100</v>
      </c>
      <c r="J84" s="28">
        <f ca="1">(IF(B79&gt;1,(H79/(B79+2)),H79/4))</f>
        <v>9</v>
      </c>
      <c r="S84"/>
    </row>
    <row r="85" spans="1:19" ht="15.75" customHeight="1" x14ac:dyDescent="0.35">
      <c r="A85" s="111" t="s">
        <v>132</v>
      </c>
      <c r="B85" s="111" t="s">
        <v>126</v>
      </c>
      <c r="C85" s="86">
        <v>0</v>
      </c>
      <c r="D85" s="71">
        <f ca="1">((100/H79)*C85)/100</f>
        <v>0</v>
      </c>
      <c r="E85" s="245"/>
      <c r="F85" s="245"/>
      <c r="G85" s="245"/>
      <c r="H85" s="245"/>
      <c r="I85" s="13" t="s">
        <v>101</v>
      </c>
      <c r="J85" s="28">
        <f ca="1">(IF(B79&gt;1,(H79/(B79+2)+J84),H79/4+J84))</f>
        <v>18</v>
      </c>
    </row>
    <row r="86" spans="1:19" ht="15.75" customHeight="1" x14ac:dyDescent="0.35">
      <c r="A86" s="111" t="s">
        <v>133</v>
      </c>
      <c r="B86" s="111" t="s">
        <v>126</v>
      </c>
      <c r="C86" s="86">
        <v>0</v>
      </c>
      <c r="D86" s="71">
        <f ca="1">((100/H79)*C86)/100</f>
        <v>0</v>
      </c>
      <c r="E86" s="245"/>
      <c r="F86" s="245"/>
      <c r="G86" s="245"/>
      <c r="H86" s="245"/>
      <c r="I86" s="13" t="s">
        <v>142</v>
      </c>
      <c r="J86" s="28">
        <f>(IF(B79&gt;1,(H79/(B79+2)+J85),0))</f>
        <v>0</v>
      </c>
    </row>
    <row r="87" spans="1:19" ht="15" customHeight="1" x14ac:dyDescent="0.35">
      <c r="A87" s="111" t="s">
        <v>131</v>
      </c>
      <c r="B87" s="111" t="s">
        <v>128</v>
      </c>
      <c r="C87" s="86">
        <v>0</v>
      </c>
      <c r="D87" s="71">
        <f ca="1">((100/(H79))*C87)/100</f>
        <v>0</v>
      </c>
      <c r="E87" s="245"/>
      <c r="F87" s="245"/>
      <c r="G87" s="245"/>
      <c r="H87" s="245"/>
      <c r="I87" s="13" t="s">
        <v>139</v>
      </c>
      <c r="J87" s="28">
        <f>(IF(B79&gt;2,(H79/(B79+2)+J86),0))</f>
        <v>0</v>
      </c>
    </row>
    <row r="88" spans="1:19" ht="15.75" customHeight="1" x14ac:dyDescent="0.35">
      <c r="A88" s="111" t="s">
        <v>127</v>
      </c>
      <c r="B88" s="111" t="s">
        <v>127</v>
      </c>
      <c r="C88" s="86">
        <v>0</v>
      </c>
      <c r="D88" s="71">
        <f ca="1">((100/H79)*C88)/100</f>
        <v>0</v>
      </c>
      <c r="E88" s="245"/>
      <c r="F88" s="245"/>
      <c r="G88" s="245"/>
      <c r="H88" s="245"/>
      <c r="I88" s="13" t="s">
        <v>140</v>
      </c>
      <c r="J88" s="29">
        <f>(IF(B79&gt;3,(H79/(B79+2)+J87),0))</f>
        <v>0</v>
      </c>
    </row>
    <row r="89" spans="1:19" ht="15.75" customHeight="1" x14ac:dyDescent="0.35">
      <c r="A89" s="111" t="s">
        <v>134</v>
      </c>
      <c r="B89" s="111"/>
      <c r="C89" s="86">
        <v>0</v>
      </c>
      <c r="D89" s="71">
        <f ca="1">((100/H79)*C89)/100</f>
        <v>0</v>
      </c>
      <c r="E89" s="245"/>
      <c r="F89" s="245"/>
      <c r="G89" s="245"/>
      <c r="H89" s="245"/>
      <c r="I89" s="13" t="s">
        <v>141</v>
      </c>
      <c r="J89" s="28">
        <f>(IF(B79&gt;4,(H79/(B79+2)+J88),0))</f>
        <v>0</v>
      </c>
    </row>
    <row r="90" spans="1:19" ht="15.75" customHeight="1" x14ac:dyDescent="0.35">
      <c r="A90" s="111" t="s">
        <v>129</v>
      </c>
      <c r="B90" s="111" t="s">
        <v>129</v>
      </c>
      <c r="C90" s="86">
        <v>0</v>
      </c>
      <c r="D90" s="71">
        <f ca="1">((100/(H79))*C90)/100</f>
        <v>0</v>
      </c>
      <c r="E90" s="245"/>
      <c r="F90" s="245"/>
      <c r="G90" s="245"/>
      <c r="H90" s="245"/>
      <c r="I90" s="13" t="s">
        <v>143</v>
      </c>
      <c r="J90" s="28">
        <f ca="1">(IF(B79=1,(H79/(B79+3)+J85),IF(B79=0,(H79/4+J85),IF(B79&gt;1,0))))</f>
        <v>27</v>
      </c>
    </row>
    <row r="91" spans="1:19" ht="16" thickBot="1" x14ac:dyDescent="0.4">
      <c r="A91" s="111" t="s">
        <v>130</v>
      </c>
      <c r="B91" s="111"/>
      <c r="C91" s="86">
        <v>0</v>
      </c>
      <c r="D91" s="71">
        <f ca="1">((100/(H79))*C91)/100</f>
        <v>0</v>
      </c>
      <c r="E91" s="245"/>
      <c r="F91" s="245"/>
      <c r="G91" s="245"/>
      <c r="H91" s="245"/>
      <c r="I91" s="14" t="s">
        <v>102</v>
      </c>
      <c r="J91" s="30">
        <f ca="1">(IF(B79&gt;1.5,(H79/(B79+2)+J85+MAX(0,J86-J85)+MAX(0,J87-J86)+MAX(0,J88-J87)+MAX(0,J89-J88)+MAX(0,J90-J89)),IF(B79=1,(H79/(B79+3)+J90),IF(B79=0,H79/4+J90))))</f>
        <v>36</v>
      </c>
    </row>
    <row r="92" spans="1:19" ht="15.75" customHeight="1" x14ac:dyDescent="0.35">
      <c r="A92" s="240" t="s">
        <v>136</v>
      </c>
      <c r="B92" s="241"/>
      <c r="C92" s="242" t="str">
        <f>D69</f>
        <v>Building D2 = Stilt + 1st( pt) to 5th (pt) Floor + 6th to 32nd Floor</v>
      </c>
      <c r="D92" s="243"/>
      <c r="E92" s="243"/>
      <c r="F92" s="243"/>
      <c r="G92" s="243"/>
      <c r="H92" s="244"/>
      <c r="I92" s="43" t="str">
        <f ca="1">IF(D105=100%,"All work Completed. Possession granted to the Building.",IF(D104=100%,"All work Completed, Waiting for OC",I93&amp;""&amp;I94&amp;""&amp;J93&amp;""&amp;J92&amp;" "&amp;J94))</f>
        <v>Excavation, Plinth Completed, RCC upto 3 Slab Completed</v>
      </c>
      <c r="J92" s="44" t="str">
        <f ca="1">(IF(C98=(D93+F93+H93),"",IF(C98&gt;0,", RCC upto "&amp;C98&amp;" Slab","")))&amp;(IF(C99=H93,"",IF(C99&gt;0,", Brickwork upto "&amp;C99&amp;" Floor","")))&amp;(IF(C100=H93,"",IF(C100&gt;0,", Internal Plaster upto "&amp;C100&amp;" Floor","")))&amp;(IF(C101=H93,"",IF(C101&gt;0,", External Plaster upto "&amp;C101&amp;" Floor","")))&amp;(IF(C102=H93,"",IF(C102&gt;0,", Flooring upto "&amp;C102&amp;" Floor","")))&amp;(IF(C103=H93,"",IF(C103&gt;0,", Painting upto "&amp;C103&amp;" Floor","")))&amp;(IF(C104=H93,"",IF(C104&gt;0,", Finishing upto "&amp;C104&amp;" Floor","")))&amp;(IF(C105=H93,"",IF(C105&gt;0,", Possession upto "&amp;C105&amp;" Floor","")))</f>
        <v>, RCC upto 3 Slab</v>
      </c>
    </row>
    <row r="93" spans="1:19" x14ac:dyDescent="0.35">
      <c r="A93" s="15" t="s">
        <v>138</v>
      </c>
      <c r="B93" s="47">
        <f>IF(AND(ISNUMBER(SEARCH("1B",C92))),1,IF(AND(ISNUMBER(SEARCH("2B",C92))),2,IF(AND(ISNUMBER(SEARCH("3B",C92))),3,IF(AND(ISNUMBER(SEARCH("4B",C92))),4,IF(ISNUMBER(SEARCH("5B",C92)),5,0)))))</f>
        <v>0</v>
      </c>
      <c r="C93" s="47" t="s">
        <v>69</v>
      </c>
      <c r="D93" s="47">
        <v>1</v>
      </c>
      <c r="E93" s="47" t="s">
        <v>68</v>
      </c>
      <c r="F93" s="47">
        <v>0</v>
      </c>
      <c r="G93" s="47" t="s">
        <v>77</v>
      </c>
      <c r="H93" s="16">
        <f ca="1">--TRIM(RIGHT(SUBSTITUTE(LEFT(C92,_xlfn.AGGREGATE(16,6,FIND({0,1,2,3,4,5,6,7,8,9},C92,ROW(INDIRECT("1:"&amp;LEN(C92)))),1))," ",REPT(" ",LEN(C92))),LEN(C92)))</f>
        <v>32</v>
      </c>
      <c r="I93" s="45" t="str">
        <f ca="1">IF(D96=100%,"Excavation","")&amp;IF(D97=100%,", Plinth","")&amp;IF(D98=100%,", RCC Slab","")&amp;IF(D99=100%,", Brickwork","")&amp;IF(D100=100%,", Internal Plaster","")&amp;IF(D101=100%,", External Plaster","")&amp;IF(D102=100%,", Flooring","")&amp;IF(D103=100%,", Painting","")&amp;IF(D104=100%,", Building common Amenities","")</f>
        <v>Excavation, Plinth</v>
      </c>
      <c r="J93" s="46" t="str">
        <f ca="1">(IF(C96=0,"Work not yet Started.",IF(D96=25%,"Piling work in process",IF(D96=50%,"Excavation work in process",IF(D96=100%,"","0")))))&amp;(IF(C97=0%,"",IF(C97=J98,", Footing work is process",IF(C97=J99,", Footing work Completed",IF(C97=J100,", 1st Basement Completed",IF(C97=J101,", 1st &amp; 2nd Basement Completed",IF(C97=J102,", 1st to 3rd Basement Completed",IF(C97=J103,", 1st to 4th Basement Completed",IF(C97=J104,", Plinth work is process",IF(C97=J105,"","0"))))))))))</f>
        <v/>
      </c>
    </row>
    <row r="94" spans="1:19" x14ac:dyDescent="0.35">
      <c r="A94" s="177" t="s">
        <v>87</v>
      </c>
      <c r="B94" s="178"/>
      <c r="C94" s="105" t="str">
        <f ca="1">(IF($G$61="NA",I92,"All work Completed. OC Received."))</f>
        <v>Excavation, Plinth Completed, RCC upto 3 Slab Completed</v>
      </c>
      <c r="D94" s="105"/>
      <c r="E94" s="105"/>
      <c r="F94" s="105"/>
      <c r="G94" s="105"/>
      <c r="H94" s="168"/>
      <c r="I94" s="45" t="str">
        <f ca="1">IF(I93&lt;&gt;""," Completed","")</f>
        <v xml:space="preserve"> Completed</v>
      </c>
      <c r="J94" s="46" t="str">
        <f ca="1">IF(J92&lt;&gt;"","Completed","")</f>
        <v>Completed</v>
      </c>
    </row>
    <row r="95" spans="1:19" ht="15.75" customHeight="1" x14ac:dyDescent="0.35">
      <c r="A95" s="130" t="s">
        <v>47</v>
      </c>
      <c r="B95" s="101"/>
      <c r="C95" s="70" t="s">
        <v>135</v>
      </c>
      <c r="D95" s="70" t="s">
        <v>80</v>
      </c>
      <c r="E95" s="111" t="s">
        <v>82</v>
      </c>
      <c r="F95" s="111"/>
      <c r="G95" s="111" t="s">
        <v>81</v>
      </c>
      <c r="H95" s="112"/>
      <c r="I95" s="13" t="s">
        <v>137</v>
      </c>
      <c r="J95" s="26">
        <f ca="1">H93*25%</f>
        <v>8</v>
      </c>
    </row>
    <row r="96" spans="1:19" x14ac:dyDescent="0.35">
      <c r="A96" s="130" t="s">
        <v>124</v>
      </c>
      <c r="B96" s="101"/>
      <c r="C96" s="70">
        <f ca="1">J97</f>
        <v>32</v>
      </c>
      <c r="D96" s="71">
        <f ca="1">((100/H93)*C96)/100</f>
        <v>1</v>
      </c>
      <c r="E96" s="152">
        <f ca="1">(((C97/H93*10)+(40/(D93+F93+H93)*C98)+(7.5/(H93)*C99)+(7.5/(H93)*C100)+(10/H93*C101)+(10/H93*C102)+(5/H93*C103)+(5/H93*C104)+(5/H93*C105))/100)</f>
        <v>0.13636363636363635</v>
      </c>
      <c r="F96" s="172"/>
      <c r="G96" s="152">
        <f ca="1">((((C96/H93)*20)+((C97/H93)*25)+(30/(H93+F93+D93)*C98)+(5/H93*C99)+(5/H93*C100)+(5/H93*C101)+(5/H93*C102)+(0/H93*C103)+(0/H93*C104)+(5/H93*C105))/100)</f>
        <v>0.47727272727272729</v>
      </c>
      <c r="H96" s="153"/>
      <c r="I96" s="13" t="s">
        <v>98</v>
      </c>
      <c r="J96" s="27">
        <f ca="1">H93*50%</f>
        <v>16</v>
      </c>
    </row>
    <row r="97" spans="1:10" x14ac:dyDescent="0.35">
      <c r="A97" s="130" t="s">
        <v>48</v>
      </c>
      <c r="B97" s="101"/>
      <c r="C97" s="72">
        <f ca="1">J105</f>
        <v>32</v>
      </c>
      <c r="D97" s="71">
        <f ca="1">((100/H93)*C97)/100</f>
        <v>1</v>
      </c>
      <c r="E97" s="154"/>
      <c r="F97" s="173"/>
      <c r="G97" s="154"/>
      <c r="H97" s="155"/>
      <c r="I97" s="13" t="s">
        <v>99</v>
      </c>
      <c r="J97" s="27">
        <f ca="1">H93</f>
        <v>32</v>
      </c>
    </row>
    <row r="98" spans="1:10" ht="15.75" customHeight="1" x14ac:dyDescent="0.35">
      <c r="A98" s="130" t="s">
        <v>125</v>
      </c>
      <c r="B98" s="101"/>
      <c r="C98" s="70">
        <v>3</v>
      </c>
      <c r="D98" s="71">
        <f ca="1">((100/(D93+F93+H93))*C98)/100</f>
        <v>9.0909090909090898E-2</v>
      </c>
      <c r="E98" s="154"/>
      <c r="F98" s="173"/>
      <c r="G98" s="154"/>
      <c r="H98" s="155"/>
      <c r="I98" s="13" t="s">
        <v>100</v>
      </c>
      <c r="J98" s="28">
        <f ca="1">(IF(B93&gt;1,(H93/(B93+2)),H93/4))</f>
        <v>8</v>
      </c>
    </row>
    <row r="99" spans="1:10" ht="15.75" customHeight="1" x14ac:dyDescent="0.35">
      <c r="A99" s="130" t="s">
        <v>132</v>
      </c>
      <c r="B99" s="101" t="s">
        <v>126</v>
      </c>
      <c r="C99" s="70">
        <v>0</v>
      </c>
      <c r="D99" s="71">
        <f ca="1">((100/H93)*C99)/100</f>
        <v>0</v>
      </c>
      <c r="E99" s="154"/>
      <c r="F99" s="173"/>
      <c r="G99" s="154"/>
      <c r="H99" s="155"/>
      <c r="I99" s="13" t="s">
        <v>101</v>
      </c>
      <c r="J99" s="28">
        <f ca="1">(IF(B93&gt;1,(H93/(B93+2)+J98),H93/4+J98))</f>
        <v>16</v>
      </c>
    </row>
    <row r="100" spans="1:10" ht="15.75" customHeight="1" x14ac:dyDescent="0.35">
      <c r="A100" s="130" t="s">
        <v>133</v>
      </c>
      <c r="B100" s="101" t="s">
        <v>126</v>
      </c>
      <c r="C100" s="70">
        <v>0</v>
      </c>
      <c r="D100" s="71">
        <f ca="1">((100/H93)*C100)/100</f>
        <v>0</v>
      </c>
      <c r="E100" s="154"/>
      <c r="F100" s="173"/>
      <c r="G100" s="154"/>
      <c r="H100" s="155"/>
      <c r="I100" s="13" t="s">
        <v>142</v>
      </c>
      <c r="J100" s="28">
        <f>(IF(B93&gt;1,(H93/(B93+2)+J99),0))</f>
        <v>0</v>
      </c>
    </row>
    <row r="101" spans="1:10" ht="15" customHeight="1" x14ac:dyDescent="0.35">
      <c r="A101" s="130" t="s">
        <v>131</v>
      </c>
      <c r="B101" s="101" t="s">
        <v>128</v>
      </c>
      <c r="C101" s="70">
        <v>0</v>
      </c>
      <c r="D101" s="71">
        <f ca="1">((100/(H93))*C101)/100</f>
        <v>0</v>
      </c>
      <c r="E101" s="154"/>
      <c r="F101" s="173"/>
      <c r="G101" s="154"/>
      <c r="H101" s="155"/>
      <c r="I101" s="13" t="s">
        <v>139</v>
      </c>
      <c r="J101" s="28">
        <f>(IF(B93&gt;2,(H93/(B93+2)+J100),0))</f>
        <v>0</v>
      </c>
    </row>
    <row r="102" spans="1:10" ht="15.75" customHeight="1" x14ac:dyDescent="0.35">
      <c r="A102" s="130" t="s">
        <v>127</v>
      </c>
      <c r="B102" s="101" t="s">
        <v>127</v>
      </c>
      <c r="C102" s="70">
        <v>0</v>
      </c>
      <c r="D102" s="71">
        <f ca="1">((100/H93)*C102)/100</f>
        <v>0</v>
      </c>
      <c r="E102" s="154"/>
      <c r="F102" s="173"/>
      <c r="G102" s="154"/>
      <c r="H102" s="155"/>
      <c r="I102" s="13" t="s">
        <v>140</v>
      </c>
      <c r="J102" s="29">
        <f>(IF(B93&gt;3,(H93/(B93+2)+J101),0))</f>
        <v>0</v>
      </c>
    </row>
    <row r="103" spans="1:10" ht="15.75" customHeight="1" x14ac:dyDescent="0.35">
      <c r="A103" s="130" t="s">
        <v>134</v>
      </c>
      <c r="B103" s="101"/>
      <c r="C103" s="70">
        <v>0</v>
      </c>
      <c r="D103" s="71">
        <f ca="1">((100/H93)*C103)/100</f>
        <v>0</v>
      </c>
      <c r="E103" s="154"/>
      <c r="F103" s="173"/>
      <c r="G103" s="154"/>
      <c r="H103" s="155"/>
      <c r="I103" s="13" t="s">
        <v>141</v>
      </c>
      <c r="J103" s="28">
        <f>(IF(B93&gt;4,(H93/(B93+2)+J102),0))</f>
        <v>0</v>
      </c>
    </row>
    <row r="104" spans="1:10" ht="15.75" customHeight="1" x14ac:dyDescent="0.35">
      <c r="A104" s="130" t="s">
        <v>129</v>
      </c>
      <c r="B104" s="101" t="s">
        <v>129</v>
      </c>
      <c r="C104" s="70">
        <v>0</v>
      </c>
      <c r="D104" s="71">
        <f ca="1">((100/(H93))*C104)/100</f>
        <v>0</v>
      </c>
      <c r="E104" s="154"/>
      <c r="F104" s="173"/>
      <c r="G104" s="154"/>
      <c r="H104" s="155"/>
      <c r="I104" s="13" t="s">
        <v>143</v>
      </c>
      <c r="J104" s="28">
        <f ca="1">(IF(B93=1,(H93/(B93+3)+J99),IF(B93=0,(H93/4+J99),IF(B93&gt;1,0))))</f>
        <v>24</v>
      </c>
    </row>
    <row r="105" spans="1:10" ht="16" thickBot="1" x14ac:dyDescent="0.4">
      <c r="A105" s="99" t="s">
        <v>130</v>
      </c>
      <c r="B105" s="100"/>
      <c r="C105" s="82">
        <v>0</v>
      </c>
      <c r="D105" s="83">
        <f ca="1">((100/(H93))*C105)/100</f>
        <v>0</v>
      </c>
      <c r="E105" s="154"/>
      <c r="F105" s="173"/>
      <c r="G105" s="154"/>
      <c r="H105" s="155"/>
      <c r="I105" s="14" t="s">
        <v>102</v>
      </c>
      <c r="J105" s="30">
        <f ca="1">(IF(B93&gt;1.5,(H93/(B93+2)+J99+MAX(0,J100-J99)+MAX(0,J101-J100)+MAX(0,J102-J101)+MAX(0,J103-J102)+MAX(0,J104-J103)),IF(B93=1,(H93/(B93+3)+J104),IF(B93=0,H93/4+J104))))</f>
        <v>32</v>
      </c>
    </row>
    <row r="106" spans="1:10" ht="15.75" customHeight="1" x14ac:dyDescent="0.35">
      <c r="A106" s="157" t="s">
        <v>136</v>
      </c>
      <c r="B106" s="157"/>
      <c r="C106" s="157" t="str">
        <f>D70</f>
        <v>Building D3 = Stilt + 1st(Part) to 35th Floor</v>
      </c>
      <c r="D106" s="157"/>
      <c r="E106" s="157"/>
      <c r="F106" s="157"/>
      <c r="G106" s="157"/>
      <c r="H106" s="157"/>
      <c r="I106" s="79" t="str">
        <f ca="1">IF(D119=100%,"All work Completed. Possession granted to the Building.",IF(D118=100%,"All work Completed, Waiting for OC",I107&amp;""&amp;I108&amp;""&amp;J107&amp;""&amp;J106&amp;" "&amp;J108))</f>
        <v>Excavation, Plinth Completed, RCC upto 2 Slab Completed</v>
      </c>
      <c r="J106" s="44" t="str">
        <f ca="1">(IF(C112=(D107+F107+H107),"",IF(C112&gt;0,", RCC upto "&amp;C112&amp;" Slab","")))&amp;(IF(C113=H107,"",IF(C113&gt;0,", Brickwork upto "&amp;C113&amp;" Floor","")))&amp;(IF(C114=H107,"",IF(C114&gt;0,", Internal Plaster upto "&amp;C114&amp;" Floor","")))&amp;(IF(C115=H107,"",IF(C115&gt;0,", External Plaster upto "&amp;C115&amp;" Floor","")))&amp;(IF(C116=H107,"",IF(C116&gt;0,", Flooring upto "&amp;C116&amp;" Floor","")))&amp;(IF(C117=H107,"",IF(C117&gt;0,", Painting upto "&amp;C117&amp;" Floor","")))&amp;(IF(C118=H107,"",IF(C118&gt;0,", Finishing upto "&amp;C118&amp;" Floor","")))&amp;(IF(C119=H107,"",IF(C119&gt;0,", Possession upto "&amp;C119&amp;" Floor","")))</f>
        <v>, RCC upto 2 Slab</v>
      </c>
    </row>
    <row r="107" spans="1:10" x14ac:dyDescent="0.35">
      <c r="A107" s="87" t="s">
        <v>138</v>
      </c>
      <c r="B107" s="87">
        <f>IF(AND(ISNUMBER(SEARCH("1B",C106))),1,IF(AND(ISNUMBER(SEARCH("2B",C106))),2,IF(AND(ISNUMBER(SEARCH("3B",C106))),3,IF(AND(ISNUMBER(SEARCH("4B",C106))),4,IF(ISNUMBER(SEARCH("5B",C106)),5,0)))))</f>
        <v>0</v>
      </c>
      <c r="C107" s="87" t="s">
        <v>69</v>
      </c>
      <c r="D107" s="87">
        <v>1</v>
      </c>
      <c r="E107" s="87" t="s">
        <v>68</v>
      </c>
      <c r="F107" s="87">
        <v>0</v>
      </c>
      <c r="G107" s="42" t="s">
        <v>77</v>
      </c>
      <c r="H107" s="87">
        <f ca="1">--TRIM(RIGHT(SUBSTITUTE(LEFT(C106,_xlfn.AGGREGATE(16,6,FIND({0,1,2,3,4,5,6,7,8,9},C106,ROW(INDIRECT("1:"&amp;LEN(C106)))),1))," ",REPT(" ",LEN(C106))),LEN(C106)))</f>
        <v>35</v>
      </c>
      <c r="I107" s="80" t="str">
        <f ca="1">IF(D110=100%,"Excavation","")&amp;IF(D111=100%,", Plinth","")&amp;IF(D112=100%,", RCC Slab","")&amp;IF(D113=100%,", Brickwork","")&amp;IF(D114=100%,", Internal Plaster","")&amp;IF(D115=100%,", External Plaster","")&amp;IF(D116=100%,", Flooring","")&amp;IF(D117=100%,", Painting","")&amp;IF(D118=100%,", Building common Amenities","")</f>
        <v>Excavation, Plinth</v>
      </c>
      <c r="J107" s="46" t="str">
        <f ca="1">(IF(C110=0,"Work not yet Started.",IF(D110=25%,"Piling work in process",IF(D110=50%,"Excavation work in process",IF(D110=100%,"","0")))))&amp;(IF(C111=0%,"",IF(C111=J112,", Footing work is process",IF(C111=J113,", Footing work Completed",IF(C111=J114,", 1st Basement Completed",IF(C111=J115,", 1st &amp; 2nd Basement Completed",IF(C111=J116,", 1st to 3rd Basement Completed",IF(C111=J117,", 1st to 4th Basement Completed",IF(C111=J118,", Plinth work is process",IF(C111=J119,"","0"))))))))))</f>
        <v/>
      </c>
    </row>
    <row r="108" spans="1:10" x14ac:dyDescent="0.35">
      <c r="A108" s="178" t="s">
        <v>87</v>
      </c>
      <c r="B108" s="178"/>
      <c r="C108" s="105" t="str">
        <f ca="1">(IF($G$61="NA",I106,"All work Completed. OC Received."))</f>
        <v>Excavation, Plinth Completed, RCC upto 2 Slab Completed</v>
      </c>
      <c r="D108" s="105"/>
      <c r="E108" s="105"/>
      <c r="F108" s="105"/>
      <c r="G108" s="105"/>
      <c r="H108" s="105"/>
      <c r="I108" s="80" t="str">
        <f ca="1">IF(I107&lt;&gt;""," Completed","")</f>
        <v xml:space="preserve"> Completed</v>
      </c>
      <c r="J108" s="46" t="str">
        <f ca="1">IF(J106&lt;&gt;"","Completed","")</f>
        <v>Completed</v>
      </c>
    </row>
    <row r="109" spans="1:10" ht="15.75" customHeight="1" x14ac:dyDescent="0.35">
      <c r="A109" s="101" t="s">
        <v>47</v>
      </c>
      <c r="B109" s="101"/>
      <c r="C109" s="85" t="s">
        <v>135</v>
      </c>
      <c r="D109" s="85" t="s">
        <v>80</v>
      </c>
      <c r="E109" s="101" t="s">
        <v>82</v>
      </c>
      <c r="F109" s="101"/>
      <c r="G109" s="101" t="s">
        <v>81</v>
      </c>
      <c r="H109" s="101"/>
      <c r="I109" s="13" t="s">
        <v>137</v>
      </c>
      <c r="J109" s="26">
        <f ca="1">H107*25%</f>
        <v>8.75</v>
      </c>
    </row>
    <row r="110" spans="1:10" x14ac:dyDescent="0.35">
      <c r="A110" s="101" t="s">
        <v>124</v>
      </c>
      <c r="B110" s="101"/>
      <c r="C110" s="85">
        <f ca="1">J111</f>
        <v>35</v>
      </c>
      <c r="D110" s="18">
        <f ca="1">((100/H107)*C110)/100</f>
        <v>1</v>
      </c>
      <c r="E110" s="146">
        <f ca="1">(((C111/H107*10)+(40/(D107+F107+H107)*C112)+(7.5/(H107)*C113)+(7.5/(H107)*C114)+(10/H107*C115)+(10/H107*C116)+(5/H107*C117)+(5/H107*C118)+(5/H107*C119))/100)</f>
        <v>0.12222222222222222</v>
      </c>
      <c r="F110" s="146"/>
      <c r="G110" s="146">
        <f ca="1">((((C110/H107)*20)+((C111/H107)*25)+(30/(H107+F107+D107)*C112)+(5/H107*C113)+(5/H107*C114)+(5/H107*C115)+(5/H107*C116)+(0/H107*C117)+(0/H107*C118)+(5/H107*C119))/100)</f>
        <v>0.46666666666666662</v>
      </c>
      <c r="H110" s="146"/>
      <c r="I110" s="13" t="s">
        <v>98</v>
      </c>
      <c r="J110" s="27">
        <f ca="1">H107*50%</f>
        <v>17.5</v>
      </c>
    </row>
    <row r="111" spans="1:10" x14ac:dyDescent="0.35">
      <c r="A111" s="101" t="s">
        <v>48</v>
      </c>
      <c r="B111" s="101"/>
      <c r="C111" s="78">
        <f ca="1">J119</f>
        <v>35</v>
      </c>
      <c r="D111" s="18">
        <f ca="1">((100/H107)*C111)/100</f>
        <v>1</v>
      </c>
      <c r="E111" s="146"/>
      <c r="F111" s="146"/>
      <c r="G111" s="146"/>
      <c r="H111" s="146"/>
      <c r="I111" s="13" t="s">
        <v>99</v>
      </c>
      <c r="J111" s="27">
        <f ca="1">H107</f>
        <v>35</v>
      </c>
    </row>
    <row r="112" spans="1:10" ht="15.75" customHeight="1" x14ac:dyDescent="0.35">
      <c r="A112" s="101" t="s">
        <v>125</v>
      </c>
      <c r="B112" s="101"/>
      <c r="C112" s="85">
        <v>2</v>
      </c>
      <c r="D112" s="18">
        <f ca="1">((100/(D107+F107+H107))*C112)/100</f>
        <v>5.5555555555555552E-2</v>
      </c>
      <c r="E112" s="146"/>
      <c r="F112" s="146"/>
      <c r="G112" s="146"/>
      <c r="H112" s="146"/>
      <c r="I112" s="13" t="s">
        <v>100</v>
      </c>
      <c r="J112" s="28">
        <f ca="1">(IF(B107&gt;1,(H107/(B107+2)),H107/4))</f>
        <v>8.75</v>
      </c>
    </row>
    <row r="113" spans="1:22" ht="15.75" customHeight="1" x14ac:dyDescent="0.35">
      <c r="A113" s="101" t="s">
        <v>132</v>
      </c>
      <c r="B113" s="101" t="s">
        <v>126</v>
      </c>
      <c r="C113" s="85">
        <v>0</v>
      </c>
      <c r="D113" s="18">
        <f ca="1">((100/H107)*C113)/100</f>
        <v>0</v>
      </c>
      <c r="E113" s="146"/>
      <c r="F113" s="146"/>
      <c r="G113" s="146"/>
      <c r="H113" s="146"/>
      <c r="I113" s="13" t="s">
        <v>101</v>
      </c>
      <c r="J113" s="28">
        <f ca="1">(IF(B107&gt;1,(H107/(B107+2)+J112),H107/4+J112))</f>
        <v>17.5</v>
      </c>
    </row>
    <row r="114" spans="1:22" ht="15.75" customHeight="1" x14ac:dyDescent="0.35">
      <c r="A114" s="101" t="s">
        <v>133</v>
      </c>
      <c r="B114" s="101" t="s">
        <v>126</v>
      </c>
      <c r="C114" s="85">
        <v>0</v>
      </c>
      <c r="D114" s="18">
        <f ca="1">((100/H107)*C114)/100</f>
        <v>0</v>
      </c>
      <c r="E114" s="146"/>
      <c r="F114" s="146"/>
      <c r="G114" s="146"/>
      <c r="H114" s="146"/>
      <c r="I114" s="13" t="s">
        <v>142</v>
      </c>
      <c r="J114" s="28">
        <f>(IF(B107&gt;1,(H107/(B107+2)+J113),0))</f>
        <v>0</v>
      </c>
    </row>
    <row r="115" spans="1:22" ht="15" customHeight="1" x14ac:dyDescent="0.35">
      <c r="A115" s="101" t="s">
        <v>131</v>
      </c>
      <c r="B115" s="101" t="s">
        <v>128</v>
      </c>
      <c r="C115" s="85">
        <v>0</v>
      </c>
      <c r="D115" s="18">
        <f ca="1">((100/(H107))*C115)/100</f>
        <v>0</v>
      </c>
      <c r="E115" s="146"/>
      <c r="F115" s="146"/>
      <c r="G115" s="146"/>
      <c r="H115" s="146"/>
      <c r="I115" s="13" t="s">
        <v>139</v>
      </c>
      <c r="J115" s="28">
        <f>(IF(B107&gt;2,(H107/(B107+2)+J114),0))</f>
        <v>0</v>
      </c>
    </row>
    <row r="116" spans="1:22" ht="15.75" customHeight="1" x14ac:dyDescent="0.35">
      <c r="A116" s="101" t="s">
        <v>127</v>
      </c>
      <c r="B116" s="101" t="s">
        <v>127</v>
      </c>
      <c r="C116" s="85">
        <v>0</v>
      </c>
      <c r="D116" s="18">
        <f ca="1">((100/H107)*C116)/100</f>
        <v>0</v>
      </c>
      <c r="E116" s="146"/>
      <c r="F116" s="146"/>
      <c r="G116" s="146"/>
      <c r="H116" s="146"/>
      <c r="I116" s="13" t="s">
        <v>140</v>
      </c>
      <c r="J116" s="29">
        <f>(IF(B107&gt;3,(H107/(B107+2)+J115),0))</f>
        <v>0</v>
      </c>
    </row>
    <row r="117" spans="1:22" ht="15.75" customHeight="1" x14ac:dyDescent="0.35">
      <c r="A117" s="101" t="s">
        <v>134</v>
      </c>
      <c r="B117" s="101"/>
      <c r="C117" s="85">
        <v>0</v>
      </c>
      <c r="D117" s="18">
        <f ca="1">((100/H107)*C117)/100</f>
        <v>0</v>
      </c>
      <c r="E117" s="146"/>
      <c r="F117" s="146"/>
      <c r="G117" s="146"/>
      <c r="H117" s="146"/>
      <c r="I117" s="13" t="s">
        <v>141</v>
      </c>
      <c r="J117" s="28">
        <f>(IF(B107&gt;4,(H107/(B107+2)+J116),0))</f>
        <v>0</v>
      </c>
    </row>
    <row r="118" spans="1:22" ht="15.75" customHeight="1" x14ac:dyDescent="0.35">
      <c r="A118" s="101" t="s">
        <v>129</v>
      </c>
      <c r="B118" s="101" t="s">
        <v>129</v>
      </c>
      <c r="C118" s="85">
        <v>0</v>
      </c>
      <c r="D118" s="18">
        <f ca="1">((100/(H107))*C118)/100</f>
        <v>0</v>
      </c>
      <c r="E118" s="146"/>
      <c r="F118" s="146"/>
      <c r="G118" s="146"/>
      <c r="H118" s="146"/>
      <c r="I118" s="13" t="s">
        <v>143</v>
      </c>
      <c r="J118" s="28">
        <f ca="1">(IF(B107=1,(H107/(B107+3)+J113),IF(B107=0,(H107/4+J113),IF(B107&gt;1,0))))</f>
        <v>26.25</v>
      </c>
    </row>
    <row r="119" spans="1:22" ht="16" thickBot="1" x14ac:dyDescent="0.4">
      <c r="A119" s="101" t="s">
        <v>130</v>
      </c>
      <c r="B119" s="101"/>
      <c r="C119" s="85">
        <v>0</v>
      </c>
      <c r="D119" s="18">
        <f ca="1">((100/(H107))*C119)/100</f>
        <v>0</v>
      </c>
      <c r="E119" s="146"/>
      <c r="F119" s="146"/>
      <c r="G119" s="146"/>
      <c r="H119" s="146"/>
      <c r="I119" s="14" t="s">
        <v>102</v>
      </c>
      <c r="J119" s="30">
        <f ca="1">(IF(B107&gt;1.5,(H107/(B107+2)+J113+MAX(0,J114-J113)+MAX(0,J115-J114)+MAX(0,J116-J115)+MAX(0,J117-J116)+MAX(0,J118-J117)),IF(B107=1,(H107/(B107+3)+J118),IF(B107=0,H107/4+J118))))</f>
        <v>35</v>
      </c>
    </row>
    <row r="120" spans="1:22" x14ac:dyDescent="0.35">
      <c r="A120" s="148" t="s">
        <v>153</v>
      </c>
      <c r="B120" s="148"/>
      <c r="C120" s="148"/>
      <c r="D120" s="148"/>
      <c r="E120" s="148"/>
      <c r="F120" s="183" t="s">
        <v>157</v>
      </c>
      <c r="G120" s="183"/>
      <c r="H120" s="183"/>
      <c r="R120" t="s">
        <v>251</v>
      </c>
      <c r="S120" t="s">
        <v>169</v>
      </c>
      <c r="T120" t="s">
        <v>175</v>
      </c>
      <c r="U120" t="s">
        <v>190</v>
      </c>
      <c r="V120" t="s">
        <v>185</v>
      </c>
    </row>
    <row r="121" spans="1:22" x14ac:dyDescent="0.35">
      <c r="A121" s="98" t="s">
        <v>155</v>
      </c>
      <c r="B121" s="98"/>
      <c r="C121" s="98"/>
      <c r="D121" s="98"/>
      <c r="E121" s="98"/>
      <c r="F121" s="131">
        <v>12000</v>
      </c>
      <c r="G121" s="131"/>
      <c r="H121" s="131"/>
      <c r="I121" s="20" t="s">
        <v>413</v>
      </c>
      <c r="J121" s="20" t="s">
        <v>414</v>
      </c>
      <c r="K121" s="20" t="s">
        <v>415</v>
      </c>
      <c r="L121" s="20" t="s">
        <v>416</v>
      </c>
      <c r="M121" s="20"/>
      <c r="R121"/>
      <c r="S121">
        <v>800000</v>
      </c>
      <c r="T121">
        <v>500000</v>
      </c>
      <c r="U121">
        <v>100000</v>
      </c>
      <c r="V121">
        <v>100000</v>
      </c>
    </row>
    <row r="122" spans="1:22" hidden="1" x14ac:dyDescent="0.35">
      <c r="A122" s="98" t="s">
        <v>154</v>
      </c>
      <c r="B122" s="98"/>
      <c r="C122" s="98"/>
      <c r="D122" s="98"/>
      <c r="E122" s="98"/>
      <c r="F122" s="131"/>
      <c r="G122" s="131"/>
      <c r="H122" s="131"/>
      <c r="R122"/>
      <c r="S122">
        <v>900000</v>
      </c>
      <c r="T122">
        <v>200000</v>
      </c>
      <c r="U122">
        <v>150000</v>
      </c>
      <c r="V122">
        <v>150000</v>
      </c>
    </row>
    <row r="123" spans="1:22" hidden="1" x14ac:dyDescent="0.35">
      <c r="A123" s="98" t="s">
        <v>156</v>
      </c>
      <c r="B123" s="98"/>
      <c r="C123" s="98"/>
      <c r="D123" s="98"/>
      <c r="E123" s="98"/>
      <c r="F123" s="131"/>
      <c r="G123" s="131"/>
      <c r="H123" s="131"/>
      <c r="R123"/>
      <c r="S123">
        <v>1000000</v>
      </c>
      <c r="T123">
        <v>250000</v>
      </c>
      <c r="U123">
        <v>200000</v>
      </c>
      <c r="V123">
        <v>200000</v>
      </c>
    </row>
    <row r="124" spans="1:22" s="31" customFormat="1" hidden="1" x14ac:dyDescent="0.35">
      <c r="A124" s="98" t="s">
        <v>172</v>
      </c>
      <c r="B124" s="98"/>
      <c r="C124" s="98"/>
      <c r="D124" s="98"/>
      <c r="E124" s="98"/>
      <c r="F124" s="131"/>
      <c r="G124" s="131"/>
      <c r="H124" s="131"/>
      <c r="R124"/>
      <c r="S124">
        <v>1100000</v>
      </c>
      <c r="T124">
        <v>300000</v>
      </c>
      <c r="U124">
        <v>250000</v>
      </c>
      <c r="V124" s="21">
        <v>250000</v>
      </c>
    </row>
    <row r="125" spans="1:22" s="31" customFormat="1" hidden="1" x14ac:dyDescent="0.35">
      <c r="A125" s="98" t="s">
        <v>92</v>
      </c>
      <c r="B125" s="98"/>
      <c r="C125" s="98"/>
      <c r="D125" s="98"/>
      <c r="E125" s="98"/>
      <c r="F125" s="131"/>
      <c r="G125" s="131"/>
      <c r="H125" s="131"/>
      <c r="R125"/>
      <c r="S125">
        <v>1200000</v>
      </c>
      <c r="T125">
        <v>350000</v>
      </c>
      <c r="U125">
        <v>300000</v>
      </c>
      <c r="V125">
        <v>300000</v>
      </c>
    </row>
    <row r="126" spans="1:22" s="31" customFormat="1" hidden="1" x14ac:dyDescent="0.35">
      <c r="A126" s="98" t="s">
        <v>93</v>
      </c>
      <c r="B126" s="98"/>
      <c r="C126" s="98"/>
      <c r="D126" s="98"/>
      <c r="E126" s="98"/>
      <c r="F126" s="131"/>
      <c r="G126" s="131"/>
      <c r="H126" s="131"/>
      <c r="R126"/>
      <c r="S126">
        <v>1300000</v>
      </c>
      <c r="T126">
        <v>400000</v>
      </c>
      <c r="U126">
        <v>350000</v>
      </c>
      <c r="V126" s="21">
        <v>400000</v>
      </c>
    </row>
    <row r="127" spans="1:22" s="31" customFormat="1" hidden="1" x14ac:dyDescent="0.35">
      <c r="A127" s="98" t="s">
        <v>94</v>
      </c>
      <c r="B127" s="98"/>
      <c r="C127" s="98"/>
      <c r="D127" s="98"/>
      <c r="E127" s="98"/>
      <c r="F127" s="131"/>
      <c r="G127" s="131"/>
      <c r="H127" s="131"/>
      <c r="R127"/>
      <c r="S127">
        <v>1400000</v>
      </c>
      <c r="T127">
        <v>500000</v>
      </c>
      <c r="U127">
        <v>400000</v>
      </c>
      <c r="V127"/>
    </row>
    <row r="128" spans="1:22" s="31" customFormat="1" hidden="1" x14ac:dyDescent="0.35">
      <c r="A128" s="98" t="s">
        <v>95</v>
      </c>
      <c r="B128" s="98"/>
      <c r="C128" s="98"/>
      <c r="D128" s="98"/>
      <c r="E128" s="98"/>
      <c r="F128" s="131"/>
      <c r="G128" s="131"/>
      <c r="H128" s="131"/>
      <c r="R128"/>
      <c r="S128">
        <v>1500000</v>
      </c>
      <c r="T128">
        <v>600000</v>
      </c>
      <c r="U128">
        <v>500000</v>
      </c>
      <c r="V128" s="21"/>
    </row>
    <row r="129" spans="1:22" s="31" customFormat="1" hidden="1" x14ac:dyDescent="0.35">
      <c r="A129" s="98" t="s">
        <v>96</v>
      </c>
      <c r="B129" s="98"/>
      <c r="C129" s="98"/>
      <c r="D129" s="98"/>
      <c r="E129" s="98"/>
      <c r="F129" s="131"/>
      <c r="G129" s="131"/>
      <c r="H129" s="131"/>
      <c r="R129"/>
      <c r="S129">
        <v>1600000</v>
      </c>
      <c r="T129">
        <v>700000</v>
      </c>
      <c r="U129">
        <v>600000</v>
      </c>
      <c r="V129"/>
    </row>
    <row r="130" spans="1:22" s="31" customFormat="1" hidden="1" x14ac:dyDescent="0.35">
      <c r="A130" s="98" t="s">
        <v>97</v>
      </c>
      <c r="B130" s="98"/>
      <c r="C130" s="98"/>
      <c r="D130" s="98"/>
      <c r="E130" s="98"/>
      <c r="F130" s="131"/>
      <c r="G130" s="131"/>
      <c r="H130" s="131"/>
      <c r="R130"/>
      <c r="S130">
        <v>1700000</v>
      </c>
      <c r="T130">
        <v>800000</v>
      </c>
      <c r="U130"/>
      <c r="V130" s="21"/>
    </row>
    <row r="131" spans="1:22" x14ac:dyDescent="0.35">
      <c r="A131" s="98" t="s">
        <v>49</v>
      </c>
      <c r="B131" s="98"/>
      <c r="C131" s="98"/>
      <c r="D131" s="98"/>
      <c r="E131" s="98"/>
      <c r="F131" s="131">
        <v>500000</v>
      </c>
      <c r="G131" s="131"/>
      <c r="H131" s="131"/>
      <c r="R131"/>
      <c r="S131">
        <v>1800000</v>
      </c>
      <c r="T131">
        <v>900000</v>
      </c>
      <c r="U131"/>
    </row>
    <row r="132" spans="1:22" s="32" customFormat="1" x14ac:dyDescent="0.35">
      <c r="A132" s="148" t="s">
        <v>50</v>
      </c>
      <c r="B132" s="148"/>
      <c r="C132" s="148"/>
      <c r="D132" s="148"/>
      <c r="E132" s="148"/>
      <c r="F132" s="131">
        <f>F121*0.8</f>
        <v>9600</v>
      </c>
      <c r="G132" s="131"/>
      <c r="H132" s="131"/>
      <c r="R132" s="19"/>
      <c r="S132" s="19"/>
      <c r="T132">
        <v>1000000</v>
      </c>
      <c r="U132"/>
      <c r="V132" s="19"/>
    </row>
    <row r="133" spans="1:22" s="33" customFormat="1" ht="15.75" hidden="1" customHeight="1" x14ac:dyDescent="0.35">
      <c r="A133" s="109" t="s">
        <v>72</v>
      </c>
      <c r="B133" s="109"/>
      <c r="C133" s="109"/>
      <c r="D133" s="109"/>
      <c r="E133" s="109"/>
      <c r="F133" s="109"/>
      <c r="G133" s="109"/>
      <c r="H133" s="109"/>
      <c r="R133"/>
      <c r="S133" s="19"/>
      <c r="T133"/>
      <c r="U133"/>
      <c r="V133" s="19"/>
    </row>
    <row r="134" spans="1:22" s="33" customFormat="1" ht="15.75" hidden="1" customHeight="1" x14ac:dyDescent="0.35">
      <c r="A134" s="134" t="s">
        <v>51</v>
      </c>
      <c r="B134" s="134"/>
      <c r="C134" s="110" t="s">
        <v>75</v>
      </c>
      <c r="D134" s="110"/>
      <c r="E134" s="229" t="s">
        <v>52</v>
      </c>
      <c r="F134" s="229"/>
      <c r="G134" s="134" t="s">
        <v>53</v>
      </c>
      <c r="H134" s="134"/>
      <c r="R134"/>
      <c r="S134" s="19"/>
      <c r="T134"/>
      <c r="U134" s="19"/>
      <c r="V134" s="19"/>
    </row>
    <row r="135" spans="1:22" s="33" customFormat="1" hidden="1" x14ac:dyDescent="0.35">
      <c r="A135" s="212"/>
      <c r="B135" s="212"/>
      <c r="C135" s="106"/>
      <c r="D135" s="106"/>
      <c r="E135" s="107"/>
      <c r="F135" s="107"/>
      <c r="G135" s="108"/>
      <c r="H135" s="108"/>
      <c r="R135"/>
      <c r="S135" s="19"/>
      <c r="T135"/>
      <c r="U135" s="19"/>
      <c r="V135" s="19"/>
    </row>
    <row r="136" spans="1:22" s="33" customFormat="1" hidden="1" x14ac:dyDescent="0.35">
      <c r="A136" s="212"/>
      <c r="B136" s="212"/>
      <c r="C136" s="106"/>
      <c r="D136" s="106"/>
      <c r="E136" s="107"/>
      <c r="F136" s="107"/>
      <c r="G136" s="108"/>
      <c r="H136" s="108"/>
      <c r="R136"/>
      <c r="S136" s="19"/>
      <c r="T136"/>
      <c r="U136" s="19"/>
      <c r="V136" s="19"/>
    </row>
    <row r="137" spans="1:22" s="33" customFormat="1" hidden="1" x14ac:dyDescent="0.35">
      <c r="A137" s="109" t="s">
        <v>146</v>
      </c>
      <c r="B137" s="109"/>
      <c r="C137" s="110"/>
      <c r="D137" s="110"/>
      <c r="E137" s="229"/>
      <c r="F137" s="229"/>
      <c r="G137" s="134"/>
      <c r="H137" s="134"/>
      <c r="R137"/>
      <c r="S137" s="19"/>
      <c r="T137"/>
      <c r="U137" s="19"/>
      <c r="V137" s="19"/>
    </row>
    <row r="138" spans="1:22" s="33" customFormat="1" x14ac:dyDescent="0.35">
      <c r="A138" s="109" t="s">
        <v>67</v>
      </c>
      <c r="B138" s="109"/>
      <c r="C138" s="109"/>
      <c r="D138" s="109"/>
      <c r="E138" s="109"/>
      <c r="F138" s="109"/>
      <c r="G138" s="109"/>
      <c r="H138" s="109"/>
      <c r="T138"/>
    </row>
    <row r="139" spans="1:22" s="33" customFormat="1" ht="15.75" customHeight="1" x14ac:dyDescent="0.35">
      <c r="A139" s="134" t="s">
        <v>51</v>
      </c>
      <c r="B139" s="134"/>
      <c r="C139" s="110" t="s">
        <v>75</v>
      </c>
      <c r="D139" s="110"/>
      <c r="E139" s="229" t="s">
        <v>52</v>
      </c>
      <c r="F139" s="229"/>
      <c r="G139" s="134" t="s">
        <v>53</v>
      </c>
      <c r="H139" s="134"/>
      <c r="T139"/>
    </row>
    <row r="140" spans="1:22" s="33" customFormat="1" x14ac:dyDescent="0.35">
      <c r="A140" s="212" t="s">
        <v>352</v>
      </c>
      <c r="B140" s="212"/>
      <c r="C140" s="147">
        <f>COUNT(D166:D169)*4+COUNT(D175:D178)+COUNT(D184:D187)+COUNT(D189:D196)*22+COUNT(D203:D204,D206)+COUNT(D208:D212,D214:D215)*5</f>
        <v>238</v>
      </c>
      <c r="D140" s="147"/>
      <c r="E140" s="147">
        <f>SUM(F166:F169)*4+SUM(F175:F178)+SUM(F184:F187)+SUM(F189:F196)*22+SUM(F203:F204,F206)+SUM(F208:F212,F214:F215)*5</f>
        <v>178193.39147999993</v>
      </c>
      <c r="F140" s="147"/>
      <c r="G140" s="147">
        <f t="shared" ref="G140" si="0">SUM(H166:H169)*4+SUM(H175:H178)+SUM(H184:H187)+SUM(H189:H196)*22+SUM(H203:H204,H206)+SUM(H208:H212,H214:H215)*5</f>
        <v>267290.08721999999</v>
      </c>
      <c r="H140" s="147"/>
      <c r="T140"/>
    </row>
    <row r="141" spans="1:22" s="33" customFormat="1" x14ac:dyDescent="0.35">
      <c r="A141" s="201" t="s">
        <v>369</v>
      </c>
      <c r="B141" s="201"/>
      <c r="C141" s="213">
        <f>COUNT(F224:F229)+COUNT(F235:F240)*2+COUNT(F246:F251)+COUNT(F257:F262)+COUNT(F268:F273)+COUNT(F279:F282,F284)+COUNT(F286:F295)*9+COUNT(F298:F305,F307)*2+COUNT(F309:F316,F318)*3+COUNT(F320:F329)+COUNT(F331:F340)*8</f>
        <v>266</v>
      </c>
      <c r="D141" s="213"/>
      <c r="E141" s="213">
        <f>SUM(F224:F229)+SUM(F235:F240)*2+SUM(F246:F251)+SUM(F257:F262)+SUM(F268:F273)+SUM(F279:F282,F284)+SUM(F286:F295)*9+SUM(F298:F305,F307)*2+SUM(F309:F316,F318)*3+SUM(F320:F329)+SUM(F331:F340)*8</f>
        <v>138043.67147999999</v>
      </c>
      <c r="F141" s="213"/>
      <c r="G141" s="213">
        <f>SUM(H224:H229)+SUM(H235:H240)*2+SUM(H246:H251)+SUM(H257:H262)+SUM(H268:H273)+SUM(H279:H282,H284)+SUM(H286:H295)*9+SUM(H298:H305,H307)*2+SUM(H309:H316,H318)*3+SUM(H320:H329)+SUM(H331:H340)*8</f>
        <v>207155.48080499994</v>
      </c>
      <c r="H141" s="213"/>
      <c r="J141" s="77">
        <f>C140+C141+C142</f>
        <v>788</v>
      </c>
      <c r="T141"/>
    </row>
    <row r="142" spans="1:22" s="33" customFormat="1" ht="15.65" customHeight="1" x14ac:dyDescent="0.35">
      <c r="A142" s="93" t="s">
        <v>439</v>
      </c>
      <c r="B142" s="41" t="s">
        <v>382</v>
      </c>
      <c r="C142" s="213">
        <f>COUNT(D422:D431)*11+COUNT(D434:D443)*12+COUNT(D445:D452,D454)*3+COUNT(D456:D463,D465)*3</f>
        <v>284</v>
      </c>
      <c r="D142" s="213"/>
      <c r="E142" s="213">
        <f>SUM(F422:F431)*11+SUM(F434:F443)*12+SUM(F445:F452,F454)*3+SUM(F456:F463,F465)*3</f>
        <v>145328.10084000003</v>
      </c>
      <c r="F142" s="213"/>
      <c r="G142" s="213">
        <f>SUM(H422:H431)*11+SUM(H434:H443)*12+SUM(H445:H452,H454)*3+SUM(H456:H463,H465)*3</f>
        <v>217992.15125999998</v>
      </c>
      <c r="H142" s="213"/>
      <c r="T142"/>
    </row>
    <row r="143" spans="1:22" s="33" customFormat="1" ht="15.65" customHeight="1" x14ac:dyDescent="0.35">
      <c r="A143" s="94"/>
      <c r="B143" s="41" t="s">
        <v>380</v>
      </c>
      <c r="C143" s="147">
        <f>COUNT(D400:D409)*3+COUNT(D411:D420)</f>
        <v>40</v>
      </c>
      <c r="D143" s="147"/>
      <c r="E143" s="147">
        <f>SUM(F400:F409)*3+SUM(F411:F420)</f>
        <v>18246.702239999999</v>
      </c>
      <c r="F143" s="147"/>
      <c r="G143" s="147">
        <f>SUM(H400:H409)*3+SUM(H411:H420)</f>
        <v>27370.053359999994</v>
      </c>
      <c r="H143" s="147"/>
      <c r="T143"/>
    </row>
    <row r="144" spans="1:22" s="33" customFormat="1" ht="16" thickBot="1" x14ac:dyDescent="0.4">
      <c r="A144" s="102" t="s">
        <v>146</v>
      </c>
      <c r="B144" s="102"/>
      <c r="C144" s="103">
        <f>SUM(C140:D143)</f>
        <v>828</v>
      </c>
      <c r="D144" s="104"/>
      <c r="E144" s="103">
        <f>SUM(E140:F143)</f>
        <v>479811.86603999994</v>
      </c>
      <c r="F144" s="104"/>
      <c r="G144" s="103">
        <f>SUM(G140:H143)</f>
        <v>719807.7726449999</v>
      </c>
      <c r="H144" s="104"/>
      <c r="T144"/>
    </row>
    <row r="145" spans="1:20" s="33" customFormat="1" ht="16" thickBot="1" x14ac:dyDescent="0.4">
      <c r="A145" s="193" t="s">
        <v>163</v>
      </c>
      <c r="B145" s="194"/>
      <c r="C145" s="195">
        <f>C137+C144</f>
        <v>828</v>
      </c>
      <c r="D145" s="195"/>
      <c r="E145" s="196">
        <f>E137+E144</f>
        <v>479811.86603999994</v>
      </c>
      <c r="F145" s="196"/>
      <c r="G145" s="186">
        <f>G137+G144</f>
        <v>719807.7726449999</v>
      </c>
      <c r="H145" s="187"/>
      <c r="T145"/>
    </row>
    <row r="146" spans="1:20" s="32" customFormat="1" x14ac:dyDescent="0.35">
      <c r="A146" s="188" t="s">
        <v>54</v>
      </c>
      <c r="B146" s="188"/>
      <c r="C146" s="188"/>
      <c r="D146" s="188"/>
      <c r="E146" s="188"/>
      <c r="F146" s="188"/>
      <c r="G146" s="188"/>
      <c r="H146" s="188"/>
      <c r="T146" s="33"/>
    </row>
    <row r="147" spans="1:20" x14ac:dyDescent="0.35">
      <c r="A147" s="179" t="s">
        <v>171</v>
      </c>
      <c r="B147" s="179"/>
      <c r="C147" s="179"/>
      <c r="D147" s="179"/>
      <c r="E147" s="179"/>
      <c r="F147" s="179"/>
      <c r="G147" s="179"/>
      <c r="H147" s="179"/>
      <c r="T147" s="33"/>
    </row>
    <row r="148" spans="1:20" ht="47.25" hidden="1" customHeight="1" x14ac:dyDescent="0.35">
      <c r="A148" s="132" t="s">
        <v>404</v>
      </c>
      <c r="B148" s="132" t="s">
        <v>173</v>
      </c>
      <c r="C148" s="132" t="s">
        <v>55</v>
      </c>
      <c r="D148" s="132" t="s">
        <v>229</v>
      </c>
      <c r="E148" s="161" t="s">
        <v>152</v>
      </c>
      <c r="F148" s="132" t="s">
        <v>56</v>
      </c>
      <c r="G148" s="161" t="s">
        <v>57</v>
      </c>
      <c r="H148" s="73" t="s">
        <v>145</v>
      </c>
      <c r="T148" s="33"/>
    </row>
    <row r="149" spans="1:20" s="35" customFormat="1" hidden="1" x14ac:dyDescent="0.35">
      <c r="A149" s="133"/>
      <c r="B149" s="133"/>
      <c r="C149" s="133"/>
      <c r="D149" s="133"/>
      <c r="E149" s="162"/>
      <c r="F149" s="133"/>
      <c r="G149" s="162"/>
      <c r="H149" s="74">
        <v>0.45</v>
      </c>
      <c r="T149" s="33"/>
    </row>
    <row r="150" spans="1:20" s="35" customFormat="1" hidden="1" x14ac:dyDescent="0.35">
      <c r="A150" s="158" t="s">
        <v>117</v>
      </c>
      <c r="B150" s="159"/>
      <c r="C150" s="159"/>
      <c r="D150" s="159"/>
      <c r="E150" s="159"/>
      <c r="F150" s="159"/>
      <c r="G150" s="159"/>
      <c r="H150" s="160"/>
      <c r="J150" s="34"/>
      <c r="T150" s="33"/>
    </row>
    <row r="151" spans="1:20" s="35" customFormat="1" ht="15.75" hidden="1" customHeight="1" x14ac:dyDescent="0.35">
      <c r="A151" s="191">
        <v>1</v>
      </c>
      <c r="B151" s="192"/>
      <c r="C151" s="75"/>
      <c r="D151" s="75">
        <v>0</v>
      </c>
      <c r="E151" s="75">
        <v>0</v>
      </c>
      <c r="F151" s="75">
        <f>D151+(IF(E151&lt;201,E151,IF(E151&lt;301,E151/2,E151/3)))</f>
        <v>0</v>
      </c>
      <c r="G151" s="75">
        <v>0</v>
      </c>
      <c r="H151" s="75">
        <f>(F151+(IF(G151&lt;101,G151,IF(G151&lt;201,G151/2,IF(G151&lt;=301,G151/3,G151/4)))))*(($H$149)+1)</f>
        <v>0</v>
      </c>
      <c r="I151" s="34"/>
      <c r="L151" s="114"/>
      <c r="M151" s="114"/>
      <c r="N151" s="34"/>
      <c r="T151" s="33"/>
    </row>
    <row r="152" spans="1:20" s="35" customFormat="1" ht="15.75" hidden="1" customHeight="1" x14ac:dyDescent="0.35">
      <c r="A152" s="191">
        <f>A151+1</f>
        <v>2</v>
      </c>
      <c r="B152" s="192"/>
      <c r="C152" s="75"/>
      <c r="D152" s="75"/>
      <c r="E152" s="75">
        <v>0</v>
      </c>
      <c r="F152" s="75">
        <f t="shared" ref="F152:F154" si="1">D152+(IF(E152&lt;201,E152,IF(E152&lt;301,E152/2,E152/3)))</f>
        <v>0</v>
      </c>
      <c r="G152" s="75">
        <v>0</v>
      </c>
      <c r="H152" s="75">
        <f t="shared" ref="H152:H154" si="2">(F152+(IF(G152&lt;101,G152,IF(G152&lt;201,G152/2,IF(G152&lt;=301,G152/3,G152/4)))))*(($H$149)+1)</f>
        <v>0</v>
      </c>
      <c r="I152" s="34"/>
      <c r="L152" s="114"/>
      <c r="M152" s="114"/>
      <c r="N152" s="34"/>
      <c r="T152" s="32"/>
    </row>
    <row r="153" spans="1:20" s="35" customFormat="1" ht="15.75" hidden="1" customHeight="1" x14ac:dyDescent="0.35">
      <c r="A153" s="191">
        <f>A152+1</f>
        <v>3</v>
      </c>
      <c r="B153" s="192"/>
      <c r="C153" s="75"/>
      <c r="D153" s="75"/>
      <c r="E153" s="75">
        <v>0</v>
      </c>
      <c r="F153" s="75">
        <f t="shared" si="1"/>
        <v>0</v>
      </c>
      <c r="G153" s="75">
        <v>0</v>
      </c>
      <c r="H153" s="75">
        <f t="shared" si="2"/>
        <v>0</v>
      </c>
      <c r="I153" s="34"/>
      <c r="L153" s="114"/>
      <c r="M153" s="114"/>
      <c r="N153" s="34"/>
      <c r="T153" s="19"/>
    </row>
    <row r="154" spans="1:20" s="35" customFormat="1" ht="15.75" hidden="1" customHeight="1" x14ac:dyDescent="0.35">
      <c r="A154" s="191">
        <f>A153+1</f>
        <v>4</v>
      </c>
      <c r="B154" s="192"/>
      <c r="C154" s="75"/>
      <c r="D154" s="75"/>
      <c r="E154" s="75">
        <v>0</v>
      </c>
      <c r="F154" s="75">
        <f t="shared" si="1"/>
        <v>0</v>
      </c>
      <c r="G154" s="75">
        <v>0</v>
      </c>
      <c r="H154" s="75">
        <f t="shared" si="2"/>
        <v>0</v>
      </c>
      <c r="I154" s="34"/>
      <c r="L154" s="114"/>
      <c r="M154" s="114"/>
      <c r="N154" s="34"/>
      <c r="T154" s="19"/>
    </row>
    <row r="155" spans="1:20" s="35" customFormat="1" x14ac:dyDescent="0.35">
      <c r="A155" s="191"/>
      <c r="B155" s="197"/>
      <c r="C155" s="197"/>
      <c r="D155" s="197"/>
      <c r="E155" s="197"/>
      <c r="F155" s="197"/>
      <c r="G155" s="197"/>
      <c r="H155" s="192"/>
      <c r="I155" s="34"/>
      <c r="N155" s="34"/>
    </row>
    <row r="156" spans="1:20" ht="47.25" customHeight="1" x14ac:dyDescent="0.35">
      <c r="A156" s="189" t="s">
        <v>405</v>
      </c>
      <c r="B156" s="132" t="s">
        <v>383</v>
      </c>
      <c r="C156" s="132" t="s">
        <v>55</v>
      </c>
      <c r="D156" s="132" t="s">
        <v>229</v>
      </c>
      <c r="E156" s="132" t="s">
        <v>228</v>
      </c>
      <c r="F156" s="132" t="s">
        <v>56</v>
      </c>
      <c r="G156" s="161" t="s">
        <v>57</v>
      </c>
      <c r="H156" s="73" t="s">
        <v>145</v>
      </c>
      <c r="I156" s="34"/>
      <c r="T156" s="35"/>
    </row>
    <row r="157" spans="1:20" s="35" customFormat="1" x14ac:dyDescent="0.35">
      <c r="A157" s="190"/>
      <c r="B157" s="133"/>
      <c r="C157" s="133"/>
      <c r="D157" s="133"/>
      <c r="E157" s="133"/>
      <c r="F157" s="133"/>
      <c r="G157" s="162"/>
      <c r="H157" s="74">
        <v>0.5</v>
      </c>
      <c r="I157" s="34"/>
    </row>
    <row r="158" spans="1:20" s="35" customFormat="1" x14ac:dyDescent="0.35">
      <c r="A158" s="209" t="s">
        <v>384</v>
      </c>
      <c r="B158" s="210"/>
      <c r="C158" s="210"/>
      <c r="D158" s="210"/>
      <c r="E158" s="210"/>
      <c r="F158" s="210"/>
      <c r="G158" s="210"/>
      <c r="H158" s="211"/>
      <c r="J158" s="34"/>
    </row>
    <row r="159" spans="1:20" s="35" customFormat="1" x14ac:dyDescent="0.35">
      <c r="A159" s="115" t="s">
        <v>406</v>
      </c>
      <c r="B159" s="116"/>
      <c r="C159" s="116"/>
      <c r="D159" s="116"/>
      <c r="E159" s="116"/>
      <c r="F159" s="116"/>
      <c r="G159" s="116"/>
      <c r="H159" s="117"/>
      <c r="J159" s="34"/>
    </row>
    <row r="160" spans="1:20" s="35" customFormat="1" x14ac:dyDescent="0.35">
      <c r="A160" s="115" t="s">
        <v>368</v>
      </c>
      <c r="B160" s="116"/>
      <c r="C160" s="116"/>
      <c r="D160" s="116"/>
      <c r="E160" s="116"/>
      <c r="F160" s="116"/>
      <c r="G160" s="116"/>
      <c r="H160" s="117"/>
      <c r="J160" s="34"/>
    </row>
    <row r="161" spans="1:20" s="35" customFormat="1" x14ac:dyDescent="0.35">
      <c r="A161" s="115" t="s">
        <v>357</v>
      </c>
      <c r="B161" s="116"/>
      <c r="C161" s="116"/>
      <c r="D161" s="116"/>
      <c r="E161" s="116"/>
      <c r="F161" s="116"/>
      <c r="G161" s="116"/>
      <c r="H161" s="117"/>
      <c r="J161" s="34"/>
    </row>
    <row r="162" spans="1:20" s="35" customFormat="1" ht="15.75" customHeight="1" x14ac:dyDescent="0.35">
      <c r="A162" s="88">
        <v>1</v>
      </c>
      <c r="B162" s="89"/>
      <c r="C162" s="135" t="s">
        <v>353</v>
      </c>
      <c r="D162" s="136"/>
      <c r="E162" s="136"/>
      <c r="F162" s="136"/>
      <c r="G162" s="136"/>
      <c r="H162" s="137"/>
      <c r="I162" s="34"/>
      <c r="L162" s="114"/>
      <c r="M162" s="114"/>
      <c r="N162" s="34"/>
    </row>
    <row r="163" spans="1:20" s="35" customFormat="1" ht="15.75" customHeight="1" x14ac:dyDescent="0.35">
      <c r="A163" s="88">
        <f>A162+1</f>
        <v>2</v>
      </c>
      <c r="B163" s="89"/>
      <c r="C163" s="138"/>
      <c r="D163" s="139"/>
      <c r="E163" s="139"/>
      <c r="F163" s="139"/>
      <c r="G163" s="139"/>
      <c r="H163" s="140"/>
      <c r="I163" s="34"/>
      <c r="L163" s="114"/>
      <c r="M163" s="114"/>
      <c r="N163" s="34"/>
    </row>
    <row r="164" spans="1:20" s="35" customFormat="1" ht="15.75" customHeight="1" x14ac:dyDescent="0.35">
      <c r="A164" s="88">
        <f>A163+1</f>
        <v>3</v>
      </c>
      <c r="B164" s="89"/>
      <c r="C164" s="138"/>
      <c r="D164" s="139"/>
      <c r="E164" s="139"/>
      <c r="F164" s="139"/>
      <c r="G164" s="139"/>
      <c r="H164" s="140"/>
      <c r="I164" s="34"/>
      <c r="L164" s="114"/>
      <c r="M164" s="114"/>
      <c r="N164" s="34"/>
    </row>
    <row r="165" spans="1:20" s="35" customFormat="1" ht="15.75" customHeight="1" x14ac:dyDescent="0.35">
      <c r="A165" s="88">
        <f>A164+1</f>
        <v>4</v>
      </c>
      <c r="B165" s="89"/>
      <c r="C165" s="141"/>
      <c r="D165" s="142"/>
      <c r="E165" s="142"/>
      <c r="F165" s="142"/>
      <c r="G165" s="142"/>
      <c r="H165" s="143"/>
      <c r="I165" s="34"/>
      <c r="L165" s="114"/>
      <c r="M165" s="114"/>
      <c r="N165" s="34"/>
      <c r="T165" s="19"/>
    </row>
    <row r="166" spans="1:20" s="35" customFormat="1" ht="15.75" customHeight="1" x14ac:dyDescent="0.35">
      <c r="A166" s="88">
        <f t="shared" ref="A166:A169" si="3">A165+1</f>
        <v>5</v>
      </c>
      <c r="B166" s="89"/>
      <c r="C166" s="50" t="s">
        <v>354</v>
      </c>
      <c r="D166" s="50">
        <f>(74.25)*10.764</f>
        <v>799.22699999999998</v>
      </c>
      <c r="E166" s="50">
        <f>(2.77)*10.764</f>
        <v>29.816279999999999</v>
      </c>
      <c r="F166" s="50">
        <f>D166+E166</f>
        <v>829.04327999999998</v>
      </c>
      <c r="G166" s="50">
        <v>0</v>
      </c>
      <c r="H166" s="50">
        <f>F166*(($H$157)+1)+(IF(G166&lt;101,G166,IF(G166&lt;201,G166/2,IF(G166&lt;=301,G166/3,G166/4))))</f>
        <v>1243.56492</v>
      </c>
      <c r="I166" s="34">
        <f>3.05*4.57+2.13*3.35+3.05*3.05+3.05*3.65+3.36*3.05+1.36*2.12+1.36*2.12+1.37*2.12+3.35*2.37+2.13*0.9</f>
        <v>70.284300000000002</v>
      </c>
      <c r="J166" s="34">
        <f>2.27*1.23</f>
        <v>2.7921</v>
      </c>
      <c r="K166" s="50">
        <v>10.763999999999999</v>
      </c>
      <c r="L166" s="114"/>
      <c r="M166" s="114"/>
      <c r="N166" s="34"/>
    </row>
    <row r="167" spans="1:20" s="35" customFormat="1" ht="15.75" customHeight="1" x14ac:dyDescent="0.35">
      <c r="A167" s="88">
        <f t="shared" si="3"/>
        <v>6</v>
      </c>
      <c r="B167" s="89"/>
      <c r="C167" s="50" t="s">
        <v>355</v>
      </c>
      <c r="D167" s="50">
        <f>(59.06)*10.764</f>
        <v>635.72183999999993</v>
      </c>
      <c r="E167" s="50">
        <f>(2.59)*10.764</f>
        <v>27.878759999999996</v>
      </c>
      <c r="F167" s="50">
        <f>D167+E167</f>
        <v>663.60059999999987</v>
      </c>
      <c r="G167" s="50">
        <v>0</v>
      </c>
      <c r="H167" s="50">
        <f>F167*(($H$157)+1)+(IF(G167&lt;101,G167,IF(G167&lt;201,G167/2,IF(G167&lt;=301,G167/3,G167/4))))</f>
        <v>995.40089999999987</v>
      </c>
      <c r="I167" s="34"/>
      <c r="L167" s="114"/>
      <c r="M167" s="114"/>
      <c r="N167" s="34"/>
    </row>
    <row r="168" spans="1:20" s="35" customFormat="1" ht="15.75" customHeight="1" x14ac:dyDescent="0.35">
      <c r="A168" s="88">
        <f t="shared" si="3"/>
        <v>7</v>
      </c>
      <c r="B168" s="89"/>
      <c r="C168" s="50" t="s">
        <v>355</v>
      </c>
      <c r="D168" s="50">
        <f>(59.06)*10.764</f>
        <v>635.72183999999993</v>
      </c>
      <c r="E168" s="50">
        <f>(2.58)*10.764</f>
        <v>27.77112</v>
      </c>
      <c r="F168" s="50">
        <f>D168+E168</f>
        <v>663.49295999999993</v>
      </c>
      <c r="G168" s="50">
        <v>0</v>
      </c>
      <c r="H168" s="50">
        <f>F168*(($H$157)+1)+(IF(G168&lt;101,G168,IF(G168&lt;201,G168/2,IF(G168&lt;=301,G168/3,G168/4))))</f>
        <v>995.23943999999983</v>
      </c>
      <c r="I168" s="34">
        <f>3.05*4.58+2.12*3.35+3.05*3.35+3.05*3.65+1.38*2.12+1.37*2.12+5*0.9+3.08*0.6+0.5*2.13</f>
        <v>55.664000000000001</v>
      </c>
      <c r="J168" s="34">
        <f>2.13*1.22</f>
        <v>2.5985999999999998</v>
      </c>
      <c r="L168" s="114"/>
      <c r="M168" s="114"/>
      <c r="N168" s="34"/>
    </row>
    <row r="169" spans="1:20" s="35" customFormat="1" ht="15.75" customHeight="1" x14ac:dyDescent="0.35">
      <c r="A169" s="88">
        <f t="shared" si="3"/>
        <v>8</v>
      </c>
      <c r="B169" s="89"/>
      <c r="C169" s="50" t="s">
        <v>354</v>
      </c>
      <c r="D169" s="50">
        <f>(74.29)*10.764</f>
        <v>799.65755999999999</v>
      </c>
      <c r="E169" s="50">
        <f>(2.78)*10.764</f>
        <v>29.923919999999995</v>
      </c>
      <c r="F169" s="50">
        <f>D169+E169</f>
        <v>829.58147999999994</v>
      </c>
      <c r="G169" s="50">
        <v>0</v>
      </c>
      <c r="H169" s="50">
        <f>F169*(($H$157)+1)+(IF(G169&lt;101,G169,IF(G169&lt;201,G169/2,IF(G169&lt;=301,G169/3,G169/4))))</f>
        <v>1244.37222</v>
      </c>
      <c r="I169" s="34"/>
      <c r="L169" s="114"/>
      <c r="M169" s="114"/>
      <c r="N169" s="34"/>
      <c r="T169" s="19"/>
    </row>
    <row r="170" spans="1:20" s="35" customFormat="1" x14ac:dyDescent="0.35">
      <c r="A170" s="96" t="s">
        <v>356</v>
      </c>
      <c r="B170" s="96"/>
      <c r="C170" s="96"/>
      <c r="D170" s="96"/>
      <c r="E170" s="96"/>
      <c r="F170" s="96"/>
      <c r="G170" s="96"/>
      <c r="H170" s="96"/>
      <c r="I170" s="34"/>
      <c r="L170" s="114"/>
      <c r="M170" s="114"/>
    </row>
    <row r="171" spans="1:20" s="35" customFormat="1" x14ac:dyDescent="0.35">
      <c r="A171" s="95">
        <v>1</v>
      </c>
      <c r="B171" s="95"/>
      <c r="C171" s="95" t="s">
        <v>358</v>
      </c>
      <c r="D171" s="95"/>
      <c r="E171" s="95"/>
      <c r="F171" s="95"/>
      <c r="G171" s="95"/>
      <c r="H171" s="95"/>
      <c r="I171" s="34"/>
      <c r="N171" s="34"/>
    </row>
    <row r="172" spans="1:20" s="35" customFormat="1" x14ac:dyDescent="0.35">
      <c r="A172" s="95">
        <v>2</v>
      </c>
      <c r="B172" s="95"/>
      <c r="C172" s="95"/>
      <c r="D172" s="95"/>
      <c r="E172" s="95"/>
      <c r="F172" s="95"/>
      <c r="G172" s="95"/>
      <c r="H172" s="95"/>
      <c r="I172" s="34"/>
      <c r="N172" s="34"/>
    </row>
    <row r="173" spans="1:20" s="35" customFormat="1" x14ac:dyDescent="0.35">
      <c r="A173" s="95">
        <v>3</v>
      </c>
      <c r="B173" s="95"/>
      <c r="C173" s="95"/>
      <c r="D173" s="95"/>
      <c r="E173" s="95"/>
      <c r="F173" s="95"/>
      <c r="G173" s="95"/>
      <c r="H173" s="95"/>
      <c r="I173" s="34"/>
      <c r="N173" s="34"/>
    </row>
    <row r="174" spans="1:20" s="35" customFormat="1" x14ac:dyDescent="0.35">
      <c r="A174" s="95">
        <v>4</v>
      </c>
      <c r="B174" s="95"/>
      <c r="C174" s="95"/>
      <c r="D174" s="95"/>
      <c r="E174" s="95"/>
      <c r="F174" s="95"/>
      <c r="G174" s="95"/>
      <c r="H174" s="95"/>
      <c r="I174" s="34"/>
      <c r="N174" s="34"/>
    </row>
    <row r="175" spans="1:20" s="35" customFormat="1" x14ac:dyDescent="0.35">
      <c r="A175" s="95">
        <v>5</v>
      </c>
      <c r="B175" s="95"/>
      <c r="C175" s="84" t="s">
        <v>354</v>
      </c>
      <c r="D175" s="84">
        <f>(74.25)*10.764</f>
        <v>799.22699999999998</v>
      </c>
      <c r="E175" s="84">
        <f>(2.77)*10.764</f>
        <v>29.816279999999999</v>
      </c>
      <c r="F175" s="84">
        <f>D175+E175</f>
        <v>829.04327999999998</v>
      </c>
      <c r="G175" s="84">
        <v>0</v>
      </c>
      <c r="H175" s="84">
        <f>F175*(($H$157)+1)+(IF(G175&lt;101,G175,IF(G175&lt;201,G175/2,IF(G175&lt;=301,G175/3,G175/4))))</f>
        <v>1243.56492</v>
      </c>
      <c r="I175" s="34"/>
      <c r="N175" s="34"/>
    </row>
    <row r="176" spans="1:20" s="35" customFormat="1" x14ac:dyDescent="0.35">
      <c r="A176" s="95">
        <v>6</v>
      </c>
      <c r="B176" s="95"/>
      <c r="C176" s="84" t="s">
        <v>355</v>
      </c>
      <c r="D176" s="84">
        <f>(59.06)*10.764</f>
        <v>635.72183999999993</v>
      </c>
      <c r="E176" s="84">
        <f>(2.59)*10.764</f>
        <v>27.878759999999996</v>
      </c>
      <c r="F176" s="84">
        <f>D176+E176</f>
        <v>663.60059999999987</v>
      </c>
      <c r="G176" s="84">
        <v>0</v>
      </c>
      <c r="H176" s="84">
        <f>F176*(($H$157)+1)+(IF(G176&lt;101,G176,IF(G176&lt;201,G176/2,IF(G176&lt;=301,G176/3,G176/4))))</f>
        <v>995.40089999999987</v>
      </c>
      <c r="I176" s="34"/>
      <c r="N176" s="34"/>
    </row>
    <row r="177" spans="1:14" s="35" customFormat="1" x14ac:dyDescent="0.35">
      <c r="A177" s="95">
        <v>7</v>
      </c>
      <c r="B177" s="95"/>
      <c r="C177" s="84" t="s">
        <v>355</v>
      </c>
      <c r="D177" s="84">
        <f>(59.06)*10.764</f>
        <v>635.72183999999993</v>
      </c>
      <c r="E177" s="84">
        <f>(2.58)*10.764</f>
        <v>27.77112</v>
      </c>
      <c r="F177" s="84">
        <f>D177+E177</f>
        <v>663.49295999999993</v>
      </c>
      <c r="G177" s="84">
        <v>0</v>
      </c>
      <c r="H177" s="84">
        <f>F177*(($H$157)+1)+(IF(G177&lt;101,G177,IF(G177&lt;201,G177/2,IF(G177&lt;=301,G177/3,G177/4))))</f>
        <v>995.23943999999983</v>
      </c>
      <c r="I177" s="34"/>
      <c r="N177" s="34"/>
    </row>
    <row r="178" spans="1:14" s="35" customFormat="1" x14ac:dyDescent="0.35">
      <c r="A178" s="95">
        <v>8</v>
      </c>
      <c r="B178" s="95"/>
      <c r="C178" s="84" t="s">
        <v>354</v>
      </c>
      <c r="D178" s="84">
        <f>(74.29)*10.764</f>
        <v>799.65755999999999</v>
      </c>
      <c r="E178" s="84">
        <f>(2.78)*10.764</f>
        <v>29.923919999999995</v>
      </c>
      <c r="F178" s="84">
        <f>D178+E178</f>
        <v>829.58147999999994</v>
      </c>
      <c r="G178" s="84">
        <v>0</v>
      </c>
      <c r="H178" s="84">
        <f>F178*(($H$157)+1)+(IF(G178&lt;101,G178,IF(G178&lt;201,G178/2,IF(G178&lt;=301,G178/3,G178/4))))</f>
        <v>1244.37222</v>
      </c>
      <c r="I178" s="34"/>
      <c r="N178" s="34"/>
    </row>
    <row r="179" spans="1:14" s="35" customFormat="1" x14ac:dyDescent="0.35">
      <c r="A179" s="96" t="s">
        <v>359</v>
      </c>
      <c r="B179" s="96"/>
      <c r="C179" s="96"/>
      <c r="D179" s="96"/>
      <c r="E179" s="96"/>
      <c r="F179" s="96"/>
      <c r="G179" s="96"/>
      <c r="H179" s="96"/>
      <c r="I179" s="34"/>
      <c r="L179" s="114"/>
      <c r="M179" s="114"/>
    </row>
    <row r="180" spans="1:14" s="35" customFormat="1" x14ac:dyDescent="0.35">
      <c r="A180" s="95">
        <v>1</v>
      </c>
      <c r="B180" s="95"/>
      <c r="C180" s="95" t="s">
        <v>360</v>
      </c>
      <c r="D180" s="95"/>
      <c r="E180" s="95"/>
      <c r="F180" s="95"/>
      <c r="G180" s="95"/>
      <c r="H180" s="95"/>
      <c r="I180" s="34"/>
      <c r="N180" s="34"/>
    </row>
    <row r="181" spans="1:14" s="35" customFormat="1" x14ac:dyDescent="0.35">
      <c r="A181" s="95">
        <v>2</v>
      </c>
      <c r="B181" s="95"/>
      <c r="C181" s="95"/>
      <c r="D181" s="95"/>
      <c r="E181" s="95"/>
      <c r="F181" s="95"/>
      <c r="G181" s="95"/>
      <c r="H181" s="95"/>
      <c r="I181" s="34"/>
      <c r="N181" s="34"/>
    </row>
    <row r="182" spans="1:14" s="35" customFormat="1" x14ac:dyDescent="0.35">
      <c r="A182" s="95">
        <v>3</v>
      </c>
      <c r="B182" s="95"/>
      <c r="C182" s="95"/>
      <c r="D182" s="95"/>
      <c r="E182" s="95"/>
      <c r="F182" s="95"/>
      <c r="G182" s="95"/>
      <c r="H182" s="95"/>
      <c r="I182" s="34"/>
      <c r="N182" s="34"/>
    </row>
    <row r="183" spans="1:14" s="35" customFormat="1" x14ac:dyDescent="0.35">
      <c r="A183" s="95">
        <v>4</v>
      </c>
      <c r="B183" s="95"/>
      <c r="C183" s="95"/>
      <c r="D183" s="95"/>
      <c r="E183" s="95"/>
      <c r="F183" s="95"/>
      <c r="G183" s="95"/>
      <c r="H183" s="95"/>
      <c r="I183" s="34"/>
      <c r="N183" s="34"/>
    </row>
    <row r="184" spans="1:14" s="35" customFormat="1" x14ac:dyDescent="0.35">
      <c r="A184" s="95">
        <v>5</v>
      </c>
      <c r="B184" s="95"/>
      <c r="C184" s="50" t="s">
        <v>354</v>
      </c>
      <c r="D184" s="50">
        <f>(74.25)*10.764</f>
        <v>799.22699999999998</v>
      </c>
      <c r="E184" s="50">
        <f>(2.77)*10.764</f>
        <v>29.816279999999999</v>
      </c>
      <c r="F184" s="50">
        <f>D184+E184</f>
        <v>829.04327999999998</v>
      </c>
      <c r="G184" s="50">
        <v>0</v>
      </c>
      <c r="H184" s="50">
        <f>F184*(($H$157)+1)+(IF(G184&lt;101,G184,IF(G184&lt;201,G184/2,IF(G184&lt;=301,G184/3,G184/4))))</f>
        <v>1243.56492</v>
      </c>
      <c r="I184" s="34"/>
      <c r="N184" s="34"/>
    </row>
    <row r="185" spans="1:14" s="35" customFormat="1" x14ac:dyDescent="0.35">
      <c r="A185" s="95">
        <v>6</v>
      </c>
      <c r="B185" s="95"/>
      <c r="C185" s="50" t="s">
        <v>355</v>
      </c>
      <c r="D185" s="50">
        <f>(59.06)*10.764</f>
        <v>635.72183999999993</v>
      </c>
      <c r="E185" s="50">
        <f>(2.59)*10.764</f>
        <v>27.878759999999996</v>
      </c>
      <c r="F185" s="50">
        <f>D185+E185</f>
        <v>663.60059999999987</v>
      </c>
      <c r="G185" s="50">
        <v>0</v>
      </c>
      <c r="H185" s="50">
        <f>F185*(($H$157)+1)+(IF(G185&lt;101,G185,IF(G185&lt;201,G185/2,IF(G185&lt;=301,G185/3,G185/4))))</f>
        <v>995.40089999999987</v>
      </c>
      <c r="I185" s="34"/>
      <c r="N185" s="34"/>
    </row>
    <row r="186" spans="1:14" s="35" customFormat="1" x14ac:dyDescent="0.35">
      <c r="A186" s="95">
        <v>7</v>
      </c>
      <c r="B186" s="95"/>
      <c r="C186" s="50" t="s">
        <v>355</v>
      </c>
      <c r="D186" s="50">
        <f>(59.06)*10.764</f>
        <v>635.72183999999993</v>
      </c>
      <c r="E186" s="50">
        <f>(2.58)*10.764</f>
        <v>27.77112</v>
      </c>
      <c r="F186" s="50">
        <f>D186+E186</f>
        <v>663.49295999999993</v>
      </c>
      <c r="G186" s="50">
        <v>0</v>
      </c>
      <c r="H186" s="50">
        <f>F186*(($H$157)+1)+(IF(G186&lt;101,G186,IF(G186&lt;201,G186/2,IF(G186&lt;=301,G186/3,G186/4))))</f>
        <v>995.23943999999983</v>
      </c>
      <c r="I186" s="34"/>
      <c r="N186" s="34"/>
    </row>
    <row r="187" spans="1:14" s="35" customFormat="1" x14ac:dyDescent="0.35">
      <c r="A187" s="95">
        <v>8</v>
      </c>
      <c r="B187" s="95"/>
      <c r="C187" s="50" t="s">
        <v>354</v>
      </c>
      <c r="D187" s="50">
        <f>(74.29)*10.764</f>
        <v>799.65755999999999</v>
      </c>
      <c r="E187" s="50">
        <f>(2.78)*10.764</f>
        <v>29.923919999999995</v>
      </c>
      <c r="F187" s="50">
        <f>D187+E187</f>
        <v>829.58147999999994</v>
      </c>
      <c r="G187" s="50">
        <v>0</v>
      </c>
      <c r="H187" s="50">
        <f>F187*(($H$157)+1)+(IF(G187&lt;101,G187,IF(G187&lt;201,G187/2,IF(G187&lt;=301,G187/3,G187/4))))</f>
        <v>1244.37222</v>
      </c>
      <c r="I187" s="34"/>
      <c r="N187" s="34"/>
    </row>
    <row r="188" spans="1:14" s="35" customFormat="1" x14ac:dyDescent="0.35">
      <c r="A188" s="96" t="s">
        <v>361</v>
      </c>
      <c r="B188" s="96"/>
      <c r="C188" s="96"/>
      <c r="D188" s="96"/>
      <c r="E188" s="96"/>
      <c r="F188" s="96"/>
      <c r="G188" s="96"/>
      <c r="H188" s="96"/>
      <c r="I188" s="34"/>
      <c r="L188" s="114"/>
      <c r="M188" s="114"/>
    </row>
    <row r="189" spans="1:14" s="35" customFormat="1" x14ac:dyDescent="0.35">
      <c r="A189" s="95">
        <v>1</v>
      </c>
      <c r="B189" s="95"/>
      <c r="C189" s="50" t="s">
        <v>354</v>
      </c>
      <c r="D189" s="50">
        <f>(74.29)*10.764</f>
        <v>799.65755999999999</v>
      </c>
      <c r="E189" s="50">
        <f>(2.79)*10.764</f>
        <v>30.031559999999999</v>
      </c>
      <c r="F189" s="50">
        <f t="shared" ref="F189:F196" si="4">D189+E189</f>
        <v>829.68912</v>
      </c>
      <c r="G189" s="50">
        <v>0</v>
      </c>
      <c r="H189" s="50">
        <f t="shared" ref="H189:H196" si="5">F189*(($H$157)+1)+(IF(G189&lt;101,G189,IF(G189&lt;201,G189/2,IF(G189&lt;=301,G189/3,G189/4))))</f>
        <v>1244.53368</v>
      </c>
      <c r="I189" s="34"/>
      <c r="N189" s="34"/>
    </row>
    <row r="190" spans="1:14" s="35" customFormat="1" x14ac:dyDescent="0.35">
      <c r="A190" s="95">
        <v>2</v>
      </c>
      <c r="B190" s="95"/>
      <c r="C190" s="50" t="s">
        <v>355</v>
      </c>
      <c r="D190" s="50">
        <f>(59.12)*10.764</f>
        <v>636.36767999999995</v>
      </c>
      <c r="E190" s="50">
        <f>(2.58)*10.764</f>
        <v>27.77112</v>
      </c>
      <c r="F190" s="50">
        <f t="shared" si="4"/>
        <v>664.13879999999995</v>
      </c>
      <c r="G190" s="50">
        <v>0</v>
      </c>
      <c r="H190" s="50">
        <f t="shared" si="5"/>
        <v>996.20819999999992</v>
      </c>
      <c r="I190" s="34"/>
      <c r="N190" s="34"/>
    </row>
    <row r="191" spans="1:14" s="35" customFormat="1" x14ac:dyDescent="0.35">
      <c r="A191" s="95">
        <v>3</v>
      </c>
      <c r="B191" s="95"/>
      <c r="C191" s="50" t="s">
        <v>355</v>
      </c>
      <c r="D191" s="50">
        <f>(59.12)*10.764</f>
        <v>636.36767999999995</v>
      </c>
      <c r="E191" s="50">
        <f>(2.59)*10.764</f>
        <v>27.878759999999996</v>
      </c>
      <c r="F191" s="50">
        <f t="shared" si="4"/>
        <v>664.24643999999989</v>
      </c>
      <c r="G191" s="50">
        <v>0</v>
      </c>
      <c r="H191" s="50">
        <f t="shared" si="5"/>
        <v>996.36965999999984</v>
      </c>
      <c r="I191" s="34"/>
      <c r="N191" s="34"/>
    </row>
    <row r="192" spans="1:14" s="35" customFormat="1" x14ac:dyDescent="0.35">
      <c r="A192" s="95">
        <v>4</v>
      </c>
      <c r="B192" s="95"/>
      <c r="C192" s="50" t="s">
        <v>354</v>
      </c>
      <c r="D192" s="50">
        <f>(74.25)*10.764</f>
        <v>799.22699999999998</v>
      </c>
      <c r="E192" s="50">
        <f>(2.77)*10.764</f>
        <v>29.816279999999999</v>
      </c>
      <c r="F192" s="50">
        <f t="shared" si="4"/>
        <v>829.04327999999998</v>
      </c>
      <c r="G192" s="50">
        <v>0</v>
      </c>
      <c r="H192" s="50">
        <f t="shared" si="5"/>
        <v>1243.56492</v>
      </c>
      <c r="I192" s="34"/>
      <c r="N192" s="34"/>
    </row>
    <row r="193" spans="1:14" s="35" customFormat="1" x14ac:dyDescent="0.35">
      <c r="A193" s="95">
        <v>5</v>
      </c>
      <c r="B193" s="95"/>
      <c r="C193" s="50" t="s">
        <v>354</v>
      </c>
      <c r="D193" s="50">
        <f>(74.25)*10.764</f>
        <v>799.22699999999998</v>
      </c>
      <c r="E193" s="50">
        <f>(2.77)*10.764</f>
        <v>29.816279999999999</v>
      </c>
      <c r="F193" s="50">
        <f t="shared" si="4"/>
        <v>829.04327999999998</v>
      </c>
      <c r="G193" s="50">
        <v>0</v>
      </c>
      <c r="H193" s="50">
        <f t="shared" si="5"/>
        <v>1243.56492</v>
      </c>
      <c r="I193" s="34"/>
      <c r="N193" s="34"/>
    </row>
    <row r="194" spans="1:14" s="35" customFormat="1" x14ac:dyDescent="0.35">
      <c r="A194" s="95">
        <v>6</v>
      </c>
      <c r="B194" s="95"/>
      <c r="C194" s="50" t="s">
        <v>355</v>
      </c>
      <c r="D194" s="50">
        <f>(59.06)*10.764</f>
        <v>635.72183999999993</v>
      </c>
      <c r="E194" s="50">
        <f>(2.59)*10.764</f>
        <v>27.878759999999996</v>
      </c>
      <c r="F194" s="50">
        <f t="shared" si="4"/>
        <v>663.60059999999987</v>
      </c>
      <c r="G194" s="50">
        <v>0</v>
      </c>
      <c r="H194" s="50">
        <f t="shared" si="5"/>
        <v>995.40089999999987</v>
      </c>
      <c r="I194" s="34"/>
      <c r="N194" s="34"/>
    </row>
    <row r="195" spans="1:14" s="35" customFormat="1" x14ac:dyDescent="0.35">
      <c r="A195" s="95">
        <v>7</v>
      </c>
      <c r="B195" s="95"/>
      <c r="C195" s="50" t="s">
        <v>355</v>
      </c>
      <c r="D195" s="50">
        <f>(59.06)*10.764</f>
        <v>635.72183999999993</v>
      </c>
      <c r="E195" s="50">
        <f>(2.58)*10.764</f>
        <v>27.77112</v>
      </c>
      <c r="F195" s="50">
        <f t="shared" si="4"/>
        <v>663.49295999999993</v>
      </c>
      <c r="G195" s="50">
        <v>0</v>
      </c>
      <c r="H195" s="50">
        <f t="shared" si="5"/>
        <v>995.23943999999983</v>
      </c>
      <c r="I195" s="34"/>
      <c r="N195" s="34"/>
    </row>
    <row r="196" spans="1:14" s="35" customFormat="1" x14ac:dyDescent="0.35">
      <c r="A196" s="95">
        <v>8</v>
      </c>
      <c r="B196" s="95"/>
      <c r="C196" s="50" t="s">
        <v>354</v>
      </c>
      <c r="D196" s="50">
        <f>(74.29)*10.764</f>
        <v>799.65755999999999</v>
      </c>
      <c r="E196" s="50">
        <f>(2.78)*10.764</f>
        <v>29.923919999999995</v>
      </c>
      <c r="F196" s="50">
        <f t="shared" si="4"/>
        <v>829.58147999999994</v>
      </c>
      <c r="G196" s="50">
        <v>0</v>
      </c>
      <c r="H196" s="50">
        <f t="shared" si="5"/>
        <v>1244.37222</v>
      </c>
      <c r="I196" s="34"/>
      <c r="N196" s="34"/>
    </row>
    <row r="197" spans="1:14" s="35" customFormat="1" x14ac:dyDescent="0.35">
      <c r="A197" s="96" t="s">
        <v>363</v>
      </c>
      <c r="B197" s="96"/>
      <c r="C197" s="96"/>
      <c r="D197" s="96"/>
      <c r="E197" s="96"/>
      <c r="F197" s="96"/>
      <c r="G197" s="96"/>
      <c r="H197" s="96"/>
      <c r="I197" s="34"/>
      <c r="L197" s="114"/>
      <c r="M197" s="114"/>
    </row>
    <row r="198" spans="1:14" s="35" customFormat="1" x14ac:dyDescent="0.35">
      <c r="A198" s="96" t="s">
        <v>365</v>
      </c>
      <c r="B198" s="96"/>
      <c r="C198" s="96"/>
      <c r="D198" s="96"/>
      <c r="E198" s="96"/>
      <c r="F198" s="96"/>
      <c r="G198" s="96"/>
      <c r="H198" s="96"/>
      <c r="I198" s="34"/>
      <c r="L198" s="114"/>
      <c r="M198" s="114"/>
    </row>
    <row r="199" spans="1:14" s="35" customFormat="1" x14ac:dyDescent="0.35">
      <c r="A199" s="95">
        <v>1</v>
      </c>
      <c r="B199" s="95"/>
      <c r="C199" s="135" t="s">
        <v>366</v>
      </c>
      <c r="D199" s="136"/>
      <c r="E199" s="136"/>
      <c r="F199" s="136"/>
      <c r="G199" s="136"/>
      <c r="H199" s="137"/>
      <c r="I199" s="34"/>
      <c r="N199" s="34"/>
    </row>
    <row r="200" spans="1:14" s="35" customFormat="1" x14ac:dyDescent="0.35">
      <c r="A200" s="95">
        <v>2</v>
      </c>
      <c r="B200" s="95"/>
      <c r="C200" s="138"/>
      <c r="D200" s="139"/>
      <c r="E200" s="139"/>
      <c r="F200" s="139"/>
      <c r="G200" s="139"/>
      <c r="H200" s="140"/>
      <c r="I200" s="34"/>
      <c r="N200" s="34"/>
    </row>
    <row r="201" spans="1:14" s="35" customFormat="1" x14ac:dyDescent="0.35">
      <c r="A201" s="95">
        <v>3</v>
      </c>
      <c r="B201" s="95"/>
      <c r="C201" s="138"/>
      <c r="D201" s="139"/>
      <c r="E201" s="139"/>
      <c r="F201" s="139"/>
      <c r="G201" s="139"/>
      <c r="H201" s="140"/>
      <c r="I201" s="34"/>
      <c r="N201" s="34"/>
    </row>
    <row r="202" spans="1:14" s="35" customFormat="1" x14ac:dyDescent="0.35">
      <c r="A202" s="95">
        <v>4</v>
      </c>
      <c r="B202" s="95"/>
      <c r="C202" s="141"/>
      <c r="D202" s="142"/>
      <c r="E202" s="142"/>
      <c r="F202" s="142"/>
      <c r="G202" s="142"/>
      <c r="H202" s="143"/>
      <c r="I202" s="34"/>
      <c r="N202" s="34"/>
    </row>
    <row r="203" spans="1:14" s="35" customFormat="1" x14ac:dyDescent="0.35">
      <c r="A203" s="95">
        <v>5</v>
      </c>
      <c r="B203" s="95"/>
      <c r="C203" s="50" t="s">
        <v>354</v>
      </c>
      <c r="D203" s="50">
        <f>(74.25)*10.764</f>
        <v>799.22699999999998</v>
      </c>
      <c r="E203" s="50">
        <f>(2.77)*10.764</f>
        <v>29.816279999999999</v>
      </c>
      <c r="F203" s="50">
        <f>D203+E203</f>
        <v>829.04327999999998</v>
      </c>
      <c r="G203" s="50">
        <v>0</v>
      </c>
      <c r="H203" s="50">
        <f>F203*(($H$157)+1)+(IF(G203&lt;101,G203,IF(G203&lt;201,G203/2,IF(G203&lt;=301,G203/3,G203/4))))</f>
        <v>1243.56492</v>
      </c>
      <c r="I203" s="34"/>
      <c r="N203" s="34"/>
    </row>
    <row r="204" spans="1:14" s="35" customFormat="1" x14ac:dyDescent="0.35">
      <c r="A204" s="95">
        <v>6</v>
      </c>
      <c r="B204" s="95"/>
      <c r="C204" s="50" t="s">
        <v>355</v>
      </c>
      <c r="D204" s="50">
        <f>(59.06)*10.764</f>
        <v>635.72183999999993</v>
      </c>
      <c r="E204" s="50">
        <f>(2.59)*10.764</f>
        <v>27.878759999999996</v>
      </c>
      <c r="F204" s="50">
        <f>D204+E204</f>
        <v>663.60059999999987</v>
      </c>
      <c r="G204" s="50">
        <v>0</v>
      </c>
      <c r="H204" s="50">
        <f>F204*(($H$157)+1)+(IF(G204&lt;101,G204,IF(G204&lt;201,G204/2,IF(G204&lt;=301,G204/3,G204/4))))</f>
        <v>995.40089999999987</v>
      </c>
      <c r="I204" s="34"/>
      <c r="N204" s="34"/>
    </row>
    <row r="205" spans="1:14" s="35" customFormat="1" x14ac:dyDescent="0.35">
      <c r="A205" s="95">
        <v>7</v>
      </c>
      <c r="B205" s="95"/>
      <c r="C205" s="88" t="s">
        <v>364</v>
      </c>
      <c r="D205" s="97"/>
      <c r="E205" s="97"/>
      <c r="F205" s="97"/>
      <c r="G205" s="97"/>
      <c r="H205" s="89"/>
      <c r="I205" s="34"/>
      <c r="N205" s="34"/>
    </row>
    <row r="206" spans="1:14" s="35" customFormat="1" x14ac:dyDescent="0.35">
      <c r="A206" s="95">
        <v>8</v>
      </c>
      <c r="B206" s="95"/>
      <c r="C206" s="50" t="s">
        <v>354</v>
      </c>
      <c r="D206" s="50">
        <f>(75.06)*10.764</f>
        <v>807.94583999999998</v>
      </c>
      <c r="E206" s="50">
        <f>(2.78)*10.764</f>
        <v>29.923919999999995</v>
      </c>
      <c r="F206" s="50">
        <f>D206+E206</f>
        <v>837.86975999999993</v>
      </c>
      <c r="G206" s="50">
        <v>0</v>
      </c>
      <c r="H206" s="50">
        <f>F206*(($H$157)+1)+(IF(G206&lt;101,G206,IF(G206&lt;201,G206/2,IF(G206&lt;=301,G206/3,G206/4))))</f>
        <v>1256.8046399999998</v>
      </c>
      <c r="I206" s="34"/>
      <c r="N206" s="34"/>
    </row>
    <row r="207" spans="1:14" s="35" customFormat="1" x14ac:dyDescent="0.35">
      <c r="A207" s="96" t="s">
        <v>367</v>
      </c>
      <c r="B207" s="96"/>
      <c r="C207" s="96"/>
      <c r="D207" s="96"/>
      <c r="E207" s="96"/>
      <c r="F207" s="96"/>
      <c r="G207" s="96"/>
      <c r="H207" s="96"/>
      <c r="I207" s="34"/>
      <c r="L207" s="114"/>
      <c r="M207" s="114"/>
    </row>
    <row r="208" spans="1:14" s="35" customFormat="1" x14ac:dyDescent="0.35">
      <c r="A208" s="95">
        <v>1</v>
      </c>
      <c r="B208" s="95"/>
      <c r="C208" s="50" t="s">
        <v>354</v>
      </c>
      <c r="D208" s="50">
        <f>(74.29)*10.764</f>
        <v>799.65755999999999</v>
      </c>
      <c r="E208" s="50">
        <f>(2.79)*10.764</f>
        <v>30.031559999999999</v>
      </c>
      <c r="F208" s="50">
        <f>D208+E208</f>
        <v>829.68912</v>
      </c>
      <c r="G208" s="50">
        <v>0</v>
      </c>
      <c r="H208" s="50">
        <f>F208*(($H$157)+1)+(IF(G208&lt;101,G208,IF(G208&lt;201,G208/2,IF(G208&lt;=301,G208/3,G208/4))))</f>
        <v>1244.53368</v>
      </c>
      <c r="I208" s="34"/>
      <c r="N208" s="34"/>
    </row>
    <row r="209" spans="1:14" s="35" customFormat="1" x14ac:dyDescent="0.35">
      <c r="A209" s="95">
        <v>2</v>
      </c>
      <c r="B209" s="95"/>
      <c r="C209" s="50" t="s">
        <v>355</v>
      </c>
      <c r="D209" s="50">
        <f>(59.12)*10.764</f>
        <v>636.36767999999995</v>
      </c>
      <c r="E209" s="50">
        <f>(2.58)*10.764</f>
        <v>27.77112</v>
      </c>
      <c r="F209" s="50">
        <f>D209+E209</f>
        <v>664.13879999999995</v>
      </c>
      <c r="G209" s="50">
        <v>0</v>
      </c>
      <c r="H209" s="50">
        <f>F209*(($H$157)+1)+(IF(G209&lt;101,G209,IF(G209&lt;201,G209/2,IF(G209&lt;=301,G209/3,G209/4))))</f>
        <v>996.20819999999992</v>
      </c>
      <c r="I209" s="34"/>
      <c r="N209" s="34"/>
    </row>
    <row r="210" spans="1:14" s="35" customFormat="1" x14ac:dyDescent="0.35">
      <c r="A210" s="95">
        <v>3</v>
      </c>
      <c r="B210" s="95"/>
      <c r="C210" s="50" t="s">
        <v>355</v>
      </c>
      <c r="D210" s="50">
        <f>(59.12)*10.764</f>
        <v>636.36767999999995</v>
      </c>
      <c r="E210" s="50">
        <f>(2.59)*10.764</f>
        <v>27.878759999999996</v>
      </c>
      <c r="F210" s="50">
        <f>D210+E210</f>
        <v>664.24643999999989</v>
      </c>
      <c r="G210" s="50">
        <v>0</v>
      </c>
      <c r="H210" s="50">
        <f>F210*(($H$157)+1)+(IF(G210&lt;101,G210,IF(G210&lt;201,G210/2,IF(G210&lt;=301,G210/3,G210/4))))</f>
        <v>996.36965999999984</v>
      </c>
      <c r="I210" s="34"/>
      <c r="N210" s="34"/>
    </row>
    <row r="211" spans="1:14" s="35" customFormat="1" x14ac:dyDescent="0.35">
      <c r="A211" s="95">
        <v>4</v>
      </c>
      <c r="B211" s="95"/>
      <c r="C211" s="50" t="s">
        <v>354</v>
      </c>
      <c r="D211" s="50">
        <f>(74.25)*10.764</f>
        <v>799.22699999999998</v>
      </c>
      <c r="E211" s="50">
        <f>(2.77)*10.764</f>
        <v>29.816279999999999</v>
      </c>
      <c r="F211" s="50">
        <f>D211+E211</f>
        <v>829.04327999999998</v>
      </c>
      <c r="G211" s="50">
        <v>0</v>
      </c>
      <c r="H211" s="50">
        <f>F211*(($H$157)+1)+(IF(G211&lt;101,G211,IF(G211&lt;201,G211/2,IF(G211&lt;=301,G211/3,G211/4))))</f>
        <v>1243.56492</v>
      </c>
      <c r="I211" s="34"/>
      <c r="N211" s="34"/>
    </row>
    <row r="212" spans="1:14" s="35" customFormat="1" x14ac:dyDescent="0.35">
      <c r="A212" s="95">
        <v>5</v>
      </c>
      <c r="B212" s="95"/>
      <c r="C212" s="50" t="s">
        <v>354</v>
      </c>
      <c r="D212" s="50">
        <f>(74.25)*10.764</f>
        <v>799.22699999999998</v>
      </c>
      <c r="E212" s="50">
        <f>(2.77)*10.764</f>
        <v>29.816279999999999</v>
      </c>
      <c r="F212" s="50">
        <f>D212+E212</f>
        <v>829.04327999999998</v>
      </c>
      <c r="G212" s="50">
        <v>0</v>
      </c>
      <c r="H212" s="50">
        <f>F212*(($H$157)+1)+(IF(G212&lt;101,G212,IF(G212&lt;201,G212/2,IF(G212&lt;=301,G212/3,G212/4))))</f>
        <v>1243.56492</v>
      </c>
      <c r="I212" s="34"/>
      <c r="N212" s="34"/>
    </row>
    <row r="213" spans="1:14" s="35" customFormat="1" x14ac:dyDescent="0.35">
      <c r="A213" s="95">
        <v>6</v>
      </c>
      <c r="B213" s="95"/>
      <c r="C213" s="88" t="s">
        <v>364</v>
      </c>
      <c r="D213" s="97"/>
      <c r="E213" s="97"/>
      <c r="F213" s="97"/>
      <c r="G213" s="97"/>
      <c r="H213" s="89"/>
      <c r="I213" s="34"/>
      <c r="N213" s="34"/>
    </row>
    <row r="214" spans="1:14" s="35" customFormat="1" x14ac:dyDescent="0.35">
      <c r="A214" s="95">
        <v>7</v>
      </c>
      <c r="B214" s="95"/>
      <c r="C214" s="50" t="s">
        <v>355</v>
      </c>
      <c r="D214" s="50">
        <f>(59.06)*10.764</f>
        <v>635.72183999999993</v>
      </c>
      <c r="E214" s="50">
        <f>(2.58)*10.764</f>
        <v>27.77112</v>
      </c>
      <c r="F214" s="50">
        <f>D214+E214</f>
        <v>663.49295999999993</v>
      </c>
      <c r="G214" s="50">
        <v>0</v>
      </c>
      <c r="H214" s="50">
        <f>F214*(($H$157)+1)+(IF(G214&lt;101,G214,IF(G214&lt;201,G214/2,IF(G214&lt;=301,G214/3,G214/4))))</f>
        <v>995.23943999999983</v>
      </c>
      <c r="I214" s="34"/>
      <c r="N214" s="34"/>
    </row>
    <row r="215" spans="1:14" s="35" customFormat="1" x14ac:dyDescent="0.35">
      <c r="A215" s="95">
        <v>8</v>
      </c>
      <c r="B215" s="95"/>
      <c r="C215" s="50" t="s">
        <v>354</v>
      </c>
      <c r="D215" s="50">
        <f>(74.29)*10.764</f>
        <v>799.65755999999999</v>
      </c>
      <c r="E215" s="50">
        <f>(2.78)*10.764</f>
        <v>29.923919999999995</v>
      </c>
      <c r="F215" s="50">
        <f>D215+E215</f>
        <v>829.58147999999994</v>
      </c>
      <c r="G215" s="50">
        <v>0</v>
      </c>
      <c r="H215" s="50">
        <f>F215*(($H$157)+1)+(IF(G215&lt;101,G215,IF(G215&lt;201,G215/2,IF(G215&lt;=301,G215/3,G215/4))))</f>
        <v>1244.37222</v>
      </c>
      <c r="I215" s="34"/>
      <c r="N215" s="34"/>
    </row>
    <row r="216" spans="1:14" s="35" customFormat="1" x14ac:dyDescent="0.35">
      <c r="A216" s="246" t="s">
        <v>440</v>
      </c>
      <c r="B216" s="246"/>
      <c r="C216" s="246"/>
      <c r="D216" s="246"/>
      <c r="E216" s="246"/>
      <c r="F216" s="246"/>
      <c r="G216" s="246"/>
      <c r="H216" s="246"/>
      <c r="J216" s="34"/>
    </row>
    <row r="217" spans="1:14" s="35" customFormat="1" x14ac:dyDescent="0.35">
      <c r="A217" s="96" t="s">
        <v>426</v>
      </c>
      <c r="B217" s="96"/>
      <c r="C217" s="96"/>
      <c r="D217" s="96"/>
      <c r="E217" s="96"/>
      <c r="F217" s="96"/>
      <c r="G217" s="96"/>
      <c r="H217" s="96"/>
      <c r="J217" s="34"/>
    </row>
    <row r="218" spans="1:14" s="35" customFormat="1" x14ac:dyDescent="0.35">
      <c r="A218" s="96" t="s">
        <v>368</v>
      </c>
      <c r="B218" s="96"/>
      <c r="C218" s="96"/>
      <c r="D218" s="96"/>
      <c r="E218" s="96"/>
      <c r="F218" s="96"/>
      <c r="G218" s="96"/>
      <c r="H218" s="96"/>
      <c r="J218" s="34"/>
    </row>
    <row r="219" spans="1:14" s="35" customFormat="1" x14ac:dyDescent="0.35">
      <c r="A219" s="96" t="s">
        <v>427</v>
      </c>
      <c r="B219" s="96"/>
      <c r="C219" s="96"/>
      <c r="D219" s="96"/>
      <c r="E219" s="96"/>
      <c r="F219" s="96"/>
      <c r="G219" s="96"/>
      <c r="H219" s="96"/>
      <c r="I219" s="34"/>
      <c r="L219" s="114"/>
      <c r="M219" s="114"/>
    </row>
    <row r="220" spans="1:14" s="35" customFormat="1" x14ac:dyDescent="0.35">
      <c r="A220" s="95">
        <v>1</v>
      </c>
      <c r="B220" s="95"/>
      <c r="C220" s="95" t="s">
        <v>353</v>
      </c>
      <c r="D220" s="95"/>
      <c r="E220" s="95"/>
      <c r="F220" s="95"/>
      <c r="G220" s="95"/>
      <c r="H220" s="95"/>
      <c r="I220" s="34"/>
      <c r="N220" s="34"/>
    </row>
    <row r="221" spans="1:14" s="35" customFormat="1" x14ac:dyDescent="0.35">
      <c r="A221" s="95">
        <v>2</v>
      </c>
      <c r="B221" s="95"/>
      <c r="C221" s="95"/>
      <c r="D221" s="95"/>
      <c r="E221" s="95"/>
      <c r="F221" s="95"/>
      <c r="G221" s="95"/>
      <c r="H221" s="95"/>
      <c r="I221" s="34"/>
      <c r="N221" s="34"/>
    </row>
    <row r="222" spans="1:14" s="35" customFormat="1" x14ac:dyDescent="0.35">
      <c r="A222" s="95">
        <v>3</v>
      </c>
      <c r="B222" s="95"/>
      <c r="C222" s="95"/>
      <c r="D222" s="95"/>
      <c r="E222" s="95"/>
      <c r="F222" s="95"/>
      <c r="G222" s="95"/>
      <c r="H222" s="95"/>
      <c r="I222" s="34"/>
      <c r="N222" s="34"/>
    </row>
    <row r="223" spans="1:14" s="35" customFormat="1" x14ac:dyDescent="0.35">
      <c r="A223" s="95">
        <v>4</v>
      </c>
      <c r="B223" s="95"/>
      <c r="C223" s="95"/>
      <c r="D223" s="95"/>
      <c r="E223" s="95"/>
      <c r="F223" s="95"/>
      <c r="G223" s="95"/>
      <c r="H223" s="95"/>
      <c r="I223" s="34"/>
      <c r="N223" s="34"/>
    </row>
    <row r="224" spans="1:14" s="35" customFormat="1" x14ac:dyDescent="0.35">
      <c r="A224" s="95">
        <v>5</v>
      </c>
      <c r="B224" s="95"/>
      <c r="C224" s="84" t="s">
        <v>355</v>
      </c>
      <c r="D224" s="84">
        <f>(55.87)*10.764</f>
        <v>601.38467999999989</v>
      </c>
      <c r="E224" s="84">
        <v>0</v>
      </c>
      <c r="F224" s="84">
        <f t="shared" ref="F224:F229" si="6">D224+E224</f>
        <v>601.38467999999989</v>
      </c>
      <c r="G224" s="75">
        <f>(3.35*3.3+0.5*2.45*3.3+1.8*0.9)*10.764</f>
        <v>179.94717</v>
      </c>
      <c r="H224" s="84">
        <f t="shared" ref="H224:H229" si="7">F224*(($H$157)+1)+(IF(G224&lt;101,G224,IF(G224&lt;201,G224/2,IF(G224&lt;=301,G224/3,G224/4))))</f>
        <v>992.05060499999979</v>
      </c>
      <c r="I224" s="34"/>
      <c r="N224" s="34"/>
    </row>
    <row r="225" spans="1:14" s="35" customFormat="1" x14ac:dyDescent="0.35">
      <c r="A225" s="95">
        <v>6</v>
      </c>
      <c r="B225" s="95"/>
      <c r="C225" s="84" t="s">
        <v>355</v>
      </c>
      <c r="D225" s="84">
        <f>(59.69)*10.764</f>
        <v>642.50315999999998</v>
      </c>
      <c r="E225" s="84">
        <f>(2.53)*10.764</f>
        <v>27.232919999999996</v>
      </c>
      <c r="F225" s="84">
        <f t="shared" si="6"/>
        <v>669.73608000000002</v>
      </c>
      <c r="G225" s="84">
        <v>0</v>
      </c>
      <c r="H225" s="84">
        <f t="shared" si="7"/>
        <v>1004.60412</v>
      </c>
      <c r="I225" s="34">
        <f>3.05*4.58+2.13*3.35+3.05*3.8+3.05*3.35+1.38*2.13+2.13*1.38+1.3*1.48+2.4*0.9+1.7*1.5</f>
        <v>55.424799999999991</v>
      </c>
      <c r="J225" s="34">
        <f>2.2*1.25</f>
        <v>2.75</v>
      </c>
      <c r="N225" s="34"/>
    </row>
    <row r="226" spans="1:14" s="35" customFormat="1" x14ac:dyDescent="0.35">
      <c r="A226" s="95">
        <v>7</v>
      </c>
      <c r="B226" s="95"/>
      <c r="C226" s="50" t="s">
        <v>370</v>
      </c>
      <c r="D226" s="50">
        <f>(38.92)*10.764</f>
        <v>418.93488000000002</v>
      </c>
      <c r="E226" s="50">
        <f>(2.42)*10.764</f>
        <v>26.048879999999997</v>
      </c>
      <c r="F226" s="50">
        <f t="shared" si="6"/>
        <v>444.98376000000002</v>
      </c>
      <c r="G226" s="50">
        <v>0</v>
      </c>
      <c r="H226" s="50">
        <f t="shared" si="7"/>
        <v>667.47564</v>
      </c>
      <c r="I226" s="34"/>
      <c r="L226" s="35">
        <f>7800000/H226</f>
        <v>11685.819725196263</v>
      </c>
      <c r="N226" s="34"/>
    </row>
    <row r="227" spans="1:14" s="35" customFormat="1" x14ac:dyDescent="0.35">
      <c r="A227" s="95">
        <v>8</v>
      </c>
      <c r="B227" s="95"/>
      <c r="C227" s="50" t="s">
        <v>370</v>
      </c>
      <c r="D227" s="50">
        <f t="shared" ref="D227:D228" si="8">(38.92)*10.764</f>
        <v>418.93488000000002</v>
      </c>
      <c r="E227" s="50">
        <f>(2.42)*10.764</f>
        <v>26.048879999999997</v>
      </c>
      <c r="F227" s="50">
        <f t="shared" si="6"/>
        <v>444.98376000000002</v>
      </c>
      <c r="G227" s="50">
        <v>0</v>
      </c>
      <c r="H227" s="50">
        <f t="shared" si="7"/>
        <v>667.47564</v>
      </c>
      <c r="I227" s="34">
        <f>3.05*4.43+2.13*2.45+3.05*3.05+2.13*1.38+1.57*0.6+2.4*0.9+1.38*2.13</f>
        <v>37.013299999999994</v>
      </c>
      <c r="J227" s="68">
        <f>2.1*1.25</f>
        <v>2.625</v>
      </c>
      <c r="N227" s="34"/>
    </row>
    <row r="228" spans="1:14" s="35" customFormat="1" x14ac:dyDescent="0.35">
      <c r="A228" s="95">
        <v>9</v>
      </c>
      <c r="B228" s="95"/>
      <c r="C228" s="50" t="s">
        <v>370</v>
      </c>
      <c r="D228" s="50">
        <f t="shared" si="8"/>
        <v>418.93488000000002</v>
      </c>
      <c r="E228" s="50">
        <f>(2.42)*10.764</f>
        <v>26.048879999999997</v>
      </c>
      <c r="F228" s="50">
        <f t="shared" si="6"/>
        <v>444.98376000000002</v>
      </c>
      <c r="G228" s="50">
        <v>0</v>
      </c>
      <c r="H228" s="50">
        <f t="shared" si="7"/>
        <v>667.47564</v>
      </c>
      <c r="I228" s="34"/>
      <c r="N228" s="34"/>
    </row>
    <row r="229" spans="1:14" s="35" customFormat="1" x14ac:dyDescent="0.35">
      <c r="A229" s="95">
        <v>10</v>
      </c>
      <c r="B229" s="95"/>
      <c r="C229" s="50" t="s">
        <v>355</v>
      </c>
      <c r="D229" s="50">
        <f>(59.39)*10.764</f>
        <v>639.27395999999999</v>
      </c>
      <c r="E229" s="50">
        <f>(2.42)*10.764</f>
        <v>26.048879999999997</v>
      </c>
      <c r="F229" s="50">
        <f t="shared" si="6"/>
        <v>665.32284000000004</v>
      </c>
      <c r="G229" s="50">
        <v>0</v>
      </c>
      <c r="H229" s="50">
        <f t="shared" si="7"/>
        <v>997.98426000000006</v>
      </c>
      <c r="I229" s="34"/>
      <c r="N229" s="34"/>
    </row>
    <row r="230" spans="1:14" s="35" customFormat="1" x14ac:dyDescent="0.35">
      <c r="A230" s="96" t="s">
        <v>428</v>
      </c>
      <c r="B230" s="96"/>
      <c r="C230" s="96"/>
      <c r="D230" s="96"/>
      <c r="E230" s="96"/>
      <c r="F230" s="96"/>
      <c r="G230" s="96"/>
      <c r="H230" s="96"/>
      <c r="I230" s="34"/>
      <c r="L230" s="114"/>
      <c r="M230" s="114"/>
    </row>
    <row r="231" spans="1:14" s="35" customFormat="1" x14ac:dyDescent="0.35">
      <c r="A231" s="95">
        <v>1</v>
      </c>
      <c r="B231" s="95"/>
      <c r="C231" s="95" t="s">
        <v>353</v>
      </c>
      <c r="D231" s="95"/>
      <c r="E231" s="95"/>
      <c r="F231" s="95"/>
      <c r="G231" s="95"/>
      <c r="H231" s="95"/>
      <c r="I231" s="34"/>
      <c r="N231" s="34"/>
    </row>
    <row r="232" spans="1:14" s="35" customFormat="1" x14ac:dyDescent="0.35">
      <c r="A232" s="95">
        <v>2</v>
      </c>
      <c r="B232" s="95"/>
      <c r="C232" s="95"/>
      <c r="D232" s="95"/>
      <c r="E232" s="95"/>
      <c r="F232" s="95"/>
      <c r="G232" s="95"/>
      <c r="H232" s="95"/>
      <c r="I232" s="34"/>
      <c r="N232" s="34"/>
    </row>
    <row r="233" spans="1:14" s="35" customFormat="1" x14ac:dyDescent="0.35">
      <c r="A233" s="95">
        <v>3</v>
      </c>
      <c r="B233" s="95"/>
      <c r="C233" s="95"/>
      <c r="D233" s="95"/>
      <c r="E233" s="95"/>
      <c r="F233" s="95"/>
      <c r="G233" s="95"/>
      <c r="H233" s="95"/>
      <c r="I233" s="34"/>
      <c r="N233" s="34"/>
    </row>
    <row r="234" spans="1:14" s="35" customFormat="1" x14ac:dyDescent="0.35">
      <c r="A234" s="95">
        <v>4</v>
      </c>
      <c r="B234" s="95"/>
      <c r="C234" s="95"/>
      <c r="D234" s="95"/>
      <c r="E234" s="95"/>
      <c r="F234" s="95"/>
      <c r="G234" s="95"/>
      <c r="H234" s="95"/>
      <c r="I234" s="34"/>
      <c r="N234" s="34"/>
    </row>
    <row r="235" spans="1:14" s="35" customFormat="1" x14ac:dyDescent="0.35">
      <c r="A235" s="95">
        <v>5</v>
      </c>
      <c r="B235" s="95"/>
      <c r="C235" s="50" t="s">
        <v>355</v>
      </c>
      <c r="D235" s="50">
        <f>(55.87)*10.764</f>
        <v>601.38467999999989</v>
      </c>
      <c r="E235" s="50">
        <v>0</v>
      </c>
      <c r="F235" s="50">
        <f t="shared" ref="F235:F240" si="9">D235+E235</f>
        <v>601.38467999999989</v>
      </c>
      <c r="G235" s="75">
        <v>0</v>
      </c>
      <c r="H235" s="50">
        <f t="shared" ref="H235:H240" si="10">F235*(($H$157)+1)+(IF(G235&lt;101,G235,IF(G235&lt;201,G235/2,IF(G235&lt;=301,G235/3,G235/4))))</f>
        <v>902.07701999999983</v>
      </c>
      <c r="I235" s="34"/>
      <c r="N235" s="34"/>
    </row>
    <row r="236" spans="1:14" s="35" customFormat="1" x14ac:dyDescent="0.35">
      <c r="A236" s="95">
        <v>6</v>
      </c>
      <c r="B236" s="95"/>
      <c r="C236" s="50" t="s">
        <v>355</v>
      </c>
      <c r="D236" s="50">
        <f>(59.69)*10.764</f>
        <v>642.50315999999998</v>
      </c>
      <c r="E236" s="50">
        <f>(2.53)*10.764</f>
        <v>27.232919999999996</v>
      </c>
      <c r="F236" s="50">
        <f t="shared" si="9"/>
        <v>669.73608000000002</v>
      </c>
      <c r="G236" s="50">
        <v>0</v>
      </c>
      <c r="H236" s="50">
        <f t="shared" si="10"/>
        <v>1004.60412</v>
      </c>
      <c r="I236" s="34"/>
      <c r="J236" s="34"/>
      <c r="N236" s="34"/>
    </row>
    <row r="237" spans="1:14" s="35" customFormat="1" x14ac:dyDescent="0.35">
      <c r="A237" s="95">
        <v>7</v>
      </c>
      <c r="B237" s="95"/>
      <c r="C237" s="50" t="s">
        <v>370</v>
      </c>
      <c r="D237" s="50">
        <f>(38.92)*10.764</f>
        <v>418.93488000000002</v>
      </c>
      <c r="E237" s="50">
        <f>(2.42)*10.764</f>
        <v>26.048879999999997</v>
      </c>
      <c r="F237" s="50">
        <f t="shared" si="9"/>
        <v>444.98376000000002</v>
      </c>
      <c r="G237" s="50">
        <v>0</v>
      </c>
      <c r="H237" s="50">
        <f t="shared" si="10"/>
        <v>667.47564</v>
      </c>
      <c r="I237" s="34"/>
      <c r="N237" s="34"/>
    </row>
    <row r="238" spans="1:14" s="35" customFormat="1" x14ac:dyDescent="0.35">
      <c r="A238" s="95">
        <v>8</v>
      </c>
      <c r="B238" s="95"/>
      <c r="C238" s="50" t="s">
        <v>370</v>
      </c>
      <c r="D238" s="50">
        <f t="shared" ref="D238:D239" si="11">(38.92)*10.764</f>
        <v>418.93488000000002</v>
      </c>
      <c r="E238" s="50">
        <f>(2.42)*10.764</f>
        <v>26.048879999999997</v>
      </c>
      <c r="F238" s="50">
        <f t="shared" si="9"/>
        <v>444.98376000000002</v>
      </c>
      <c r="G238" s="50">
        <v>0</v>
      </c>
      <c r="H238" s="50">
        <f t="shared" si="10"/>
        <v>667.47564</v>
      </c>
      <c r="I238" s="34"/>
      <c r="J238" s="68"/>
      <c r="N238" s="34"/>
    </row>
    <row r="239" spans="1:14" s="35" customFormat="1" x14ac:dyDescent="0.35">
      <c r="A239" s="95">
        <v>9</v>
      </c>
      <c r="B239" s="95"/>
      <c r="C239" s="50" t="s">
        <v>370</v>
      </c>
      <c r="D239" s="50">
        <f t="shared" si="11"/>
        <v>418.93488000000002</v>
      </c>
      <c r="E239" s="50">
        <f>(2.42)*10.764</f>
        <v>26.048879999999997</v>
      </c>
      <c r="F239" s="50">
        <f t="shared" si="9"/>
        <v>444.98376000000002</v>
      </c>
      <c r="G239" s="50">
        <v>0</v>
      </c>
      <c r="H239" s="50">
        <f t="shared" si="10"/>
        <v>667.47564</v>
      </c>
      <c r="I239" s="34"/>
      <c r="N239" s="34"/>
    </row>
    <row r="240" spans="1:14" s="35" customFormat="1" x14ac:dyDescent="0.35">
      <c r="A240" s="95">
        <v>10</v>
      </c>
      <c r="B240" s="95"/>
      <c r="C240" s="50" t="s">
        <v>355</v>
      </c>
      <c r="D240" s="50">
        <f>(59.39)*10.764</f>
        <v>639.27395999999999</v>
      </c>
      <c r="E240" s="50">
        <f>(2.42)*10.764</f>
        <v>26.048879999999997</v>
      </c>
      <c r="F240" s="50">
        <f t="shared" si="9"/>
        <v>665.32284000000004</v>
      </c>
      <c r="G240" s="50">
        <v>0</v>
      </c>
      <c r="H240" s="50">
        <f t="shared" si="10"/>
        <v>997.98426000000006</v>
      </c>
      <c r="I240" s="34"/>
      <c r="N240" s="34"/>
    </row>
    <row r="241" spans="1:14" s="35" customFormat="1" x14ac:dyDescent="0.35">
      <c r="A241" s="96" t="s">
        <v>429</v>
      </c>
      <c r="B241" s="96"/>
      <c r="C241" s="96"/>
      <c r="D241" s="96"/>
      <c r="E241" s="96"/>
      <c r="F241" s="96"/>
      <c r="G241" s="96"/>
      <c r="H241" s="96"/>
      <c r="I241" s="34"/>
      <c r="L241" s="114"/>
      <c r="M241" s="114"/>
    </row>
    <row r="242" spans="1:14" s="35" customFormat="1" x14ac:dyDescent="0.35">
      <c r="A242" s="95">
        <v>1</v>
      </c>
      <c r="B242" s="95"/>
      <c r="C242" s="95" t="s">
        <v>353</v>
      </c>
      <c r="D242" s="95"/>
      <c r="E242" s="95"/>
      <c r="F242" s="95"/>
      <c r="G242" s="95"/>
      <c r="H242" s="95"/>
      <c r="I242" s="34"/>
      <c r="N242" s="34"/>
    </row>
    <row r="243" spans="1:14" s="35" customFormat="1" x14ac:dyDescent="0.35">
      <c r="A243" s="95">
        <v>2</v>
      </c>
      <c r="B243" s="95"/>
      <c r="C243" s="95"/>
      <c r="D243" s="95"/>
      <c r="E243" s="95"/>
      <c r="F243" s="95"/>
      <c r="G243" s="95"/>
      <c r="H243" s="95"/>
      <c r="I243" s="34"/>
      <c r="N243" s="34"/>
    </row>
    <row r="244" spans="1:14" s="35" customFormat="1" x14ac:dyDescent="0.35">
      <c r="A244" s="95">
        <v>3</v>
      </c>
      <c r="B244" s="95"/>
      <c r="C244" s="95"/>
      <c r="D244" s="95"/>
      <c r="E244" s="95"/>
      <c r="F244" s="95"/>
      <c r="G244" s="95"/>
      <c r="H244" s="95"/>
      <c r="I244" s="34"/>
      <c r="N244" s="34"/>
    </row>
    <row r="245" spans="1:14" s="35" customFormat="1" x14ac:dyDescent="0.35">
      <c r="A245" s="95">
        <v>4</v>
      </c>
      <c r="B245" s="95"/>
      <c r="C245" s="95"/>
      <c r="D245" s="95"/>
      <c r="E245" s="95"/>
      <c r="F245" s="95"/>
      <c r="G245" s="95"/>
      <c r="H245" s="95"/>
      <c r="I245" s="34"/>
      <c r="N245" s="34"/>
    </row>
    <row r="246" spans="1:14" s="35" customFormat="1" x14ac:dyDescent="0.35">
      <c r="A246" s="95">
        <v>5</v>
      </c>
      <c r="B246" s="95"/>
      <c r="C246" s="50" t="s">
        <v>355</v>
      </c>
      <c r="D246" s="50">
        <f>(55.87)*10.764</f>
        <v>601.38467999999989</v>
      </c>
      <c r="E246" s="50">
        <v>0</v>
      </c>
      <c r="F246" s="50">
        <f t="shared" ref="F246:F251" si="12">D246+E246</f>
        <v>601.38467999999989</v>
      </c>
      <c r="G246" s="75">
        <v>0</v>
      </c>
      <c r="H246" s="50">
        <f t="shared" ref="H246:H251" si="13">F246*(($H$157)+1)+(IF(G246&lt;101,G246,IF(G246&lt;201,G246/2,IF(G246&lt;=301,G246/3,G246/4))))</f>
        <v>902.07701999999983</v>
      </c>
      <c r="I246" s="34"/>
      <c r="N246" s="34"/>
    </row>
    <row r="247" spans="1:14" s="35" customFormat="1" x14ac:dyDescent="0.35">
      <c r="A247" s="95">
        <v>6</v>
      </c>
      <c r="B247" s="95"/>
      <c r="C247" s="50" t="s">
        <v>355</v>
      </c>
      <c r="D247" s="50">
        <f>(59.69)*10.764</f>
        <v>642.50315999999998</v>
      </c>
      <c r="E247" s="50">
        <f>(2.53)*10.764</f>
        <v>27.232919999999996</v>
      </c>
      <c r="F247" s="50">
        <f t="shared" si="12"/>
        <v>669.73608000000002</v>
      </c>
      <c r="G247" s="50">
        <v>0</v>
      </c>
      <c r="H247" s="50">
        <f t="shared" si="13"/>
        <v>1004.60412</v>
      </c>
      <c r="I247" s="34"/>
      <c r="J247" s="34"/>
      <c r="N247" s="34"/>
    </row>
    <row r="248" spans="1:14" s="35" customFormat="1" x14ac:dyDescent="0.35">
      <c r="A248" s="95">
        <v>7</v>
      </c>
      <c r="B248" s="95"/>
      <c r="C248" s="50" t="s">
        <v>370</v>
      </c>
      <c r="D248" s="50">
        <f>(38.92)*10.764</f>
        <v>418.93488000000002</v>
      </c>
      <c r="E248" s="50">
        <f>(2.42)*10.764</f>
        <v>26.048879999999997</v>
      </c>
      <c r="F248" s="50">
        <f t="shared" si="12"/>
        <v>444.98376000000002</v>
      </c>
      <c r="G248" s="50">
        <v>0</v>
      </c>
      <c r="H248" s="50">
        <f t="shared" si="13"/>
        <v>667.47564</v>
      </c>
      <c r="I248" s="34"/>
      <c r="N248" s="34"/>
    </row>
    <row r="249" spans="1:14" s="35" customFormat="1" x14ac:dyDescent="0.35">
      <c r="A249" s="95">
        <v>8</v>
      </c>
      <c r="B249" s="95"/>
      <c r="C249" s="50" t="s">
        <v>370</v>
      </c>
      <c r="D249" s="50">
        <f t="shared" ref="D249:D250" si="14">(38.92)*10.764</f>
        <v>418.93488000000002</v>
      </c>
      <c r="E249" s="50">
        <f>(2.42)*10.764</f>
        <v>26.048879999999997</v>
      </c>
      <c r="F249" s="50">
        <f t="shared" si="12"/>
        <v>444.98376000000002</v>
      </c>
      <c r="G249" s="50">
        <v>0</v>
      </c>
      <c r="H249" s="50">
        <f t="shared" si="13"/>
        <v>667.47564</v>
      </c>
      <c r="I249" s="34"/>
      <c r="J249" s="68"/>
      <c r="N249" s="34"/>
    </row>
    <row r="250" spans="1:14" s="35" customFormat="1" x14ac:dyDescent="0.35">
      <c r="A250" s="95">
        <v>9</v>
      </c>
      <c r="B250" s="95"/>
      <c r="C250" s="50" t="s">
        <v>370</v>
      </c>
      <c r="D250" s="50">
        <f t="shared" si="14"/>
        <v>418.93488000000002</v>
      </c>
      <c r="E250" s="50">
        <f>(2.42)*10.764</f>
        <v>26.048879999999997</v>
      </c>
      <c r="F250" s="50">
        <f t="shared" si="12"/>
        <v>444.98376000000002</v>
      </c>
      <c r="G250" s="50">
        <v>0</v>
      </c>
      <c r="H250" s="50">
        <f t="shared" si="13"/>
        <v>667.47564</v>
      </c>
      <c r="I250" s="34"/>
      <c r="N250" s="34"/>
    </row>
    <row r="251" spans="1:14" s="35" customFormat="1" x14ac:dyDescent="0.35">
      <c r="A251" s="95">
        <v>10</v>
      </c>
      <c r="B251" s="95"/>
      <c r="C251" s="50" t="s">
        <v>355</v>
      </c>
      <c r="D251" s="50">
        <f>(59.39)*10.764</f>
        <v>639.27395999999999</v>
      </c>
      <c r="E251" s="50">
        <f>(2.42)*10.764</f>
        <v>26.048879999999997</v>
      </c>
      <c r="F251" s="50">
        <f t="shared" si="12"/>
        <v>665.32284000000004</v>
      </c>
      <c r="G251" s="50">
        <v>0</v>
      </c>
      <c r="H251" s="50">
        <f t="shared" si="13"/>
        <v>997.98426000000006</v>
      </c>
      <c r="I251" s="34"/>
      <c r="N251" s="34"/>
    </row>
    <row r="252" spans="1:14" s="35" customFormat="1" x14ac:dyDescent="0.35">
      <c r="A252" s="96" t="s">
        <v>356</v>
      </c>
      <c r="B252" s="96"/>
      <c r="C252" s="96"/>
      <c r="D252" s="96"/>
      <c r="E252" s="96"/>
      <c r="F252" s="96"/>
      <c r="G252" s="96"/>
      <c r="H252" s="96"/>
      <c r="I252" s="34"/>
      <c r="L252" s="114"/>
      <c r="M252" s="114"/>
    </row>
    <row r="253" spans="1:14" s="35" customFormat="1" x14ac:dyDescent="0.35">
      <c r="A253" s="95">
        <v>1</v>
      </c>
      <c r="B253" s="95"/>
      <c r="C253" s="135" t="s">
        <v>358</v>
      </c>
      <c r="D253" s="136"/>
      <c r="E253" s="136"/>
      <c r="F253" s="136"/>
      <c r="G253" s="136"/>
      <c r="H253" s="137"/>
      <c r="I253" s="34"/>
      <c r="N253" s="34"/>
    </row>
    <row r="254" spans="1:14" s="35" customFormat="1" x14ac:dyDescent="0.35">
      <c r="A254" s="95">
        <v>2</v>
      </c>
      <c r="B254" s="95"/>
      <c r="C254" s="138"/>
      <c r="D254" s="139"/>
      <c r="E254" s="139"/>
      <c r="F254" s="139"/>
      <c r="G254" s="139"/>
      <c r="H254" s="140"/>
      <c r="I254" s="34"/>
      <c r="N254" s="34"/>
    </row>
    <row r="255" spans="1:14" s="35" customFormat="1" x14ac:dyDescent="0.35">
      <c r="A255" s="95">
        <v>3</v>
      </c>
      <c r="B255" s="95"/>
      <c r="C255" s="138"/>
      <c r="D255" s="139"/>
      <c r="E255" s="139"/>
      <c r="F255" s="139"/>
      <c r="G255" s="139"/>
      <c r="H255" s="140"/>
      <c r="I255" s="34"/>
      <c r="N255" s="34"/>
    </row>
    <row r="256" spans="1:14" s="35" customFormat="1" x14ac:dyDescent="0.35">
      <c r="A256" s="95">
        <v>4</v>
      </c>
      <c r="B256" s="95"/>
      <c r="C256" s="141"/>
      <c r="D256" s="142"/>
      <c r="E256" s="142"/>
      <c r="F256" s="142"/>
      <c r="G256" s="142"/>
      <c r="H256" s="143"/>
      <c r="I256" s="34"/>
      <c r="N256" s="34"/>
    </row>
    <row r="257" spans="1:14" s="35" customFormat="1" x14ac:dyDescent="0.35">
      <c r="A257" s="95">
        <v>5</v>
      </c>
      <c r="B257" s="95"/>
      <c r="C257" s="50" t="s">
        <v>355</v>
      </c>
      <c r="D257" s="50">
        <f>(55.87)*10.764</f>
        <v>601.38467999999989</v>
      </c>
      <c r="E257" s="50">
        <v>0</v>
      </c>
      <c r="F257" s="50">
        <f t="shared" ref="F257:F262" si="15">D257+E257</f>
        <v>601.38467999999989</v>
      </c>
      <c r="G257" s="50">
        <v>0</v>
      </c>
      <c r="H257" s="50">
        <f t="shared" ref="H257:H262" si="16">F257*(($H$157)+1)+(IF(G257&lt;101,G257,IF(G257&lt;201,G257/2,IF(G257&lt;=301,G257/3,G257/4))))</f>
        <v>902.07701999999983</v>
      </c>
      <c r="I257" s="34"/>
      <c r="N257" s="34"/>
    </row>
    <row r="258" spans="1:14" s="35" customFormat="1" x14ac:dyDescent="0.35">
      <c r="A258" s="95">
        <v>6</v>
      </c>
      <c r="B258" s="95"/>
      <c r="C258" s="50" t="s">
        <v>355</v>
      </c>
      <c r="D258" s="50">
        <f>(59.69)*10.764</f>
        <v>642.50315999999998</v>
      </c>
      <c r="E258" s="50">
        <f>(2.53)*10.764</f>
        <v>27.232919999999996</v>
      </c>
      <c r="F258" s="50">
        <f t="shared" si="15"/>
        <v>669.73608000000002</v>
      </c>
      <c r="G258" s="50">
        <v>0</v>
      </c>
      <c r="H258" s="50">
        <f t="shared" si="16"/>
        <v>1004.60412</v>
      </c>
      <c r="I258" s="34"/>
      <c r="N258" s="34"/>
    </row>
    <row r="259" spans="1:14" s="35" customFormat="1" x14ac:dyDescent="0.35">
      <c r="A259" s="95">
        <v>7</v>
      </c>
      <c r="B259" s="95"/>
      <c r="C259" s="50" t="s">
        <v>370</v>
      </c>
      <c r="D259" s="50">
        <f>(38.92)*10.764</f>
        <v>418.93488000000002</v>
      </c>
      <c r="E259" s="50">
        <f>(2.42)*10.764</f>
        <v>26.048879999999997</v>
      </c>
      <c r="F259" s="50">
        <f t="shared" si="15"/>
        <v>444.98376000000002</v>
      </c>
      <c r="G259" s="50">
        <v>0</v>
      </c>
      <c r="H259" s="50">
        <f t="shared" si="16"/>
        <v>667.47564</v>
      </c>
      <c r="I259" s="34"/>
      <c r="N259" s="34"/>
    </row>
    <row r="260" spans="1:14" s="35" customFormat="1" x14ac:dyDescent="0.35">
      <c r="A260" s="95">
        <v>8</v>
      </c>
      <c r="B260" s="95"/>
      <c r="C260" s="50" t="s">
        <v>370</v>
      </c>
      <c r="D260" s="50">
        <f t="shared" ref="D260:D261" si="17">(38.92)*10.764</f>
        <v>418.93488000000002</v>
      </c>
      <c r="E260" s="50">
        <f>(2.42)*10.764</f>
        <v>26.048879999999997</v>
      </c>
      <c r="F260" s="50">
        <f t="shared" si="15"/>
        <v>444.98376000000002</v>
      </c>
      <c r="G260" s="50">
        <v>0</v>
      </c>
      <c r="H260" s="50">
        <f t="shared" si="16"/>
        <v>667.47564</v>
      </c>
      <c r="I260" s="34"/>
      <c r="N260" s="34"/>
    </row>
    <row r="261" spans="1:14" s="35" customFormat="1" x14ac:dyDescent="0.35">
      <c r="A261" s="95">
        <v>9</v>
      </c>
      <c r="B261" s="95"/>
      <c r="C261" s="50" t="s">
        <v>370</v>
      </c>
      <c r="D261" s="50">
        <f t="shared" si="17"/>
        <v>418.93488000000002</v>
      </c>
      <c r="E261" s="50">
        <f>(2.42)*10.764</f>
        <v>26.048879999999997</v>
      </c>
      <c r="F261" s="50">
        <f t="shared" si="15"/>
        <v>444.98376000000002</v>
      </c>
      <c r="G261" s="50">
        <v>0</v>
      </c>
      <c r="H261" s="50">
        <f t="shared" si="16"/>
        <v>667.47564</v>
      </c>
      <c r="I261" s="34"/>
      <c r="N261" s="34"/>
    </row>
    <row r="262" spans="1:14" s="35" customFormat="1" x14ac:dyDescent="0.35">
      <c r="A262" s="95">
        <v>10</v>
      </c>
      <c r="B262" s="95"/>
      <c r="C262" s="50" t="s">
        <v>355</v>
      </c>
      <c r="D262" s="50">
        <f>(59.39)*10.764</f>
        <v>639.27395999999999</v>
      </c>
      <c r="E262" s="50">
        <f>(2.42)*10.764</f>
        <v>26.048879999999997</v>
      </c>
      <c r="F262" s="50">
        <f t="shared" si="15"/>
        <v>665.32284000000004</v>
      </c>
      <c r="G262" s="50">
        <v>0</v>
      </c>
      <c r="H262" s="50">
        <f t="shared" si="16"/>
        <v>997.98426000000006</v>
      </c>
      <c r="I262" s="34"/>
      <c r="N262" s="34"/>
    </row>
    <row r="263" spans="1:14" s="35" customFormat="1" x14ac:dyDescent="0.35">
      <c r="A263" s="96" t="s">
        <v>373</v>
      </c>
      <c r="B263" s="96"/>
      <c r="C263" s="96"/>
      <c r="D263" s="96"/>
      <c r="E263" s="96"/>
      <c r="F263" s="96"/>
      <c r="G263" s="96"/>
      <c r="H263" s="96"/>
      <c r="I263" s="34"/>
      <c r="L263" s="114"/>
      <c r="M263" s="114"/>
    </row>
    <row r="264" spans="1:14" s="35" customFormat="1" x14ac:dyDescent="0.35">
      <c r="A264" s="95">
        <v>1</v>
      </c>
      <c r="B264" s="95"/>
      <c r="C264" s="95" t="s">
        <v>371</v>
      </c>
      <c r="D264" s="95"/>
      <c r="E264" s="95"/>
      <c r="F264" s="95"/>
      <c r="G264" s="95"/>
      <c r="H264" s="95"/>
      <c r="I264" s="34"/>
      <c r="N264" s="34"/>
    </row>
    <row r="265" spans="1:14" s="35" customFormat="1" x14ac:dyDescent="0.35">
      <c r="A265" s="95">
        <v>2</v>
      </c>
      <c r="B265" s="95"/>
      <c r="C265" s="95"/>
      <c r="D265" s="95"/>
      <c r="E265" s="95"/>
      <c r="F265" s="95"/>
      <c r="G265" s="95"/>
      <c r="H265" s="95"/>
      <c r="I265" s="34"/>
      <c r="N265" s="34"/>
    </row>
    <row r="266" spans="1:14" s="35" customFormat="1" x14ac:dyDescent="0.35">
      <c r="A266" s="95">
        <v>3</v>
      </c>
      <c r="B266" s="95"/>
      <c r="C266" s="95" t="s">
        <v>372</v>
      </c>
      <c r="D266" s="95"/>
      <c r="E266" s="95"/>
      <c r="F266" s="95"/>
      <c r="G266" s="95"/>
      <c r="H266" s="95"/>
      <c r="I266" s="34"/>
      <c r="N266" s="34"/>
    </row>
    <row r="267" spans="1:14" s="35" customFormat="1" x14ac:dyDescent="0.35">
      <c r="A267" s="95">
        <v>4</v>
      </c>
      <c r="B267" s="95"/>
      <c r="C267" s="95"/>
      <c r="D267" s="95"/>
      <c r="E267" s="95"/>
      <c r="F267" s="95"/>
      <c r="G267" s="95"/>
      <c r="H267" s="95"/>
      <c r="I267" s="34"/>
      <c r="N267" s="34"/>
    </row>
    <row r="268" spans="1:14" s="35" customFormat="1" x14ac:dyDescent="0.35">
      <c r="A268" s="95">
        <v>5</v>
      </c>
      <c r="B268" s="95"/>
      <c r="C268" s="84" t="s">
        <v>355</v>
      </c>
      <c r="D268" s="84">
        <f>(55.87)*10.764</f>
        <v>601.38467999999989</v>
      </c>
      <c r="E268" s="84">
        <v>0</v>
      </c>
      <c r="F268" s="84">
        <f t="shared" ref="F268:F273" si="18">D268+E268</f>
        <v>601.38467999999989</v>
      </c>
      <c r="G268" s="84">
        <v>0</v>
      </c>
      <c r="H268" s="84">
        <f t="shared" ref="H268:H273" si="19">F268*(($H$157)+1)+(IF(G268&lt;101,G268,IF(G268&lt;201,G268/2,IF(G268&lt;=301,G268/3,G268/4))))</f>
        <v>902.07701999999983</v>
      </c>
      <c r="I268" s="34"/>
      <c r="N268" s="34"/>
    </row>
    <row r="269" spans="1:14" s="35" customFormat="1" x14ac:dyDescent="0.35">
      <c r="A269" s="95">
        <v>6</v>
      </c>
      <c r="B269" s="95"/>
      <c r="C269" s="84" t="s">
        <v>355</v>
      </c>
      <c r="D269" s="84">
        <f>(59.69)*10.764</f>
        <v>642.50315999999998</v>
      </c>
      <c r="E269" s="84">
        <f>(2.53)*10.764</f>
        <v>27.232919999999996</v>
      </c>
      <c r="F269" s="84">
        <f t="shared" si="18"/>
        <v>669.73608000000002</v>
      </c>
      <c r="G269" s="84">
        <v>0</v>
      </c>
      <c r="H269" s="84">
        <f t="shared" si="19"/>
        <v>1004.60412</v>
      </c>
      <c r="I269" s="34"/>
      <c r="N269" s="34"/>
    </row>
    <row r="270" spans="1:14" s="35" customFormat="1" x14ac:dyDescent="0.35">
      <c r="A270" s="95">
        <v>7</v>
      </c>
      <c r="B270" s="95"/>
      <c r="C270" s="84" t="s">
        <v>370</v>
      </c>
      <c r="D270" s="84">
        <f>(38.92)*10.764</f>
        <v>418.93488000000002</v>
      </c>
      <c r="E270" s="84">
        <f>(2.42)*10.764</f>
        <v>26.048879999999997</v>
      </c>
      <c r="F270" s="84">
        <f t="shared" si="18"/>
        <v>444.98376000000002</v>
      </c>
      <c r="G270" s="84">
        <v>0</v>
      </c>
      <c r="H270" s="84">
        <f t="shared" si="19"/>
        <v>667.47564</v>
      </c>
      <c r="I270" s="34"/>
      <c r="N270" s="34"/>
    </row>
    <row r="271" spans="1:14" s="35" customFormat="1" x14ac:dyDescent="0.35">
      <c r="A271" s="95">
        <v>8</v>
      </c>
      <c r="B271" s="95"/>
      <c r="C271" s="84" t="s">
        <v>370</v>
      </c>
      <c r="D271" s="84">
        <f t="shared" ref="D271:D272" si="20">(38.92)*10.764</f>
        <v>418.93488000000002</v>
      </c>
      <c r="E271" s="84">
        <f>(2.42)*10.764</f>
        <v>26.048879999999997</v>
      </c>
      <c r="F271" s="84">
        <f t="shared" si="18"/>
        <v>444.98376000000002</v>
      </c>
      <c r="G271" s="84">
        <v>0</v>
      </c>
      <c r="H271" s="84">
        <f t="shared" si="19"/>
        <v>667.47564</v>
      </c>
      <c r="I271" s="34"/>
      <c r="N271" s="34"/>
    </row>
    <row r="272" spans="1:14" s="35" customFormat="1" x14ac:dyDescent="0.35">
      <c r="A272" s="95">
        <v>9</v>
      </c>
      <c r="B272" s="95"/>
      <c r="C272" s="50" t="s">
        <v>370</v>
      </c>
      <c r="D272" s="50">
        <f t="shared" si="20"/>
        <v>418.93488000000002</v>
      </c>
      <c r="E272" s="50">
        <f>(2.42)*10.764</f>
        <v>26.048879999999997</v>
      </c>
      <c r="F272" s="50">
        <f t="shared" si="18"/>
        <v>444.98376000000002</v>
      </c>
      <c r="G272" s="50">
        <v>0</v>
      </c>
      <c r="H272" s="50">
        <f t="shared" si="19"/>
        <v>667.47564</v>
      </c>
      <c r="I272" s="34"/>
      <c r="N272" s="34"/>
    </row>
    <row r="273" spans="1:14" s="35" customFormat="1" x14ac:dyDescent="0.35">
      <c r="A273" s="95">
        <v>10</v>
      </c>
      <c r="B273" s="95"/>
      <c r="C273" s="50" t="s">
        <v>355</v>
      </c>
      <c r="D273" s="50">
        <f>(59.39)*10.764</f>
        <v>639.27395999999999</v>
      </c>
      <c r="E273" s="50">
        <f>(2.42)*10.764</f>
        <v>26.048879999999997</v>
      </c>
      <c r="F273" s="50">
        <f t="shared" si="18"/>
        <v>665.32284000000004</v>
      </c>
      <c r="G273" s="50">
        <v>0</v>
      </c>
      <c r="H273" s="50">
        <f t="shared" si="19"/>
        <v>997.98426000000006</v>
      </c>
      <c r="I273" s="34"/>
      <c r="N273" s="34"/>
    </row>
    <row r="274" spans="1:14" s="35" customFormat="1" x14ac:dyDescent="0.35">
      <c r="A274" s="96" t="s">
        <v>374</v>
      </c>
      <c r="B274" s="96"/>
      <c r="C274" s="96"/>
      <c r="D274" s="96"/>
      <c r="E274" s="96"/>
      <c r="F274" s="96"/>
      <c r="G274" s="96"/>
      <c r="H274" s="96"/>
      <c r="I274" s="34"/>
      <c r="L274" s="114"/>
      <c r="M274" s="114"/>
    </row>
    <row r="275" spans="1:14" s="35" customFormat="1" x14ac:dyDescent="0.35">
      <c r="A275" s="95">
        <v>1</v>
      </c>
      <c r="B275" s="95"/>
      <c r="C275" s="135" t="s">
        <v>358</v>
      </c>
      <c r="D275" s="136"/>
      <c r="E275" s="136"/>
      <c r="F275" s="136"/>
      <c r="G275" s="136"/>
      <c r="H275" s="137"/>
      <c r="I275" s="34"/>
      <c r="N275" s="34"/>
    </row>
    <row r="276" spans="1:14" s="35" customFormat="1" x14ac:dyDescent="0.35">
      <c r="A276" s="95">
        <v>2</v>
      </c>
      <c r="B276" s="95"/>
      <c r="C276" s="138"/>
      <c r="D276" s="139"/>
      <c r="E276" s="139"/>
      <c r="F276" s="139"/>
      <c r="G276" s="139"/>
      <c r="H276" s="140"/>
      <c r="I276" s="34"/>
      <c r="N276" s="34"/>
    </row>
    <row r="277" spans="1:14" s="35" customFormat="1" x14ac:dyDescent="0.35">
      <c r="A277" s="95">
        <v>3</v>
      </c>
      <c r="B277" s="95"/>
      <c r="C277" s="138"/>
      <c r="D277" s="139"/>
      <c r="E277" s="139"/>
      <c r="F277" s="139"/>
      <c r="G277" s="139"/>
      <c r="H277" s="140"/>
      <c r="I277" s="34"/>
      <c r="N277" s="34"/>
    </row>
    <row r="278" spans="1:14" s="35" customFormat="1" x14ac:dyDescent="0.35">
      <c r="A278" s="95">
        <v>4</v>
      </c>
      <c r="B278" s="95"/>
      <c r="C278" s="141"/>
      <c r="D278" s="142"/>
      <c r="E278" s="142"/>
      <c r="F278" s="142"/>
      <c r="G278" s="142"/>
      <c r="H278" s="143"/>
      <c r="I278" s="34"/>
      <c r="N278" s="34"/>
    </row>
    <row r="279" spans="1:14" s="35" customFormat="1" x14ac:dyDescent="0.35">
      <c r="A279" s="95">
        <v>5</v>
      </c>
      <c r="B279" s="95"/>
      <c r="C279" s="50" t="s">
        <v>355</v>
      </c>
      <c r="D279" s="50">
        <f>(55.87)*10.764</f>
        <v>601.38467999999989</v>
      </c>
      <c r="E279" s="50">
        <v>0</v>
      </c>
      <c r="F279" s="50">
        <f>D279+E279</f>
        <v>601.38467999999989</v>
      </c>
      <c r="G279" s="50">
        <v>0</v>
      </c>
      <c r="H279" s="50">
        <f>F279*(($H$157)+1)+(IF(G279&lt;101,G279,IF(G279&lt;201,G279/2,IF(G279&lt;=301,G279/3,G279/4))))</f>
        <v>902.07701999999983</v>
      </c>
      <c r="I279" s="34"/>
      <c r="N279" s="34"/>
    </row>
    <row r="280" spans="1:14" s="35" customFormat="1" x14ac:dyDescent="0.35">
      <c r="A280" s="95">
        <v>6</v>
      </c>
      <c r="B280" s="95"/>
      <c r="C280" s="50" t="s">
        <v>355</v>
      </c>
      <c r="D280" s="50">
        <f>(59.69)*10.764</f>
        <v>642.50315999999998</v>
      </c>
      <c r="E280" s="50">
        <f>(2.53)*10.764</f>
        <v>27.232919999999996</v>
      </c>
      <c r="F280" s="50">
        <f>D280+E280</f>
        <v>669.73608000000002</v>
      </c>
      <c r="G280" s="50">
        <v>0</v>
      </c>
      <c r="H280" s="50">
        <f>F280*(($H$157)+1)+(IF(G280&lt;101,G280,IF(G280&lt;201,G280/2,IF(G280&lt;=301,G280/3,G280/4))))</f>
        <v>1004.60412</v>
      </c>
      <c r="I280" s="34"/>
      <c r="N280" s="34"/>
    </row>
    <row r="281" spans="1:14" s="35" customFormat="1" x14ac:dyDescent="0.35">
      <c r="A281" s="95">
        <v>7</v>
      </c>
      <c r="B281" s="95"/>
      <c r="C281" s="50" t="s">
        <v>370</v>
      </c>
      <c r="D281" s="50">
        <f>(38.92)*10.764</f>
        <v>418.93488000000002</v>
      </c>
      <c r="E281" s="50">
        <f>(2.42)*10.764</f>
        <v>26.048879999999997</v>
      </c>
      <c r="F281" s="50">
        <f>D281+E281</f>
        <v>444.98376000000002</v>
      </c>
      <c r="G281" s="50">
        <v>0</v>
      </c>
      <c r="H281" s="50">
        <f>F281*(($H$157)+1)+(IF(G281&lt;101,G281,IF(G281&lt;201,G281/2,IF(G281&lt;=301,G281/3,G281/4))))</f>
        <v>667.47564</v>
      </c>
      <c r="I281" s="34"/>
      <c r="N281" s="34"/>
    </row>
    <row r="282" spans="1:14" s="35" customFormat="1" x14ac:dyDescent="0.35">
      <c r="A282" s="95">
        <v>8</v>
      </c>
      <c r="B282" s="95"/>
      <c r="C282" s="50" t="s">
        <v>370</v>
      </c>
      <c r="D282" s="50">
        <f t="shared" ref="D282" si="21">(38.92)*10.764</f>
        <v>418.93488000000002</v>
      </c>
      <c r="E282" s="50">
        <f>(2.42)*10.764</f>
        <v>26.048879999999997</v>
      </c>
      <c r="F282" s="50">
        <f>D282+E282</f>
        <v>444.98376000000002</v>
      </c>
      <c r="G282" s="50">
        <v>0</v>
      </c>
      <c r="H282" s="50">
        <f>F282*(($H$157)+1)+(IF(G282&lt;101,G282,IF(G282&lt;201,G282/2,IF(G282&lt;=301,G282/3,G282/4))))</f>
        <v>667.47564</v>
      </c>
      <c r="I282" s="34"/>
      <c r="N282" s="34"/>
    </row>
    <row r="283" spans="1:14" s="35" customFormat="1" x14ac:dyDescent="0.35">
      <c r="A283" s="95">
        <v>9</v>
      </c>
      <c r="B283" s="95"/>
      <c r="C283" s="88" t="s">
        <v>364</v>
      </c>
      <c r="D283" s="97"/>
      <c r="E283" s="97"/>
      <c r="F283" s="97"/>
      <c r="G283" s="97"/>
      <c r="H283" s="89"/>
      <c r="I283" s="34"/>
      <c r="N283" s="34"/>
    </row>
    <row r="284" spans="1:14" s="35" customFormat="1" x14ac:dyDescent="0.35">
      <c r="A284" s="95">
        <v>10</v>
      </c>
      <c r="B284" s="95"/>
      <c r="C284" s="50" t="s">
        <v>355</v>
      </c>
      <c r="D284" s="50">
        <f>(59.39)*10.764</f>
        <v>639.27395999999999</v>
      </c>
      <c r="E284" s="50">
        <f>(2.42)*10.764</f>
        <v>26.048879999999997</v>
      </c>
      <c r="F284" s="50">
        <f>D284+E284</f>
        <v>665.32284000000004</v>
      </c>
      <c r="G284" s="50">
        <v>0</v>
      </c>
      <c r="H284" s="50">
        <f>F284*(($H$157)+1)+(IF(G284&lt;101,G284,IF(G284&lt;201,G284/2,IF(G284&lt;=301,G284/3,G284/4))))</f>
        <v>997.98426000000006</v>
      </c>
      <c r="I284" s="34"/>
      <c r="N284" s="34"/>
    </row>
    <row r="285" spans="1:14" s="35" customFormat="1" ht="15.75" customHeight="1" x14ac:dyDescent="0.35">
      <c r="A285" s="96" t="s">
        <v>430</v>
      </c>
      <c r="B285" s="96"/>
      <c r="C285" s="96"/>
      <c r="D285" s="96"/>
      <c r="E285" s="96"/>
      <c r="F285" s="96"/>
      <c r="G285" s="96"/>
      <c r="H285" s="96"/>
      <c r="I285" s="34"/>
    </row>
    <row r="286" spans="1:14" s="35" customFormat="1" ht="15.75" customHeight="1" x14ac:dyDescent="0.35">
      <c r="A286" s="95">
        <v>1</v>
      </c>
      <c r="B286" s="95"/>
      <c r="C286" s="50" t="s">
        <v>355</v>
      </c>
      <c r="D286" s="50">
        <f>(55.45)*10.764</f>
        <v>596.86379999999997</v>
      </c>
      <c r="E286" s="50">
        <v>0</v>
      </c>
      <c r="F286" s="50">
        <f t="shared" ref="F286:F295" si="22">D286+E286</f>
        <v>596.86379999999997</v>
      </c>
      <c r="G286" s="50">
        <v>0</v>
      </c>
      <c r="H286" s="50">
        <f t="shared" ref="H286:H295" si="23">F286*(($H$157)+1)+(IF(G286&lt;101,G286,IF(G286&lt;201,G286/2,IF(G286&lt;=301,G286/3,G286/4))))</f>
        <v>895.2956999999999</v>
      </c>
      <c r="I286" s="34"/>
    </row>
    <row r="287" spans="1:14" s="35" customFormat="1" ht="15.75" customHeight="1" x14ac:dyDescent="0.35">
      <c r="A287" s="95">
        <v>2</v>
      </c>
      <c r="B287" s="95"/>
      <c r="C287" s="50" t="s">
        <v>370</v>
      </c>
      <c r="D287" s="50">
        <f>(36.49)*10.764</f>
        <v>392.77836000000002</v>
      </c>
      <c r="E287" s="50">
        <v>0</v>
      </c>
      <c r="F287" s="50">
        <f t="shared" si="22"/>
        <v>392.77836000000002</v>
      </c>
      <c r="G287" s="50">
        <v>0</v>
      </c>
      <c r="H287" s="50">
        <f t="shared" si="23"/>
        <v>589.16754000000003</v>
      </c>
      <c r="I287" s="34"/>
    </row>
    <row r="288" spans="1:14" s="35" customFormat="1" ht="15.75" customHeight="1" x14ac:dyDescent="0.35">
      <c r="A288" s="95">
        <v>3</v>
      </c>
      <c r="B288" s="95"/>
      <c r="C288" s="50" t="s">
        <v>370</v>
      </c>
      <c r="D288" s="50">
        <f>(36.49)*10.764</f>
        <v>392.77836000000002</v>
      </c>
      <c r="E288" s="50">
        <v>0</v>
      </c>
      <c r="F288" s="50">
        <f t="shared" si="22"/>
        <v>392.77836000000002</v>
      </c>
      <c r="G288" s="50">
        <v>0</v>
      </c>
      <c r="H288" s="50">
        <f t="shared" si="23"/>
        <v>589.16754000000003</v>
      </c>
      <c r="I288" s="34"/>
    </row>
    <row r="289" spans="1:10" s="35" customFormat="1" ht="15.75" customHeight="1" x14ac:dyDescent="0.35">
      <c r="A289" s="95">
        <v>4</v>
      </c>
      <c r="B289" s="95"/>
      <c r="C289" s="50" t="s">
        <v>370</v>
      </c>
      <c r="D289" s="50">
        <f>(36.28)*10.764</f>
        <v>390.51792</v>
      </c>
      <c r="E289" s="50">
        <v>0</v>
      </c>
      <c r="F289" s="50">
        <f t="shared" si="22"/>
        <v>390.51792</v>
      </c>
      <c r="G289" s="50">
        <v>0</v>
      </c>
      <c r="H289" s="50">
        <f t="shared" si="23"/>
        <v>585.77688000000001</v>
      </c>
      <c r="I289" s="34"/>
    </row>
    <row r="290" spans="1:10" s="35" customFormat="1" ht="15.75" customHeight="1" x14ac:dyDescent="0.35">
      <c r="A290" s="95">
        <v>5</v>
      </c>
      <c r="B290" s="95"/>
      <c r="C290" s="50" t="s">
        <v>355</v>
      </c>
      <c r="D290" s="50">
        <f>(55.87)*10.764</f>
        <v>601.38467999999989</v>
      </c>
      <c r="E290" s="50">
        <v>0</v>
      </c>
      <c r="F290" s="50">
        <f t="shared" si="22"/>
        <v>601.38467999999989</v>
      </c>
      <c r="G290" s="50">
        <v>0</v>
      </c>
      <c r="H290" s="50">
        <f t="shared" si="23"/>
        <v>902.07701999999983</v>
      </c>
      <c r="I290" s="34"/>
    </row>
    <row r="291" spans="1:10" s="35" customFormat="1" ht="15.75" customHeight="1" x14ac:dyDescent="0.35">
      <c r="A291" s="88">
        <v>6</v>
      </c>
      <c r="B291" s="89"/>
      <c r="C291" s="50" t="s">
        <v>355</v>
      </c>
      <c r="D291" s="50">
        <f>(59.69)*10.764</f>
        <v>642.50315999999998</v>
      </c>
      <c r="E291" s="50">
        <f>(2.53)*10.764</f>
        <v>27.232919999999996</v>
      </c>
      <c r="F291" s="50">
        <f t="shared" si="22"/>
        <v>669.73608000000002</v>
      </c>
      <c r="G291" s="50">
        <v>0</v>
      </c>
      <c r="H291" s="50">
        <f t="shared" si="23"/>
        <v>1004.60412</v>
      </c>
      <c r="I291" s="34">
        <f>3.05*4.58+2.13*3.35+3.05*3.8+3.05*3.35+1.38*2.13+2.13*1.38+1.3*1.48+2.4*0.9+1.7*1.5</f>
        <v>55.424799999999991</v>
      </c>
      <c r="J291" s="34">
        <f>2.2*1.25</f>
        <v>2.75</v>
      </c>
    </row>
    <row r="292" spans="1:10" s="35" customFormat="1" ht="15.75" customHeight="1" x14ac:dyDescent="0.35">
      <c r="A292" s="88">
        <v>7</v>
      </c>
      <c r="B292" s="89"/>
      <c r="C292" s="50" t="s">
        <v>370</v>
      </c>
      <c r="D292" s="50">
        <f>(38.92)*10.764</f>
        <v>418.93488000000002</v>
      </c>
      <c r="E292" s="50">
        <f>(2.42)*10.764</f>
        <v>26.048879999999997</v>
      </c>
      <c r="F292" s="50">
        <f t="shared" si="22"/>
        <v>444.98376000000002</v>
      </c>
      <c r="G292" s="50">
        <v>0</v>
      </c>
      <c r="H292" s="50">
        <f t="shared" si="23"/>
        <v>667.47564</v>
      </c>
      <c r="I292" s="34"/>
    </row>
    <row r="293" spans="1:10" s="35" customFormat="1" ht="15.75" customHeight="1" x14ac:dyDescent="0.35">
      <c r="A293" s="88">
        <v>8</v>
      </c>
      <c r="B293" s="89"/>
      <c r="C293" s="50" t="s">
        <v>370</v>
      </c>
      <c r="D293" s="50">
        <f t="shared" ref="D293:D294" si="24">(38.92)*10.764</f>
        <v>418.93488000000002</v>
      </c>
      <c r="E293" s="50">
        <f>(2.42)*10.764</f>
        <v>26.048879999999997</v>
      </c>
      <c r="F293" s="50">
        <f t="shared" si="22"/>
        <v>444.98376000000002</v>
      </c>
      <c r="G293" s="50">
        <v>0</v>
      </c>
      <c r="H293" s="50">
        <f t="shared" si="23"/>
        <v>667.47564</v>
      </c>
      <c r="I293" s="34">
        <f>3.05*4.43+2.13*2.45+3.05*3.05+2.13*1.38+1.57*0.6+2.4*0.9+1.38*2.13</f>
        <v>37.013299999999994</v>
      </c>
      <c r="J293" s="68">
        <f>2.1*1.25</f>
        <v>2.625</v>
      </c>
    </row>
    <row r="294" spans="1:10" s="35" customFormat="1" ht="15.75" customHeight="1" x14ac:dyDescent="0.35">
      <c r="A294" s="88">
        <v>9</v>
      </c>
      <c r="B294" s="89"/>
      <c r="C294" s="50" t="s">
        <v>370</v>
      </c>
      <c r="D294" s="50">
        <f t="shared" si="24"/>
        <v>418.93488000000002</v>
      </c>
      <c r="E294" s="50">
        <f>(2.42)*10.764</f>
        <v>26.048879999999997</v>
      </c>
      <c r="F294" s="50">
        <f t="shared" si="22"/>
        <v>444.98376000000002</v>
      </c>
      <c r="G294" s="50">
        <v>0</v>
      </c>
      <c r="H294" s="50">
        <f t="shared" si="23"/>
        <v>667.47564</v>
      </c>
      <c r="I294" s="34"/>
    </row>
    <row r="295" spans="1:10" s="35" customFormat="1" ht="15.75" customHeight="1" x14ac:dyDescent="0.35">
      <c r="A295" s="88">
        <v>10</v>
      </c>
      <c r="B295" s="89"/>
      <c r="C295" s="50" t="s">
        <v>355</v>
      </c>
      <c r="D295" s="50">
        <f>(59.39)*10.764</f>
        <v>639.27395999999999</v>
      </c>
      <c r="E295" s="50">
        <f>(2.42)*10.764</f>
        <v>26.048879999999997</v>
      </c>
      <c r="F295" s="50">
        <f t="shared" si="22"/>
        <v>665.32284000000004</v>
      </c>
      <c r="G295" s="50">
        <v>0</v>
      </c>
      <c r="H295" s="50">
        <f t="shared" si="23"/>
        <v>997.98426000000006</v>
      </c>
      <c r="I295" s="34"/>
    </row>
    <row r="296" spans="1:10" s="35" customFormat="1" x14ac:dyDescent="0.35">
      <c r="A296" s="115" t="s">
        <v>376</v>
      </c>
      <c r="B296" s="116"/>
      <c r="C296" s="116"/>
      <c r="D296" s="116"/>
      <c r="E296" s="116"/>
      <c r="F296" s="116"/>
      <c r="G296" s="116"/>
      <c r="H296" s="117"/>
      <c r="I296" s="34"/>
    </row>
    <row r="297" spans="1:10" s="35" customFormat="1" ht="15.75" customHeight="1" x14ac:dyDescent="0.35">
      <c r="A297" s="96" t="s">
        <v>431</v>
      </c>
      <c r="B297" s="96"/>
      <c r="C297" s="96"/>
      <c r="D297" s="96"/>
      <c r="E297" s="96"/>
      <c r="F297" s="96"/>
      <c r="G297" s="96"/>
      <c r="H297" s="96"/>
      <c r="I297" s="34"/>
    </row>
    <row r="298" spans="1:10" s="35" customFormat="1" ht="15.75" customHeight="1" x14ac:dyDescent="0.35">
      <c r="A298" s="95">
        <v>1</v>
      </c>
      <c r="B298" s="95"/>
      <c r="C298" s="50" t="s">
        <v>355</v>
      </c>
      <c r="D298" s="50">
        <f>(55.45)*10.764</f>
        <v>596.86379999999997</v>
      </c>
      <c r="E298" s="50">
        <v>0</v>
      </c>
      <c r="F298" s="50">
        <f t="shared" ref="F298:F307" si="25">D298+E298</f>
        <v>596.86379999999997</v>
      </c>
      <c r="G298" s="50">
        <v>0</v>
      </c>
      <c r="H298" s="50">
        <f t="shared" ref="H298:H307" si="26">F298*(($H$157)+1)+(IF(G298&lt;101,G298,IF(G298&lt;201,G298/2,IF(G298&lt;=301,G298/3,G298/4))))</f>
        <v>895.2956999999999</v>
      </c>
      <c r="I298" s="34"/>
    </row>
    <row r="299" spans="1:10" s="35" customFormat="1" ht="15.75" customHeight="1" x14ac:dyDescent="0.35">
      <c r="A299" s="95">
        <v>2</v>
      </c>
      <c r="B299" s="95"/>
      <c r="C299" s="50" t="s">
        <v>370</v>
      </c>
      <c r="D299" s="50">
        <f>(36.49)*10.764</f>
        <v>392.77836000000002</v>
      </c>
      <c r="E299" s="50">
        <v>0</v>
      </c>
      <c r="F299" s="50">
        <f t="shared" si="25"/>
        <v>392.77836000000002</v>
      </c>
      <c r="G299" s="50">
        <v>0</v>
      </c>
      <c r="H299" s="50">
        <f t="shared" si="26"/>
        <v>589.16754000000003</v>
      </c>
      <c r="I299" s="34"/>
    </row>
    <row r="300" spans="1:10" s="35" customFormat="1" ht="15.75" customHeight="1" x14ac:dyDescent="0.35">
      <c r="A300" s="95">
        <v>3</v>
      </c>
      <c r="B300" s="95"/>
      <c r="C300" s="50" t="s">
        <v>370</v>
      </c>
      <c r="D300" s="50">
        <f>(36.49)*10.764</f>
        <v>392.77836000000002</v>
      </c>
      <c r="E300" s="50">
        <v>0</v>
      </c>
      <c r="F300" s="50">
        <f t="shared" si="25"/>
        <v>392.77836000000002</v>
      </c>
      <c r="G300" s="50">
        <v>0</v>
      </c>
      <c r="H300" s="50">
        <f t="shared" si="26"/>
        <v>589.16754000000003</v>
      </c>
      <c r="I300" s="34"/>
    </row>
    <row r="301" spans="1:10" s="35" customFormat="1" ht="15.75" customHeight="1" x14ac:dyDescent="0.35">
      <c r="A301" s="95">
        <v>4</v>
      </c>
      <c r="B301" s="95"/>
      <c r="C301" s="50" t="s">
        <v>370</v>
      </c>
      <c r="D301" s="50">
        <f>(36.28)*10.764</f>
        <v>390.51792</v>
      </c>
      <c r="E301" s="50">
        <v>0</v>
      </c>
      <c r="F301" s="50">
        <f t="shared" si="25"/>
        <v>390.51792</v>
      </c>
      <c r="G301" s="50">
        <v>0</v>
      </c>
      <c r="H301" s="50">
        <f t="shared" si="26"/>
        <v>585.77688000000001</v>
      </c>
      <c r="I301" s="34"/>
    </row>
    <row r="302" spans="1:10" s="35" customFormat="1" ht="15.75" customHeight="1" x14ac:dyDescent="0.35">
      <c r="A302" s="95">
        <v>5</v>
      </c>
      <c r="B302" s="95"/>
      <c r="C302" s="50" t="s">
        <v>355</v>
      </c>
      <c r="D302" s="50">
        <f>(55.87)*10.764</f>
        <v>601.38467999999989</v>
      </c>
      <c r="E302" s="50">
        <v>0</v>
      </c>
      <c r="F302" s="50">
        <f t="shared" si="25"/>
        <v>601.38467999999989</v>
      </c>
      <c r="G302" s="50">
        <v>0</v>
      </c>
      <c r="H302" s="50">
        <f t="shared" si="26"/>
        <v>902.07701999999983</v>
      </c>
      <c r="I302" s="34"/>
    </row>
    <row r="303" spans="1:10" s="35" customFormat="1" ht="15.75" customHeight="1" x14ac:dyDescent="0.35">
      <c r="A303" s="88">
        <v>6</v>
      </c>
      <c r="B303" s="89"/>
      <c r="C303" s="50" t="s">
        <v>355</v>
      </c>
      <c r="D303" s="50">
        <f>(59.69)*10.764</f>
        <v>642.50315999999998</v>
      </c>
      <c r="E303" s="50">
        <f>(2.53)*10.764</f>
        <v>27.232919999999996</v>
      </c>
      <c r="F303" s="50">
        <f t="shared" si="25"/>
        <v>669.73608000000002</v>
      </c>
      <c r="G303" s="50">
        <v>0</v>
      </c>
      <c r="H303" s="50">
        <f t="shared" si="26"/>
        <v>1004.60412</v>
      </c>
      <c r="I303" s="34"/>
      <c r="J303" s="34"/>
    </row>
    <row r="304" spans="1:10" s="35" customFormat="1" ht="15.75" customHeight="1" x14ac:dyDescent="0.35">
      <c r="A304" s="88">
        <v>7</v>
      </c>
      <c r="B304" s="89"/>
      <c r="C304" s="50" t="s">
        <v>370</v>
      </c>
      <c r="D304" s="50">
        <f>(38.92)*10.764</f>
        <v>418.93488000000002</v>
      </c>
      <c r="E304" s="50">
        <f>(2.42)*10.764</f>
        <v>26.048879999999997</v>
      </c>
      <c r="F304" s="50">
        <f t="shared" si="25"/>
        <v>444.98376000000002</v>
      </c>
      <c r="G304" s="50">
        <v>0</v>
      </c>
      <c r="H304" s="50">
        <f t="shared" si="26"/>
        <v>667.47564</v>
      </c>
      <c r="I304" s="34"/>
    </row>
    <row r="305" spans="1:10" s="35" customFormat="1" ht="15.75" customHeight="1" x14ac:dyDescent="0.35">
      <c r="A305" s="88">
        <v>8</v>
      </c>
      <c r="B305" s="89"/>
      <c r="C305" s="50" t="s">
        <v>370</v>
      </c>
      <c r="D305" s="50">
        <f t="shared" ref="D305" si="27">(38.92)*10.764</f>
        <v>418.93488000000002</v>
      </c>
      <c r="E305" s="50">
        <f>(2.42)*10.764</f>
        <v>26.048879999999997</v>
      </c>
      <c r="F305" s="50">
        <f t="shared" si="25"/>
        <v>444.98376000000002</v>
      </c>
      <c r="G305" s="50">
        <v>0</v>
      </c>
      <c r="H305" s="50">
        <f t="shared" si="26"/>
        <v>667.47564</v>
      </c>
      <c r="I305" s="34"/>
      <c r="J305" s="68"/>
    </row>
    <row r="306" spans="1:10" s="35" customFormat="1" ht="15.75" customHeight="1" x14ac:dyDescent="0.35">
      <c r="A306" s="88">
        <v>9</v>
      </c>
      <c r="B306" s="89"/>
      <c r="C306" s="88" t="s">
        <v>364</v>
      </c>
      <c r="D306" s="97"/>
      <c r="E306" s="97"/>
      <c r="F306" s="97"/>
      <c r="G306" s="97"/>
      <c r="H306" s="89"/>
      <c r="I306" s="34"/>
    </row>
    <row r="307" spans="1:10" s="35" customFormat="1" ht="15.75" customHeight="1" x14ac:dyDescent="0.35">
      <c r="A307" s="88">
        <v>10</v>
      </c>
      <c r="B307" s="89"/>
      <c r="C307" s="50" t="s">
        <v>355</v>
      </c>
      <c r="D307" s="50">
        <f>(59.39)*10.764</f>
        <v>639.27395999999999</v>
      </c>
      <c r="E307" s="50">
        <f>(2.42)*10.764</f>
        <v>26.048879999999997</v>
      </c>
      <c r="F307" s="50">
        <f t="shared" si="25"/>
        <v>665.32284000000004</v>
      </c>
      <c r="G307" s="50">
        <v>0</v>
      </c>
      <c r="H307" s="50">
        <f t="shared" si="26"/>
        <v>997.98426000000006</v>
      </c>
      <c r="I307" s="34"/>
    </row>
    <row r="308" spans="1:10" s="35" customFormat="1" ht="15.75" customHeight="1" x14ac:dyDescent="0.35">
      <c r="A308" s="96" t="s">
        <v>432</v>
      </c>
      <c r="B308" s="96"/>
      <c r="C308" s="96"/>
      <c r="D308" s="96"/>
      <c r="E308" s="96"/>
      <c r="F308" s="96"/>
      <c r="G308" s="96"/>
      <c r="H308" s="96"/>
      <c r="I308" s="34"/>
    </row>
    <row r="309" spans="1:10" s="35" customFormat="1" ht="15.75" customHeight="1" x14ac:dyDescent="0.35">
      <c r="A309" s="95">
        <v>1</v>
      </c>
      <c r="B309" s="95"/>
      <c r="C309" s="84" t="s">
        <v>355</v>
      </c>
      <c r="D309" s="84">
        <f>(55.78)*10.764</f>
        <v>600.41592000000003</v>
      </c>
      <c r="E309" s="84">
        <f>(2.44)*10.764</f>
        <v>26.264159999999997</v>
      </c>
      <c r="F309" s="84">
        <f t="shared" ref="F309:F318" si="28">D309+E309</f>
        <v>626.68007999999998</v>
      </c>
      <c r="G309" s="84">
        <v>0</v>
      </c>
      <c r="H309" s="84">
        <f t="shared" ref="H309:H318" si="29">F309*(($H$157)+1)+(IF(G309&lt;101,G309,IF(G309&lt;201,G309/2,IF(G309&lt;=301,G309/3,G309/4))))</f>
        <v>940.02011999999991</v>
      </c>
      <c r="I309" s="34"/>
    </row>
    <row r="310" spans="1:10" s="35" customFormat="1" ht="15.75" customHeight="1" x14ac:dyDescent="0.35">
      <c r="A310" s="95">
        <v>2</v>
      </c>
      <c r="B310" s="95"/>
      <c r="C310" s="84" t="s">
        <v>370</v>
      </c>
      <c r="D310" s="84">
        <f>(36.82)*10.764</f>
        <v>396.33047999999997</v>
      </c>
      <c r="E310" s="84">
        <f>(2.42)*10.764</f>
        <v>26.048879999999997</v>
      </c>
      <c r="F310" s="84">
        <f t="shared" si="28"/>
        <v>422.37935999999996</v>
      </c>
      <c r="G310" s="84">
        <v>0</v>
      </c>
      <c r="H310" s="84">
        <f t="shared" si="29"/>
        <v>633.56903999999997</v>
      </c>
      <c r="I310" s="34"/>
    </row>
    <row r="311" spans="1:10" s="35" customFormat="1" ht="15.75" customHeight="1" x14ac:dyDescent="0.35">
      <c r="A311" s="95">
        <v>3</v>
      </c>
      <c r="B311" s="95"/>
      <c r="C311" s="84" t="s">
        <v>370</v>
      </c>
      <c r="D311" s="84">
        <f>(36.82)*10.764</f>
        <v>396.33047999999997</v>
      </c>
      <c r="E311" s="84">
        <f>(2.42)*10.764</f>
        <v>26.048879999999997</v>
      </c>
      <c r="F311" s="84">
        <f t="shared" si="28"/>
        <v>422.37935999999996</v>
      </c>
      <c r="G311" s="84">
        <v>0</v>
      </c>
      <c r="H311" s="84">
        <f t="shared" si="29"/>
        <v>633.56903999999997</v>
      </c>
      <c r="I311" s="34"/>
    </row>
    <row r="312" spans="1:10" s="35" customFormat="1" ht="15.75" customHeight="1" x14ac:dyDescent="0.35">
      <c r="A312" s="95">
        <v>4</v>
      </c>
      <c r="B312" s="95"/>
      <c r="C312" s="84" t="s">
        <v>370</v>
      </c>
      <c r="D312" s="84">
        <f>(36.61)*10.764</f>
        <v>394.07003999999995</v>
      </c>
      <c r="E312" s="84">
        <f>(2.42)*10.764</f>
        <v>26.048879999999997</v>
      </c>
      <c r="F312" s="84">
        <f t="shared" si="28"/>
        <v>420.11891999999995</v>
      </c>
      <c r="G312" s="84">
        <v>0</v>
      </c>
      <c r="H312" s="84">
        <f t="shared" si="29"/>
        <v>630.17837999999995</v>
      </c>
      <c r="I312" s="34"/>
    </row>
    <row r="313" spans="1:10" s="35" customFormat="1" ht="15.75" customHeight="1" x14ac:dyDescent="0.35">
      <c r="A313" s="95">
        <v>5</v>
      </c>
      <c r="B313" s="95"/>
      <c r="C313" s="84" t="s">
        <v>355</v>
      </c>
      <c r="D313" s="84">
        <f>(56.21)*10.764</f>
        <v>605.04444000000001</v>
      </c>
      <c r="E313" s="84">
        <f t="shared" ref="E313" si="30">(2.53)*10.764</f>
        <v>27.232919999999996</v>
      </c>
      <c r="F313" s="84">
        <f t="shared" si="28"/>
        <v>632.27736000000004</v>
      </c>
      <c r="G313" s="84">
        <v>0</v>
      </c>
      <c r="H313" s="84">
        <f t="shared" si="29"/>
        <v>948.41604000000007</v>
      </c>
      <c r="I313" s="34"/>
    </row>
    <row r="314" spans="1:10" s="35" customFormat="1" ht="15.75" customHeight="1" x14ac:dyDescent="0.35">
      <c r="A314" s="95">
        <v>6</v>
      </c>
      <c r="B314" s="95"/>
      <c r="C314" s="84" t="s">
        <v>355</v>
      </c>
      <c r="D314" s="84">
        <f>(59.69)*10.764</f>
        <v>642.50315999999998</v>
      </c>
      <c r="E314" s="84">
        <f>(2.53)*10.764</f>
        <v>27.232919999999996</v>
      </c>
      <c r="F314" s="84">
        <f t="shared" si="28"/>
        <v>669.73608000000002</v>
      </c>
      <c r="G314" s="84">
        <v>0</v>
      </c>
      <c r="H314" s="84">
        <f t="shared" si="29"/>
        <v>1004.60412</v>
      </c>
      <c r="I314" s="34"/>
      <c r="J314" s="34"/>
    </row>
    <row r="315" spans="1:10" s="35" customFormat="1" ht="15.75" customHeight="1" x14ac:dyDescent="0.35">
      <c r="A315" s="95">
        <v>7</v>
      </c>
      <c r="B315" s="95"/>
      <c r="C315" s="84" t="s">
        <v>370</v>
      </c>
      <c r="D315" s="84">
        <f>(38.92)*10.764</f>
        <v>418.93488000000002</v>
      </c>
      <c r="E315" s="84">
        <f>(2.42)*10.764</f>
        <v>26.048879999999997</v>
      </c>
      <c r="F315" s="84">
        <f t="shared" si="28"/>
        <v>444.98376000000002</v>
      </c>
      <c r="G315" s="84">
        <v>0</v>
      </c>
      <c r="H315" s="84">
        <f t="shared" si="29"/>
        <v>667.47564</v>
      </c>
      <c r="I315" s="34"/>
    </row>
    <row r="316" spans="1:10" s="35" customFormat="1" ht="15.75" customHeight="1" x14ac:dyDescent="0.35">
      <c r="A316" s="88">
        <v>8</v>
      </c>
      <c r="B316" s="89"/>
      <c r="C316" s="50" t="s">
        <v>370</v>
      </c>
      <c r="D316" s="50">
        <f t="shared" ref="D316" si="31">(38.92)*10.764</f>
        <v>418.93488000000002</v>
      </c>
      <c r="E316" s="50">
        <f>(2.42)*10.764</f>
        <v>26.048879999999997</v>
      </c>
      <c r="F316" s="50">
        <f t="shared" si="28"/>
        <v>444.98376000000002</v>
      </c>
      <c r="G316" s="50">
        <v>0</v>
      </c>
      <c r="H316" s="50">
        <f t="shared" si="29"/>
        <v>667.47564</v>
      </c>
      <c r="I316" s="34"/>
      <c r="J316" s="68"/>
    </row>
    <row r="317" spans="1:10" s="35" customFormat="1" ht="15.75" customHeight="1" x14ac:dyDescent="0.35">
      <c r="A317" s="88">
        <v>9</v>
      </c>
      <c r="B317" s="89"/>
      <c r="C317" s="88" t="s">
        <v>364</v>
      </c>
      <c r="D317" s="97"/>
      <c r="E317" s="97"/>
      <c r="F317" s="97"/>
      <c r="G317" s="97"/>
      <c r="H317" s="89"/>
      <c r="I317" s="34"/>
    </row>
    <row r="318" spans="1:10" s="35" customFormat="1" ht="15.75" customHeight="1" x14ac:dyDescent="0.35">
      <c r="A318" s="88">
        <v>10</v>
      </c>
      <c r="B318" s="89"/>
      <c r="C318" s="50" t="s">
        <v>355</v>
      </c>
      <c r="D318" s="50">
        <f>(59.39)*10.764</f>
        <v>639.27395999999999</v>
      </c>
      <c r="E318" s="50">
        <f>(2.42)*10.764</f>
        <v>26.048879999999997</v>
      </c>
      <c r="F318" s="50">
        <f t="shared" si="28"/>
        <v>665.32284000000004</v>
      </c>
      <c r="G318" s="50">
        <v>0</v>
      </c>
      <c r="H318" s="50">
        <f t="shared" si="29"/>
        <v>997.98426000000006</v>
      </c>
      <c r="I318" s="34"/>
    </row>
    <row r="319" spans="1:10" s="35" customFormat="1" ht="15.75" customHeight="1" x14ac:dyDescent="0.35">
      <c r="A319" s="96" t="s">
        <v>433</v>
      </c>
      <c r="B319" s="96"/>
      <c r="C319" s="96"/>
      <c r="D319" s="96"/>
      <c r="E319" s="96"/>
      <c r="F319" s="96"/>
      <c r="G319" s="96"/>
      <c r="H319" s="96"/>
      <c r="I319" s="34"/>
    </row>
    <row r="320" spans="1:10" s="35" customFormat="1" ht="15.75" customHeight="1" x14ac:dyDescent="0.35">
      <c r="A320" s="95">
        <v>1</v>
      </c>
      <c r="B320" s="95"/>
      <c r="C320" s="50" t="s">
        <v>355</v>
      </c>
      <c r="D320" s="50">
        <f>(55.78)*10.764</f>
        <v>600.41592000000003</v>
      </c>
      <c r="E320" s="50">
        <f>(2.44)*10.764</f>
        <v>26.264159999999997</v>
      </c>
      <c r="F320" s="50">
        <f t="shared" ref="F320:F329" si="32">D320+E320</f>
        <v>626.68007999999998</v>
      </c>
      <c r="G320" s="50">
        <v>0</v>
      </c>
      <c r="H320" s="50">
        <f t="shared" ref="H320:H329" si="33">F320*(($H$157)+1)+(IF(G320&lt;101,G320,IF(G320&lt;201,G320/2,IF(G320&lt;=301,G320/3,G320/4))))</f>
        <v>940.02011999999991</v>
      </c>
      <c r="I320" s="34"/>
    </row>
    <row r="321" spans="1:10" s="35" customFormat="1" ht="15.75" customHeight="1" x14ac:dyDescent="0.35">
      <c r="A321" s="95">
        <v>2</v>
      </c>
      <c r="B321" s="95"/>
      <c r="C321" s="50" t="s">
        <v>370</v>
      </c>
      <c r="D321" s="50">
        <f>(36.82)*10.764</f>
        <v>396.33047999999997</v>
      </c>
      <c r="E321" s="50">
        <f>(2.42)*10.764</f>
        <v>26.048879999999997</v>
      </c>
      <c r="F321" s="50">
        <f t="shared" si="32"/>
        <v>422.37935999999996</v>
      </c>
      <c r="G321" s="50">
        <v>0</v>
      </c>
      <c r="H321" s="50">
        <f t="shared" si="33"/>
        <v>633.56903999999997</v>
      </c>
      <c r="I321" s="34"/>
    </row>
    <row r="322" spans="1:10" s="35" customFormat="1" ht="15.75" customHeight="1" x14ac:dyDescent="0.35">
      <c r="A322" s="95">
        <v>3</v>
      </c>
      <c r="B322" s="95"/>
      <c r="C322" s="50" t="s">
        <v>370</v>
      </c>
      <c r="D322" s="50">
        <f>(36.82)*10.764</f>
        <v>396.33047999999997</v>
      </c>
      <c r="E322" s="50">
        <f>(2.42)*10.764</f>
        <v>26.048879999999997</v>
      </c>
      <c r="F322" s="50">
        <f t="shared" si="32"/>
        <v>422.37935999999996</v>
      </c>
      <c r="G322" s="50">
        <v>0</v>
      </c>
      <c r="H322" s="50">
        <f t="shared" si="33"/>
        <v>633.56903999999997</v>
      </c>
      <c r="I322" s="34"/>
    </row>
    <row r="323" spans="1:10" s="35" customFormat="1" ht="15.75" customHeight="1" x14ac:dyDescent="0.35">
      <c r="A323" s="95">
        <v>4</v>
      </c>
      <c r="B323" s="95"/>
      <c r="C323" s="50" t="s">
        <v>370</v>
      </c>
      <c r="D323" s="50">
        <f>(36.61)*10.764</f>
        <v>394.07003999999995</v>
      </c>
      <c r="E323" s="50">
        <f>(2.42)*10.764</f>
        <v>26.048879999999997</v>
      </c>
      <c r="F323" s="50">
        <f t="shared" si="32"/>
        <v>420.11891999999995</v>
      </c>
      <c r="G323" s="50">
        <v>0</v>
      </c>
      <c r="H323" s="50">
        <f t="shared" si="33"/>
        <v>630.17837999999995</v>
      </c>
      <c r="I323" s="34"/>
    </row>
    <row r="324" spans="1:10" s="35" customFormat="1" ht="15.75" customHeight="1" x14ac:dyDescent="0.35">
      <c r="A324" s="95">
        <v>5</v>
      </c>
      <c r="B324" s="95"/>
      <c r="C324" s="50" t="s">
        <v>355</v>
      </c>
      <c r="D324" s="50">
        <f>(56.21)*10.764</f>
        <v>605.04444000000001</v>
      </c>
      <c r="E324" s="50">
        <f t="shared" ref="E324" si="34">(2.53)*10.764</f>
        <v>27.232919999999996</v>
      </c>
      <c r="F324" s="50">
        <f t="shared" si="32"/>
        <v>632.27736000000004</v>
      </c>
      <c r="G324" s="50">
        <v>0</v>
      </c>
      <c r="H324" s="50">
        <f t="shared" si="33"/>
        <v>948.41604000000007</v>
      </c>
      <c r="I324" s="34"/>
    </row>
    <row r="325" spans="1:10" s="35" customFormat="1" ht="15.75" customHeight="1" x14ac:dyDescent="0.35">
      <c r="A325" s="88">
        <v>6</v>
      </c>
      <c r="B325" s="89"/>
      <c r="C325" s="50" t="s">
        <v>355</v>
      </c>
      <c r="D325" s="50">
        <f>(59.69)*10.764</f>
        <v>642.50315999999998</v>
      </c>
      <c r="E325" s="50">
        <f>(2.53)*10.764</f>
        <v>27.232919999999996</v>
      </c>
      <c r="F325" s="50">
        <f t="shared" si="32"/>
        <v>669.73608000000002</v>
      </c>
      <c r="G325" s="50">
        <v>0</v>
      </c>
      <c r="H325" s="50">
        <f t="shared" si="33"/>
        <v>1004.60412</v>
      </c>
      <c r="I325" s="34"/>
      <c r="J325" s="34"/>
    </row>
    <row r="326" spans="1:10" s="35" customFormat="1" ht="15.75" customHeight="1" x14ac:dyDescent="0.35">
      <c r="A326" s="88">
        <v>7</v>
      </c>
      <c r="B326" s="89"/>
      <c r="C326" s="50" t="s">
        <v>370</v>
      </c>
      <c r="D326" s="50">
        <f>(38.92)*10.764</f>
        <v>418.93488000000002</v>
      </c>
      <c r="E326" s="50">
        <f>(2.42)*10.764</f>
        <v>26.048879999999997</v>
      </c>
      <c r="F326" s="50">
        <f t="shared" si="32"/>
        <v>444.98376000000002</v>
      </c>
      <c r="G326" s="50">
        <v>0</v>
      </c>
      <c r="H326" s="50">
        <f t="shared" si="33"/>
        <v>667.47564</v>
      </c>
      <c r="I326" s="34"/>
    </row>
    <row r="327" spans="1:10" s="35" customFormat="1" ht="15.75" customHeight="1" x14ac:dyDescent="0.35">
      <c r="A327" s="88">
        <v>8</v>
      </c>
      <c r="B327" s="89"/>
      <c r="C327" s="50" t="s">
        <v>370</v>
      </c>
      <c r="D327" s="50">
        <f t="shared" ref="D327" si="35">(38.92)*10.764</f>
        <v>418.93488000000002</v>
      </c>
      <c r="E327" s="50">
        <f>(2.42)*10.764</f>
        <v>26.048879999999997</v>
      </c>
      <c r="F327" s="50">
        <f t="shared" si="32"/>
        <v>444.98376000000002</v>
      </c>
      <c r="G327" s="50">
        <v>0</v>
      </c>
      <c r="H327" s="50">
        <f t="shared" si="33"/>
        <v>667.47564</v>
      </c>
      <c r="I327" s="34"/>
      <c r="J327" s="68"/>
    </row>
    <row r="328" spans="1:10" s="35" customFormat="1" ht="15.75" customHeight="1" x14ac:dyDescent="0.35">
      <c r="A328" s="88">
        <v>9</v>
      </c>
      <c r="B328" s="89"/>
      <c r="C328" s="50" t="s">
        <v>370</v>
      </c>
      <c r="D328" s="50">
        <f t="shared" ref="D328" si="36">(38.92)*10.764</f>
        <v>418.93488000000002</v>
      </c>
      <c r="E328" s="50">
        <f>(2.42)*10.764</f>
        <v>26.048879999999997</v>
      </c>
      <c r="F328" s="50">
        <f t="shared" si="32"/>
        <v>444.98376000000002</v>
      </c>
      <c r="G328" s="50">
        <v>0</v>
      </c>
      <c r="H328" s="50">
        <f t="shared" si="33"/>
        <v>667.47564</v>
      </c>
      <c r="I328" s="34"/>
    </row>
    <row r="329" spans="1:10" s="35" customFormat="1" ht="15.75" customHeight="1" x14ac:dyDescent="0.35">
      <c r="A329" s="88">
        <v>10</v>
      </c>
      <c r="B329" s="89"/>
      <c r="C329" s="50" t="s">
        <v>355</v>
      </c>
      <c r="D329" s="50">
        <f>(59.39)*10.764</f>
        <v>639.27395999999999</v>
      </c>
      <c r="E329" s="50">
        <f>(2.42)*10.764</f>
        <v>26.048879999999997</v>
      </c>
      <c r="F329" s="50">
        <f t="shared" si="32"/>
        <v>665.32284000000004</v>
      </c>
      <c r="G329" s="50">
        <v>0</v>
      </c>
      <c r="H329" s="50">
        <f t="shared" si="33"/>
        <v>997.98426000000006</v>
      </c>
      <c r="I329" s="34"/>
    </row>
    <row r="330" spans="1:10" s="35" customFormat="1" ht="15.75" customHeight="1" x14ac:dyDescent="0.35">
      <c r="A330" s="96" t="s">
        <v>434</v>
      </c>
      <c r="B330" s="96"/>
      <c r="C330" s="96"/>
      <c r="D330" s="96"/>
      <c r="E330" s="96"/>
      <c r="F330" s="96"/>
      <c r="G330" s="96"/>
      <c r="H330" s="96"/>
      <c r="I330" s="34"/>
    </row>
    <row r="331" spans="1:10" s="35" customFormat="1" ht="15.75" customHeight="1" x14ac:dyDescent="0.35">
      <c r="A331" s="95">
        <v>1</v>
      </c>
      <c r="B331" s="95"/>
      <c r="C331" s="50" t="s">
        <v>355</v>
      </c>
      <c r="D331" s="50">
        <f>(55.78)*10.764</f>
        <v>600.41592000000003</v>
      </c>
      <c r="E331" s="50">
        <f>(2.44)*10.764</f>
        <v>26.264159999999997</v>
      </c>
      <c r="F331" s="50">
        <f t="shared" ref="F331:F340" si="37">D331+E331</f>
        <v>626.68007999999998</v>
      </c>
      <c r="G331" s="50">
        <v>0</v>
      </c>
      <c r="H331" s="50">
        <f t="shared" ref="H331:H340" si="38">F331*(($H$157)+1)+(IF(G331&lt;101,G331,IF(G331&lt;201,G331/2,IF(G331&lt;=301,G331/3,G331/4))))</f>
        <v>940.02011999999991</v>
      </c>
      <c r="I331" s="34"/>
    </row>
    <row r="332" spans="1:10" s="35" customFormat="1" ht="15.75" customHeight="1" x14ac:dyDescent="0.35">
      <c r="A332" s="95">
        <v>2</v>
      </c>
      <c r="B332" s="95"/>
      <c r="C332" s="50" t="s">
        <v>370</v>
      </c>
      <c r="D332" s="50">
        <f>(36.82)*10.764</f>
        <v>396.33047999999997</v>
      </c>
      <c r="E332" s="50">
        <f>(2.42)*10.764</f>
        <v>26.048879999999997</v>
      </c>
      <c r="F332" s="50">
        <f t="shared" si="37"/>
        <v>422.37935999999996</v>
      </c>
      <c r="G332" s="50">
        <v>0</v>
      </c>
      <c r="H332" s="50">
        <f t="shared" si="38"/>
        <v>633.56903999999997</v>
      </c>
      <c r="I332" s="34"/>
    </row>
    <row r="333" spans="1:10" s="35" customFormat="1" ht="15.75" customHeight="1" x14ac:dyDescent="0.35">
      <c r="A333" s="95">
        <v>3</v>
      </c>
      <c r="B333" s="95"/>
      <c r="C333" s="50" t="s">
        <v>370</v>
      </c>
      <c r="D333" s="50">
        <f>(36.82)*10.764</f>
        <v>396.33047999999997</v>
      </c>
      <c r="E333" s="50">
        <f>(2.42)*10.764</f>
        <v>26.048879999999997</v>
      </c>
      <c r="F333" s="50">
        <f t="shared" si="37"/>
        <v>422.37935999999996</v>
      </c>
      <c r="G333" s="50">
        <v>0</v>
      </c>
      <c r="H333" s="50">
        <f t="shared" si="38"/>
        <v>633.56903999999997</v>
      </c>
      <c r="I333" s="34"/>
    </row>
    <row r="334" spans="1:10" s="35" customFormat="1" ht="15.75" customHeight="1" x14ac:dyDescent="0.35">
      <c r="A334" s="95">
        <v>4</v>
      </c>
      <c r="B334" s="95"/>
      <c r="C334" s="50" t="s">
        <v>370</v>
      </c>
      <c r="D334" s="50">
        <f>(36.61)*10.764</f>
        <v>394.07003999999995</v>
      </c>
      <c r="E334" s="50">
        <f>(2.42)*10.764</f>
        <v>26.048879999999997</v>
      </c>
      <c r="F334" s="50">
        <f t="shared" si="37"/>
        <v>420.11891999999995</v>
      </c>
      <c r="G334" s="50">
        <v>0</v>
      </c>
      <c r="H334" s="50">
        <f t="shared" si="38"/>
        <v>630.17837999999995</v>
      </c>
      <c r="I334" s="34"/>
    </row>
    <row r="335" spans="1:10" s="35" customFormat="1" ht="15.75" customHeight="1" x14ac:dyDescent="0.35">
      <c r="A335" s="95">
        <v>5</v>
      </c>
      <c r="B335" s="95"/>
      <c r="C335" s="50" t="s">
        <v>355</v>
      </c>
      <c r="D335" s="50">
        <f>(56.21)*10.764</f>
        <v>605.04444000000001</v>
      </c>
      <c r="E335" s="50">
        <f t="shared" ref="E335" si="39">(2.53)*10.764</f>
        <v>27.232919999999996</v>
      </c>
      <c r="F335" s="50">
        <f t="shared" si="37"/>
        <v>632.27736000000004</v>
      </c>
      <c r="G335" s="50">
        <v>0</v>
      </c>
      <c r="H335" s="50">
        <f t="shared" si="38"/>
        <v>948.41604000000007</v>
      </c>
      <c r="I335" s="34"/>
    </row>
    <row r="336" spans="1:10" s="35" customFormat="1" ht="15.75" customHeight="1" x14ac:dyDescent="0.35">
      <c r="A336" s="88">
        <v>6</v>
      </c>
      <c r="B336" s="89"/>
      <c r="C336" s="50" t="s">
        <v>355</v>
      </c>
      <c r="D336" s="50">
        <f>(59.69)*10.764</f>
        <v>642.50315999999998</v>
      </c>
      <c r="E336" s="50">
        <f>(2.53)*10.764</f>
        <v>27.232919999999996</v>
      </c>
      <c r="F336" s="50">
        <f t="shared" si="37"/>
        <v>669.73608000000002</v>
      </c>
      <c r="G336" s="50">
        <v>0</v>
      </c>
      <c r="H336" s="50">
        <f t="shared" si="38"/>
        <v>1004.60412</v>
      </c>
      <c r="I336" s="34"/>
      <c r="J336" s="34"/>
    </row>
    <row r="337" spans="1:10" s="35" customFormat="1" ht="15.75" customHeight="1" x14ac:dyDescent="0.35">
      <c r="A337" s="88">
        <v>7</v>
      </c>
      <c r="B337" s="89"/>
      <c r="C337" s="50" t="s">
        <v>370</v>
      </c>
      <c r="D337" s="50">
        <f>(38.92)*10.764</f>
        <v>418.93488000000002</v>
      </c>
      <c r="E337" s="50">
        <f>(2.42)*10.764</f>
        <v>26.048879999999997</v>
      </c>
      <c r="F337" s="50">
        <f t="shared" si="37"/>
        <v>444.98376000000002</v>
      </c>
      <c r="G337" s="50">
        <v>0</v>
      </c>
      <c r="H337" s="50">
        <f t="shared" si="38"/>
        <v>667.47564</v>
      </c>
      <c r="I337" s="34"/>
    </row>
    <row r="338" spans="1:10" s="35" customFormat="1" ht="15.75" customHeight="1" x14ac:dyDescent="0.35">
      <c r="A338" s="88">
        <v>8</v>
      </c>
      <c r="B338" s="89"/>
      <c r="C338" s="50" t="s">
        <v>370</v>
      </c>
      <c r="D338" s="50">
        <f t="shared" ref="D338:D339" si="40">(38.92)*10.764</f>
        <v>418.93488000000002</v>
      </c>
      <c r="E338" s="50">
        <f>(2.42)*10.764</f>
        <v>26.048879999999997</v>
      </c>
      <c r="F338" s="50">
        <f t="shared" si="37"/>
        <v>444.98376000000002</v>
      </c>
      <c r="G338" s="50">
        <v>0</v>
      </c>
      <c r="H338" s="50">
        <f t="shared" si="38"/>
        <v>667.47564</v>
      </c>
      <c r="I338" s="34"/>
      <c r="J338" s="68"/>
    </row>
    <row r="339" spans="1:10" s="35" customFormat="1" ht="15.75" customHeight="1" x14ac:dyDescent="0.35">
      <c r="A339" s="88">
        <v>9</v>
      </c>
      <c r="B339" s="89"/>
      <c r="C339" s="50" t="s">
        <v>370</v>
      </c>
      <c r="D339" s="50">
        <f t="shared" si="40"/>
        <v>418.93488000000002</v>
      </c>
      <c r="E339" s="50">
        <f>(2.42)*10.764</f>
        <v>26.048879999999997</v>
      </c>
      <c r="F339" s="50">
        <f t="shared" si="37"/>
        <v>444.98376000000002</v>
      </c>
      <c r="G339" s="50">
        <v>0</v>
      </c>
      <c r="H339" s="50">
        <f t="shared" si="38"/>
        <v>667.47564</v>
      </c>
      <c r="I339" s="34"/>
    </row>
    <row r="340" spans="1:10" s="35" customFormat="1" ht="15.75" customHeight="1" x14ac:dyDescent="0.35">
      <c r="A340" s="88">
        <v>10</v>
      </c>
      <c r="B340" s="89"/>
      <c r="C340" s="50" t="s">
        <v>355</v>
      </c>
      <c r="D340" s="50">
        <f>(59.39)*10.764</f>
        <v>639.27395999999999</v>
      </c>
      <c r="E340" s="50">
        <f>(2.42)*10.764</f>
        <v>26.048879999999997</v>
      </c>
      <c r="F340" s="50">
        <f t="shared" si="37"/>
        <v>665.32284000000004</v>
      </c>
      <c r="G340" s="50">
        <v>0</v>
      </c>
      <c r="H340" s="50">
        <f t="shared" si="38"/>
        <v>997.98426000000006</v>
      </c>
      <c r="I340" s="34"/>
    </row>
    <row r="341" spans="1:10" s="35" customFormat="1" hidden="1" x14ac:dyDescent="0.35">
      <c r="A341" s="230" t="s">
        <v>411</v>
      </c>
      <c r="B341" s="231"/>
      <c r="C341" s="231"/>
      <c r="D341" s="231"/>
      <c r="E341" s="231"/>
      <c r="F341" s="231"/>
      <c r="G341" s="231"/>
      <c r="H341" s="232"/>
      <c r="I341" s="34"/>
    </row>
    <row r="342" spans="1:10" s="35" customFormat="1" ht="15.75" hidden="1" customHeight="1" x14ac:dyDescent="0.35">
      <c r="A342" s="88">
        <v>1</v>
      </c>
      <c r="B342" s="89"/>
      <c r="C342" s="50" t="s">
        <v>355</v>
      </c>
      <c r="D342" s="50">
        <f>(55.66)*10.764</f>
        <v>599.12423999999987</v>
      </c>
      <c r="E342" s="50">
        <f>(2.42)*10.764</f>
        <v>26.048879999999997</v>
      </c>
      <c r="F342" s="50">
        <f t="shared" ref="F342:F351" si="41">D342+E342</f>
        <v>625.17311999999993</v>
      </c>
      <c r="G342" s="50">
        <v>0</v>
      </c>
      <c r="H342" s="50">
        <f t="shared" ref="H342:H351" si="42">F342*(($H$157)+1)+(IF(G342&lt;101,G342,IF(G342&lt;201,G342/2,IF(G342&lt;=301,G342/3,G342/4))))</f>
        <v>937.75967999999989</v>
      </c>
      <c r="I342" s="34">
        <f>3.05*4.28+2.13*3.05+3.05*3.05+3.05*3.35+2.13*1.38+2.12*1.38+1*2.5+4.7*0.9+2.98*0.6</f>
        <v>53.453499999999991</v>
      </c>
      <c r="J342" s="69">
        <f>2.13*1.25</f>
        <v>2.6624999999999996</v>
      </c>
    </row>
    <row r="343" spans="1:10" s="35" customFormat="1" ht="15.75" hidden="1" customHeight="1" x14ac:dyDescent="0.35">
      <c r="A343" s="88">
        <v>2</v>
      </c>
      <c r="B343" s="89"/>
      <c r="C343" s="50" t="s">
        <v>370</v>
      </c>
      <c r="D343" s="50">
        <f>(36.27)*10.764</f>
        <v>390.41028</v>
      </c>
      <c r="E343" s="50">
        <f>(2.42)*10.764</f>
        <v>26.048879999999997</v>
      </c>
      <c r="F343" s="50">
        <f t="shared" si="41"/>
        <v>416.45916</v>
      </c>
      <c r="G343" s="50">
        <v>0</v>
      </c>
      <c r="H343" s="50">
        <f t="shared" si="42"/>
        <v>624.68874000000005</v>
      </c>
      <c r="I343" s="34">
        <f>3.05*4.28+1.8*2.6+3.08*3.05+1.83*1.36+1.3*1.83+2*0.9+1.68*0.6</f>
        <v>34.803800000000003</v>
      </c>
      <c r="J343" s="69">
        <f>2.1*1.25</f>
        <v>2.625</v>
      </c>
    </row>
    <row r="344" spans="1:10" s="35" customFormat="1" ht="15.75" hidden="1" customHeight="1" x14ac:dyDescent="0.35">
      <c r="A344" s="88">
        <v>3</v>
      </c>
      <c r="B344" s="89"/>
      <c r="C344" s="50" t="s">
        <v>370</v>
      </c>
      <c r="D344" s="50">
        <f>(36.57)*10.764</f>
        <v>393.63947999999999</v>
      </c>
      <c r="E344" s="50">
        <f>(2.42)*10.764</f>
        <v>26.048879999999997</v>
      </c>
      <c r="F344" s="50">
        <f t="shared" si="41"/>
        <v>419.68835999999999</v>
      </c>
      <c r="G344" s="50">
        <v>0</v>
      </c>
      <c r="H344" s="50">
        <f t="shared" si="42"/>
        <v>629.53253999999993</v>
      </c>
      <c r="I344" s="34"/>
    </row>
    <row r="345" spans="1:10" s="35" customFormat="1" ht="15.75" hidden="1" customHeight="1" x14ac:dyDescent="0.35">
      <c r="A345" s="88">
        <v>4</v>
      </c>
      <c r="B345" s="89"/>
      <c r="C345" s="50" t="s">
        <v>370</v>
      </c>
      <c r="D345" s="50">
        <f>(36.57)*10.764</f>
        <v>393.63947999999999</v>
      </c>
      <c r="E345" s="50">
        <f>(2.42)*10.764</f>
        <v>26.048879999999997</v>
      </c>
      <c r="F345" s="50">
        <f t="shared" si="41"/>
        <v>419.68835999999999</v>
      </c>
      <c r="G345" s="50">
        <v>0</v>
      </c>
      <c r="H345" s="50">
        <f t="shared" si="42"/>
        <v>629.53253999999993</v>
      </c>
      <c r="I345" s="34"/>
    </row>
    <row r="346" spans="1:10" s="35" customFormat="1" ht="15.75" hidden="1" customHeight="1" x14ac:dyDescent="0.35">
      <c r="A346" s="88">
        <v>5</v>
      </c>
      <c r="B346" s="89"/>
      <c r="C346" s="50" t="s">
        <v>355</v>
      </c>
      <c r="D346" s="50">
        <f>(55.63)*10.764</f>
        <v>598.80132000000003</v>
      </c>
      <c r="E346" s="50">
        <f>(2.53)*10.764</f>
        <v>27.232919999999996</v>
      </c>
      <c r="F346" s="50">
        <f t="shared" si="41"/>
        <v>626.03424000000007</v>
      </c>
      <c r="G346" s="50">
        <v>0</v>
      </c>
      <c r="H346" s="50">
        <f t="shared" si="42"/>
        <v>939.05136000000016</v>
      </c>
      <c r="I346" s="34"/>
    </row>
    <row r="347" spans="1:10" s="35" customFormat="1" ht="15.75" hidden="1" customHeight="1" x14ac:dyDescent="0.35">
      <c r="A347" s="88">
        <v>6</v>
      </c>
      <c r="B347" s="89"/>
      <c r="C347" s="50" t="s">
        <v>355</v>
      </c>
      <c r="D347" s="50">
        <f>(59.1)*10.764</f>
        <v>636.15239999999994</v>
      </c>
      <c r="E347" s="50">
        <f>(2.53)*10.764</f>
        <v>27.232919999999996</v>
      </c>
      <c r="F347" s="50">
        <f t="shared" si="41"/>
        <v>663.38531999999998</v>
      </c>
      <c r="G347" s="50">
        <v>0</v>
      </c>
      <c r="H347" s="50">
        <f t="shared" si="42"/>
        <v>995.07798000000003</v>
      </c>
      <c r="I347" s="34"/>
    </row>
    <row r="348" spans="1:10" s="35" customFormat="1" ht="15.75" hidden="1" customHeight="1" x14ac:dyDescent="0.35">
      <c r="A348" s="88">
        <v>7</v>
      </c>
      <c r="B348" s="89"/>
      <c r="C348" s="50" t="s">
        <v>370</v>
      </c>
      <c r="D348" s="50">
        <f>(38.85)*10.764</f>
        <v>418.1814</v>
      </c>
      <c r="E348" s="50">
        <f>(2.42)*10.764</f>
        <v>26.048879999999997</v>
      </c>
      <c r="F348" s="50">
        <f t="shared" si="41"/>
        <v>444.23027999999999</v>
      </c>
      <c r="G348" s="50">
        <v>0</v>
      </c>
      <c r="H348" s="50">
        <f t="shared" si="42"/>
        <v>666.34541999999999</v>
      </c>
      <c r="I348" s="34"/>
    </row>
    <row r="349" spans="1:10" s="35" customFormat="1" ht="15.75" hidden="1" customHeight="1" x14ac:dyDescent="0.35">
      <c r="A349" s="88">
        <v>8</v>
      </c>
      <c r="B349" s="89"/>
      <c r="C349" s="50" t="s">
        <v>370</v>
      </c>
      <c r="D349" s="50">
        <f>(38.79)*10.764</f>
        <v>417.53555999999998</v>
      </c>
      <c r="E349" s="50">
        <f>(2.42)*10.764</f>
        <v>26.048879999999997</v>
      </c>
      <c r="F349" s="50">
        <f t="shared" si="41"/>
        <v>443.58443999999997</v>
      </c>
      <c r="G349" s="50">
        <v>0</v>
      </c>
      <c r="H349" s="50">
        <f t="shared" si="42"/>
        <v>665.3766599999999</v>
      </c>
      <c r="I349" s="34"/>
    </row>
    <row r="350" spans="1:10" s="35" customFormat="1" ht="15.75" hidden="1" customHeight="1" x14ac:dyDescent="0.35">
      <c r="A350" s="88">
        <v>9</v>
      </c>
      <c r="B350" s="89"/>
      <c r="C350" s="50" t="s">
        <v>370</v>
      </c>
      <c r="D350" s="50">
        <f>(38.79)*10.764</f>
        <v>417.53555999999998</v>
      </c>
      <c r="E350" s="50">
        <f>(2.42)*10.764</f>
        <v>26.048879999999997</v>
      </c>
      <c r="F350" s="50">
        <f t="shared" si="41"/>
        <v>443.58443999999997</v>
      </c>
      <c r="G350" s="50">
        <v>0</v>
      </c>
      <c r="H350" s="50">
        <f t="shared" si="42"/>
        <v>665.3766599999999</v>
      </c>
      <c r="I350" s="34"/>
    </row>
    <row r="351" spans="1:10" s="35" customFormat="1" ht="15.75" hidden="1" customHeight="1" x14ac:dyDescent="0.35">
      <c r="A351" s="88">
        <v>10</v>
      </c>
      <c r="B351" s="89"/>
      <c r="C351" s="50" t="s">
        <v>355</v>
      </c>
      <c r="D351" s="50">
        <f>(58.73)*10.764</f>
        <v>632.16971999999998</v>
      </c>
      <c r="E351" s="50">
        <f>(2.42)*10.764</f>
        <v>26.048879999999997</v>
      </c>
      <c r="F351" s="50">
        <f t="shared" si="41"/>
        <v>658.21859999999992</v>
      </c>
      <c r="G351" s="50">
        <v>0</v>
      </c>
      <c r="H351" s="50">
        <f t="shared" si="42"/>
        <v>987.32789999999989</v>
      </c>
      <c r="I351" s="34"/>
    </row>
    <row r="352" spans="1:10" s="35" customFormat="1" hidden="1" x14ac:dyDescent="0.35">
      <c r="A352" s="115" t="s">
        <v>418</v>
      </c>
      <c r="B352" s="116"/>
      <c r="C352" s="116"/>
      <c r="D352" s="116"/>
      <c r="E352" s="116"/>
      <c r="F352" s="116"/>
      <c r="G352" s="116"/>
      <c r="H352" s="117"/>
      <c r="I352" s="34"/>
    </row>
    <row r="353" spans="1:14" s="35" customFormat="1" ht="15.75" hidden="1" customHeight="1" x14ac:dyDescent="0.35">
      <c r="A353" s="88">
        <v>1</v>
      </c>
      <c r="B353" s="89"/>
      <c r="C353" s="50" t="s">
        <v>355</v>
      </c>
      <c r="D353" s="50">
        <f>(55.35)*10.764</f>
        <v>595.78739999999993</v>
      </c>
      <c r="E353" s="50">
        <v>0</v>
      </c>
      <c r="F353" s="50">
        <f t="shared" ref="F353:F360" si="43">D353+E353</f>
        <v>595.78739999999993</v>
      </c>
      <c r="G353" s="50">
        <v>0</v>
      </c>
      <c r="H353" s="50">
        <f t="shared" ref="H353:H360" si="44">F353*(($H$157)+1)+(IF(G353&lt;101,G353,IF(G353&lt;201,G353/2,IF(G353&lt;=301,G353/3,G353/4))))</f>
        <v>893.6810999999999</v>
      </c>
      <c r="I353" s="34"/>
    </row>
    <row r="354" spans="1:14" s="35" customFormat="1" ht="15.75" hidden="1" customHeight="1" x14ac:dyDescent="0.35">
      <c r="A354" s="88">
        <v>2</v>
      </c>
      <c r="B354" s="89"/>
      <c r="C354" s="50" t="s">
        <v>370</v>
      </c>
      <c r="D354" s="50">
        <f>(36.25)*10.764</f>
        <v>390.19499999999999</v>
      </c>
      <c r="E354" s="50">
        <v>0</v>
      </c>
      <c r="F354" s="50">
        <f t="shared" si="43"/>
        <v>390.19499999999999</v>
      </c>
      <c r="G354" s="50">
        <v>0</v>
      </c>
      <c r="H354" s="50">
        <v>633</v>
      </c>
      <c r="I354" s="233" t="s">
        <v>420</v>
      </c>
      <c r="J354" s="234"/>
      <c r="K354" s="234"/>
      <c r="L354" s="234"/>
      <c r="M354" s="234"/>
      <c r="N354" s="234"/>
    </row>
    <row r="355" spans="1:14" s="35" customFormat="1" ht="15.75" hidden="1" customHeight="1" x14ac:dyDescent="0.35">
      <c r="A355" s="88">
        <v>3</v>
      </c>
      <c r="B355" s="89"/>
      <c r="C355" s="50" t="s">
        <v>370</v>
      </c>
      <c r="D355" s="50">
        <f>(36.25)*10.764</f>
        <v>390.19499999999999</v>
      </c>
      <c r="E355" s="50">
        <v>0</v>
      </c>
      <c r="F355" s="50">
        <f t="shared" si="43"/>
        <v>390.19499999999999</v>
      </c>
      <c r="G355" s="50">
        <v>0</v>
      </c>
      <c r="H355" s="50">
        <f t="shared" si="44"/>
        <v>585.29250000000002</v>
      </c>
      <c r="I355" s="34"/>
    </row>
    <row r="356" spans="1:14" s="35" customFormat="1" ht="15.75" hidden="1" customHeight="1" x14ac:dyDescent="0.35">
      <c r="A356" s="88">
        <v>4</v>
      </c>
      <c r="B356" s="89"/>
      <c r="C356" s="50" t="s">
        <v>370</v>
      </c>
      <c r="D356" s="50">
        <f>(36.25)*10.764</f>
        <v>390.19499999999999</v>
      </c>
      <c r="E356" s="50">
        <v>0</v>
      </c>
      <c r="F356" s="50">
        <f t="shared" si="43"/>
        <v>390.19499999999999</v>
      </c>
      <c r="G356" s="50">
        <v>0</v>
      </c>
      <c r="H356" s="50">
        <f t="shared" si="44"/>
        <v>585.29250000000002</v>
      </c>
      <c r="I356" s="34"/>
    </row>
    <row r="357" spans="1:14" s="35" customFormat="1" ht="15.75" hidden="1" customHeight="1" x14ac:dyDescent="0.35">
      <c r="A357" s="88">
        <v>5</v>
      </c>
      <c r="B357" s="89"/>
      <c r="C357" s="50" t="s">
        <v>355</v>
      </c>
      <c r="D357" s="50">
        <f>(55.63)*10.764</f>
        <v>598.80132000000003</v>
      </c>
      <c r="E357" s="50">
        <v>0</v>
      </c>
      <c r="F357" s="50">
        <f t="shared" si="43"/>
        <v>598.80132000000003</v>
      </c>
      <c r="G357" s="50">
        <v>0</v>
      </c>
      <c r="H357" s="50">
        <f t="shared" si="44"/>
        <v>898.20198000000005</v>
      </c>
      <c r="I357" s="34"/>
    </row>
    <row r="358" spans="1:14" s="35" customFormat="1" ht="15.75" hidden="1" customHeight="1" x14ac:dyDescent="0.35">
      <c r="A358" s="88">
        <v>6</v>
      </c>
      <c r="B358" s="89"/>
      <c r="C358" s="50" t="s">
        <v>355</v>
      </c>
      <c r="D358" s="50">
        <f>(59.1)*10.764</f>
        <v>636.15239999999994</v>
      </c>
      <c r="E358" s="50">
        <f>(2.53)*10.764</f>
        <v>27.232919999999996</v>
      </c>
      <c r="F358" s="50">
        <f t="shared" si="43"/>
        <v>663.38531999999998</v>
      </c>
      <c r="G358" s="50">
        <v>0</v>
      </c>
      <c r="H358" s="50">
        <f t="shared" si="44"/>
        <v>995.07798000000003</v>
      </c>
      <c r="I358" s="34"/>
    </row>
    <row r="359" spans="1:14" s="35" customFormat="1" ht="15.75" hidden="1" customHeight="1" x14ac:dyDescent="0.35">
      <c r="A359" s="88">
        <v>7</v>
      </c>
      <c r="B359" s="89"/>
      <c r="C359" s="50" t="s">
        <v>370</v>
      </c>
      <c r="D359" s="50">
        <f>(38.85)*10.764</f>
        <v>418.1814</v>
      </c>
      <c r="E359" s="50">
        <f>(2.42)*10.764</f>
        <v>26.048879999999997</v>
      </c>
      <c r="F359" s="50">
        <f t="shared" si="43"/>
        <v>444.23027999999999</v>
      </c>
      <c r="G359" s="50">
        <v>0</v>
      </c>
      <c r="H359" s="50">
        <f t="shared" si="44"/>
        <v>666.34541999999999</v>
      </c>
      <c r="I359" s="34"/>
    </row>
    <row r="360" spans="1:14" s="35" customFormat="1" ht="15.75" hidden="1" customHeight="1" x14ac:dyDescent="0.35">
      <c r="A360" s="88">
        <v>8</v>
      </c>
      <c r="B360" s="89"/>
      <c r="C360" s="50" t="s">
        <v>370</v>
      </c>
      <c r="D360" s="50">
        <f>(38.79)*10.764</f>
        <v>417.53555999999998</v>
      </c>
      <c r="E360" s="50">
        <f>(2.42)*10.764</f>
        <v>26.048879999999997</v>
      </c>
      <c r="F360" s="50">
        <f t="shared" si="43"/>
        <v>443.58443999999997</v>
      </c>
      <c r="G360" s="50">
        <v>0</v>
      </c>
      <c r="H360" s="50">
        <f t="shared" si="44"/>
        <v>665.3766599999999</v>
      </c>
      <c r="I360" s="34"/>
    </row>
    <row r="361" spans="1:14" s="35" customFormat="1" ht="15.75" hidden="1" customHeight="1" x14ac:dyDescent="0.35">
      <c r="A361" s="88">
        <v>9</v>
      </c>
      <c r="B361" s="89"/>
      <c r="C361" s="88" t="s">
        <v>364</v>
      </c>
      <c r="D361" s="97"/>
      <c r="E361" s="97"/>
      <c r="F361" s="97"/>
      <c r="G361" s="97"/>
      <c r="H361" s="89"/>
      <c r="I361" s="34"/>
    </row>
    <row r="362" spans="1:14" s="35" customFormat="1" ht="15.75" hidden="1" customHeight="1" x14ac:dyDescent="0.35">
      <c r="A362" s="88">
        <v>10</v>
      </c>
      <c r="B362" s="89"/>
      <c r="C362" s="50" t="s">
        <v>355</v>
      </c>
      <c r="D362" s="50">
        <f>(58.73)*10.764</f>
        <v>632.16971999999998</v>
      </c>
      <c r="E362" s="50">
        <f>(2.42)*10.764</f>
        <v>26.048879999999997</v>
      </c>
      <c r="F362" s="50">
        <f>D362+E362</f>
        <v>658.21859999999992</v>
      </c>
      <c r="G362" s="50">
        <v>0</v>
      </c>
      <c r="H362" s="50">
        <f>F362*(($H$157)+1)+(IF(G362&lt;101,G362,IF(G362&lt;201,G362/2,IF(G362&lt;=301,G362/3,G362/4))))</f>
        <v>987.32789999999989</v>
      </c>
      <c r="I362" s="34"/>
    </row>
    <row r="363" spans="1:14" s="35" customFormat="1" hidden="1" x14ac:dyDescent="0.35">
      <c r="A363" s="115" t="s">
        <v>419</v>
      </c>
      <c r="B363" s="116"/>
      <c r="C363" s="116"/>
      <c r="D363" s="116"/>
      <c r="E363" s="116"/>
      <c r="F363" s="116"/>
      <c r="G363" s="116"/>
      <c r="H363" s="117"/>
      <c r="I363" s="34"/>
    </row>
    <row r="364" spans="1:14" s="35" customFormat="1" ht="15.75" hidden="1" customHeight="1" x14ac:dyDescent="0.35">
      <c r="A364" s="88">
        <v>1</v>
      </c>
      <c r="B364" s="89"/>
      <c r="C364" s="50" t="s">
        <v>355</v>
      </c>
      <c r="D364" s="50">
        <f>(55.35)*10.764</f>
        <v>595.78739999999993</v>
      </c>
      <c r="E364" s="50">
        <v>0</v>
      </c>
      <c r="F364" s="50">
        <f t="shared" ref="F364:F371" si="45">D364+E364</f>
        <v>595.78739999999993</v>
      </c>
      <c r="G364" s="50">
        <v>0</v>
      </c>
      <c r="H364" s="50">
        <f t="shared" ref="H364:H371" si="46">F364*(($H$157)+1)+(IF(G364&lt;101,G364,IF(G364&lt;201,G364/2,IF(G364&lt;=301,G364/3,G364/4))))</f>
        <v>893.6810999999999</v>
      </c>
      <c r="I364" s="34"/>
    </row>
    <row r="365" spans="1:14" s="35" customFormat="1" ht="15.75" hidden="1" customHeight="1" x14ac:dyDescent="0.35">
      <c r="A365" s="88">
        <v>2</v>
      </c>
      <c r="B365" s="89"/>
      <c r="C365" s="50" t="s">
        <v>370</v>
      </c>
      <c r="D365" s="50">
        <f>(36.25)*10.764</f>
        <v>390.19499999999999</v>
      </c>
      <c r="E365" s="50">
        <v>0</v>
      </c>
      <c r="F365" s="50">
        <f t="shared" si="45"/>
        <v>390.19499999999999</v>
      </c>
      <c r="G365" s="50">
        <v>0</v>
      </c>
      <c r="H365" s="50">
        <f t="shared" si="46"/>
        <v>585.29250000000002</v>
      </c>
      <c r="I365" s="34"/>
    </row>
    <row r="366" spans="1:14" s="35" customFormat="1" ht="15.75" hidden="1" customHeight="1" x14ac:dyDescent="0.35">
      <c r="A366" s="88">
        <v>3</v>
      </c>
      <c r="B366" s="89"/>
      <c r="C366" s="50" t="s">
        <v>370</v>
      </c>
      <c r="D366" s="50">
        <f>(36.25)*10.764</f>
        <v>390.19499999999999</v>
      </c>
      <c r="E366" s="50">
        <v>0</v>
      </c>
      <c r="F366" s="50">
        <f t="shared" si="45"/>
        <v>390.19499999999999</v>
      </c>
      <c r="G366" s="50">
        <v>0</v>
      </c>
      <c r="H366" s="50">
        <f t="shared" si="46"/>
        <v>585.29250000000002</v>
      </c>
      <c r="I366" s="34"/>
    </row>
    <row r="367" spans="1:14" s="35" customFormat="1" ht="15.75" hidden="1" customHeight="1" x14ac:dyDescent="0.35">
      <c r="A367" s="88">
        <v>4</v>
      </c>
      <c r="B367" s="89"/>
      <c r="C367" s="50" t="s">
        <v>370</v>
      </c>
      <c r="D367" s="50">
        <f>(36.25)*10.764</f>
        <v>390.19499999999999</v>
      </c>
      <c r="E367" s="50">
        <v>0</v>
      </c>
      <c r="F367" s="50">
        <f t="shared" si="45"/>
        <v>390.19499999999999</v>
      </c>
      <c r="G367" s="50">
        <v>0</v>
      </c>
      <c r="H367" s="50">
        <f t="shared" si="46"/>
        <v>585.29250000000002</v>
      </c>
      <c r="I367" s="34"/>
    </row>
    <row r="368" spans="1:14" s="35" customFormat="1" ht="15.75" hidden="1" customHeight="1" x14ac:dyDescent="0.35">
      <c r="A368" s="88">
        <v>5</v>
      </c>
      <c r="B368" s="89"/>
      <c r="C368" s="50" t="s">
        <v>355</v>
      </c>
      <c r="D368" s="50">
        <f>(55.63)*10.764</f>
        <v>598.80132000000003</v>
      </c>
      <c r="E368" s="50">
        <v>0</v>
      </c>
      <c r="F368" s="50">
        <f t="shared" si="45"/>
        <v>598.80132000000003</v>
      </c>
      <c r="G368" s="50">
        <v>0</v>
      </c>
      <c r="H368" s="50">
        <f t="shared" si="46"/>
        <v>898.20198000000005</v>
      </c>
      <c r="I368" s="34"/>
    </row>
    <row r="369" spans="1:9" s="35" customFormat="1" ht="15.75" hidden="1" customHeight="1" x14ac:dyDescent="0.35">
      <c r="A369" s="88">
        <v>6</v>
      </c>
      <c r="B369" s="89"/>
      <c r="C369" s="50" t="s">
        <v>355</v>
      </c>
      <c r="D369" s="50">
        <f>(59.1)*10.764</f>
        <v>636.15239999999994</v>
      </c>
      <c r="E369" s="50">
        <f>(2.53)*10.764</f>
        <v>27.232919999999996</v>
      </c>
      <c r="F369" s="50">
        <f t="shared" si="45"/>
        <v>663.38531999999998</v>
      </c>
      <c r="G369" s="50">
        <v>0</v>
      </c>
      <c r="H369" s="50">
        <f t="shared" si="46"/>
        <v>995.07798000000003</v>
      </c>
      <c r="I369" s="34"/>
    </row>
    <row r="370" spans="1:9" s="35" customFormat="1" ht="15.75" hidden="1" customHeight="1" x14ac:dyDescent="0.35">
      <c r="A370" s="88">
        <v>7</v>
      </c>
      <c r="B370" s="89"/>
      <c r="C370" s="50" t="s">
        <v>370</v>
      </c>
      <c r="D370" s="50">
        <f>(38.85)*10.764</f>
        <v>418.1814</v>
      </c>
      <c r="E370" s="50">
        <f>(2.42)*10.764</f>
        <v>26.048879999999997</v>
      </c>
      <c r="F370" s="50">
        <f t="shared" si="45"/>
        <v>444.23027999999999</v>
      </c>
      <c r="G370" s="50">
        <v>0</v>
      </c>
      <c r="H370" s="50">
        <f t="shared" si="46"/>
        <v>666.34541999999999</v>
      </c>
      <c r="I370" s="34"/>
    </row>
    <row r="371" spans="1:9" s="35" customFormat="1" ht="15.75" hidden="1" customHeight="1" x14ac:dyDescent="0.35">
      <c r="A371" s="88">
        <v>8</v>
      </c>
      <c r="B371" s="89"/>
      <c r="C371" s="50" t="s">
        <v>370</v>
      </c>
      <c r="D371" s="50">
        <f>(38.79)*10.764</f>
        <v>417.53555999999998</v>
      </c>
      <c r="E371" s="50">
        <f>(2.42)*10.764</f>
        <v>26.048879999999997</v>
      </c>
      <c r="F371" s="50">
        <f t="shared" si="45"/>
        <v>443.58443999999997</v>
      </c>
      <c r="G371" s="50">
        <v>0</v>
      </c>
      <c r="H371" s="50">
        <f t="shared" si="46"/>
        <v>665.3766599999999</v>
      </c>
      <c r="I371" s="34"/>
    </row>
    <row r="372" spans="1:9" s="35" customFormat="1" ht="15.75" hidden="1" customHeight="1" x14ac:dyDescent="0.35">
      <c r="A372" s="88">
        <v>9</v>
      </c>
      <c r="B372" s="89"/>
      <c r="C372" s="88" t="s">
        <v>364</v>
      </c>
      <c r="D372" s="97"/>
      <c r="E372" s="97"/>
      <c r="F372" s="97"/>
      <c r="G372" s="97"/>
      <c r="H372" s="89"/>
      <c r="I372" s="34"/>
    </row>
    <row r="373" spans="1:9" s="35" customFormat="1" ht="15.75" hidden="1" customHeight="1" x14ac:dyDescent="0.35">
      <c r="A373" s="88">
        <v>10</v>
      </c>
      <c r="B373" s="89"/>
      <c r="C373" s="50" t="s">
        <v>355</v>
      </c>
      <c r="D373" s="50">
        <f>(58.73)*10.764</f>
        <v>632.16971999999998</v>
      </c>
      <c r="E373" s="50">
        <f>(2.42)*10.764</f>
        <v>26.048879999999997</v>
      </c>
      <c r="F373" s="50">
        <f>D373+E373</f>
        <v>658.21859999999992</v>
      </c>
      <c r="G373" s="50">
        <v>0</v>
      </c>
      <c r="H373" s="50">
        <f>F373*(($H$157)+1)+(IF(G373&lt;101,G373,IF(G373&lt;201,G373/2,IF(G373&lt;=301,G373/3,G373/4))))</f>
        <v>987.32789999999989</v>
      </c>
      <c r="I373" s="34"/>
    </row>
    <row r="374" spans="1:9" s="35" customFormat="1" hidden="1" x14ac:dyDescent="0.35">
      <c r="A374" s="96" t="s">
        <v>417</v>
      </c>
      <c r="B374" s="96"/>
      <c r="C374" s="96"/>
      <c r="D374" s="96"/>
      <c r="E374" s="96"/>
      <c r="F374" s="96"/>
      <c r="G374" s="96"/>
      <c r="H374" s="96"/>
      <c r="I374" s="34"/>
    </row>
    <row r="375" spans="1:9" s="35" customFormat="1" ht="15.75" hidden="1" customHeight="1" x14ac:dyDescent="0.35">
      <c r="A375" s="95">
        <v>1</v>
      </c>
      <c r="B375" s="95"/>
      <c r="C375" s="50" t="s">
        <v>355</v>
      </c>
      <c r="D375" s="50">
        <f>(55.66)*10.764</f>
        <v>599.12423999999987</v>
      </c>
      <c r="E375" s="50">
        <f>(2.42)*10.764</f>
        <v>26.048879999999997</v>
      </c>
      <c r="F375" s="50">
        <f t="shared" ref="F375:F382" si="47">D375+E375</f>
        <v>625.17311999999993</v>
      </c>
      <c r="G375" s="50">
        <v>0</v>
      </c>
      <c r="H375" s="50">
        <f t="shared" ref="H375:H382" si="48">F375*(($H$157)+1)+(IF(G375&lt;101,G375,IF(G375&lt;201,G375/2,IF(G375&lt;=301,G375/3,G375/4))))</f>
        <v>937.75967999999989</v>
      </c>
      <c r="I375" s="34"/>
    </row>
    <row r="376" spans="1:9" s="35" customFormat="1" ht="15.75" hidden="1" customHeight="1" x14ac:dyDescent="0.35">
      <c r="A376" s="95">
        <v>2</v>
      </c>
      <c r="B376" s="95"/>
      <c r="C376" s="50" t="s">
        <v>370</v>
      </c>
      <c r="D376" s="50">
        <f>(36.27)*10.764</f>
        <v>390.41028</v>
      </c>
      <c r="E376" s="50">
        <f>(2.42)*10.764</f>
        <v>26.048879999999997</v>
      </c>
      <c r="F376" s="50">
        <f t="shared" si="47"/>
        <v>416.45916</v>
      </c>
      <c r="G376" s="50">
        <v>0</v>
      </c>
      <c r="H376" s="50">
        <f t="shared" si="48"/>
        <v>624.68874000000005</v>
      </c>
      <c r="I376" s="34"/>
    </row>
    <row r="377" spans="1:9" s="35" customFormat="1" ht="15.75" hidden="1" customHeight="1" x14ac:dyDescent="0.35">
      <c r="A377" s="95">
        <v>3</v>
      </c>
      <c r="B377" s="95"/>
      <c r="C377" s="50" t="s">
        <v>370</v>
      </c>
      <c r="D377" s="50">
        <f>(36.57)*10.764</f>
        <v>393.63947999999999</v>
      </c>
      <c r="E377" s="50">
        <f>(2.42)*10.764</f>
        <v>26.048879999999997</v>
      </c>
      <c r="F377" s="50">
        <f t="shared" si="47"/>
        <v>419.68835999999999</v>
      </c>
      <c r="G377" s="50">
        <v>0</v>
      </c>
      <c r="H377" s="50">
        <f t="shared" si="48"/>
        <v>629.53253999999993</v>
      </c>
      <c r="I377" s="34"/>
    </row>
    <row r="378" spans="1:9" s="35" customFormat="1" ht="15.75" hidden="1" customHeight="1" x14ac:dyDescent="0.35">
      <c r="A378" s="95">
        <v>4</v>
      </c>
      <c r="B378" s="95"/>
      <c r="C378" s="50" t="s">
        <v>370</v>
      </c>
      <c r="D378" s="50">
        <f>(36.57)*10.764</f>
        <v>393.63947999999999</v>
      </c>
      <c r="E378" s="50">
        <f>(2.42)*10.764</f>
        <v>26.048879999999997</v>
      </c>
      <c r="F378" s="50">
        <f t="shared" si="47"/>
        <v>419.68835999999999</v>
      </c>
      <c r="G378" s="50">
        <v>0</v>
      </c>
      <c r="H378" s="50">
        <f t="shared" si="48"/>
        <v>629.53253999999993</v>
      </c>
      <c r="I378" s="34"/>
    </row>
    <row r="379" spans="1:9" s="35" customFormat="1" ht="15.75" hidden="1" customHeight="1" x14ac:dyDescent="0.35">
      <c r="A379" s="95">
        <v>5</v>
      </c>
      <c r="B379" s="95"/>
      <c r="C379" s="50" t="s">
        <v>355</v>
      </c>
      <c r="D379" s="50">
        <f>(55.63)*10.764</f>
        <v>598.80132000000003</v>
      </c>
      <c r="E379" s="50">
        <f>(2.53)*10.764</f>
        <v>27.232919999999996</v>
      </c>
      <c r="F379" s="50">
        <f t="shared" si="47"/>
        <v>626.03424000000007</v>
      </c>
      <c r="G379" s="50">
        <v>0</v>
      </c>
      <c r="H379" s="50">
        <f t="shared" si="48"/>
        <v>939.05136000000016</v>
      </c>
      <c r="I379" s="34"/>
    </row>
    <row r="380" spans="1:9" s="35" customFormat="1" ht="15.75" hidden="1" customHeight="1" x14ac:dyDescent="0.35">
      <c r="A380" s="95">
        <v>6</v>
      </c>
      <c r="B380" s="95"/>
      <c r="C380" s="50" t="s">
        <v>355</v>
      </c>
      <c r="D380" s="50">
        <f>(59.1)*10.764</f>
        <v>636.15239999999994</v>
      </c>
      <c r="E380" s="50">
        <f>(2.53)*10.764</f>
        <v>27.232919999999996</v>
      </c>
      <c r="F380" s="50">
        <f t="shared" si="47"/>
        <v>663.38531999999998</v>
      </c>
      <c r="G380" s="50">
        <v>0</v>
      </c>
      <c r="H380" s="50">
        <f t="shared" si="48"/>
        <v>995.07798000000003</v>
      </c>
      <c r="I380" s="34"/>
    </row>
    <row r="381" spans="1:9" s="35" customFormat="1" ht="15.75" hidden="1" customHeight="1" x14ac:dyDescent="0.35">
      <c r="A381" s="88">
        <v>7</v>
      </c>
      <c r="B381" s="89"/>
      <c r="C381" s="50" t="s">
        <v>370</v>
      </c>
      <c r="D381" s="50">
        <f>(38.85)*10.764</f>
        <v>418.1814</v>
      </c>
      <c r="E381" s="50">
        <f>(2.42)*10.764</f>
        <v>26.048879999999997</v>
      </c>
      <c r="F381" s="50">
        <f t="shared" si="47"/>
        <v>444.23027999999999</v>
      </c>
      <c r="G381" s="50">
        <v>0</v>
      </c>
      <c r="H381" s="50">
        <f t="shared" si="48"/>
        <v>666.34541999999999</v>
      </c>
      <c r="I381" s="34"/>
    </row>
    <row r="382" spans="1:9" s="35" customFormat="1" ht="15.75" hidden="1" customHeight="1" x14ac:dyDescent="0.35">
      <c r="A382" s="88">
        <v>8</v>
      </c>
      <c r="B382" s="89"/>
      <c r="C382" s="50" t="s">
        <v>370</v>
      </c>
      <c r="D382" s="50">
        <f>(38.79)*10.764</f>
        <v>417.53555999999998</v>
      </c>
      <c r="E382" s="50">
        <f>(2.42)*10.764</f>
        <v>26.048879999999997</v>
      </c>
      <c r="F382" s="50">
        <f t="shared" si="47"/>
        <v>443.58443999999997</v>
      </c>
      <c r="G382" s="50">
        <v>0</v>
      </c>
      <c r="H382" s="50">
        <f t="shared" si="48"/>
        <v>665.3766599999999</v>
      </c>
      <c r="I382" s="34"/>
    </row>
    <row r="383" spans="1:9" s="35" customFormat="1" ht="15.75" hidden="1" customHeight="1" x14ac:dyDescent="0.35">
      <c r="A383" s="88">
        <v>9</v>
      </c>
      <c r="B383" s="89"/>
      <c r="C383" s="88" t="s">
        <v>364</v>
      </c>
      <c r="D383" s="97"/>
      <c r="E383" s="97"/>
      <c r="F383" s="97"/>
      <c r="G383" s="97"/>
      <c r="H383" s="89"/>
      <c r="I383" s="34"/>
    </row>
    <row r="384" spans="1:9" s="35" customFormat="1" ht="15.75" hidden="1" customHeight="1" x14ac:dyDescent="0.35">
      <c r="A384" s="88">
        <v>10</v>
      </c>
      <c r="B384" s="89"/>
      <c r="C384" s="50" t="s">
        <v>355</v>
      </c>
      <c r="D384" s="50">
        <f>(58.73)*10.764</f>
        <v>632.16971999999998</v>
      </c>
      <c r="E384" s="50">
        <f>(2.42)*10.764</f>
        <v>26.048879999999997</v>
      </c>
      <c r="F384" s="50">
        <f>D384+E384</f>
        <v>658.21859999999992</v>
      </c>
      <c r="G384" s="50">
        <v>0</v>
      </c>
      <c r="H384" s="50">
        <f>F384*(($H$157)+1)+(IF(G384&lt;101,G384,IF(G384&lt;201,G384/2,IF(G384&lt;=301,G384/3,G384/4))))</f>
        <v>987.32789999999989</v>
      </c>
      <c r="I384" s="34"/>
    </row>
    <row r="385" spans="1:10" s="35" customFormat="1" hidden="1" x14ac:dyDescent="0.35">
      <c r="A385" s="96" t="s">
        <v>410</v>
      </c>
      <c r="B385" s="96"/>
      <c r="C385" s="96"/>
      <c r="D385" s="96"/>
      <c r="E385" s="96"/>
      <c r="F385" s="96"/>
      <c r="G385" s="96"/>
      <c r="H385" s="96"/>
      <c r="I385" s="34"/>
    </row>
    <row r="386" spans="1:10" s="35" customFormat="1" ht="15.75" hidden="1" customHeight="1" x14ac:dyDescent="0.35">
      <c r="A386" s="95">
        <v>1</v>
      </c>
      <c r="B386" s="95"/>
      <c r="C386" s="95" t="s">
        <v>377</v>
      </c>
      <c r="D386" s="95"/>
      <c r="E386" s="95"/>
      <c r="F386" s="95"/>
      <c r="G386" s="95"/>
      <c r="H386" s="95"/>
      <c r="I386" s="34"/>
    </row>
    <row r="387" spans="1:10" s="35" customFormat="1" ht="15.75" hidden="1" customHeight="1" x14ac:dyDescent="0.35">
      <c r="A387" s="95">
        <v>2</v>
      </c>
      <c r="B387" s="95"/>
      <c r="C387" s="95"/>
      <c r="D387" s="95"/>
      <c r="E387" s="95"/>
      <c r="F387" s="95"/>
      <c r="G387" s="95"/>
      <c r="H387" s="95"/>
      <c r="I387" s="34"/>
    </row>
    <row r="388" spans="1:10" s="35" customFormat="1" ht="15.75" hidden="1" customHeight="1" x14ac:dyDescent="0.35">
      <c r="A388" s="95">
        <v>3</v>
      </c>
      <c r="B388" s="95"/>
      <c r="C388" s="95"/>
      <c r="D388" s="95"/>
      <c r="E388" s="95"/>
      <c r="F388" s="95"/>
      <c r="G388" s="95"/>
      <c r="H388" s="95"/>
      <c r="I388" s="34"/>
    </row>
    <row r="389" spans="1:10" s="35" customFormat="1" ht="15.75" hidden="1" customHeight="1" x14ac:dyDescent="0.35">
      <c r="A389" s="95">
        <v>4</v>
      </c>
      <c r="B389" s="95"/>
      <c r="C389" s="95"/>
      <c r="D389" s="95"/>
      <c r="E389" s="95"/>
      <c r="F389" s="95"/>
      <c r="G389" s="95"/>
      <c r="H389" s="95"/>
      <c r="I389" s="34"/>
    </row>
    <row r="390" spans="1:10" s="35" customFormat="1" ht="15.75" hidden="1" customHeight="1" x14ac:dyDescent="0.35">
      <c r="A390" s="95">
        <v>5</v>
      </c>
      <c r="B390" s="95"/>
      <c r="C390" s="50" t="s">
        <v>355</v>
      </c>
      <c r="D390" s="50">
        <f>(55.63)*10.764</f>
        <v>598.80132000000003</v>
      </c>
      <c r="E390" s="50">
        <f>(2.53)*10.764</f>
        <v>27.232919999999996</v>
      </c>
      <c r="F390" s="50">
        <f t="shared" ref="F390:F395" si="49">D390+E390</f>
        <v>626.03424000000007</v>
      </c>
      <c r="G390" s="50">
        <v>0</v>
      </c>
      <c r="H390" s="50">
        <f t="shared" ref="H390:H395" si="50">F390*(($H$157)+1)+(IF(G390&lt;101,G390,IF(G390&lt;201,G390/2,IF(G390&lt;=301,G390/3,G390/4))))</f>
        <v>939.05136000000016</v>
      </c>
      <c r="I390" s="34"/>
    </row>
    <row r="391" spans="1:10" s="35" customFormat="1" ht="15.75" hidden="1" customHeight="1" x14ac:dyDescent="0.35">
      <c r="A391" s="95">
        <v>6</v>
      </c>
      <c r="B391" s="95"/>
      <c r="C391" s="50" t="s">
        <v>355</v>
      </c>
      <c r="D391" s="50">
        <f>(59.1)*10.764</f>
        <v>636.15239999999994</v>
      </c>
      <c r="E391" s="50">
        <f>(2.53)*10.764</f>
        <v>27.232919999999996</v>
      </c>
      <c r="F391" s="50">
        <f t="shared" si="49"/>
        <v>663.38531999999998</v>
      </c>
      <c r="G391" s="50">
        <v>0</v>
      </c>
      <c r="H391" s="50">
        <f t="shared" si="50"/>
        <v>995.07798000000003</v>
      </c>
      <c r="I391" s="34"/>
    </row>
    <row r="392" spans="1:10" s="35" customFormat="1" ht="15.75" hidden="1" customHeight="1" x14ac:dyDescent="0.35">
      <c r="A392" s="88">
        <v>7</v>
      </c>
      <c r="B392" s="89"/>
      <c r="C392" s="50" t="s">
        <v>370</v>
      </c>
      <c r="D392" s="50">
        <f>(38.85)*10.764</f>
        <v>418.1814</v>
      </c>
      <c r="E392" s="50">
        <f>(2.42)*10.764</f>
        <v>26.048879999999997</v>
      </c>
      <c r="F392" s="50">
        <f t="shared" si="49"/>
        <v>444.23027999999999</v>
      </c>
      <c r="G392" s="50">
        <v>0</v>
      </c>
      <c r="H392" s="50">
        <f t="shared" si="50"/>
        <v>666.34541999999999</v>
      </c>
      <c r="I392" s="34"/>
    </row>
    <row r="393" spans="1:10" s="35" customFormat="1" ht="15.75" hidden="1" customHeight="1" x14ac:dyDescent="0.35">
      <c r="A393" s="88">
        <v>8</v>
      </c>
      <c r="B393" s="89"/>
      <c r="C393" s="50" t="s">
        <v>370</v>
      </c>
      <c r="D393" s="50">
        <f>(38.79)*10.764</f>
        <v>417.53555999999998</v>
      </c>
      <c r="E393" s="50">
        <f>(2.42)*10.764</f>
        <v>26.048879999999997</v>
      </c>
      <c r="F393" s="50">
        <f t="shared" si="49"/>
        <v>443.58443999999997</v>
      </c>
      <c r="G393" s="50">
        <v>0</v>
      </c>
      <c r="H393" s="50">
        <f t="shared" si="50"/>
        <v>665.3766599999999</v>
      </c>
      <c r="I393" s="34"/>
    </row>
    <row r="394" spans="1:10" s="35" customFormat="1" ht="15.75" hidden="1" customHeight="1" x14ac:dyDescent="0.35">
      <c r="A394" s="88">
        <v>9</v>
      </c>
      <c r="B394" s="89"/>
      <c r="C394" s="50" t="s">
        <v>370</v>
      </c>
      <c r="D394" s="50">
        <f>(38.79)*10.764</f>
        <v>417.53555999999998</v>
      </c>
      <c r="E394" s="50">
        <f>(2.42)*10.764</f>
        <v>26.048879999999997</v>
      </c>
      <c r="F394" s="50">
        <f t="shared" si="49"/>
        <v>443.58443999999997</v>
      </c>
      <c r="G394" s="50">
        <v>0</v>
      </c>
      <c r="H394" s="50">
        <f t="shared" si="50"/>
        <v>665.3766599999999</v>
      </c>
      <c r="I394" s="34"/>
    </row>
    <row r="395" spans="1:10" s="35" customFormat="1" ht="15.75" hidden="1" customHeight="1" x14ac:dyDescent="0.35">
      <c r="A395" s="88">
        <v>10</v>
      </c>
      <c r="B395" s="89"/>
      <c r="C395" s="50" t="s">
        <v>355</v>
      </c>
      <c r="D395" s="50">
        <f>(58.73)*10.764</f>
        <v>632.16971999999998</v>
      </c>
      <c r="E395" s="50">
        <f>(2.42)*10.764</f>
        <v>26.048879999999997</v>
      </c>
      <c r="F395" s="50">
        <f t="shared" si="49"/>
        <v>658.21859999999992</v>
      </c>
      <c r="G395" s="50">
        <v>0</v>
      </c>
      <c r="H395" s="50">
        <f t="shared" si="50"/>
        <v>987.32789999999989</v>
      </c>
      <c r="I395" s="34"/>
    </row>
    <row r="396" spans="1:10" s="35" customFormat="1" x14ac:dyDescent="0.35">
      <c r="A396" s="209" t="s">
        <v>409</v>
      </c>
      <c r="B396" s="210"/>
      <c r="C396" s="210"/>
      <c r="D396" s="210"/>
      <c r="E396" s="210"/>
      <c r="F396" s="210"/>
      <c r="G396" s="210"/>
      <c r="H396" s="211"/>
      <c r="J396" s="34"/>
    </row>
    <row r="397" spans="1:10" s="35" customFormat="1" x14ac:dyDescent="0.35">
      <c r="A397" s="115" t="s">
        <v>406</v>
      </c>
      <c r="B397" s="116"/>
      <c r="C397" s="116"/>
      <c r="D397" s="116"/>
      <c r="E397" s="116"/>
      <c r="F397" s="116"/>
      <c r="G397" s="116"/>
      <c r="H397" s="117"/>
      <c r="J397" s="34"/>
    </row>
    <row r="398" spans="1:10" s="35" customFormat="1" x14ac:dyDescent="0.35">
      <c r="A398" s="115" t="s">
        <v>368</v>
      </c>
      <c r="B398" s="116"/>
      <c r="C398" s="116"/>
      <c r="D398" s="116"/>
      <c r="E398" s="116"/>
      <c r="F398" s="116"/>
      <c r="G398" s="116"/>
      <c r="H398" s="117"/>
      <c r="J398" s="34"/>
    </row>
    <row r="399" spans="1:10" s="35" customFormat="1" x14ac:dyDescent="0.35">
      <c r="A399" s="115" t="s">
        <v>385</v>
      </c>
      <c r="B399" s="116"/>
      <c r="C399" s="116"/>
      <c r="D399" s="116"/>
      <c r="E399" s="116"/>
      <c r="F399" s="116"/>
      <c r="G399" s="116"/>
      <c r="H399" s="117"/>
      <c r="I399" s="34"/>
    </row>
    <row r="400" spans="1:10" s="35" customFormat="1" ht="15.75" customHeight="1" x14ac:dyDescent="0.35">
      <c r="A400" s="67">
        <v>1</v>
      </c>
      <c r="B400" s="67" t="s">
        <v>380</v>
      </c>
      <c r="C400" s="50" t="s">
        <v>355</v>
      </c>
      <c r="D400" s="50">
        <f>(49.84)*10.764</f>
        <v>536.47775999999999</v>
      </c>
      <c r="E400" s="50">
        <v>0</v>
      </c>
      <c r="F400" s="50">
        <f t="shared" ref="F400:F409" si="51">D400+E400</f>
        <v>536.47775999999999</v>
      </c>
      <c r="G400" s="50">
        <v>0</v>
      </c>
      <c r="H400" s="50">
        <f t="shared" ref="H400:H409" si="52">F400*(($H$157)+1)+(IF(G400&lt;101,G400,IF(G400&lt;201,G400/2,IF(G400&lt;=301,G400/3,G400/4))))</f>
        <v>804.71663999999998</v>
      </c>
      <c r="I400" s="34">
        <f>3.05*3.53+2.12*2.25+3.05*3.35+3.05*3.8+1.38*2.13+2.12*1.4+1.45*1.2+5.5*0.9</f>
        <v>49.941399999999994</v>
      </c>
    </row>
    <row r="401" spans="1:9" s="35" customFormat="1" ht="15.75" customHeight="1" x14ac:dyDescent="0.35">
      <c r="A401" s="67">
        <f>A400+1</f>
        <v>2</v>
      </c>
      <c r="B401" s="67" t="s">
        <v>380</v>
      </c>
      <c r="C401" s="50" t="s">
        <v>370</v>
      </c>
      <c r="D401" s="50">
        <f>(36.73)*10.764</f>
        <v>395.36171999999993</v>
      </c>
      <c r="E401" s="50">
        <v>0</v>
      </c>
      <c r="F401" s="50">
        <f t="shared" si="51"/>
        <v>395.36171999999993</v>
      </c>
      <c r="G401" s="50">
        <v>0</v>
      </c>
      <c r="H401" s="50">
        <f t="shared" si="52"/>
        <v>593.04257999999993</v>
      </c>
      <c r="I401" s="34"/>
    </row>
    <row r="402" spans="1:9" s="35" customFormat="1" ht="15.75" customHeight="1" x14ac:dyDescent="0.35">
      <c r="A402" s="67">
        <f t="shared" ref="A402:A409" si="53">A401+1</f>
        <v>3</v>
      </c>
      <c r="B402" s="67" t="s">
        <v>380</v>
      </c>
      <c r="C402" s="50" t="s">
        <v>370</v>
      </c>
      <c r="D402" s="50">
        <f>(36.15)*10.764</f>
        <v>389.11859999999996</v>
      </c>
      <c r="E402" s="50">
        <v>0</v>
      </c>
      <c r="F402" s="50">
        <f t="shared" si="51"/>
        <v>389.11859999999996</v>
      </c>
      <c r="G402" s="50">
        <v>0</v>
      </c>
      <c r="H402" s="50">
        <f t="shared" si="52"/>
        <v>583.67789999999991</v>
      </c>
      <c r="I402" s="34"/>
    </row>
    <row r="403" spans="1:9" s="35" customFormat="1" ht="15.75" customHeight="1" x14ac:dyDescent="0.35">
      <c r="A403" s="67">
        <f t="shared" si="53"/>
        <v>4</v>
      </c>
      <c r="B403" s="67" t="s">
        <v>380</v>
      </c>
      <c r="C403" s="50" t="s">
        <v>370</v>
      </c>
      <c r="D403" s="50">
        <f>(36.15)*10.764</f>
        <v>389.11859999999996</v>
      </c>
      <c r="E403" s="50">
        <v>0</v>
      </c>
      <c r="F403" s="50">
        <f t="shared" si="51"/>
        <v>389.11859999999996</v>
      </c>
      <c r="G403" s="50">
        <v>0</v>
      </c>
      <c r="H403" s="50">
        <f t="shared" si="52"/>
        <v>583.67789999999991</v>
      </c>
      <c r="I403" s="34"/>
    </row>
    <row r="404" spans="1:9" s="35" customFormat="1" ht="15.75" customHeight="1" x14ac:dyDescent="0.35">
      <c r="A404" s="67">
        <f t="shared" si="53"/>
        <v>5</v>
      </c>
      <c r="B404" s="67" t="s">
        <v>380</v>
      </c>
      <c r="C404" s="50" t="s">
        <v>355</v>
      </c>
      <c r="D404" s="50">
        <f>(49.83)*10.764</f>
        <v>536.37011999999993</v>
      </c>
      <c r="E404" s="50">
        <v>0</v>
      </c>
      <c r="F404" s="50">
        <f t="shared" si="51"/>
        <v>536.37011999999993</v>
      </c>
      <c r="G404" s="50">
        <v>0</v>
      </c>
      <c r="H404" s="50">
        <f t="shared" si="52"/>
        <v>804.55517999999984</v>
      </c>
      <c r="I404" s="34"/>
    </row>
    <row r="405" spans="1:9" s="35" customFormat="1" ht="15.75" customHeight="1" x14ac:dyDescent="0.35">
      <c r="A405" s="67">
        <f t="shared" si="53"/>
        <v>6</v>
      </c>
      <c r="B405" s="67" t="s">
        <v>380</v>
      </c>
      <c r="C405" s="50" t="s">
        <v>355</v>
      </c>
      <c r="D405" s="50">
        <f>(49.78)*10.764</f>
        <v>535.83191999999997</v>
      </c>
      <c r="E405" s="50">
        <v>0</v>
      </c>
      <c r="F405" s="50">
        <f t="shared" si="51"/>
        <v>535.83191999999997</v>
      </c>
      <c r="G405" s="50">
        <v>0</v>
      </c>
      <c r="H405" s="50">
        <f t="shared" si="52"/>
        <v>803.7478799999999</v>
      </c>
      <c r="I405" s="34"/>
    </row>
    <row r="406" spans="1:9" s="35" customFormat="1" ht="15.75" customHeight="1" x14ac:dyDescent="0.35">
      <c r="A406" s="67">
        <f t="shared" si="53"/>
        <v>7</v>
      </c>
      <c r="B406" s="67" t="s">
        <v>380</v>
      </c>
      <c r="C406" s="50" t="s">
        <v>370</v>
      </c>
      <c r="D406" s="50">
        <f>(38.48)*10.764</f>
        <v>414.19871999999992</v>
      </c>
      <c r="E406" s="50">
        <v>0</v>
      </c>
      <c r="F406" s="50">
        <f t="shared" si="51"/>
        <v>414.19871999999992</v>
      </c>
      <c r="G406" s="50">
        <v>0</v>
      </c>
      <c r="H406" s="50">
        <f t="shared" si="52"/>
        <v>621.29807999999991</v>
      </c>
      <c r="I406" s="34">
        <f>3.05*4.43+2.12*2.45+3.05*3.05+2.13*1.38+1.38*2.13+2.45*0.9+1.58*0.6</f>
        <v>37.0398</v>
      </c>
    </row>
    <row r="407" spans="1:9" s="35" customFormat="1" ht="15.75" customHeight="1" x14ac:dyDescent="0.35">
      <c r="A407" s="67">
        <f t="shared" si="53"/>
        <v>8</v>
      </c>
      <c r="B407" s="67" t="s">
        <v>380</v>
      </c>
      <c r="C407" s="50" t="s">
        <v>370</v>
      </c>
      <c r="D407" s="50">
        <f>(38.48)*10.764</f>
        <v>414.19871999999992</v>
      </c>
      <c r="E407" s="50">
        <v>0</v>
      </c>
      <c r="F407" s="50">
        <f t="shared" si="51"/>
        <v>414.19871999999992</v>
      </c>
      <c r="G407" s="50">
        <v>0</v>
      </c>
      <c r="H407" s="50">
        <f t="shared" si="52"/>
        <v>621.29807999999991</v>
      </c>
      <c r="I407" s="34"/>
    </row>
    <row r="408" spans="1:9" s="35" customFormat="1" ht="15.75" customHeight="1" x14ac:dyDescent="0.35">
      <c r="A408" s="67">
        <f t="shared" si="53"/>
        <v>9</v>
      </c>
      <c r="B408" s="67" t="s">
        <v>380</v>
      </c>
      <c r="C408" s="50" t="s">
        <v>370</v>
      </c>
      <c r="D408" s="50">
        <f>(38.54)*10.764</f>
        <v>414.84455999999994</v>
      </c>
      <c r="E408" s="50">
        <v>0</v>
      </c>
      <c r="F408" s="50">
        <f t="shared" si="51"/>
        <v>414.84455999999994</v>
      </c>
      <c r="G408" s="50">
        <v>0</v>
      </c>
      <c r="H408" s="50">
        <f t="shared" si="52"/>
        <v>622.26683999999989</v>
      </c>
      <c r="I408" s="34"/>
    </row>
    <row r="409" spans="1:9" s="35" customFormat="1" ht="15.75" customHeight="1" x14ac:dyDescent="0.35">
      <c r="A409" s="67">
        <f t="shared" si="53"/>
        <v>10</v>
      </c>
      <c r="B409" s="67" t="s">
        <v>380</v>
      </c>
      <c r="C409" s="50" t="s">
        <v>355</v>
      </c>
      <c r="D409" s="50">
        <f>(49.81)*10.764</f>
        <v>536.15484000000004</v>
      </c>
      <c r="E409" s="50">
        <v>0</v>
      </c>
      <c r="F409" s="50">
        <f t="shared" si="51"/>
        <v>536.15484000000004</v>
      </c>
      <c r="G409" s="50">
        <v>0</v>
      </c>
      <c r="H409" s="50">
        <f t="shared" si="52"/>
        <v>804.23226</v>
      </c>
      <c r="I409" s="34"/>
    </row>
    <row r="410" spans="1:9" s="35" customFormat="1" x14ac:dyDescent="0.35">
      <c r="A410" s="96" t="s">
        <v>379</v>
      </c>
      <c r="B410" s="96"/>
      <c r="C410" s="96"/>
      <c r="D410" s="96"/>
      <c r="E410" s="96"/>
      <c r="F410" s="96"/>
      <c r="G410" s="96"/>
      <c r="H410" s="96"/>
      <c r="I410" s="34"/>
    </row>
    <row r="411" spans="1:9" s="35" customFormat="1" ht="15.75" customHeight="1" x14ac:dyDescent="0.35">
      <c r="A411" s="50">
        <v>1</v>
      </c>
      <c r="B411" s="50" t="s">
        <v>380</v>
      </c>
      <c r="C411" s="50" t="s">
        <v>355</v>
      </c>
      <c r="D411" s="50">
        <f>(49.84)*10.764</f>
        <v>536.47775999999999</v>
      </c>
      <c r="E411" s="50">
        <v>0</v>
      </c>
      <c r="F411" s="50">
        <f t="shared" ref="F411:F420" si="54">D411+E411</f>
        <v>536.47775999999999</v>
      </c>
      <c r="G411" s="50">
        <v>0</v>
      </c>
      <c r="H411" s="50">
        <f t="shared" ref="H411:H420" si="55">F411*(($H$157)+1)+(IF(G411&lt;101,G411,IF(G411&lt;201,G411/2,IF(G411&lt;=301,G411/3,G411/4))))</f>
        <v>804.71663999999998</v>
      </c>
      <c r="I411" s="34"/>
    </row>
    <row r="412" spans="1:9" s="35" customFormat="1" ht="15.75" customHeight="1" x14ac:dyDescent="0.35">
      <c r="A412" s="50">
        <f>A411+1</f>
        <v>2</v>
      </c>
      <c r="B412" s="50" t="s">
        <v>380</v>
      </c>
      <c r="C412" s="50" t="s">
        <v>370</v>
      </c>
      <c r="D412" s="50">
        <f>(36.73)*10.764</f>
        <v>395.36171999999993</v>
      </c>
      <c r="E412" s="50">
        <v>0</v>
      </c>
      <c r="F412" s="50">
        <f t="shared" si="54"/>
        <v>395.36171999999993</v>
      </c>
      <c r="G412" s="50">
        <v>0</v>
      </c>
      <c r="H412" s="50">
        <f t="shared" si="55"/>
        <v>593.04257999999993</v>
      </c>
      <c r="I412" s="34"/>
    </row>
    <row r="413" spans="1:9" s="35" customFormat="1" ht="15.75" customHeight="1" x14ac:dyDescent="0.35">
      <c r="A413" s="50">
        <f t="shared" ref="A413:A420" si="56">A412+1</f>
        <v>3</v>
      </c>
      <c r="B413" s="50" t="s">
        <v>380</v>
      </c>
      <c r="C413" s="50" t="s">
        <v>370</v>
      </c>
      <c r="D413" s="50">
        <f>(36.15)*10.764</f>
        <v>389.11859999999996</v>
      </c>
      <c r="E413" s="50">
        <v>0</v>
      </c>
      <c r="F413" s="50">
        <f t="shared" si="54"/>
        <v>389.11859999999996</v>
      </c>
      <c r="G413" s="50">
        <v>0</v>
      </c>
      <c r="H413" s="50">
        <f t="shared" si="55"/>
        <v>583.67789999999991</v>
      </c>
      <c r="I413" s="34"/>
    </row>
    <row r="414" spans="1:9" s="35" customFormat="1" ht="15.75" customHeight="1" x14ac:dyDescent="0.35">
      <c r="A414" s="50">
        <f t="shared" si="56"/>
        <v>4</v>
      </c>
      <c r="B414" s="50" t="s">
        <v>380</v>
      </c>
      <c r="C414" s="50" t="s">
        <v>370</v>
      </c>
      <c r="D414" s="50">
        <f>(36.15)*10.764</f>
        <v>389.11859999999996</v>
      </c>
      <c r="E414" s="50">
        <v>0</v>
      </c>
      <c r="F414" s="50">
        <f t="shared" si="54"/>
        <v>389.11859999999996</v>
      </c>
      <c r="G414" s="50">
        <v>0</v>
      </c>
      <c r="H414" s="50">
        <f t="shared" si="55"/>
        <v>583.67789999999991</v>
      </c>
      <c r="I414" s="34"/>
    </row>
    <row r="415" spans="1:9" s="35" customFormat="1" ht="15.75" customHeight="1" x14ac:dyDescent="0.35">
      <c r="A415" s="50">
        <f t="shared" si="56"/>
        <v>5</v>
      </c>
      <c r="B415" s="50" t="s">
        <v>380</v>
      </c>
      <c r="C415" s="50" t="s">
        <v>355</v>
      </c>
      <c r="D415" s="50">
        <f>(49.83)*10.764</f>
        <v>536.37011999999993</v>
      </c>
      <c r="E415" s="50">
        <v>0</v>
      </c>
      <c r="F415" s="50">
        <f t="shared" si="54"/>
        <v>536.37011999999993</v>
      </c>
      <c r="G415" s="50">
        <v>0</v>
      </c>
      <c r="H415" s="50">
        <f t="shared" si="55"/>
        <v>804.55517999999984</v>
      </c>
      <c r="I415" s="34"/>
    </row>
    <row r="416" spans="1:9" s="35" customFormat="1" ht="15.75" customHeight="1" x14ac:dyDescent="0.35">
      <c r="A416" s="50">
        <f t="shared" si="56"/>
        <v>6</v>
      </c>
      <c r="B416" s="50" t="s">
        <v>380</v>
      </c>
      <c r="C416" s="50" t="s">
        <v>355</v>
      </c>
      <c r="D416" s="50">
        <f>(49.78)*10.764</f>
        <v>535.83191999999997</v>
      </c>
      <c r="E416" s="50">
        <v>0</v>
      </c>
      <c r="F416" s="50">
        <f t="shared" si="54"/>
        <v>535.83191999999997</v>
      </c>
      <c r="G416" s="50">
        <v>0</v>
      </c>
      <c r="H416" s="50">
        <f t="shared" si="55"/>
        <v>803.7478799999999</v>
      </c>
      <c r="I416" s="34"/>
    </row>
    <row r="417" spans="1:13" s="35" customFormat="1" ht="15.75" customHeight="1" x14ac:dyDescent="0.35">
      <c r="A417" s="50">
        <f t="shared" si="56"/>
        <v>7</v>
      </c>
      <c r="B417" s="50" t="s">
        <v>380</v>
      </c>
      <c r="C417" s="50" t="s">
        <v>370</v>
      </c>
      <c r="D417" s="50">
        <f>(38.48)*10.764</f>
        <v>414.19871999999992</v>
      </c>
      <c r="E417" s="50">
        <v>0</v>
      </c>
      <c r="F417" s="50">
        <f t="shared" si="54"/>
        <v>414.19871999999992</v>
      </c>
      <c r="G417" s="50">
        <v>0</v>
      </c>
      <c r="H417" s="50">
        <f t="shared" si="55"/>
        <v>621.29807999999991</v>
      </c>
      <c r="I417" s="34"/>
    </row>
    <row r="418" spans="1:13" s="35" customFormat="1" ht="15.75" customHeight="1" x14ac:dyDescent="0.35">
      <c r="A418" s="50">
        <f t="shared" si="56"/>
        <v>8</v>
      </c>
      <c r="B418" s="50" t="s">
        <v>380</v>
      </c>
      <c r="C418" s="50" t="s">
        <v>370</v>
      </c>
      <c r="D418" s="50">
        <f>(38.48)*10.764</f>
        <v>414.19871999999992</v>
      </c>
      <c r="E418" s="50">
        <v>0</v>
      </c>
      <c r="F418" s="50">
        <f t="shared" si="54"/>
        <v>414.19871999999992</v>
      </c>
      <c r="G418" s="50">
        <v>0</v>
      </c>
      <c r="H418" s="50">
        <f t="shared" si="55"/>
        <v>621.29807999999991</v>
      </c>
      <c r="I418" s="34"/>
    </row>
    <row r="419" spans="1:13" s="35" customFormat="1" ht="15.75" customHeight="1" x14ac:dyDescent="0.35">
      <c r="A419" s="50">
        <f t="shared" si="56"/>
        <v>9</v>
      </c>
      <c r="B419" s="50" t="s">
        <v>380</v>
      </c>
      <c r="C419" s="50" t="s">
        <v>370</v>
      </c>
      <c r="D419" s="50">
        <f>(38.54)*10.764</f>
        <v>414.84455999999994</v>
      </c>
      <c r="E419" s="50">
        <v>0</v>
      </c>
      <c r="F419" s="50">
        <f t="shared" si="54"/>
        <v>414.84455999999994</v>
      </c>
      <c r="G419" s="50">
        <v>0</v>
      </c>
      <c r="H419" s="50">
        <f t="shared" si="55"/>
        <v>622.26683999999989</v>
      </c>
      <c r="I419" s="34"/>
    </row>
    <row r="420" spans="1:13" s="35" customFormat="1" ht="15.75" customHeight="1" x14ac:dyDescent="0.35">
      <c r="A420" s="50">
        <f t="shared" si="56"/>
        <v>10</v>
      </c>
      <c r="B420" s="50" t="s">
        <v>380</v>
      </c>
      <c r="C420" s="50" t="s">
        <v>355</v>
      </c>
      <c r="D420" s="50">
        <f>(49.81)*10.764</f>
        <v>536.15484000000004</v>
      </c>
      <c r="E420" s="50">
        <v>0</v>
      </c>
      <c r="F420" s="50">
        <f t="shared" si="54"/>
        <v>536.15484000000004</v>
      </c>
      <c r="G420" s="50">
        <v>0</v>
      </c>
      <c r="H420" s="50">
        <f t="shared" si="55"/>
        <v>804.23226</v>
      </c>
      <c r="I420" s="34"/>
    </row>
    <row r="421" spans="1:13" s="35" customFormat="1" x14ac:dyDescent="0.35">
      <c r="A421" s="96" t="s">
        <v>381</v>
      </c>
      <c r="B421" s="96"/>
      <c r="C421" s="96"/>
      <c r="D421" s="96"/>
      <c r="E421" s="96"/>
      <c r="F421" s="96"/>
      <c r="G421" s="96"/>
      <c r="H421" s="96"/>
      <c r="I421" s="34"/>
    </row>
    <row r="422" spans="1:13" s="35" customFormat="1" ht="15.75" customHeight="1" x14ac:dyDescent="0.35">
      <c r="A422" s="50">
        <v>1</v>
      </c>
      <c r="B422" s="50" t="s">
        <v>382</v>
      </c>
      <c r="C422" s="50" t="s">
        <v>355</v>
      </c>
      <c r="D422" s="50">
        <f>(55.59)*10.764</f>
        <v>598.37076000000002</v>
      </c>
      <c r="E422" s="50">
        <v>0</v>
      </c>
      <c r="F422" s="50">
        <f t="shared" ref="F422:F431" si="57">D422+E422</f>
        <v>598.37076000000002</v>
      </c>
      <c r="G422" s="50">
        <v>0</v>
      </c>
      <c r="H422" s="50">
        <f t="shared" ref="H422:H431" si="58">F422*(($H$157)+1)+(IF(G422&lt;101,G422,IF(G422&lt;201,G422/2,IF(G422&lt;=301,G422/3,G422/4))))</f>
        <v>897.55614000000003</v>
      </c>
      <c r="I422" s="34">
        <f>3.05*4.72+2.12*3.05+3.05*3.05+3.05*3.05+1.38*2.13+2.12*1.38+2.38*1.3+4.35*0.9+1.75*0.6</f>
        <v>53.390999999999998</v>
      </c>
    </row>
    <row r="423" spans="1:13" s="35" customFormat="1" ht="15.75" customHeight="1" x14ac:dyDescent="0.35">
      <c r="A423" s="50">
        <f>A422+1</f>
        <v>2</v>
      </c>
      <c r="B423" s="50" t="s">
        <v>382</v>
      </c>
      <c r="C423" s="50" t="s">
        <v>370</v>
      </c>
      <c r="D423" s="50">
        <f>(36.56)*10.764</f>
        <v>393.53183999999999</v>
      </c>
      <c r="E423" s="50">
        <v>0</v>
      </c>
      <c r="F423" s="50">
        <f t="shared" si="57"/>
        <v>393.53183999999999</v>
      </c>
      <c r="G423" s="50">
        <v>0</v>
      </c>
      <c r="H423" s="50">
        <f t="shared" si="58"/>
        <v>590.29775999999993</v>
      </c>
      <c r="I423" s="34"/>
    </row>
    <row r="424" spans="1:13" s="35" customFormat="1" ht="15.75" customHeight="1" x14ac:dyDescent="0.35">
      <c r="A424" s="50">
        <f t="shared" ref="A424:A431" si="59">A423+1</f>
        <v>3</v>
      </c>
      <c r="B424" s="50" t="s">
        <v>382</v>
      </c>
      <c r="C424" s="50" t="s">
        <v>370</v>
      </c>
      <c r="D424" s="50">
        <f>(36.46)*10.764</f>
        <v>392.45544000000001</v>
      </c>
      <c r="E424" s="50">
        <v>0</v>
      </c>
      <c r="F424" s="50">
        <f t="shared" si="57"/>
        <v>392.45544000000001</v>
      </c>
      <c r="G424" s="50">
        <v>0</v>
      </c>
      <c r="H424" s="50">
        <f t="shared" si="58"/>
        <v>588.68316000000004</v>
      </c>
      <c r="I424" s="34">
        <f>3.05*4.28+1.8*2.6+3.08*3.05+1.83*1.3+1.3*1.83+2.05*0.9+1.68*0.6</f>
        <v>34.739000000000004</v>
      </c>
    </row>
    <row r="425" spans="1:13" s="35" customFormat="1" ht="15.75" customHeight="1" x14ac:dyDescent="0.35">
      <c r="A425" s="50">
        <f t="shared" si="59"/>
        <v>4</v>
      </c>
      <c r="B425" s="50" t="s">
        <v>382</v>
      </c>
      <c r="C425" s="50" t="s">
        <v>370</v>
      </c>
      <c r="D425" s="50">
        <f>(36.47)*10.764</f>
        <v>392.56307999999996</v>
      </c>
      <c r="E425" s="50">
        <v>0</v>
      </c>
      <c r="F425" s="50">
        <f t="shared" si="57"/>
        <v>392.56307999999996</v>
      </c>
      <c r="G425" s="50">
        <v>0</v>
      </c>
      <c r="H425" s="50">
        <f t="shared" si="58"/>
        <v>588.84461999999996</v>
      </c>
      <c r="I425" s="34"/>
    </row>
    <row r="426" spans="1:13" s="35" customFormat="1" ht="15.75" customHeight="1" x14ac:dyDescent="0.35">
      <c r="A426" s="50">
        <f t="shared" si="59"/>
        <v>5</v>
      </c>
      <c r="B426" s="50" t="s">
        <v>382</v>
      </c>
      <c r="C426" s="50" t="s">
        <v>355</v>
      </c>
      <c r="D426" s="50">
        <f>(55.85)*10.764</f>
        <v>601.1694</v>
      </c>
      <c r="E426" s="50">
        <v>0</v>
      </c>
      <c r="F426" s="50">
        <f t="shared" si="57"/>
        <v>601.1694</v>
      </c>
      <c r="G426" s="50">
        <v>0</v>
      </c>
      <c r="H426" s="50">
        <f t="shared" si="58"/>
        <v>901.75409999999999</v>
      </c>
      <c r="I426" s="34"/>
    </row>
    <row r="427" spans="1:13" s="35" customFormat="1" ht="15.75" customHeight="1" x14ac:dyDescent="0.35">
      <c r="A427" s="50">
        <f t="shared" si="59"/>
        <v>6</v>
      </c>
      <c r="B427" s="50" t="s">
        <v>382</v>
      </c>
      <c r="C427" s="50" t="s">
        <v>355</v>
      </c>
      <c r="D427" s="50">
        <f>(59.2)*10.764</f>
        <v>637.22879999999998</v>
      </c>
      <c r="E427" s="50">
        <f>(2.44)*10.764</f>
        <v>26.264159999999997</v>
      </c>
      <c r="F427" s="50">
        <f t="shared" si="57"/>
        <v>663.49295999999993</v>
      </c>
      <c r="G427" s="50">
        <v>0</v>
      </c>
      <c r="H427" s="50">
        <f t="shared" si="58"/>
        <v>995.23943999999983</v>
      </c>
      <c r="I427" s="34"/>
    </row>
    <row r="428" spans="1:13" s="35" customFormat="1" ht="15.75" customHeight="1" x14ac:dyDescent="0.35">
      <c r="A428" s="50">
        <f t="shared" si="59"/>
        <v>7</v>
      </c>
      <c r="B428" s="50" t="s">
        <v>382</v>
      </c>
      <c r="C428" s="50" t="s">
        <v>370</v>
      </c>
      <c r="D428" s="50">
        <f>(38.79)*10.764</f>
        <v>417.53555999999998</v>
      </c>
      <c r="E428" s="50">
        <f>(2.42)*10.764</f>
        <v>26.048879999999997</v>
      </c>
      <c r="F428" s="50">
        <f t="shared" si="57"/>
        <v>443.58443999999997</v>
      </c>
      <c r="G428" s="50">
        <v>0</v>
      </c>
      <c r="H428" s="50">
        <f t="shared" si="58"/>
        <v>665.3766599999999</v>
      </c>
      <c r="I428" s="34">
        <f>3.05*4.43+2.13*2.45+3.05*3.05+2.13*1.38+1.38*2.13+1.58*0.6+2.45*0.9</f>
        <v>37.064299999999996</v>
      </c>
      <c r="J428" s="35">
        <f>2.1*1.25</f>
        <v>2.625</v>
      </c>
    </row>
    <row r="429" spans="1:13" s="35" customFormat="1" ht="15.75" customHeight="1" x14ac:dyDescent="0.35">
      <c r="A429" s="50">
        <f t="shared" si="59"/>
        <v>8</v>
      </c>
      <c r="B429" s="50" t="s">
        <v>382</v>
      </c>
      <c r="C429" s="50" t="s">
        <v>370</v>
      </c>
      <c r="D429" s="50">
        <f>(38.79)*10.764</f>
        <v>417.53555999999998</v>
      </c>
      <c r="E429" s="50">
        <f>(2.42)*10.764</f>
        <v>26.048879999999997</v>
      </c>
      <c r="F429" s="50">
        <f t="shared" si="57"/>
        <v>443.58443999999997</v>
      </c>
      <c r="G429" s="50">
        <v>0</v>
      </c>
      <c r="H429" s="50">
        <f t="shared" si="58"/>
        <v>665.3766599999999</v>
      </c>
      <c r="I429" s="34"/>
    </row>
    <row r="430" spans="1:13" s="35" customFormat="1" ht="15.75" customHeight="1" x14ac:dyDescent="0.35">
      <c r="A430" s="50">
        <f t="shared" si="59"/>
        <v>9</v>
      </c>
      <c r="B430" s="50" t="s">
        <v>382</v>
      </c>
      <c r="C430" s="50" t="s">
        <v>370</v>
      </c>
      <c r="D430" s="50">
        <f>(38.85)*10.764</f>
        <v>418.1814</v>
      </c>
      <c r="E430" s="50">
        <f>(2.42)*10.764</f>
        <v>26.048879999999997</v>
      </c>
      <c r="F430" s="50">
        <f t="shared" si="57"/>
        <v>444.23027999999999</v>
      </c>
      <c r="G430" s="50">
        <v>0</v>
      </c>
      <c r="H430" s="50">
        <f t="shared" si="58"/>
        <v>666.34541999999999</v>
      </c>
      <c r="I430" s="34"/>
    </row>
    <row r="431" spans="1:13" s="35" customFormat="1" ht="15.75" customHeight="1" x14ac:dyDescent="0.35">
      <c r="A431" s="50">
        <f t="shared" si="59"/>
        <v>10</v>
      </c>
      <c r="B431" s="50" t="s">
        <v>382</v>
      </c>
      <c r="C431" s="50" t="s">
        <v>355</v>
      </c>
      <c r="D431" s="50">
        <f>(59.01)*10.764</f>
        <v>635.18363999999997</v>
      </c>
      <c r="E431" s="50">
        <f>(2.5)*10.764</f>
        <v>26.909999999999997</v>
      </c>
      <c r="F431" s="50">
        <f t="shared" si="57"/>
        <v>662.09363999999994</v>
      </c>
      <c r="G431" s="50">
        <v>0</v>
      </c>
      <c r="H431" s="50">
        <f t="shared" si="58"/>
        <v>993.14045999999985</v>
      </c>
      <c r="I431" s="34"/>
    </row>
    <row r="432" spans="1:13" s="35" customFormat="1" x14ac:dyDescent="0.35">
      <c r="A432" s="96" t="s">
        <v>363</v>
      </c>
      <c r="B432" s="96"/>
      <c r="C432" s="96"/>
      <c r="D432" s="96"/>
      <c r="E432" s="96"/>
      <c r="F432" s="96"/>
      <c r="G432" s="96"/>
      <c r="H432" s="96"/>
      <c r="I432" s="34"/>
      <c r="L432" s="114"/>
      <c r="M432" s="114"/>
    </row>
    <row r="433" spans="1:10" s="35" customFormat="1" x14ac:dyDescent="0.35">
      <c r="A433" s="96" t="s">
        <v>386</v>
      </c>
      <c r="B433" s="96"/>
      <c r="C433" s="96"/>
      <c r="D433" s="96"/>
      <c r="E433" s="96"/>
      <c r="F433" s="96"/>
      <c r="G433" s="96"/>
      <c r="H433" s="96"/>
      <c r="I433" s="34"/>
    </row>
    <row r="434" spans="1:10" s="35" customFormat="1" ht="15.75" customHeight="1" x14ac:dyDescent="0.35">
      <c r="A434" s="67">
        <v>1</v>
      </c>
      <c r="B434" s="67" t="s">
        <v>382</v>
      </c>
      <c r="C434" s="50" t="s">
        <v>355</v>
      </c>
      <c r="D434" s="50">
        <f>(55.59)*10.764</f>
        <v>598.37076000000002</v>
      </c>
      <c r="E434" s="50">
        <f>(2.5)*10.764</f>
        <v>26.909999999999997</v>
      </c>
      <c r="F434" s="50">
        <f t="shared" ref="F434:F443" si="60">D434+E434</f>
        <v>625.28075999999999</v>
      </c>
      <c r="G434" s="50">
        <v>0</v>
      </c>
      <c r="H434" s="50">
        <f t="shared" ref="H434:H443" si="61">F434*(($H$157)+1)+(IF(G434&lt;101,G434,IF(G434&lt;201,G434/2,IF(G434&lt;=301,G434/3,G434/4))))</f>
        <v>937.92113999999992</v>
      </c>
      <c r="I434" s="34">
        <f>3.05*4.72+2.12*3.05+3.05*3.05+3.05*3.05+1.38*2.13+2.12*1.38+2.38*1.3+4.35*0.9+1.75*0.6</f>
        <v>53.390999999999998</v>
      </c>
      <c r="J434" s="35">
        <f>2.13*1.28</f>
        <v>2.7263999999999999</v>
      </c>
    </row>
    <row r="435" spans="1:10" s="35" customFormat="1" ht="15.75" customHeight="1" x14ac:dyDescent="0.35">
      <c r="A435" s="67">
        <f>A434+1</f>
        <v>2</v>
      </c>
      <c r="B435" s="67" t="s">
        <v>382</v>
      </c>
      <c r="C435" s="50" t="s">
        <v>370</v>
      </c>
      <c r="D435" s="50">
        <f>(36.56)*10.764</f>
        <v>393.53183999999999</v>
      </c>
      <c r="E435" s="50">
        <f>(2.44)*10.764</f>
        <v>26.264159999999997</v>
      </c>
      <c r="F435" s="50">
        <f t="shared" si="60"/>
        <v>419.79599999999999</v>
      </c>
      <c r="G435" s="50">
        <v>0</v>
      </c>
      <c r="H435" s="50">
        <f t="shared" si="61"/>
        <v>629.69399999999996</v>
      </c>
      <c r="I435" s="34"/>
    </row>
    <row r="436" spans="1:10" s="35" customFormat="1" ht="15.75" customHeight="1" x14ac:dyDescent="0.35">
      <c r="A436" s="67">
        <f t="shared" ref="A436:A443" si="62">A435+1</f>
        <v>3</v>
      </c>
      <c r="B436" s="67" t="s">
        <v>382</v>
      </c>
      <c r="C436" s="50" t="s">
        <v>370</v>
      </c>
      <c r="D436" s="50">
        <f>(36.46)*10.764</f>
        <v>392.45544000000001</v>
      </c>
      <c r="E436" s="50">
        <f>(2.44)*10.764</f>
        <v>26.264159999999997</v>
      </c>
      <c r="F436" s="50">
        <f t="shared" si="60"/>
        <v>418.71960000000001</v>
      </c>
      <c r="G436" s="50">
        <v>0</v>
      </c>
      <c r="H436" s="50">
        <f t="shared" si="61"/>
        <v>628.07940000000008</v>
      </c>
      <c r="I436" s="34"/>
    </row>
    <row r="437" spans="1:10" s="35" customFormat="1" ht="15.75" customHeight="1" x14ac:dyDescent="0.35">
      <c r="A437" s="67">
        <f t="shared" si="62"/>
        <v>4</v>
      </c>
      <c r="B437" s="67" t="s">
        <v>382</v>
      </c>
      <c r="C437" s="50" t="s">
        <v>370</v>
      </c>
      <c r="D437" s="50">
        <f>(36.47)*10.764</f>
        <v>392.56307999999996</v>
      </c>
      <c r="E437" s="50">
        <f>(2.42)*10.764</f>
        <v>26.048879999999997</v>
      </c>
      <c r="F437" s="50">
        <f t="shared" si="60"/>
        <v>418.61195999999995</v>
      </c>
      <c r="G437" s="50">
        <v>0</v>
      </c>
      <c r="H437" s="50">
        <f t="shared" si="61"/>
        <v>627.91793999999993</v>
      </c>
      <c r="I437" s="34"/>
    </row>
    <row r="438" spans="1:10" s="35" customFormat="1" ht="15.75" customHeight="1" x14ac:dyDescent="0.35">
      <c r="A438" s="67">
        <f t="shared" si="62"/>
        <v>5</v>
      </c>
      <c r="B438" s="67" t="s">
        <v>382</v>
      </c>
      <c r="C438" s="50" t="s">
        <v>355</v>
      </c>
      <c r="D438" s="50">
        <f>(55.85)*10.764</f>
        <v>601.1694</v>
      </c>
      <c r="E438" s="50">
        <f>(2.44)*10.764</f>
        <v>26.264159999999997</v>
      </c>
      <c r="F438" s="50">
        <f t="shared" si="60"/>
        <v>627.43355999999994</v>
      </c>
      <c r="G438" s="50">
        <v>0</v>
      </c>
      <c r="H438" s="50">
        <f t="shared" si="61"/>
        <v>941.15033999999991</v>
      </c>
      <c r="I438" s="34"/>
    </row>
    <row r="439" spans="1:10" s="35" customFormat="1" ht="15.75" customHeight="1" x14ac:dyDescent="0.35">
      <c r="A439" s="67">
        <f t="shared" si="62"/>
        <v>6</v>
      </c>
      <c r="B439" s="67" t="s">
        <v>382</v>
      </c>
      <c r="C439" s="50" t="s">
        <v>355</v>
      </c>
      <c r="D439" s="50">
        <f>(59.2)*10.764</f>
        <v>637.22879999999998</v>
      </c>
      <c r="E439" s="50">
        <f>(2.44)*10.764</f>
        <v>26.264159999999997</v>
      </c>
      <c r="F439" s="50">
        <f t="shared" si="60"/>
        <v>663.49295999999993</v>
      </c>
      <c r="G439" s="50">
        <v>0</v>
      </c>
      <c r="H439" s="50">
        <f t="shared" si="61"/>
        <v>995.23943999999983</v>
      </c>
      <c r="I439" s="34"/>
    </row>
    <row r="440" spans="1:10" s="35" customFormat="1" ht="15.75" customHeight="1" x14ac:dyDescent="0.35">
      <c r="A440" s="67">
        <f t="shared" si="62"/>
        <v>7</v>
      </c>
      <c r="B440" s="67" t="s">
        <v>382</v>
      </c>
      <c r="C440" s="50" t="s">
        <v>370</v>
      </c>
      <c r="D440" s="50">
        <f>(38.79)*10.764</f>
        <v>417.53555999999998</v>
      </c>
      <c r="E440" s="50">
        <f>(2.42)*10.764</f>
        <v>26.048879999999997</v>
      </c>
      <c r="F440" s="50">
        <f t="shared" si="60"/>
        <v>443.58443999999997</v>
      </c>
      <c r="G440" s="50">
        <v>0</v>
      </c>
      <c r="H440" s="50">
        <f t="shared" si="61"/>
        <v>665.3766599999999</v>
      </c>
      <c r="I440" s="34"/>
    </row>
    <row r="441" spans="1:10" s="35" customFormat="1" ht="15.75" customHeight="1" x14ac:dyDescent="0.35">
      <c r="A441" s="67">
        <f t="shared" si="62"/>
        <v>8</v>
      </c>
      <c r="B441" s="67" t="s">
        <v>382</v>
      </c>
      <c r="C441" s="50" t="s">
        <v>370</v>
      </c>
      <c r="D441" s="50">
        <f>(38.79)*10.764</f>
        <v>417.53555999999998</v>
      </c>
      <c r="E441" s="50">
        <f>(2.42)*10.764</f>
        <v>26.048879999999997</v>
      </c>
      <c r="F441" s="50">
        <f t="shared" si="60"/>
        <v>443.58443999999997</v>
      </c>
      <c r="G441" s="50">
        <v>0</v>
      </c>
      <c r="H441" s="50">
        <f t="shared" si="61"/>
        <v>665.3766599999999</v>
      </c>
      <c r="I441" s="34"/>
    </row>
    <row r="442" spans="1:10" s="35" customFormat="1" ht="15.75" customHeight="1" x14ac:dyDescent="0.35">
      <c r="A442" s="67">
        <f t="shared" si="62"/>
        <v>9</v>
      </c>
      <c r="B442" s="67" t="s">
        <v>382</v>
      </c>
      <c r="C442" s="50" t="s">
        <v>370</v>
      </c>
      <c r="D442" s="50">
        <f>(38.85)*10.764</f>
        <v>418.1814</v>
      </c>
      <c r="E442" s="50">
        <f>(2.42)*10.764</f>
        <v>26.048879999999997</v>
      </c>
      <c r="F442" s="50">
        <f t="shared" si="60"/>
        <v>444.23027999999999</v>
      </c>
      <c r="G442" s="50">
        <v>0</v>
      </c>
      <c r="H442" s="50">
        <f t="shared" si="61"/>
        <v>666.34541999999999</v>
      </c>
      <c r="I442" s="34"/>
    </row>
    <row r="443" spans="1:10" s="35" customFormat="1" ht="15.75" customHeight="1" x14ac:dyDescent="0.35">
      <c r="A443" s="67">
        <f t="shared" si="62"/>
        <v>10</v>
      </c>
      <c r="B443" s="67" t="s">
        <v>382</v>
      </c>
      <c r="C443" s="50" t="s">
        <v>355</v>
      </c>
      <c r="D443" s="50">
        <f>(59.01)*10.764</f>
        <v>635.18363999999997</v>
      </c>
      <c r="E443" s="50">
        <f>(2.5)*10.764</f>
        <v>26.909999999999997</v>
      </c>
      <c r="F443" s="50">
        <f t="shared" si="60"/>
        <v>662.09363999999994</v>
      </c>
      <c r="G443" s="50">
        <v>0</v>
      </c>
      <c r="H443" s="50">
        <f t="shared" si="61"/>
        <v>993.14045999999985</v>
      </c>
      <c r="I443" s="34"/>
    </row>
    <row r="444" spans="1:10" s="35" customFormat="1" x14ac:dyDescent="0.35">
      <c r="A444" s="115" t="s">
        <v>408</v>
      </c>
      <c r="B444" s="116"/>
      <c r="C444" s="116"/>
      <c r="D444" s="116"/>
      <c r="E444" s="116"/>
      <c r="F444" s="116"/>
      <c r="G444" s="116"/>
      <c r="H444" s="117"/>
      <c r="I444" s="34"/>
    </row>
    <row r="445" spans="1:10" s="35" customFormat="1" ht="15.75" customHeight="1" x14ac:dyDescent="0.35">
      <c r="A445" s="67">
        <v>1</v>
      </c>
      <c r="B445" s="67" t="s">
        <v>382</v>
      </c>
      <c r="C445" s="50" t="s">
        <v>355</v>
      </c>
      <c r="D445" s="50">
        <f>(55.59)*10.764</f>
        <v>598.37076000000002</v>
      </c>
      <c r="E445" s="50">
        <v>0</v>
      </c>
      <c r="F445" s="50">
        <f t="shared" ref="F445:F452" si="63">D445+E445</f>
        <v>598.37076000000002</v>
      </c>
      <c r="G445" s="50">
        <v>0</v>
      </c>
      <c r="H445" s="50">
        <f t="shared" ref="H445:H452" si="64">F445*(($H$157)+1)+(IF(G445&lt;101,G445,IF(G445&lt;201,G445/2,IF(G445&lt;=301,G445/3,G445/4))))</f>
        <v>897.55614000000003</v>
      </c>
      <c r="I445" s="34"/>
    </row>
    <row r="446" spans="1:10" s="35" customFormat="1" ht="15.75" customHeight="1" x14ac:dyDescent="0.35">
      <c r="A446" s="67">
        <f>A445+1</f>
        <v>2</v>
      </c>
      <c r="B446" s="67" t="s">
        <v>382</v>
      </c>
      <c r="C446" s="50" t="s">
        <v>370</v>
      </c>
      <c r="D446" s="50">
        <f>(36.56)*10.764</f>
        <v>393.53183999999999</v>
      </c>
      <c r="E446" s="50">
        <v>0</v>
      </c>
      <c r="F446" s="50">
        <f t="shared" si="63"/>
        <v>393.53183999999999</v>
      </c>
      <c r="G446" s="50">
        <v>0</v>
      </c>
      <c r="H446" s="50">
        <f t="shared" si="64"/>
        <v>590.29775999999993</v>
      </c>
      <c r="I446" s="34"/>
      <c r="J446" s="35">
        <f>70000000/H446</f>
        <v>118584.22095316778</v>
      </c>
    </row>
    <row r="447" spans="1:10" s="35" customFormat="1" ht="15.75" customHeight="1" x14ac:dyDescent="0.35">
      <c r="A447" s="67">
        <f t="shared" ref="A447:A454" si="65">A446+1</f>
        <v>3</v>
      </c>
      <c r="B447" s="67" t="s">
        <v>382</v>
      </c>
      <c r="C447" s="50" t="s">
        <v>370</v>
      </c>
      <c r="D447" s="50">
        <f>(36.46)*10.764</f>
        <v>392.45544000000001</v>
      </c>
      <c r="E447" s="50">
        <v>0</v>
      </c>
      <c r="F447" s="50">
        <f t="shared" si="63"/>
        <v>392.45544000000001</v>
      </c>
      <c r="G447" s="50">
        <v>0</v>
      </c>
      <c r="H447" s="50">
        <f t="shared" si="64"/>
        <v>588.68316000000004</v>
      </c>
      <c r="I447" s="34"/>
    </row>
    <row r="448" spans="1:10" s="35" customFormat="1" ht="15.75" customHeight="1" x14ac:dyDescent="0.35">
      <c r="A448" s="67">
        <f t="shared" si="65"/>
        <v>4</v>
      </c>
      <c r="B448" s="67" t="s">
        <v>382</v>
      </c>
      <c r="C448" s="50" t="s">
        <v>370</v>
      </c>
      <c r="D448" s="50">
        <f>(36.47)*10.764</f>
        <v>392.56307999999996</v>
      </c>
      <c r="E448" s="50">
        <v>0</v>
      </c>
      <c r="F448" s="50">
        <f t="shared" si="63"/>
        <v>392.56307999999996</v>
      </c>
      <c r="G448" s="50">
        <v>0</v>
      </c>
      <c r="H448" s="50">
        <f t="shared" si="64"/>
        <v>588.84461999999996</v>
      </c>
      <c r="I448" s="34"/>
    </row>
    <row r="449" spans="1:9" s="35" customFormat="1" ht="15.75" customHeight="1" x14ac:dyDescent="0.35">
      <c r="A449" s="67">
        <f t="shared" si="65"/>
        <v>5</v>
      </c>
      <c r="B449" s="67" t="s">
        <v>382</v>
      </c>
      <c r="C449" s="50" t="s">
        <v>355</v>
      </c>
      <c r="D449" s="50">
        <f>(55.85)*10.764</f>
        <v>601.1694</v>
      </c>
      <c r="E449" s="50">
        <v>0</v>
      </c>
      <c r="F449" s="50">
        <f t="shared" si="63"/>
        <v>601.1694</v>
      </c>
      <c r="G449" s="50">
        <v>0</v>
      </c>
      <c r="H449" s="50">
        <f t="shared" si="64"/>
        <v>901.75409999999999</v>
      </c>
      <c r="I449" s="34"/>
    </row>
    <row r="450" spans="1:9" s="35" customFormat="1" ht="15.75" customHeight="1" x14ac:dyDescent="0.35">
      <c r="A450" s="67">
        <f t="shared" si="65"/>
        <v>6</v>
      </c>
      <c r="B450" s="67" t="s">
        <v>382</v>
      </c>
      <c r="C450" s="50" t="s">
        <v>355</v>
      </c>
      <c r="D450" s="50">
        <f>(59.2)*10.764</f>
        <v>637.22879999999998</v>
      </c>
      <c r="E450" s="50">
        <f>(2.44)*10.764</f>
        <v>26.264159999999997</v>
      </c>
      <c r="F450" s="50">
        <f t="shared" si="63"/>
        <v>663.49295999999993</v>
      </c>
      <c r="G450" s="50">
        <v>0</v>
      </c>
      <c r="H450" s="50">
        <f t="shared" si="64"/>
        <v>995.23943999999983</v>
      </c>
      <c r="I450" s="34"/>
    </row>
    <row r="451" spans="1:9" s="35" customFormat="1" ht="15.75" customHeight="1" x14ac:dyDescent="0.35">
      <c r="A451" s="67">
        <f t="shared" si="65"/>
        <v>7</v>
      </c>
      <c r="B451" s="67" t="s">
        <v>382</v>
      </c>
      <c r="C451" s="50" t="s">
        <v>370</v>
      </c>
      <c r="D451" s="50">
        <f>(38.79)*10.764</f>
        <v>417.53555999999998</v>
      </c>
      <c r="E451" s="50">
        <f>(2.42)*10.764</f>
        <v>26.048879999999997</v>
      </c>
      <c r="F451" s="50">
        <f t="shared" si="63"/>
        <v>443.58443999999997</v>
      </c>
      <c r="G451" s="50">
        <v>0</v>
      </c>
      <c r="H451" s="50">
        <f t="shared" si="64"/>
        <v>665.3766599999999</v>
      </c>
      <c r="I451" s="34"/>
    </row>
    <row r="452" spans="1:9" s="35" customFormat="1" ht="15.75" customHeight="1" x14ac:dyDescent="0.35">
      <c r="A452" s="67">
        <f t="shared" si="65"/>
        <v>8</v>
      </c>
      <c r="B452" s="67" t="s">
        <v>382</v>
      </c>
      <c r="C452" s="50" t="s">
        <v>370</v>
      </c>
      <c r="D452" s="50">
        <f>(38.79)*10.764</f>
        <v>417.53555999999998</v>
      </c>
      <c r="E452" s="50">
        <f>(2.42)*10.764</f>
        <v>26.048879999999997</v>
      </c>
      <c r="F452" s="50">
        <f t="shared" si="63"/>
        <v>443.58443999999997</v>
      </c>
      <c r="G452" s="50">
        <v>0</v>
      </c>
      <c r="H452" s="50">
        <f t="shared" si="64"/>
        <v>665.3766599999999</v>
      </c>
      <c r="I452" s="34"/>
    </row>
    <row r="453" spans="1:9" s="35" customFormat="1" ht="15.75" customHeight="1" x14ac:dyDescent="0.35">
      <c r="A453" s="67">
        <f t="shared" si="65"/>
        <v>9</v>
      </c>
      <c r="B453" s="88" t="s">
        <v>364</v>
      </c>
      <c r="C453" s="97"/>
      <c r="D453" s="97"/>
      <c r="E453" s="97"/>
      <c r="F453" s="97"/>
      <c r="G453" s="97"/>
      <c r="H453" s="89"/>
      <c r="I453" s="34"/>
    </row>
    <row r="454" spans="1:9" s="35" customFormat="1" ht="15.75" customHeight="1" x14ac:dyDescent="0.35">
      <c r="A454" s="67">
        <f t="shared" si="65"/>
        <v>10</v>
      </c>
      <c r="B454" s="67" t="s">
        <v>382</v>
      </c>
      <c r="C454" s="50" t="s">
        <v>355</v>
      </c>
      <c r="D454" s="50">
        <f>(59.01)*10.764</f>
        <v>635.18363999999997</v>
      </c>
      <c r="E454" s="50">
        <f>(2.5)*10.764</f>
        <v>26.909999999999997</v>
      </c>
      <c r="F454" s="50">
        <f>D454+E454</f>
        <v>662.09363999999994</v>
      </c>
      <c r="G454" s="50">
        <v>0</v>
      </c>
      <c r="H454" s="50">
        <f>F454*(($H$157)+1)+(IF(G454&lt;101,G454,IF(G454&lt;201,G454/2,IF(G454&lt;=301,G454/3,G454/4))))</f>
        <v>993.14045999999985</v>
      </c>
      <c r="I454" s="34"/>
    </row>
    <row r="455" spans="1:9" s="35" customFormat="1" x14ac:dyDescent="0.35">
      <c r="A455" s="96" t="s">
        <v>407</v>
      </c>
      <c r="B455" s="96"/>
      <c r="C455" s="96"/>
      <c r="D455" s="96"/>
      <c r="E455" s="96"/>
      <c r="F455" s="96"/>
      <c r="G455" s="96"/>
      <c r="H455" s="96"/>
      <c r="I455" s="34"/>
    </row>
    <row r="456" spans="1:9" s="35" customFormat="1" ht="15.75" customHeight="1" x14ac:dyDescent="0.35">
      <c r="A456" s="50">
        <v>1</v>
      </c>
      <c r="B456" s="50" t="s">
        <v>382</v>
      </c>
      <c r="C456" s="50" t="s">
        <v>355</v>
      </c>
      <c r="D456" s="50">
        <f>(55.59)*10.764</f>
        <v>598.37076000000002</v>
      </c>
      <c r="E456" s="50">
        <f>(2.5)*10.764</f>
        <v>26.909999999999997</v>
      </c>
      <c r="F456" s="50">
        <f t="shared" ref="F456:F463" si="66">D456+E456</f>
        <v>625.28075999999999</v>
      </c>
      <c r="G456" s="50">
        <v>0</v>
      </c>
      <c r="H456" s="50">
        <f t="shared" ref="H456:H463" si="67">F456*(($H$157)+1)+(IF(G456&lt;101,G456,IF(G456&lt;201,G456/2,IF(G456&lt;=301,G456/3,G456/4))))</f>
        <v>937.92113999999992</v>
      </c>
      <c r="I456" s="34"/>
    </row>
    <row r="457" spans="1:9" s="35" customFormat="1" ht="15.75" customHeight="1" x14ac:dyDescent="0.35">
      <c r="A457" s="50">
        <f>A456+1</f>
        <v>2</v>
      </c>
      <c r="B457" s="50" t="s">
        <v>382</v>
      </c>
      <c r="C457" s="50" t="s">
        <v>370</v>
      </c>
      <c r="D457" s="50">
        <f>(36.56)*10.764</f>
        <v>393.53183999999999</v>
      </c>
      <c r="E457" s="50">
        <f>(2.44)*10.764</f>
        <v>26.264159999999997</v>
      </c>
      <c r="F457" s="50">
        <f t="shared" si="66"/>
        <v>419.79599999999999</v>
      </c>
      <c r="G457" s="50">
        <v>0</v>
      </c>
      <c r="H457" s="50">
        <f t="shared" si="67"/>
        <v>629.69399999999996</v>
      </c>
      <c r="I457" s="34"/>
    </row>
    <row r="458" spans="1:9" s="35" customFormat="1" ht="15.75" customHeight="1" x14ac:dyDescent="0.35">
      <c r="A458" s="50">
        <f t="shared" ref="A458:A465" si="68">A457+1</f>
        <v>3</v>
      </c>
      <c r="B458" s="50" t="s">
        <v>382</v>
      </c>
      <c r="C458" s="50" t="s">
        <v>370</v>
      </c>
      <c r="D458" s="50">
        <f>(36.46)*10.764</f>
        <v>392.45544000000001</v>
      </c>
      <c r="E458" s="50">
        <f>(2.44)*10.764</f>
        <v>26.264159999999997</v>
      </c>
      <c r="F458" s="50">
        <f t="shared" si="66"/>
        <v>418.71960000000001</v>
      </c>
      <c r="G458" s="50">
        <v>0</v>
      </c>
      <c r="H458" s="50">
        <f t="shared" si="67"/>
        <v>628.07940000000008</v>
      </c>
      <c r="I458" s="34"/>
    </row>
    <row r="459" spans="1:9" s="35" customFormat="1" ht="15.75" customHeight="1" x14ac:dyDescent="0.35">
      <c r="A459" s="50">
        <f t="shared" si="68"/>
        <v>4</v>
      </c>
      <c r="B459" s="50" t="s">
        <v>382</v>
      </c>
      <c r="C459" s="50" t="s">
        <v>370</v>
      </c>
      <c r="D459" s="50">
        <f>(36.47)*10.764</f>
        <v>392.56307999999996</v>
      </c>
      <c r="E459" s="50">
        <f>(2.42)*10.764</f>
        <v>26.048879999999997</v>
      </c>
      <c r="F459" s="50">
        <f t="shared" si="66"/>
        <v>418.61195999999995</v>
      </c>
      <c r="G459" s="50">
        <v>0</v>
      </c>
      <c r="H459" s="50">
        <f t="shared" si="67"/>
        <v>627.91793999999993</v>
      </c>
      <c r="I459" s="34"/>
    </row>
    <row r="460" spans="1:9" s="35" customFormat="1" ht="15.75" customHeight="1" x14ac:dyDescent="0.35">
      <c r="A460" s="50">
        <f t="shared" si="68"/>
        <v>5</v>
      </c>
      <c r="B460" s="50" t="s">
        <v>382</v>
      </c>
      <c r="C460" s="50" t="s">
        <v>355</v>
      </c>
      <c r="D460" s="50">
        <f>(55.85)*10.764</f>
        <v>601.1694</v>
      </c>
      <c r="E460" s="50">
        <f>(2.44)*10.764</f>
        <v>26.264159999999997</v>
      </c>
      <c r="F460" s="50">
        <f t="shared" si="66"/>
        <v>627.43355999999994</v>
      </c>
      <c r="G460" s="50">
        <v>0</v>
      </c>
      <c r="H460" s="50">
        <f t="shared" si="67"/>
        <v>941.15033999999991</v>
      </c>
      <c r="I460" s="34"/>
    </row>
    <row r="461" spans="1:9" s="35" customFormat="1" ht="15.75" customHeight="1" x14ac:dyDescent="0.35">
      <c r="A461" s="50">
        <f t="shared" si="68"/>
        <v>6</v>
      </c>
      <c r="B461" s="50" t="s">
        <v>382</v>
      </c>
      <c r="C461" s="50" t="s">
        <v>355</v>
      </c>
      <c r="D461" s="50">
        <f>(59.2)*10.764</f>
        <v>637.22879999999998</v>
      </c>
      <c r="E461" s="50">
        <f>(2.44)*10.764</f>
        <v>26.264159999999997</v>
      </c>
      <c r="F461" s="50">
        <f t="shared" si="66"/>
        <v>663.49295999999993</v>
      </c>
      <c r="G461" s="50">
        <v>0</v>
      </c>
      <c r="H461" s="50">
        <f t="shared" si="67"/>
        <v>995.23943999999983</v>
      </c>
      <c r="I461" s="34"/>
    </row>
    <row r="462" spans="1:9" s="35" customFormat="1" ht="15.75" customHeight="1" x14ac:dyDescent="0.35">
      <c r="A462" s="50">
        <f t="shared" si="68"/>
        <v>7</v>
      </c>
      <c r="B462" s="50" t="s">
        <v>382</v>
      </c>
      <c r="C462" s="50" t="s">
        <v>370</v>
      </c>
      <c r="D462" s="50">
        <f>(38.79)*10.764</f>
        <v>417.53555999999998</v>
      </c>
      <c r="E462" s="50">
        <f>(2.42)*10.764</f>
        <v>26.048879999999997</v>
      </c>
      <c r="F462" s="50">
        <f t="shared" si="66"/>
        <v>443.58443999999997</v>
      </c>
      <c r="G462" s="50">
        <v>0</v>
      </c>
      <c r="H462" s="50">
        <f t="shared" si="67"/>
        <v>665.3766599999999</v>
      </c>
      <c r="I462" s="34"/>
    </row>
    <row r="463" spans="1:9" s="35" customFormat="1" ht="15.75" customHeight="1" x14ac:dyDescent="0.35">
      <c r="A463" s="50">
        <f t="shared" si="68"/>
        <v>8</v>
      </c>
      <c r="B463" s="50" t="s">
        <v>382</v>
      </c>
      <c r="C463" s="50" t="s">
        <v>370</v>
      </c>
      <c r="D463" s="50">
        <f>(38.79)*10.764</f>
        <v>417.53555999999998</v>
      </c>
      <c r="E463" s="50">
        <f>(2.42)*10.764</f>
        <v>26.048879999999997</v>
      </c>
      <c r="F463" s="50">
        <f t="shared" si="66"/>
        <v>443.58443999999997</v>
      </c>
      <c r="G463" s="50">
        <v>0</v>
      </c>
      <c r="H463" s="50">
        <f t="shared" si="67"/>
        <v>665.3766599999999</v>
      </c>
      <c r="I463" s="34"/>
    </row>
    <row r="464" spans="1:9" s="35" customFormat="1" ht="15.75" customHeight="1" x14ac:dyDescent="0.35">
      <c r="A464" s="50">
        <f t="shared" si="68"/>
        <v>9</v>
      </c>
      <c r="B464" s="95" t="s">
        <v>364</v>
      </c>
      <c r="C464" s="95"/>
      <c r="D464" s="95"/>
      <c r="E464" s="95"/>
      <c r="F464" s="95"/>
      <c r="G464" s="95"/>
      <c r="H464" s="95"/>
      <c r="I464" s="34"/>
    </row>
    <row r="465" spans="1:20" s="35" customFormat="1" ht="15.75" customHeight="1" x14ac:dyDescent="0.35">
      <c r="A465" s="50">
        <f t="shared" si="68"/>
        <v>10</v>
      </c>
      <c r="B465" s="50" t="s">
        <v>382</v>
      </c>
      <c r="C465" s="50" t="s">
        <v>355</v>
      </c>
      <c r="D465" s="50">
        <f>(59.01)*10.764</f>
        <v>635.18363999999997</v>
      </c>
      <c r="E465" s="50">
        <f>(2.5)*10.764</f>
        <v>26.909999999999997</v>
      </c>
      <c r="F465" s="50">
        <f>D465+E465</f>
        <v>662.09363999999994</v>
      </c>
      <c r="G465" s="50">
        <v>0</v>
      </c>
      <c r="H465" s="50">
        <f>F465*(($H$157)+1)+(IF(G465&lt;101,G465,IF(G465&lt;201,G465/2,IF(G465&lt;=301,G465/3,G465/4))))</f>
        <v>993.14045999999985</v>
      </c>
      <c r="I465" s="34"/>
    </row>
    <row r="466" spans="1:20" s="33" customFormat="1" x14ac:dyDescent="0.35">
      <c r="A466" s="205" t="s">
        <v>65</v>
      </c>
      <c r="B466" s="205"/>
      <c r="C466" s="205"/>
      <c r="D466" s="205"/>
      <c r="E466" s="205"/>
      <c r="F466" s="205"/>
      <c r="G466" s="205"/>
      <c r="H466" s="205"/>
      <c r="T466" s="35"/>
    </row>
    <row r="467" spans="1:20" s="33" customFormat="1" ht="33" customHeight="1" x14ac:dyDescent="0.35">
      <c r="A467" s="41" t="s">
        <v>149</v>
      </c>
      <c r="B467" s="90" t="s">
        <v>442</v>
      </c>
      <c r="C467" s="91"/>
      <c r="D467" s="91"/>
      <c r="E467" s="91"/>
      <c r="F467" s="91"/>
      <c r="G467" s="91"/>
      <c r="H467" s="92"/>
      <c r="T467" s="35"/>
    </row>
    <row r="468" spans="1:20" s="33" customFormat="1" x14ac:dyDescent="0.35">
      <c r="A468" s="41" t="s">
        <v>149</v>
      </c>
      <c r="B468" s="90" t="str">
        <f>(IF(H156="Saleable area Loading :","We have considered Saleable area of Flats as per our Calculation.","We considered Saleable area of Flat as per Builder area Sheet."))</f>
        <v>We have considered Saleable area of Flats as per our Calculation.</v>
      </c>
      <c r="C468" s="91"/>
      <c r="D468" s="91"/>
      <c r="E468" s="91"/>
      <c r="F468" s="91"/>
      <c r="G468" s="91"/>
      <c r="H468" s="92"/>
      <c r="T468" s="35"/>
    </row>
    <row r="469" spans="1:20" s="33" customFormat="1" x14ac:dyDescent="0.35">
      <c r="A469" s="41" t="s">
        <v>149</v>
      </c>
      <c r="B469" s="90" t="str">
        <f>(IF(H148="Saleable area Loading :","We have considered Saleable area of Commercial as per our Calculation.","We considered Saleable area of Commercial as per Builder area Sheet."))</f>
        <v>We have considered Saleable area of Commercial as per our Calculation.</v>
      </c>
      <c r="C469" s="91"/>
      <c r="D469" s="91"/>
      <c r="E469" s="91"/>
      <c r="F469" s="91"/>
      <c r="G469" s="91"/>
      <c r="H469" s="92"/>
      <c r="T469" s="35"/>
    </row>
    <row r="470" spans="1:20" s="33" customFormat="1" x14ac:dyDescent="0.35">
      <c r="A470" s="41" t="s">
        <v>149</v>
      </c>
      <c r="B470" s="198" t="s">
        <v>119</v>
      </c>
      <c r="C470" s="199"/>
      <c r="D470" s="199"/>
      <c r="E470" s="199"/>
      <c r="F470" s="199"/>
      <c r="G470" s="199"/>
      <c r="H470" s="200"/>
      <c r="T470" s="35"/>
    </row>
    <row r="471" spans="1:20" s="33" customFormat="1" ht="15.75" customHeight="1" x14ac:dyDescent="0.35">
      <c r="A471" s="41" t="s">
        <v>149</v>
      </c>
      <c r="B471" s="198" t="s">
        <v>375</v>
      </c>
      <c r="C471" s="199"/>
      <c r="D471" s="199"/>
      <c r="E471" s="199"/>
      <c r="F471" s="199"/>
      <c r="G471" s="199"/>
      <c r="H471" s="200"/>
      <c r="T471" s="35"/>
    </row>
    <row r="472" spans="1:20" s="33" customFormat="1" x14ac:dyDescent="0.35">
      <c r="A472" s="41" t="s">
        <v>149</v>
      </c>
      <c r="B472" s="198" t="s">
        <v>148</v>
      </c>
      <c r="C472" s="199"/>
      <c r="D472" s="199"/>
      <c r="E472" s="199"/>
      <c r="F472" s="199"/>
      <c r="G472" s="199"/>
      <c r="H472" s="200"/>
    </row>
    <row r="473" spans="1:20" s="33" customFormat="1" x14ac:dyDescent="0.35">
      <c r="A473" s="41" t="s">
        <v>149</v>
      </c>
      <c r="B473" s="198" t="s">
        <v>120</v>
      </c>
      <c r="C473" s="199"/>
      <c r="D473" s="199"/>
      <c r="E473" s="199"/>
      <c r="F473" s="199"/>
      <c r="G473" s="199"/>
      <c r="H473" s="200"/>
    </row>
    <row r="474" spans="1:20" s="33" customFormat="1" ht="34.5" customHeight="1" x14ac:dyDescent="0.35">
      <c r="A474" s="41" t="s">
        <v>149</v>
      </c>
      <c r="B474" s="198" t="s">
        <v>150</v>
      </c>
      <c r="C474" s="199"/>
      <c r="D474" s="199"/>
      <c r="E474" s="199"/>
      <c r="F474" s="199"/>
      <c r="G474" s="199"/>
      <c r="H474" s="200"/>
    </row>
    <row r="475" spans="1:20" s="33" customFormat="1" x14ac:dyDescent="0.35">
      <c r="A475" s="41" t="s">
        <v>149</v>
      </c>
      <c r="B475" s="198" t="s">
        <v>121</v>
      </c>
      <c r="C475" s="199"/>
      <c r="D475" s="199"/>
      <c r="E475" s="199"/>
      <c r="F475" s="199"/>
      <c r="G475" s="199"/>
      <c r="H475" s="200"/>
    </row>
    <row r="476" spans="1:20" s="33" customFormat="1" ht="32.25" hidden="1" customHeight="1" x14ac:dyDescent="0.35">
      <c r="A476" s="41" t="s">
        <v>149</v>
      </c>
      <c r="B476" s="202" t="s">
        <v>174</v>
      </c>
      <c r="C476" s="203"/>
      <c r="D476" s="203"/>
      <c r="E476" s="203"/>
      <c r="F476" s="203"/>
      <c r="G476" s="203"/>
      <c r="H476" s="204"/>
    </row>
    <row r="477" spans="1:20" s="33" customFormat="1" x14ac:dyDescent="0.35">
      <c r="A477" s="76" t="s">
        <v>149</v>
      </c>
      <c r="B477" s="90" t="s">
        <v>230</v>
      </c>
      <c r="C477" s="91"/>
      <c r="D477" s="91"/>
      <c r="E477" s="91"/>
      <c r="F477" s="91"/>
      <c r="G477" s="91"/>
      <c r="H477" s="92"/>
    </row>
    <row r="478" spans="1:20" s="33" customFormat="1" ht="35.25" customHeight="1" x14ac:dyDescent="0.35">
      <c r="A478" s="76" t="s">
        <v>149</v>
      </c>
      <c r="B478" s="90" t="s">
        <v>378</v>
      </c>
      <c r="C478" s="91"/>
      <c r="D478" s="91"/>
      <c r="E478" s="91"/>
      <c r="F478" s="91"/>
      <c r="G478" s="91"/>
      <c r="H478" s="92"/>
    </row>
    <row r="479" spans="1:20" s="33" customFormat="1" ht="17.25" hidden="1" customHeight="1" x14ac:dyDescent="0.35">
      <c r="A479" s="76" t="s">
        <v>149</v>
      </c>
      <c r="B479" s="90" t="s">
        <v>400</v>
      </c>
      <c r="C479" s="91"/>
      <c r="D479" s="91"/>
      <c r="E479" s="91"/>
      <c r="F479" s="91"/>
      <c r="G479" s="91"/>
      <c r="H479" s="92"/>
    </row>
    <row r="480" spans="1:20" s="33" customFormat="1" x14ac:dyDescent="0.35">
      <c r="A480" s="76" t="s">
        <v>149</v>
      </c>
      <c r="B480" s="90" t="s">
        <v>421</v>
      </c>
      <c r="C480" s="91"/>
      <c r="D480" s="91"/>
      <c r="E480" s="91"/>
      <c r="F480" s="91"/>
      <c r="G480" s="91"/>
      <c r="H480" s="92"/>
    </row>
    <row r="481" spans="1:20" s="33" customFormat="1" ht="33" customHeight="1" x14ac:dyDescent="0.35">
      <c r="A481" s="76" t="s">
        <v>149</v>
      </c>
      <c r="B481" s="90" t="s">
        <v>435</v>
      </c>
      <c r="C481" s="91"/>
      <c r="D481" s="91"/>
      <c r="E481" s="91"/>
      <c r="F481" s="91"/>
      <c r="G481" s="91"/>
      <c r="H481" s="92"/>
    </row>
    <row r="482" spans="1:20" s="33" customFormat="1" ht="33" customHeight="1" x14ac:dyDescent="0.35">
      <c r="A482" s="76" t="s">
        <v>149</v>
      </c>
      <c r="B482" s="90" t="s">
        <v>441</v>
      </c>
      <c r="C482" s="91"/>
      <c r="D482" s="91"/>
      <c r="E482" s="91"/>
      <c r="F482" s="91"/>
      <c r="G482" s="91"/>
      <c r="H482" s="92"/>
    </row>
    <row r="483" spans="1:20" x14ac:dyDescent="0.35">
      <c r="A483" s="185" t="s">
        <v>58</v>
      </c>
      <c r="B483" s="185"/>
      <c r="C483" s="185"/>
      <c r="D483" s="185"/>
      <c r="E483" s="185"/>
      <c r="F483" s="185"/>
      <c r="G483" s="185"/>
      <c r="H483" s="185"/>
      <c r="T483" s="33"/>
    </row>
    <row r="484" spans="1:20" x14ac:dyDescent="0.35">
      <c r="A484" s="113" t="s">
        <v>59</v>
      </c>
      <c r="B484" s="113"/>
      <c r="C484" s="113"/>
      <c r="D484" s="113"/>
      <c r="E484" s="113"/>
      <c r="F484" s="113"/>
      <c r="G484" s="113"/>
      <c r="H484" s="113"/>
      <c r="T484" s="33"/>
    </row>
    <row r="485" spans="1:20" ht="15.75" customHeight="1" x14ac:dyDescent="0.35">
      <c r="A485" s="208" t="s">
        <v>60</v>
      </c>
      <c r="B485" s="208"/>
      <c r="C485" s="208"/>
      <c r="D485" s="208"/>
      <c r="E485" s="208"/>
      <c r="F485" s="208"/>
      <c r="G485" s="208"/>
      <c r="H485" s="208"/>
      <c r="T485" s="33"/>
    </row>
    <row r="486" spans="1:20" x14ac:dyDescent="0.35">
      <c r="A486" s="113" t="s">
        <v>61</v>
      </c>
      <c r="B486" s="113"/>
      <c r="C486" s="113"/>
      <c r="D486" s="113"/>
      <c r="E486" s="113"/>
      <c r="F486" s="113"/>
      <c r="G486" s="113"/>
      <c r="H486" s="113"/>
      <c r="T486" s="33"/>
    </row>
    <row r="487" spans="1:20" x14ac:dyDescent="0.35">
      <c r="A487" s="113" t="s">
        <v>62</v>
      </c>
      <c r="B487" s="113"/>
      <c r="C487" s="113"/>
      <c r="D487" s="113"/>
      <c r="E487" s="113"/>
      <c r="F487" s="113"/>
      <c r="G487" s="113"/>
      <c r="H487" s="113"/>
      <c r="T487" s="33"/>
    </row>
    <row r="488" spans="1:20" x14ac:dyDescent="0.35">
      <c r="A488" s="113" t="s">
        <v>122</v>
      </c>
      <c r="B488" s="113"/>
      <c r="C488" s="113"/>
      <c r="D488" s="113"/>
      <c r="E488" s="113"/>
      <c r="F488" s="113"/>
      <c r="G488" s="113"/>
      <c r="H488" s="113"/>
      <c r="T488" s="33"/>
    </row>
    <row r="489" spans="1:20" ht="33.9" customHeight="1" x14ac:dyDescent="0.35">
      <c r="A489" s="145" t="s">
        <v>123</v>
      </c>
      <c r="B489" s="145"/>
      <c r="C489" s="145"/>
      <c r="D489" s="145"/>
      <c r="E489" s="145"/>
      <c r="F489" s="145"/>
      <c r="G489" s="145"/>
      <c r="H489" s="145"/>
    </row>
    <row r="490" spans="1:20" x14ac:dyDescent="0.35">
      <c r="A490" s="207" t="s">
        <v>74</v>
      </c>
      <c r="B490" s="207"/>
      <c r="C490" s="207" t="s">
        <v>387</v>
      </c>
      <c r="D490" s="207"/>
      <c r="E490" s="207" t="s">
        <v>104</v>
      </c>
      <c r="F490" s="207"/>
      <c r="G490" s="207" t="s">
        <v>443</v>
      </c>
      <c r="H490" s="207"/>
    </row>
    <row r="491" spans="1:20" x14ac:dyDescent="0.35">
      <c r="A491" s="206" t="s">
        <v>76</v>
      </c>
      <c r="B491" s="206"/>
      <c r="C491" s="206"/>
      <c r="D491" s="206"/>
      <c r="E491" s="206"/>
      <c r="F491" s="206"/>
      <c r="G491" s="206"/>
      <c r="H491" s="206"/>
    </row>
    <row r="492" spans="1:20" x14ac:dyDescent="0.35">
      <c r="A492" s="206"/>
      <c r="B492" s="206"/>
      <c r="C492" s="206"/>
      <c r="D492" s="206"/>
      <c r="E492" s="206"/>
      <c r="F492" s="206"/>
      <c r="G492" s="206"/>
      <c r="H492" s="206"/>
    </row>
    <row r="493" spans="1:20" x14ac:dyDescent="0.35">
      <c r="A493" s="206"/>
      <c r="B493" s="206"/>
      <c r="C493" s="206"/>
      <c r="D493" s="206"/>
      <c r="E493" s="206"/>
      <c r="F493" s="206"/>
      <c r="G493" s="206"/>
      <c r="H493" s="206"/>
    </row>
    <row r="494" spans="1:20" x14ac:dyDescent="0.35">
      <c r="A494" s="206"/>
      <c r="B494" s="206"/>
      <c r="C494" s="206"/>
      <c r="D494" s="206"/>
      <c r="E494" s="206"/>
      <c r="F494" s="206"/>
      <c r="G494" s="206"/>
      <c r="H494" s="206"/>
    </row>
    <row r="495" spans="1:20" x14ac:dyDescent="0.35">
      <c r="A495" s="36" t="s">
        <v>63</v>
      </c>
      <c r="B495" s="37"/>
      <c r="C495" s="37"/>
      <c r="D495" s="36" t="str">
        <f>E9</f>
        <v>Ashar Merac Phase I</v>
      </c>
      <c r="F495" s="37"/>
      <c r="G495" s="37"/>
      <c r="H495" s="37"/>
    </row>
    <row r="496" spans="1:20" x14ac:dyDescent="0.35">
      <c r="A496" s="37"/>
      <c r="B496" s="37"/>
      <c r="C496" s="37"/>
      <c r="D496" s="37"/>
      <c r="E496" s="37"/>
      <c r="F496" s="37"/>
      <c r="G496" s="37"/>
      <c r="H496" s="37"/>
    </row>
    <row r="497" spans="1:8" x14ac:dyDescent="0.35">
      <c r="A497" s="37"/>
      <c r="B497" s="37"/>
      <c r="C497" s="37"/>
      <c r="D497" s="37"/>
      <c r="E497" s="37"/>
      <c r="F497" s="37"/>
      <c r="G497" s="37"/>
      <c r="H497" s="37"/>
    </row>
    <row r="498" spans="1:8" ht="15" customHeight="1" x14ac:dyDescent="0.35"/>
    <row r="538" spans="1:1" x14ac:dyDescent="0.35">
      <c r="A538" s="39" t="s">
        <v>160</v>
      </c>
    </row>
    <row r="581" spans="1:1" x14ac:dyDescent="0.35">
      <c r="A581" s="39" t="s">
        <v>64</v>
      </c>
    </row>
  </sheetData>
  <mergeCells count="638">
    <mergeCell ref="B481:H481"/>
    <mergeCell ref="A369:B369"/>
    <mergeCell ref="A370:B370"/>
    <mergeCell ref="A371:B371"/>
    <mergeCell ref="A372:B372"/>
    <mergeCell ref="C372:H372"/>
    <mergeCell ref="A373:B373"/>
    <mergeCell ref="I354:N354"/>
    <mergeCell ref="B480:H480"/>
    <mergeCell ref="A455:H455"/>
    <mergeCell ref="B453:H453"/>
    <mergeCell ref="B464:H464"/>
    <mergeCell ref="B478:H478"/>
    <mergeCell ref="A410:H410"/>
    <mergeCell ref="A421:H421"/>
    <mergeCell ref="A433:H433"/>
    <mergeCell ref="C383:H383"/>
    <mergeCell ref="A390:B390"/>
    <mergeCell ref="A374:H374"/>
    <mergeCell ref="A375:B375"/>
    <mergeCell ref="A376:B376"/>
    <mergeCell ref="A377:B377"/>
    <mergeCell ref="A378:B378"/>
    <mergeCell ref="A379:B379"/>
    <mergeCell ref="A380:B380"/>
    <mergeCell ref="A296:H296"/>
    <mergeCell ref="C386:H389"/>
    <mergeCell ref="A396:H396"/>
    <mergeCell ref="A391:B391"/>
    <mergeCell ref="A392:B392"/>
    <mergeCell ref="A393:B393"/>
    <mergeCell ref="A394:B394"/>
    <mergeCell ref="A395:B395"/>
    <mergeCell ref="A356:B356"/>
    <mergeCell ref="A357:B357"/>
    <mergeCell ref="A352:H352"/>
    <mergeCell ref="A359:B359"/>
    <mergeCell ref="A360:B360"/>
    <mergeCell ref="A361:B361"/>
    <mergeCell ref="A362:B362"/>
    <mergeCell ref="A297:H297"/>
    <mergeCell ref="A298:B298"/>
    <mergeCell ref="A299:B299"/>
    <mergeCell ref="A300:B300"/>
    <mergeCell ref="A301:B301"/>
    <mergeCell ref="A302:B302"/>
    <mergeCell ref="A303:B303"/>
    <mergeCell ref="A304:B304"/>
    <mergeCell ref="A399:H399"/>
    <mergeCell ref="A383:B383"/>
    <mergeCell ref="A384:B384"/>
    <mergeCell ref="C361:H361"/>
    <mergeCell ref="A385:H385"/>
    <mergeCell ref="A386:B386"/>
    <mergeCell ref="A387:B387"/>
    <mergeCell ref="A388:B388"/>
    <mergeCell ref="A346:B346"/>
    <mergeCell ref="A347:B347"/>
    <mergeCell ref="A348:B348"/>
    <mergeCell ref="A349:B349"/>
    <mergeCell ref="A350:B350"/>
    <mergeCell ref="A351:B351"/>
    <mergeCell ref="A354:B354"/>
    <mergeCell ref="A389:B389"/>
    <mergeCell ref="A381:B381"/>
    <mergeCell ref="A382:B382"/>
    <mergeCell ref="A363:H363"/>
    <mergeCell ref="A364:B364"/>
    <mergeCell ref="A365:B365"/>
    <mergeCell ref="A366:B366"/>
    <mergeCell ref="A367:B367"/>
    <mergeCell ref="A368:B368"/>
    <mergeCell ref="A281:B281"/>
    <mergeCell ref="A282:B282"/>
    <mergeCell ref="A283:B283"/>
    <mergeCell ref="A284:B284"/>
    <mergeCell ref="C283:H283"/>
    <mergeCell ref="A291:B291"/>
    <mergeCell ref="A292:B292"/>
    <mergeCell ref="A293:B293"/>
    <mergeCell ref="A294:B294"/>
    <mergeCell ref="A286:B286"/>
    <mergeCell ref="A285:H285"/>
    <mergeCell ref="A295:B295"/>
    <mergeCell ref="A358:B358"/>
    <mergeCell ref="L274:M274"/>
    <mergeCell ref="A275:B275"/>
    <mergeCell ref="C264:H265"/>
    <mergeCell ref="C266:H267"/>
    <mergeCell ref="C275:H278"/>
    <mergeCell ref="A261:B261"/>
    <mergeCell ref="A262:B262"/>
    <mergeCell ref="A263:H263"/>
    <mergeCell ref="L263:M263"/>
    <mergeCell ref="A264:B264"/>
    <mergeCell ref="A265:B265"/>
    <mergeCell ref="A266:B266"/>
    <mergeCell ref="A267:B267"/>
    <mergeCell ref="A268:B268"/>
    <mergeCell ref="A276:B276"/>
    <mergeCell ref="A277:B277"/>
    <mergeCell ref="A278:B278"/>
    <mergeCell ref="A341:H341"/>
    <mergeCell ref="A342:B342"/>
    <mergeCell ref="A343:B343"/>
    <mergeCell ref="A344:B344"/>
    <mergeCell ref="A345:B345"/>
    <mergeCell ref="L219:M219"/>
    <mergeCell ref="A220:B220"/>
    <mergeCell ref="A221:B221"/>
    <mergeCell ref="A222:B222"/>
    <mergeCell ref="A223:B223"/>
    <mergeCell ref="A224:B224"/>
    <mergeCell ref="L252:M252"/>
    <mergeCell ref="A253:B253"/>
    <mergeCell ref="A254:B254"/>
    <mergeCell ref="C253:H256"/>
    <mergeCell ref="A242:B242"/>
    <mergeCell ref="C242:H245"/>
    <mergeCell ref="A243:B243"/>
    <mergeCell ref="A244:B244"/>
    <mergeCell ref="A245:B245"/>
    <mergeCell ref="A246:B246"/>
    <mergeCell ref="A247:B247"/>
    <mergeCell ref="A248:B248"/>
    <mergeCell ref="A249:B249"/>
    <mergeCell ref="A250:B250"/>
    <mergeCell ref="A251:B251"/>
    <mergeCell ref="L207:M207"/>
    <mergeCell ref="A208:B208"/>
    <mergeCell ref="A209:B209"/>
    <mergeCell ref="A210:B210"/>
    <mergeCell ref="A211:B211"/>
    <mergeCell ref="A212:B212"/>
    <mergeCell ref="A213:B213"/>
    <mergeCell ref="A214:B214"/>
    <mergeCell ref="A215:B215"/>
    <mergeCell ref="A207:H207"/>
    <mergeCell ref="C213:H213"/>
    <mergeCell ref="D70:H70"/>
    <mergeCell ref="C53:E53"/>
    <mergeCell ref="A68:C70"/>
    <mergeCell ref="D68:H68"/>
    <mergeCell ref="D69:H69"/>
    <mergeCell ref="C142:D142"/>
    <mergeCell ref="E142:F142"/>
    <mergeCell ref="G142:H142"/>
    <mergeCell ref="E96:F105"/>
    <mergeCell ref="G109:H109"/>
    <mergeCell ref="A108:B108"/>
    <mergeCell ref="A126:E126"/>
    <mergeCell ref="F126:H126"/>
    <mergeCell ref="A128:E128"/>
    <mergeCell ref="F123:H123"/>
    <mergeCell ref="A127:E127"/>
    <mergeCell ref="E139:F139"/>
    <mergeCell ref="A133:H133"/>
    <mergeCell ref="A131:E131"/>
    <mergeCell ref="F131:H131"/>
    <mergeCell ref="A132:E132"/>
    <mergeCell ref="A135:B135"/>
    <mergeCell ref="E137:F137"/>
    <mergeCell ref="A80:B80"/>
    <mergeCell ref="I15:P15"/>
    <mergeCell ref="F130:H130"/>
    <mergeCell ref="F128:H128"/>
    <mergeCell ref="A287:B287"/>
    <mergeCell ref="A147:H147"/>
    <mergeCell ref="G134:H134"/>
    <mergeCell ref="A129:E129"/>
    <mergeCell ref="A152:B152"/>
    <mergeCell ref="A61:B61"/>
    <mergeCell ref="C61:E61"/>
    <mergeCell ref="D65:H65"/>
    <mergeCell ref="F129:H129"/>
    <mergeCell ref="E134:F134"/>
    <mergeCell ref="A134:B134"/>
    <mergeCell ref="A136:B136"/>
    <mergeCell ref="C139:D139"/>
    <mergeCell ref="D75:H75"/>
    <mergeCell ref="A76:C76"/>
    <mergeCell ref="E43:H43"/>
    <mergeCell ref="A43:D43"/>
    <mergeCell ref="A92:B92"/>
    <mergeCell ref="C92:H92"/>
    <mergeCell ref="A87:B87"/>
    <mergeCell ref="A160:H160"/>
    <mergeCell ref="C50:E50"/>
    <mergeCell ref="G50:H50"/>
    <mergeCell ref="G53:H53"/>
    <mergeCell ref="A51:B51"/>
    <mergeCell ref="A64:H64"/>
    <mergeCell ref="A65:C65"/>
    <mergeCell ref="A66:C66"/>
    <mergeCell ref="D66:H66"/>
    <mergeCell ref="G61:H61"/>
    <mergeCell ref="A55:B56"/>
    <mergeCell ref="C55:E55"/>
    <mergeCell ref="G55:H55"/>
    <mergeCell ref="A57:B58"/>
    <mergeCell ref="C57:E57"/>
    <mergeCell ref="G57:H57"/>
    <mergeCell ref="A59:B60"/>
    <mergeCell ref="C59:E59"/>
    <mergeCell ref="G59:H59"/>
    <mergeCell ref="G51:H51"/>
    <mergeCell ref="A53:B54"/>
    <mergeCell ref="C54:H54"/>
    <mergeCell ref="C51:E51"/>
    <mergeCell ref="C56:H56"/>
    <mergeCell ref="A50:B50"/>
    <mergeCell ref="A161:H161"/>
    <mergeCell ref="A289:B289"/>
    <mergeCell ref="A159:H159"/>
    <mergeCell ref="A158:H158"/>
    <mergeCell ref="A166:B166"/>
    <mergeCell ref="A227:B227"/>
    <mergeCell ref="A154:B154"/>
    <mergeCell ref="A153:B153"/>
    <mergeCell ref="B471:H471"/>
    <mergeCell ref="A180:B180"/>
    <mergeCell ref="A181:B181"/>
    <mergeCell ref="A182:B182"/>
    <mergeCell ref="C180:H183"/>
    <mergeCell ref="A174:B174"/>
    <mergeCell ref="A203:B203"/>
    <mergeCell ref="A204:B204"/>
    <mergeCell ref="A205:B205"/>
    <mergeCell ref="A206:B206"/>
    <mergeCell ref="C205:H205"/>
    <mergeCell ref="A176:B176"/>
    <mergeCell ref="A177:B177"/>
    <mergeCell ref="A178:B178"/>
    <mergeCell ref="A179:H179"/>
    <mergeCell ref="A197:H197"/>
    <mergeCell ref="D156:D157"/>
    <mergeCell ref="E156:E157"/>
    <mergeCell ref="A100:B100"/>
    <mergeCell ref="A101:B101"/>
    <mergeCell ref="A102:B102"/>
    <mergeCell ref="A116:B116"/>
    <mergeCell ref="F121:H121"/>
    <mergeCell ref="G135:H135"/>
    <mergeCell ref="A119:B119"/>
    <mergeCell ref="F127:H127"/>
    <mergeCell ref="C134:D134"/>
    <mergeCell ref="C144:D144"/>
    <mergeCell ref="F132:H132"/>
    <mergeCell ref="A140:B140"/>
    <mergeCell ref="F124:H124"/>
    <mergeCell ref="A138:H138"/>
    <mergeCell ref="F120:H120"/>
    <mergeCell ref="G137:H137"/>
    <mergeCell ref="C141:D141"/>
    <mergeCell ref="E141:F141"/>
    <mergeCell ref="G141:H141"/>
    <mergeCell ref="A491:H494"/>
    <mergeCell ref="A490:B490"/>
    <mergeCell ref="E490:F490"/>
    <mergeCell ref="C490:D490"/>
    <mergeCell ref="G490:H490"/>
    <mergeCell ref="A486:H486"/>
    <mergeCell ref="A191:B191"/>
    <mergeCell ref="A192:B192"/>
    <mergeCell ref="A193:B193"/>
    <mergeCell ref="A194:B194"/>
    <mergeCell ref="A195:B195"/>
    <mergeCell ref="A196:B196"/>
    <mergeCell ref="A198:H198"/>
    <mergeCell ref="A199:B199"/>
    <mergeCell ref="A200:B200"/>
    <mergeCell ref="A488:H488"/>
    <mergeCell ref="A485:H485"/>
    <mergeCell ref="C199:H202"/>
    <mergeCell ref="A225:B225"/>
    <mergeCell ref="A226:B226"/>
    <mergeCell ref="A216:H216"/>
    <mergeCell ref="C220:H223"/>
    <mergeCell ref="A217:H217"/>
    <mergeCell ref="A218:H218"/>
    <mergeCell ref="A432:H432"/>
    <mergeCell ref="A252:H252"/>
    <mergeCell ref="A228:B228"/>
    <mergeCell ref="A229:B229"/>
    <mergeCell ref="A201:B201"/>
    <mergeCell ref="A202:B202"/>
    <mergeCell ref="A189:B189"/>
    <mergeCell ref="A190:B190"/>
    <mergeCell ref="A219:H219"/>
    <mergeCell ref="A255:B255"/>
    <mergeCell ref="A256:B256"/>
    <mergeCell ref="A257:B257"/>
    <mergeCell ref="A258:B258"/>
    <mergeCell ref="A259:B259"/>
    <mergeCell ref="A260:B260"/>
    <mergeCell ref="A269:B269"/>
    <mergeCell ref="A270:B270"/>
    <mergeCell ref="A271:B271"/>
    <mergeCell ref="A272:B272"/>
    <mergeCell ref="A273:B273"/>
    <mergeCell ref="A274:H274"/>
    <mergeCell ref="A279:B279"/>
    <mergeCell ref="A280:B280"/>
    <mergeCell ref="A288:B288"/>
    <mergeCell ref="B476:H476"/>
    <mergeCell ref="B475:H475"/>
    <mergeCell ref="B473:H473"/>
    <mergeCell ref="B469:H469"/>
    <mergeCell ref="A444:H444"/>
    <mergeCell ref="B467:H467"/>
    <mergeCell ref="B468:H468"/>
    <mergeCell ref="B470:H470"/>
    <mergeCell ref="A466:H466"/>
    <mergeCell ref="B472:H472"/>
    <mergeCell ref="A489:H489"/>
    <mergeCell ref="A487:H487"/>
    <mergeCell ref="A483:H483"/>
    <mergeCell ref="G139:H139"/>
    <mergeCell ref="A290:B290"/>
    <mergeCell ref="C148:C149"/>
    <mergeCell ref="B156:B157"/>
    <mergeCell ref="A484:H484"/>
    <mergeCell ref="C156:C157"/>
    <mergeCell ref="G156:G157"/>
    <mergeCell ref="G145:H145"/>
    <mergeCell ref="A146:H146"/>
    <mergeCell ref="A156:A157"/>
    <mergeCell ref="F156:F157"/>
    <mergeCell ref="A151:B151"/>
    <mergeCell ref="A145:B145"/>
    <mergeCell ref="C145:D145"/>
    <mergeCell ref="E145:F145"/>
    <mergeCell ref="A155:H155"/>
    <mergeCell ref="G148:G149"/>
    <mergeCell ref="B474:H474"/>
    <mergeCell ref="A355:B355"/>
    <mergeCell ref="A353:B353"/>
    <mergeCell ref="A141:B14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10:H119"/>
    <mergeCell ref="A42:D42"/>
    <mergeCell ref="E42:H42"/>
    <mergeCell ref="A41:H41"/>
    <mergeCell ref="A71:C71"/>
    <mergeCell ref="A72:C72"/>
    <mergeCell ref="D71:H71"/>
    <mergeCell ref="E82:F91"/>
    <mergeCell ref="G82:H91"/>
    <mergeCell ref="A90:B90"/>
    <mergeCell ref="A91:B91"/>
    <mergeCell ref="D72:H72"/>
    <mergeCell ref="A44:D44"/>
    <mergeCell ref="E44:H44"/>
    <mergeCell ref="E45:H45"/>
    <mergeCell ref="E46:H46"/>
    <mergeCell ref="A95:B95"/>
    <mergeCell ref="E47:H47"/>
    <mergeCell ref="C58:H58"/>
    <mergeCell ref="C60:H60"/>
    <mergeCell ref="A94:B94"/>
    <mergeCell ref="A39:B39"/>
    <mergeCell ref="C39:H39"/>
    <mergeCell ref="A46:D46"/>
    <mergeCell ref="L154:M154"/>
    <mergeCell ref="L153:M153"/>
    <mergeCell ref="L152:M152"/>
    <mergeCell ref="L151:M151"/>
    <mergeCell ref="A89:B89"/>
    <mergeCell ref="C140:D140"/>
    <mergeCell ref="E140:F140"/>
    <mergeCell ref="G140:H140"/>
    <mergeCell ref="A121:E121"/>
    <mergeCell ref="A106:B106"/>
    <mergeCell ref="C106:H106"/>
    <mergeCell ref="A150:H150"/>
    <mergeCell ref="E148:E149"/>
    <mergeCell ref="A96:B96"/>
    <mergeCell ref="A47:D47"/>
    <mergeCell ref="A48:H48"/>
    <mergeCell ref="D67:H67"/>
    <mergeCell ref="A67:C67"/>
    <mergeCell ref="A88:B88"/>
    <mergeCell ref="C94:H94"/>
    <mergeCell ref="A45:D45"/>
    <mergeCell ref="A78:B78"/>
    <mergeCell ref="C78:H78"/>
    <mergeCell ref="A86:B86"/>
    <mergeCell ref="A73:C73"/>
    <mergeCell ref="D73:H73"/>
    <mergeCell ref="C80:H80"/>
    <mergeCell ref="A83:B83"/>
    <mergeCell ref="A85:B85"/>
    <mergeCell ref="E81:F81"/>
    <mergeCell ref="A74:C74"/>
    <mergeCell ref="D74:H74"/>
    <mergeCell ref="A77:C77"/>
    <mergeCell ref="D77:H77"/>
    <mergeCell ref="A75:C75"/>
    <mergeCell ref="D76:H76"/>
    <mergeCell ref="A82:B82"/>
    <mergeCell ref="G81:H81"/>
    <mergeCell ref="A84:B84"/>
    <mergeCell ref="A40:B40"/>
    <mergeCell ref="C40:H40"/>
    <mergeCell ref="F148:F149"/>
    <mergeCell ref="C135:D135"/>
    <mergeCell ref="E135:F135"/>
    <mergeCell ref="B148:B149"/>
    <mergeCell ref="A148:A149"/>
    <mergeCell ref="F125:H125"/>
    <mergeCell ref="A103:B103"/>
    <mergeCell ref="A104:B104"/>
    <mergeCell ref="E109:F109"/>
    <mergeCell ref="E110:F119"/>
    <mergeCell ref="C143:D143"/>
    <mergeCell ref="E143:F143"/>
    <mergeCell ref="G143:H143"/>
    <mergeCell ref="A123:E123"/>
    <mergeCell ref="A120:E120"/>
    <mergeCell ref="A49:B49"/>
    <mergeCell ref="C49:H49"/>
    <mergeCell ref="A111:B111"/>
    <mergeCell ref="A112:B112"/>
    <mergeCell ref="G96:H105"/>
    <mergeCell ref="A97:B97"/>
    <mergeCell ref="A81:B81"/>
    <mergeCell ref="L165:M165"/>
    <mergeCell ref="L162:M162"/>
    <mergeCell ref="A163:B163"/>
    <mergeCell ref="L163:M163"/>
    <mergeCell ref="A164:B164"/>
    <mergeCell ref="L164:M164"/>
    <mergeCell ref="A165:B165"/>
    <mergeCell ref="A162:B162"/>
    <mergeCell ref="L166:M166"/>
    <mergeCell ref="C162:H165"/>
    <mergeCell ref="A173:B173"/>
    <mergeCell ref="L167:M167"/>
    <mergeCell ref="L168:M168"/>
    <mergeCell ref="L169:M169"/>
    <mergeCell ref="L198:M198"/>
    <mergeCell ref="L197:M197"/>
    <mergeCell ref="A186:B186"/>
    <mergeCell ref="A187:B187"/>
    <mergeCell ref="C171:H174"/>
    <mergeCell ref="A188:H188"/>
    <mergeCell ref="L188:M188"/>
    <mergeCell ref="A167:B167"/>
    <mergeCell ref="A168:B168"/>
    <mergeCell ref="A169:B169"/>
    <mergeCell ref="A170:H170"/>
    <mergeCell ref="A171:B171"/>
    <mergeCell ref="L179:M179"/>
    <mergeCell ref="A184:B184"/>
    <mergeCell ref="A185:B185"/>
    <mergeCell ref="A183:B183"/>
    <mergeCell ref="L170:M170"/>
    <mergeCell ref="A98:B98"/>
    <mergeCell ref="A99:B99"/>
    <mergeCell ref="F122:H122"/>
    <mergeCell ref="A122:E122"/>
    <mergeCell ref="D148:D149"/>
    <mergeCell ref="A124:E124"/>
    <mergeCell ref="A115:B115"/>
    <mergeCell ref="A117:B117"/>
    <mergeCell ref="A118:B118"/>
    <mergeCell ref="A139:B139"/>
    <mergeCell ref="E95:F95"/>
    <mergeCell ref="G95:H95"/>
    <mergeCell ref="A113:B113"/>
    <mergeCell ref="A114:B114"/>
    <mergeCell ref="A175:B175"/>
    <mergeCell ref="A172:B172"/>
    <mergeCell ref="I11:L11"/>
    <mergeCell ref="L432:M432"/>
    <mergeCell ref="A397:H397"/>
    <mergeCell ref="A398:H398"/>
    <mergeCell ref="A62:B63"/>
    <mergeCell ref="C62:E62"/>
    <mergeCell ref="G62:H62"/>
    <mergeCell ref="C63:H63"/>
    <mergeCell ref="A52:B52"/>
    <mergeCell ref="C52:E52"/>
    <mergeCell ref="G52:H52"/>
    <mergeCell ref="L230:M230"/>
    <mergeCell ref="A237:B237"/>
    <mergeCell ref="A238:B238"/>
    <mergeCell ref="A239:B239"/>
    <mergeCell ref="A240:B240"/>
    <mergeCell ref="A241:H241"/>
    <mergeCell ref="L241:M241"/>
    <mergeCell ref="B479:H479"/>
    <mergeCell ref="B477:H477"/>
    <mergeCell ref="A125:E125"/>
    <mergeCell ref="A105:B105"/>
    <mergeCell ref="A110:B110"/>
    <mergeCell ref="A144:B144"/>
    <mergeCell ref="E144:F144"/>
    <mergeCell ref="C108:H108"/>
    <mergeCell ref="A109:B109"/>
    <mergeCell ref="A130:E130"/>
    <mergeCell ref="G144:H144"/>
    <mergeCell ref="C136:D136"/>
    <mergeCell ref="E136:F136"/>
    <mergeCell ref="G136:H136"/>
    <mergeCell ref="A137:B137"/>
    <mergeCell ref="C137:D137"/>
    <mergeCell ref="A230:H230"/>
    <mergeCell ref="A231:B231"/>
    <mergeCell ref="C231:H234"/>
    <mergeCell ref="A232:B232"/>
    <mergeCell ref="A233:B233"/>
    <mergeCell ref="A234:B234"/>
    <mergeCell ref="A235:B235"/>
    <mergeCell ref="A236:B236"/>
    <mergeCell ref="A305:B305"/>
    <mergeCell ref="A317:B317"/>
    <mergeCell ref="A318:B318"/>
    <mergeCell ref="C317:H317"/>
    <mergeCell ref="A319:H319"/>
    <mergeCell ref="A320:B320"/>
    <mergeCell ref="A321:B321"/>
    <mergeCell ref="A306:B306"/>
    <mergeCell ref="A307:B307"/>
    <mergeCell ref="C306:H306"/>
    <mergeCell ref="A308:H308"/>
    <mergeCell ref="A309:B309"/>
    <mergeCell ref="A310:B310"/>
    <mergeCell ref="A311:B311"/>
    <mergeCell ref="A312:B312"/>
    <mergeCell ref="A313:B313"/>
    <mergeCell ref="A340:B340"/>
    <mergeCell ref="B482:H482"/>
    <mergeCell ref="A142:A143"/>
    <mergeCell ref="A331:B331"/>
    <mergeCell ref="A332:B332"/>
    <mergeCell ref="A333:B333"/>
    <mergeCell ref="A334:B334"/>
    <mergeCell ref="A335:B335"/>
    <mergeCell ref="A336:B336"/>
    <mergeCell ref="A337:B337"/>
    <mergeCell ref="A338:B338"/>
    <mergeCell ref="A339:B339"/>
    <mergeCell ref="A322:B322"/>
    <mergeCell ref="A323:B323"/>
    <mergeCell ref="A324:B324"/>
    <mergeCell ref="A325:B325"/>
    <mergeCell ref="A326:B326"/>
    <mergeCell ref="A327:B327"/>
    <mergeCell ref="A328:B328"/>
    <mergeCell ref="A329:B329"/>
    <mergeCell ref="A330:H330"/>
    <mergeCell ref="A314:B314"/>
    <mergeCell ref="A315:B315"/>
    <mergeCell ref="A316:B316"/>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8:E149">
      <formula1>"Attached Loft area,Attached Otla area,Attached Mezzanine area"</formula1>
    </dataValidation>
    <dataValidation type="list" allowBlank="1" showInputMessage="1" showErrorMessage="1" sqref="G490:H490">
      <formula1>"Kunal Kadam,Pranita Mhatre,Shruti Fule,Pooja Kawale,Gaurav Panchal,Shruti Tathare, Hitakshi Mhatre, Sachin Sawant"</formula1>
    </dataValidation>
    <dataValidation type="list" allowBlank="1" showInputMessage="1" showErrorMessage="1" sqref="F120:H120">
      <formula1>"On Saleable Area,On Builtup Area,On Carpet Area,On Plot Area"</formula1>
    </dataValidation>
    <dataValidation type="list" allowBlank="1" showInputMessage="1" showErrorMessage="1" sqref="B148:B149">
      <formula1>"Shop No. (Sale Plan),Sale / Rehab,Sale / Mhada"</formula1>
    </dataValidation>
    <dataValidation type="list" allowBlank="1" showInputMessage="1" showErrorMessage="1" sqref="B156:B15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6:E157">
      <formula1>"Fungible area,Balcony Area,Chajja Area,Cornice Area,AP Area,WS Area"</formula1>
    </dataValidation>
    <dataValidation type="list" allowBlank="1" showInputMessage="1" showErrorMessage="1" sqref="H149 H157">
      <formula1>".45,.50,.55,.60"</formula1>
    </dataValidation>
    <dataValidation type="list" allowBlank="1" showInputMessage="1" showErrorMessage="1" sqref="E4:H4">
      <formula1>$L$3:$P$3</formula1>
    </dataValidation>
    <dataValidation type="whole" allowBlank="1" showInputMessage="1" showErrorMessage="1" sqref="C87">
      <formula1>0</formula1>
      <formula2>H79</formula2>
    </dataValidation>
    <dataValidation type="list" allowBlank="1" showInputMessage="1" showErrorMessage="1" sqref="H148 H156">
      <formula1>"Saleable area Loading :,Builder Saleable Area"</formula1>
    </dataValidation>
    <dataValidation type="list" allowBlank="1" showInputMessage="1" showErrorMessage="1" sqref="D148:D149 D156:D157">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3" manualBreakCount="3">
    <brk id="494" max="16383" man="1"/>
    <brk id="537" max="16383" man="1"/>
    <brk id="57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6328125" defaultRowHeight="14.5" x14ac:dyDescent="0.35"/>
  <cols>
    <col min="1" max="1" width="8.6328125" style="1"/>
    <col min="2" max="2" width="22.08984375" style="1" customWidth="1"/>
    <col min="3" max="3" width="37" style="1" customWidth="1"/>
    <col min="4" max="5" width="11.453125" style="1" customWidth="1"/>
    <col min="6" max="6" width="14" style="1" customWidth="1"/>
    <col min="7" max="7" width="20" style="1" customWidth="1"/>
    <col min="8" max="8" width="16.453125" style="1" customWidth="1"/>
    <col min="9" max="16384" width="8.6328125" style="1"/>
  </cols>
  <sheetData>
    <row r="1" spans="1:9" ht="15" customHeight="1" x14ac:dyDescent="0.35"/>
    <row r="2" spans="1:9" ht="15" customHeight="1" x14ac:dyDescent="0.35">
      <c r="A2" s="2"/>
      <c r="B2" s="2"/>
      <c r="C2" s="2"/>
      <c r="D2" s="2"/>
      <c r="E2" s="2"/>
      <c r="F2" s="2"/>
      <c r="G2" s="2"/>
      <c r="H2" s="2"/>
    </row>
    <row r="3" spans="1:9" ht="15.75" customHeight="1" x14ac:dyDescent="0.35">
      <c r="A3" s="2"/>
      <c r="B3" s="235" t="s">
        <v>105</v>
      </c>
      <c r="C3" s="235"/>
      <c r="D3" s="235"/>
      <c r="E3" s="235"/>
      <c r="F3" s="235"/>
      <c r="G3" s="235"/>
      <c r="H3" s="235"/>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90625" bestFit="1" customWidth="1"/>
    <col min="5" max="5" width="10.453125" bestFit="1" customWidth="1"/>
    <col min="6" max="6" width="12.453125" bestFit="1" customWidth="1"/>
    <col min="7" max="7" width="18.08984375" customWidth="1"/>
    <col min="8" max="8" width="10.54296875" bestFit="1" customWidth="1"/>
  </cols>
  <sheetData>
    <row r="3" spans="2:11" x14ac:dyDescent="0.35">
      <c r="J3">
        <v>1</v>
      </c>
      <c r="K3">
        <v>2</v>
      </c>
    </row>
    <row r="4" spans="2:11" x14ac:dyDescent="0.35">
      <c r="B4" s="48"/>
      <c r="C4" s="48" t="s">
        <v>11</v>
      </c>
      <c r="D4" s="49" t="s">
        <v>175</v>
      </c>
      <c r="E4" s="49" t="s">
        <v>185</v>
      </c>
      <c r="F4" s="49" t="s">
        <v>169</v>
      </c>
      <c r="G4" s="49" t="s">
        <v>190</v>
      </c>
      <c r="H4" s="49" t="s">
        <v>208</v>
      </c>
      <c r="J4" t="s">
        <v>190</v>
      </c>
      <c r="K4" t="s">
        <v>206</v>
      </c>
    </row>
    <row r="5" spans="2:11" x14ac:dyDescent="0.35">
      <c r="B5" s="48"/>
      <c r="C5" s="48"/>
      <c r="D5" s="49" t="s">
        <v>176</v>
      </c>
      <c r="E5" s="49" t="s">
        <v>183</v>
      </c>
      <c r="F5" s="49" t="s">
        <v>205</v>
      </c>
      <c r="G5" s="49" t="s">
        <v>191</v>
      </c>
      <c r="H5" s="49" t="s">
        <v>209</v>
      </c>
    </row>
    <row r="6" spans="2:11" x14ac:dyDescent="0.35">
      <c r="B6" s="48"/>
      <c r="C6" s="48"/>
      <c r="D6" s="49" t="s">
        <v>177</v>
      </c>
      <c r="E6" s="49" t="s">
        <v>184</v>
      </c>
      <c r="F6" s="49" t="s">
        <v>206</v>
      </c>
      <c r="G6" s="49" t="s">
        <v>192</v>
      </c>
      <c r="H6" s="49" t="s">
        <v>222</v>
      </c>
    </row>
    <row r="7" spans="2:11" x14ac:dyDescent="0.35">
      <c r="B7" s="48"/>
      <c r="C7" s="48"/>
      <c r="D7" s="49" t="s">
        <v>178</v>
      </c>
      <c r="E7" s="49" t="s">
        <v>186</v>
      </c>
      <c r="F7" s="49" t="s">
        <v>207</v>
      </c>
      <c r="G7" s="49" t="s">
        <v>193</v>
      </c>
      <c r="H7" s="49" t="s">
        <v>210</v>
      </c>
    </row>
    <row r="8" spans="2:11" x14ac:dyDescent="0.35">
      <c r="B8" s="48"/>
      <c r="C8" s="48"/>
      <c r="D8" s="49" t="s">
        <v>179</v>
      </c>
      <c r="E8" s="49" t="s">
        <v>187</v>
      </c>
      <c r="F8" s="49"/>
      <c r="G8" s="49" t="s">
        <v>194</v>
      </c>
      <c r="H8" s="49" t="s">
        <v>211</v>
      </c>
    </row>
    <row r="9" spans="2:11" x14ac:dyDescent="0.35">
      <c r="B9" s="48"/>
      <c r="C9" s="48"/>
      <c r="D9" s="49" t="s">
        <v>180</v>
      </c>
      <c r="E9" s="49" t="s">
        <v>185</v>
      </c>
      <c r="F9" s="49"/>
      <c r="G9" s="49" t="s">
        <v>195</v>
      </c>
      <c r="H9" s="49" t="s">
        <v>212</v>
      </c>
    </row>
    <row r="10" spans="2:11" x14ac:dyDescent="0.35">
      <c r="B10" s="48"/>
      <c r="C10" s="48"/>
      <c r="D10" s="49" t="s">
        <v>181</v>
      </c>
      <c r="E10" s="49" t="s">
        <v>188</v>
      </c>
      <c r="F10" s="49"/>
      <c r="G10" s="49" t="s">
        <v>196</v>
      </c>
      <c r="H10" s="49" t="s">
        <v>213</v>
      </c>
    </row>
    <row r="11" spans="2:11" x14ac:dyDescent="0.35">
      <c r="B11" s="48"/>
      <c r="C11" s="48"/>
      <c r="D11" s="49" t="s">
        <v>182</v>
      </c>
      <c r="E11" s="49" t="s">
        <v>189</v>
      </c>
      <c r="F11" s="49"/>
      <c r="G11" s="49" t="s">
        <v>197</v>
      </c>
      <c r="H11" s="49" t="s">
        <v>214</v>
      </c>
    </row>
    <row r="12" spans="2:11" x14ac:dyDescent="0.35">
      <c r="B12" s="48"/>
      <c r="C12" s="48"/>
      <c r="D12" s="49"/>
      <c r="E12" s="49"/>
      <c r="F12" s="49"/>
      <c r="G12" s="49" t="s">
        <v>198</v>
      </c>
      <c r="H12" s="49" t="s">
        <v>215</v>
      </c>
    </row>
    <row r="13" spans="2:11" x14ac:dyDescent="0.35">
      <c r="B13" s="48"/>
      <c r="C13" s="48"/>
      <c r="D13" s="49"/>
      <c r="E13" s="49"/>
      <c r="F13" s="49"/>
      <c r="G13" s="49" t="s">
        <v>199</v>
      </c>
      <c r="H13" s="49" t="s">
        <v>216</v>
      </c>
    </row>
    <row r="14" spans="2:11" x14ac:dyDescent="0.35">
      <c r="B14" s="48"/>
      <c r="C14" s="48"/>
      <c r="D14" s="49"/>
      <c r="E14" s="49"/>
      <c r="F14" s="49"/>
      <c r="G14" s="49" t="s">
        <v>200</v>
      </c>
      <c r="H14" s="49" t="s">
        <v>217</v>
      </c>
    </row>
    <row r="15" spans="2:11" x14ac:dyDescent="0.35">
      <c r="B15" s="48"/>
      <c r="C15" s="48"/>
      <c r="D15" s="49"/>
      <c r="E15" s="49"/>
      <c r="F15" s="49"/>
      <c r="G15" s="49" t="s">
        <v>201</v>
      </c>
      <c r="H15" s="49" t="s">
        <v>218</v>
      </c>
    </row>
    <row r="16" spans="2:11" x14ac:dyDescent="0.35">
      <c r="B16" s="48"/>
      <c r="C16" s="48"/>
      <c r="D16" s="49"/>
      <c r="E16" s="49"/>
      <c r="F16" s="49"/>
      <c r="G16" s="49" t="s">
        <v>202</v>
      </c>
      <c r="H16" s="49" t="s">
        <v>219</v>
      </c>
    </row>
    <row r="17" spans="2:8" x14ac:dyDescent="0.35">
      <c r="B17" s="48"/>
      <c r="C17" s="48"/>
      <c r="D17" s="49"/>
      <c r="E17" s="49"/>
      <c r="F17" s="49"/>
      <c r="G17" s="49" t="s">
        <v>203</v>
      </c>
      <c r="H17" s="49" t="s">
        <v>220</v>
      </c>
    </row>
    <row r="18" spans="2:8" x14ac:dyDescent="0.35">
      <c r="B18" s="48"/>
      <c r="C18" s="48"/>
      <c r="D18" s="49"/>
      <c r="E18" s="49"/>
      <c r="F18" s="49"/>
      <c r="G18" s="49" t="s">
        <v>204</v>
      </c>
      <c r="H18" s="49" t="s">
        <v>221</v>
      </c>
    </row>
    <row r="24" spans="2:8" x14ac:dyDescent="0.35">
      <c r="C24" t="s">
        <v>166</v>
      </c>
    </row>
    <row r="25" spans="2:8" x14ac:dyDescent="0.35">
      <c r="C25" t="s">
        <v>223</v>
      </c>
    </row>
    <row r="26" spans="2:8" x14ac:dyDescent="0.35">
      <c r="C26" t="s">
        <v>224</v>
      </c>
    </row>
    <row r="27" spans="2:8" x14ac:dyDescent="0.35">
      <c r="C27" t="s">
        <v>225</v>
      </c>
    </row>
    <row r="28" spans="2:8" x14ac:dyDescent="0.35">
      <c r="C28" t="s">
        <v>226</v>
      </c>
    </row>
    <row r="29" spans="2:8" x14ac:dyDescent="0.35">
      <c r="C29" t="s">
        <v>227</v>
      </c>
    </row>
    <row r="30" spans="2:8" x14ac:dyDescent="0.35">
      <c r="C30" t="s">
        <v>166</v>
      </c>
    </row>
    <row r="33" spans="3:11" x14ac:dyDescent="0.35">
      <c r="J33">
        <v>1</v>
      </c>
      <c r="K33">
        <v>2</v>
      </c>
    </row>
    <row r="34" spans="3:11" x14ac:dyDescent="0.35">
      <c r="C34" s="51" t="s">
        <v>234</v>
      </c>
      <c r="D34" s="49" t="s">
        <v>232</v>
      </c>
      <c r="E34" s="49" t="s">
        <v>237</v>
      </c>
      <c r="F34" s="49" t="s">
        <v>235</v>
      </c>
      <c r="G34" s="49" t="s">
        <v>236</v>
      </c>
      <c r="H34" s="49" t="s">
        <v>238</v>
      </c>
      <c r="J34" t="s">
        <v>190</v>
      </c>
      <c r="K34" t="s">
        <v>206</v>
      </c>
    </row>
    <row r="35" spans="3:11" x14ac:dyDescent="0.35">
      <c r="C35" s="48" t="s">
        <v>233</v>
      </c>
      <c r="D35" s="49" t="s">
        <v>167</v>
      </c>
      <c r="E35" s="49" t="s">
        <v>242</v>
      </c>
      <c r="F35" s="49" t="s">
        <v>244</v>
      </c>
      <c r="G35" s="49" t="s">
        <v>246</v>
      </c>
      <c r="H35" s="49"/>
    </row>
    <row r="36" spans="3:11" x14ac:dyDescent="0.35">
      <c r="C36" s="48"/>
      <c r="D36" s="49" t="s">
        <v>239</v>
      </c>
      <c r="E36" s="49" t="s">
        <v>243</v>
      </c>
      <c r="F36" s="49" t="s">
        <v>245</v>
      </c>
      <c r="G36" s="49" t="s">
        <v>247</v>
      </c>
      <c r="H36" s="49"/>
    </row>
    <row r="37" spans="3:11" x14ac:dyDescent="0.35">
      <c r="C37" s="48"/>
      <c r="D37" s="49" t="s">
        <v>240</v>
      </c>
      <c r="E37" s="49"/>
      <c r="F37" s="49"/>
      <c r="G37" s="49" t="s">
        <v>248</v>
      </c>
      <c r="H37" s="49"/>
    </row>
    <row r="38" spans="3:11" x14ac:dyDescent="0.35">
      <c r="C38" s="48"/>
      <c r="D38" s="49" t="s">
        <v>241</v>
      </c>
      <c r="E38" s="49"/>
      <c r="F38" s="49"/>
      <c r="G38" s="49" t="s">
        <v>248</v>
      </c>
      <c r="H38" s="49"/>
    </row>
    <row r="39" spans="3:11" x14ac:dyDescent="0.35">
      <c r="C39" s="48"/>
      <c r="D39" s="49"/>
      <c r="E39" s="49"/>
      <c r="F39" s="49"/>
      <c r="G39" s="49" t="s">
        <v>249</v>
      </c>
      <c r="H39" s="49"/>
    </row>
    <row r="40" spans="3:11" x14ac:dyDescent="0.35">
      <c r="C40" s="48"/>
      <c r="D40" s="49"/>
      <c r="E40" s="49"/>
      <c r="F40" s="49"/>
      <c r="G40" s="49" t="s">
        <v>250</v>
      </c>
      <c r="H40" s="49"/>
    </row>
    <row r="41" spans="3:11" x14ac:dyDescent="0.35">
      <c r="C41" s="48"/>
      <c r="D41" s="49"/>
      <c r="E41" s="49"/>
      <c r="F41" s="49"/>
      <c r="G41" s="49"/>
      <c r="H41" s="49"/>
    </row>
    <row r="43" spans="3:11" x14ac:dyDescent="0.35">
      <c r="C43" t="s">
        <v>251</v>
      </c>
    </row>
    <row r="44" spans="3:11" x14ac:dyDescent="0.35">
      <c r="C44" t="s">
        <v>169</v>
      </c>
      <c r="D44" t="s">
        <v>252</v>
      </c>
    </row>
    <row r="45" spans="3:11" x14ac:dyDescent="0.35">
      <c r="D45" t="s">
        <v>253</v>
      </c>
    </row>
    <row r="46" spans="3:11" x14ac:dyDescent="0.35">
      <c r="D46" t="s">
        <v>254</v>
      </c>
    </row>
    <row r="47" spans="3:11" x14ac:dyDescent="0.35">
      <c r="D47" t="s">
        <v>255</v>
      </c>
    </row>
    <row r="48" spans="3:11" x14ac:dyDescent="0.35">
      <c r="D48" t="s">
        <v>256</v>
      </c>
    </row>
    <row r="49" spans="3:4" x14ac:dyDescent="0.35">
      <c r="C49" t="s">
        <v>175</v>
      </c>
      <c r="D49" t="s">
        <v>257</v>
      </c>
    </row>
    <row r="50" spans="3:4" x14ac:dyDescent="0.35">
      <c r="D50" t="s">
        <v>258</v>
      </c>
    </row>
    <row r="51" spans="3:4" x14ac:dyDescent="0.35">
      <c r="D51" t="s">
        <v>259</v>
      </c>
    </row>
    <row r="52" spans="3:4" x14ac:dyDescent="0.35">
      <c r="D52" t="s">
        <v>262</v>
      </c>
    </row>
    <row r="53" spans="3:4" x14ac:dyDescent="0.35">
      <c r="D53" t="s">
        <v>260</v>
      </c>
    </row>
    <row r="54" spans="3:4" x14ac:dyDescent="0.35">
      <c r="D54" t="s">
        <v>261</v>
      </c>
    </row>
    <row r="55" spans="3:4" x14ac:dyDescent="0.35">
      <c r="D55" t="s">
        <v>263</v>
      </c>
    </row>
    <row r="56" spans="3:4" x14ac:dyDescent="0.35">
      <c r="D56" t="s">
        <v>264</v>
      </c>
    </row>
    <row r="57" spans="3:4" x14ac:dyDescent="0.35">
      <c r="D57" t="s">
        <v>265</v>
      </c>
    </row>
    <row r="58" spans="3:4" x14ac:dyDescent="0.35">
      <c r="D58" t="s">
        <v>267</v>
      </c>
    </row>
    <row r="59" spans="3:4" x14ac:dyDescent="0.35">
      <c r="D59" t="s">
        <v>276</v>
      </c>
    </row>
    <row r="60" spans="3:4" x14ac:dyDescent="0.35">
      <c r="C60" t="s">
        <v>190</v>
      </c>
      <c r="D60" t="s">
        <v>268</v>
      </c>
    </row>
    <row r="61" spans="3:4" x14ac:dyDescent="0.35">
      <c r="D61" t="s">
        <v>266</v>
      </c>
    </row>
    <row r="62" spans="3:4" x14ac:dyDescent="0.35">
      <c r="D62" t="s">
        <v>256</v>
      </c>
    </row>
    <row r="63" spans="3:4" x14ac:dyDescent="0.35">
      <c r="D63" t="s">
        <v>269</v>
      </c>
    </row>
    <row r="64" spans="3:4" x14ac:dyDescent="0.35">
      <c r="D64" t="s">
        <v>270</v>
      </c>
    </row>
    <row r="65" spans="3:4" x14ac:dyDescent="0.35">
      <c r="D65" t="s">
        <v>271</v>
      </c>
    </row>
    <row r="66" spans="3:4" x14ac:dyDescent="0.35">
      <c r="D66" t="s">
        <v>272</v>
      </c>
    </row>
    <row r="67" spans="3:4" x14ac:dyDescent="0.35">
      <c r="C67" t="s">
        <v>185</v>
      </c>
      <c r="D67" t="s">
        <v>273</v>
      </c>
    </row>
    <row r="68" spans="3:4" x14ac:dyDescent="0.35">
      <c r="D68" t="s">
        <v>274</v>
      </c>
    </row>
    <row r="69" spans="3:4" x14ac:dyDescent="0.3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16" workbookViewId="0">
      <selection activeCell="C30" sqref="C30"/>
    </sheetView>
  </sheetViews>
  <sheetFormatPr defaultRowHeight="14.5" x14ac:dyDescent="0.35"/>
  <cols>
    <col min="2" max="2" width="3" bestFit="1" customWidth="1"/>
    <col min="3" max="3" width="155.36328125" customWidth="1"/>
  </cols>
  <sheetData>
    <row r="2" spans="2:3" ht="15" customHeight="1" x14ac:dyDescent="0.35">
      <c r="B2" s="52">
        <v>1</v>
      </c>
      <c r="C2" s="54" t="s">
        <v>282</v>
      </c>
    </row>
    <row r="3" spans="2:3" x14ac:dyDescent="0.35">
      <c r="B3" s="52">
        <v>2</v>
      </c>
      <c r="C3" s="53" t="s">
        <v>283</v>
      </c>
    </row>
    <row r="4" spans="2:3" x14ac:dyDescent="0.35">
      <c r="B4" s="52">
        <v>3</v>
      </c>
      <c r="C4" s="52" t="s">
        <v>284</v>
      </c>
    </row>
    <row r="5" spans="2:3" x14ac:dyDescent="0.35">
      <c r="B5" s="52">
        <v>4</v>
      </c>
      <c r="C5" s="53" t="s">
        <v>285</v>
      </c>
    </row>
    <row r="6" spans="2:3" x14ac:dyDescent="0.35">
      <c r="B6" s="52">
        <v>5</v>
      </c>
      <c r="C6" s="52" t="s">
        <v>286</v>
      </c>
    </row>
    <row r="7" spans="2:3" ht="29" x14ac:dyDescent="0.35">
      <c r="B7" s="52">
        <v>6</v>
      </c>
      <c r="C7" s="53" t="s">
        <v>287</v>
      </c>
    </row>
    <row r="8" spans="2:3" ht="72.5" x14ac:dyDescent="0.35">
      <c r="B8" s="52">
        <v>7</v>
      </c>
      <c r="C8" s="53" t="s">
        <v>288</v>
      </c>
    </row>
    <row r="9" spans="2:3" x14ac:dyDescent="0.35">
      <c r="B9" s="52">
        <v>8</v>
      </c>
      <c r="C9" s="52" t="s">
        <v>289</v>
      </c>
    </row>
    <row r="10" spans="2:3" x14ac:dyDescent="0.35">
      <c r="B10" s="52">
        <v>9</v>
      </c>
      <c r="C10" s="52" t="s">
        <v>290</v>
      </c>
    </row>
    <row r="11" spans="2:3" x14ac:dyDescent="0.35">
      <c r="B11" s="52">
        <v>10</v>
      </c>
      <c r="C11" s="52" t="s">
        <v>291</v>
      </c>
    </row>
    <row r="12" spans="2:3" x14ac:dyDescent="0.35">
      <c r="B12" s="52">
        <v>11</v>
      </c>
      <c r="C12" s="52" t="s">
        <v>292</v>
      </c>
    </row>
    <row r="13" spans="2:3" x14ac:dyDescent="0.35">
      <c r="B13" s="52">
        <v>12</v>
      </c>
      <c r="C13" s="52" t="s">
        <v>293</v>
      </c>
    </row>
    <row r="14" spans="2:3" x14ac:dyDescent="0.35">
      <c r="B14" s="52">
        <v>13</v>
      </c>
      <c r="C14" s="52" t="s">
        <v>294</v>
      </c>
    </row>
    <row r="15" spans="2:3" x14ac:dyDescent="0.35">
      <c r="B15" s="52">
        <v>14</v>
      </c>
      <c r="C15" s="52" t="s">
        <v>284</v>
      </c>
    </row>
    <row r="16" spans="2:3" x14ac:dyDescent="0.35">
      <c r="B16" s="52">
        <v>15</v>
      </c>
      <c r="C16" s="52" t="s">
        <v>296</v>
      </c>
    </row>
    <row r="17" spans="2:3" ht="31.5" customHeight="1" x14ac:dyDescent="0.35">
      <c r="B17" s="55">
        <v>16</v>
      </c>
      <c r="C17" s="57" t="s">
        <v>297</v>
      </c>
    </row>
    <row r="18" spans="2:3" x14ac:dyDescent="0.35">
      <c r="B18" s="56">
        <v>17</v>
      </c>
      <c r="C18" s="57" t="s">
        <v>298</v>
      </c>
    </row>
    <row r="19" spans="2:3" x14ac:dyDescent="0.35">
      <c r="B19" s="55">
        <v>18</v>
      </c>
      <c r="C19" s="52" t="s">
        <v>299</v>
      </c>
    </row>
    <row r="20" spans="2:3" x14ac:dyDescent="0.35">
      <c r="B20" s="56">
        <v>19</v>
      </c>
      <c r="C20" s="52" t="s">
        <v>300</v>
      </c>
    </row>
    <row r="21" spans="2:3" x14ac:dyDescent="0.35">
      <c r="B21" s="52">
        <v>20</v>
      </c>
      <c r="C21" s="52" t="s">
        <v>301</v>
      </c>
    </row>
    <row r="22" spans="2:3" x14ac:dyDescent="0.35">
      <c r="B22" s="56">
        <v>21</v>
      </c>
      <c r="C22" s="52" t="s">
        <v>299</v>
      </c>
    </row>
    <row r="23" spans="2:3" s="65" customFormat="1" ht="29.25" customHeight="1" x14ac:dyDescent="0.35">
      <c r="B23" s="64">
        <v>22</v>
      </c>
      <c r="C23" s="54" t="s">
        <v>328</v>
      </c>
    </row>
    <row r="24" spans="2:3" s="65" customFormat="1" ht="30.75" customHeight="1" x14ac:dyDescent="0.35">
      <c r="B24" s="66">
        <v>23</v>
      </c>
      <c r="C24" s="54" t="s">
        <v>329</v>
      </c>
    </row>
    <row r="25" spans="2:3" x14ac:dyDescent="0.35">
      <c r="B25" s="52">
        <v>24</v>
      </c>
      <c r="C25" s="52" t="s">
        <v>332</v>
      </c>
    </row>
    <row r="26" spans="2:3" x14ac:dyDescent="0.35">
      <c r="B26" s="56">
        <v>25</v>
      </c>
      <c r="C26" s="52" t="s">
        <v>330</v>
      </c>
    </row>
    <row r="27" spans="2:3" x14ac:dyDescent="0.35">
      <c r="B27" s="66">
        <v>26</v>
      </c>
      <c r="C27" s="52" t="s">
        <v>331</v>
      </c>
    </row>
    <row r="28" spans="2:3" x14ac:dyDescent="0.35">
      <c r="B28" s="56">
        <v>27</v>
      </c>
      <c r="C28" s="52"/>
    </row>
    <row r="29" spans="2:3" x14ac:dyDescent="0.35">
      <c r="B29" s="56">
        <v>28</v>
      </c>
      <c r="C29" s="52"/>
    </row>
    <row r="30" spans="2:3" x14ac:dyDescent="0.35">
      <c r="B30" s="66">
        <v>29</v>
      </c>
      <c r="C30" s="52"/>
    </row>
    <row r="31" spans="2:3" x14ac:dyDescent="0.35">
      <c r="B31" s="56">
        <v>30</v>
      </c>
      <c r="C31" s="52"/>
    </row>
    <row r="32" spans="2:3" x14ac:dyDescent="0.35">
      <c r="B32" s="56">
        <v>31</v>
      </c>
      <c r="C32" s="52"/>
    </row>
    <row r="33" spans="2:3" x14ac:dyDescent="0.35">
      <c r="B33" s="66">
        <v>32</v>
      </c>
      <c r="C33" s="52"/>
    </row>
    <row r="34" spans="2:3" x14ac:dyDescent="0.35">
      <c r="B34" s="56">
        <v>33</v>
      </c>
      <c r="C34" s="52"/>
    </row>
    <row r="35" spans="2:3" x14ac:dyDescent="0.35">
      <c r="B35" s="56">
        <v>34</v>
      </c>
      <c r="C35" s="52"/>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08984375" defaultRowHeight="14.5" x14ac:dyDescent="0.35"/>
  <cols>
    <col min="1" max="1" width="9.08984375" style="48"/>
    <col min="2" max="2" width="12.36328125" style="48" customWidth="1"/>
    <col min="3" max="16384" width="9.08984375" style="48"/>
  </cols>
  <sheetData>
    <row r="2" spans="1:12" x14ac:dyDescent="0.35">
      <c r="B2" s="58" t="s">
        <v>302</v>
      </c>
      <c r="C2" s="236"/>
      <c r="D2" s="236"/>
    </row>
    <row r="3" spans="1:12" x14ac:dyDescent="0.35">
      <c r="D3" s="59"/>
      <c r="E3" s="59"/>
      <c r="F3" s="59"/>
      <c r="G3" s="59"/>
      <c r="H3" s="59"/>
      <c r="I3" s="59"/>
    </row>
    <row r="4" spans="1:12" x14ac:dyDescent="0.35">
      <c r="A4" s="58" t="s">
        <v>66</v>
      </c>
      <c r="B4" s="60" t="s">
        <v>303</v>
      </c>
      <c r="C4" s="237" t="s">
        <v>304</v>
      </c>
      <c r="D4" s="237"/>
      <c r="E4" s="237"/>
      <c r="F4" s="60"/>
      <c r="G4" s="238" t="s">
        <v>305</v>
      </c>
      <c r="H4" s="238"/>
      <c r="I4" s="238"/>
      <c r="J4" s="239" t="s">
        <v>306</v>
      </c>
      <c r="K4" s="239"/>
      <c r="L4" s="239"/>
    </row>
    <row r="5" spans="1:12" x14ac:dyDescent="0.35">
      <c r="A5" s="58"/>
      <c r="B5" s="60"/>
      <c r="C5" s="60" t="s">
        <v>307</v>
      </c>
      <c r="D5" s="60" t="s">
        <v>308</v>
      </c>
      <c r="E5" s="60" t="s">
        <v>309</v>
      </c>
      <c r="F5" s="60"/>
      <c r="G5" s="60" t="s">
        <v>307</v>
      </c>
      <c r="H5" s="60" t="s">
        <v>308</v>
      </c>
      <c r="I5" s="60" t="s">
        <v>309</v>
      </c>
      <c r="J5" s="60" t="s">
        <v>307</v>
      </c>
      <c r="K5" s="60" t="s">
        <v>308</v>
      </c>
      <c r="L5" s="60" t="s">
        <v>309</v>
      </c>
    </row>
    <row r="6" spans="1:12" x14ac:dyDescent="0.35">
      <c r="B6" s="49" t="s">
        <v>310</v>
      </c>
      <c r="C6" s="49"/>
      <c r="D6" s="49"/>
      <c r="E6" s="49">
        <f>C6*D6</f>
        <v>0</v>
      </c>
      <c r="F6" s="49" t="s">
        <v>327</v>
      </c>
      <c r="G6" s="49"/>
      <c r="H6" s="49"/>
      <c r="I6" s="49">
        <f>G6*H6</f>
        <v>0</v>
      </c>
      <c r="J6" s="49"/>
      <c r="K6" s="49"/>
      <c r="L6" s="49">
        <f>J6*K6</f>
        <v>0</v>
      </c>
    </row>
    <row r="7" spans="1:12" x14ac:dyDescent="0.35">
      <c r="B7" s="49"/>
      <c r="C7" s="49"/>
      <c r="D7" s="49"/>
      <c r="E7" s="49">
        <f t="shared" ref="E7:E41" si="0">C7*D7</f>
        <v>0</v>
      </c>
      <c r="F7" s="49" t="s">
        <v>327</v>
      </c>
      <c r="G7" s="49"/>
      <c r="H7" s="49"/>
      <c r="I7" s="49">
        <f t="shared" ref="I7:I35" si="1">G7*H7</f>
        <v>0</v>
      </c>
      <c r="J7" s="49"/>
      <c r="K7" s="49"/>
      <c r="L7" s="49">
        <f t="shared" ref="L7:L35" si="2">J7*K7</f>
        <v>0</v>
      </c>
    </row>
    <row r="8" spans="1:12" x14ac:dyDescent="0.35">
      <c r="B8" s="49"/>
      <c r="C8" s="49"/>
      <c r="D8" s="49"/>
      <c r="E8" s="49">
        <f t="shared" si="0"/>
        <v>0</v>
      </c>
      <c r="F8" s="49"/>
      <c r="G8" s="49"/>
      <c r="H8" s="49"/>
      <c r="I8" s="49">
        <f t="shared" si="1"/>
        <v>0</v>
      </c>
      <c r="J8" s="49"/>
      <c r="K8" s="49"/>
      <c r="L8" s="49">
        <f t="shared" si="2"/>
        <v>0</v>
      </c>
    </row>
    <row r="9" spans="1:12" x14ac:dyDescent="0.35">
      <c r="B9" s="49"/>
      <c r="C9" s="49"/>
      <c r="D9" s="49"/>
      <c r="E9" s="49">
        <f t="shared" si="0"/>
        <v>0</v>
      </c>
      <c r="F9" s="49" t="s">
        <v>311</v>
      </c>
      <c r="G9" s="49"/>
      <c r="H9" s="49"/>
      <c r="I9" s="49">
        <f t="shared" si="1"/>
        <v>0</v>
      </c>
      <c r="J9" s="49"/>
      <c r="K9" s="49"/>
      <c r="L9" s="49">
        <f t="shared" si="2"/>
        <v>0</v>
      </c>
    </row>
    <row r="10" spans="1:12" x14ac:dyDescent="0.35">
      <c r="B10" s="49" t="s">
        <v>312</v>
      </c>
      <c r="C10" s="49"/>
      <c r="D10" s="49"/>
      <c r="E10" s="49">
        <f t="shared" si="0"/>
        <v>0</v>
      </c>
      <c r="F10" s="49" t="s">
        <v>311</v>
      </c>
      <c r="G10" s="49"/>
      <c r="H10" s="49"/>
      <c r="I10" s="49">
        <f t="shared" si="1"/>
        <v>0</v>
      </c>
      <c r="J10" s="49"/>
      <c r="K10" s="49"/>
      <c r="L10" s="49">
        <f t="shared" si="2"/>
        <v>0</v>
      </c>
    </row>
    <row r="11" spans="1:12" x14ac:dyDescent="0.35">
      <c r="B11" s="49"/>
      <c r="C11" s="49"/>
      <c r="D11" s="49"/>
      <c r="E11" s="49">
        <f t="shared" si="0"/>
        <v>0</v>
      </c>
      <c r="F11" s="49" t="s">
        <v>313</v>
      </c>
      <c r="G11" s="49"/>
      <c r="H11" s="49"/>
      <c r="I11" s="49">
        <f t="shared" si="1"/>
        <v>0</v>
      </c>
      <c r="J11" s="49"/>
      <c r="K11" s="49"/>
      <c r="L11" s="49">
        <f t="shared" si="2"/>
        <v>0</v>
      </c>
    </row>
    <row r="12" spans="1:12" x14ac:dyDescent="0.35">
      <c r="B12" s="49"/>
      <c r="C12" s="49"/>
      <c r="D12" s="49"/>
      <c r="E12" s="49">
        <f t="shared" si="0"/>
        <v>0</v>
      </c>
      <c r="F12" s="49"/>
      <c r="G12" s="49"/>
      <c r="H12" s="49"/>
      <c r="I12" s="49">
        <f t="shared" si="1"/>
        <v>0</v>
      </c>
      <c r="J12" s="49"/>
      <c r="K12" s="49"/>
      <c r="L12" s="49">
        <f t="shared" si="2"/>
        <v>0</v>
      </c>
    </row>
    <row r="13" spans="1:12" x14ac:dyDescent="0.35">
      <c r="B13" s="49"/>
      <c r="C13" s="49"/>
      <c r="D13" s="49"/>
      <c r="E13" s="49">
        <f t="shared" si="0"/>
        <v>0</v>
      </c>
      <c r="F13" s="49"/>
      <c r="G13" s="49"/>
      <c r="H13" s="49"/>
      <c r="I13" s="49">
        <f t="shared" si="1"/>
        <v>0</v>
      </c>
      <c r="J13" s="49"/>
      <c r="K13" s="49"/>
      <c r="L13" s="49">
        <f t="shared" si="2"/>
        <v>0</v>
      </c>
    </row>
    <row r="14" spans="1:12" x14ac:dyDescent="0.35">
      <c r="B14" s="49" t="s">
        <v>314</v>
      </c>
      <c r="C14" s="49"/>
      <c r="D14" s="49"/>
      <c r="E14" s="49">
        <f t="shared" si="0"/>
        <v>0</v>
      </c>
      <c r="F14" s="49" t="s">
        <v>311</v>
      </c>
      <c r="G14" s="49"/>
      <c r="H14" s="49"/>
      <c r="I14" s="49">
        <f t="shared" si="1"/>
        <v>0</v>
      </c>
      <c r="J14" s="49"/>
      <c r="K14" s="49"/>
      <c r="L14" s="49">
        <f t="shared" si="2"/>
        <v>0</v>
      </c>
    </row>
    <row r="15" spans="1:12" x14ac:dyDescent="0.35">
      <c r="B15" s="49"/>
      <c r="C15" s="49"/>
      <c r="D15" s="49"/>
      <c r="E15" s="49">
        <f t="shared" si="0"/>
        <v>0</v>
      </c>
      <c r="F15" s="49" t="s">
        <v>313</v>
      </c>
      <c r="G15" s="49"/>
      <c r="H15" s="49"/>
      <c r="I15" s="49">
        <f t="shared" si="1"/>
        <v>0</v>
      </c>
      <c r="J15" s="49"/>
      <c r="K15" s="49"/>
      <c r="L15" s="49">
        <f t="shared" si="2"/>
        <v>0</v>
      </c>
    </row>
    <row r="16" spans="1:12" x14ac:dyDescent="0.35">
      <c r="B16" s="49"/>
      <c r="C16" s="49"/>
      <c r="D16" s="49"/>
      <c r="E16" s="49">
        <f t="shared" si="0"/>
        <v>0</v>
      </c>
      <c r="F16" s="49"/>
      <c r="G16" s="49"/>
      <c r="H16" s="49"/>
      <c r="I16" s="49">
        <f t="shared" si="1"/>
        <v>0</v>
      </c>
      <c r="J16" s="49"/>
      <c r="K16" s="49"/>
      <c r="L16" s="49">
        <f t="shared" si="2"/>
        <v>0</v>
      </c>
    </row>
    <row r="17" spans="2:12" x14ac:dyDescent="0.35">
      <c r="B17" s="49"/>
      <c r="C17" s="49"/>
      <c r="D17" s="49"/>
      <c r="E17" s="49">
        <f t="shared" si="0"/>
        <v>0</v>
      </c>
      <c r="F17" s="49"/>
      <c r="G17" s="49"/>
      <c r="H17" s="49"/>
      <c r="I17" s="49">
        <f t="shared" si="1"/>
        <v>0</v>
      </c>
      <c r="J17" s="49"/>
      <c r="K17" s="49"/>
      <c r="L17" s="49">
        <f t="shared" si="2"/>
        <v>0</v>
      </c>
    </row>
    <row r="18" spans="2:12" x14ac:dyDescent="0.35">
      <c r="B18" s="49" t="s">
        <v>315</v>
      </c>
      <c r="C18" s="49"/>
      <c r="D18" s="49"/>
      <c r="E18" s="49">
        <f t="shared" si="0"/>
        <v>0</v>
      </c>
      <c r="F18" s="49" t="s">
        <v>311</v>
      </c>
      <c r="G18" s="49"/>
      <c r="H18" s="49"/>
      <c r="I18" s="49">
        <f t="shared" si="1"/>
        <v>0</v>
      </c>
      <c r="J18" s="49"/>
      <c r="K18" s="49"/>
      <c r="L18" s="49">
        <f t="shared" si="2"/>
        <v>0</v>
      </c>
    </row>
    <row r="19" spans="2:12" x14ac:dyDescent="0.35">
      <c r="B19" s="49"/>
      <c r="C19" s="49"/>
      <c r="D19" s="49"/>
      <c r="E19" s="49">
        <f t="shared" si="0"/>
        <v>0</v>
      </c>
      <c r="F19" s="49" t="s">
        <v>313</v>
      </c>
      <c r="G19" s="49"/>
      <c r="H19" s="49"/>
      <c r="I19" s="49">
        <f t="shared" si="1"/>
        <v>0</v>
      </c>
      <c r="J19" s="49"/>
      <c r="K19" s="49"/>
      <c r="L19" s="49">
        <f t="shared" si="2"/>
        <v>0</v>
      </c>
    </row>
    <row r="20" spans="2:12" x14ac:dyDescent="0.35">
      <c r="B20" s="49"/>
      <c r="C20" s="49"/>
      <c r="D20" s="49"/>
      <c r="E20" s="49">
        <f t="shared" si="0"/>
        <v>0</v>
      </c>
      <c r="F20" s="49"/>
      <c r="G20" s="49"/>
      <c r="H20" s="49"/>
      <c r="I20" s="49">
        <f t="shared" si="1"/>
        <v>0</v>
      </c>
      <c r="J20" s="49"/>
      <c r="K20" s="49"/>
      <c r="L20" s="49">
        <f t="shared" si="2"/>
        <v>0</v>
      </c>
    </row>
    <row r="21" spans="2:12" x14ac:dyDescent="0.35">
      <c r="B21" s="49" t="s">
        <v>316</v>
      </c>
      <c r="C21" s="49"/>
      <c r="D21" s="49"/>
      <c r="E21" s="49">
        <f t="shared" si="0"/>
        <v>0</v>
      </c>
      <c r="F21" s="49" t="s">
        <v>311</v>
      </c>
      <c r="G21" s="49"/>
      <c r="H21" s="49"/>
      <c r="I21" s="49">
        <f t="shared" si="1"/>
        <v>0</v>
      </c>
      <c r="J21" s="49"/>
      <c r="K21" s="49"/>
      <c r="L21" s="49">
        <f t="shared" si="2"/>
        <v>0</v>
      </c>
    </row>
    <row r="22" spans="2:12" x14ac:dyDescent="0.35">
      <c r="B22" s="49"/>
      <c r="C22" s="49"/>
      <c r="D22" s="49"/>
      <c r="E22" s="49">
        <f t="shared" si="0"/>
        <v>0</v>
      </c>
      <c r="F22" s="49" t="s">
        <v>313</v>
      </c>
      <c r="G22" s="49"/>
      <c r="H22" s="49"/>
      <c r="I22" s="49">
        <f t="shared" si="1"/>
        <v>0</v>
      </c>
      <c r="J22" s="49"/>
      <c r="K22" s="49"/>
      <c r="L22" s="49">
        <f t="shared" si="2"/>
        <v>0</v>
      </c>
    </row>
    <row r="23" spans="2:12" x14ac:dyDescent="0.35">
      <c r="B23" s="49"/>
      <c r="C23" s="49"/>
      <c r="D23" s="49"/>
      <c r="E23" s="49">
        <f t="shared" si="0"/>
        <v>0</v>
      </c>
      <c r="F23" s="49"/>
      <c r="G23" s="49"/>
      <c r="H23" s="49"/>
      <c r="I23" s="49">
        <f t="shared" si="1"/>
        <v>0</v>
      </c>
      <c r="J23" s="49"/>
      <c r="K23" s="49"/>
      <c r="L23" s="49">
        <f t="shared" si="2"/>
        <v>0</v>
      </c>
    </row>
    <row r="24" spans="2:12" x14ac:dyDescent="0.35">
      <c r="B24" s="49" t="s">
        <v>317</v>
      </c>
      <c r="C24" s="49"/>
      <c r="D24" s="49"/>
      <c r="E24" s="49">
        <f t="shared" si="0"/>
        <v>0</v>
      </c>
      <c r="F24" s="49" t="s">
        <v>318</v>
      </c>
      <c r="G24" s="49"/>
      <c r="H24" s="49"/>
      <c r="I24" s="49">
        <f t="shared" si="1"/>
        <v>0</v>
      </c>
      <c r="J24" s="49"/>
      <c r="K24" s="49"/>
      <c r="L24" s="49">
        <f t="shared" si="2"/>
        <v>0</v>
      </c>
    </row>
    <row r="25" spans="2:12" x14ac:dyDescent="0.35">
      <c r="B25" s="49"/>
      <c r="C25" s="49"/>
      <c r="D25" s="49"/>
      <c r="E25" s="49">
        <f t="shared" ref="E25:E27" si="3">C25*D25</f>
        <v>0</v>
      </c>
      <c r="F25" s="49" t="s">
        <v>318</v>
      </c>
      <c r="G25" s="49"/>
      <c r="H25" s="49"/>
      <c r="I25" s="49">
        <f t="shared" ref="I25:I27" si="4">G25*H25</f>
        <v>0</v>
      </c>
      <c r="J25" s="49"/>
      <c r="K25" s="49"/>
      <c r="L25" s="49">
        <f t="shared" ref="L25:L27" si="5">J25*K25</f>
        <v>0</v>
      </c>
    </row>
    <row r="26" spans="2:12" x14ac:dyDescent="0.35">
      <c r="B26" s="49"/>
      <c r="C26" s="49"/>
      <c r="D26" s="49"/>
      <c r="E26" s="49">
        <f t="shared" si="3"/>
        <v>0</v>
      </c>
      <c r="F26" s="49" t="s">
        <v>318</v>
      </c>
      <c r="G26" s="49"/>
      <c r="H26" s="49"/>
      <c r="I26" s="49">
        <f t="shared" si="4"/>
        <v>0</v>
      </c>
      <c r="J26" s="49"/>
      <c r="K26" s="49"/>
      <c r="L26" s="49">
        <f t="shared" si="5"/>
        <v>0</v>
      </c>
    </row>
    <row r="27" spans="2:12" x14ac:dyDescent="0.35">
      <c r="B27" s="49"/>
      <c r="C27" s="49"/>
      <c r="D27" s="49"/>
      <c r="E27" s="49">
        <f t="shared" si="3"/>
        <v>0</v>
      </c>
      <c r="F27" s="49" t="s">
        <v>318</v>
      </c>
      <c r="G27" s="49"/>
      <c r="H27" s="49"/>
      <c r="I27" s="49">
        <f t="shared" si="4"/>
        <v>0</v>
      </c>
      <c r="J27" s="49"/>
      <c r="K27" s="49"/>
      <c r="L27" s="49">
        <f t="shared" si="5"/>
        <v>0</v>
      </c>
    </row>
    <row r="28" spans="2:12" x14ac:dyDescent="0.35">
      <c r="B28" s="49" t="s">
        <v>319</v>
      </c>
      <c r="C28" s="49"/>
      <c r="D28" s="49"/>
      <c r="E28" s="49">
        <f t="shared" si="0"/>
        <v>0</v>
      </c>
      <c r="F28" s="49" t="s">
        <v>318</v>
      </c>
      <c r="G28" s="49"/>
      <c r="H28" s="49"/>
      <c r="I28" s="49">
        <f t="shared" si="1"/>
        <v>0</v>
      </c>
      <c r="J28" s="49"/>
      <c r="K28" s="49"/>
      <c r="L28" s="49">
        <f t="shared" si="2"/>
        <v>0</v>
      </c>
    </row>
    <row r="29" spans="2:12" x14ac:dyDescent="0.35">
      <c r="B29" s="49" t="s">
        <v>320</v>
      </c>
      <c r="C29" s="49"/>
      <c r="D29" s="49"/>
      <c r="E29" s="49">
        <f t="shared" si="0"/>
        <v>0</v>
      </c>
      <c r="F29" s="49" t="s">
        <v>318</v>
      </c>
      <c r="G29" s="49"/>
      <c r="H29" s="49"/>
      <c r="I29" s="49">
        <f t="shared" si="1"/>
        <v>0</v>
      </c>
      <c r="J29" s="49"/>
      <c r="K29" s="49"/>
      <c r="L29" s="49">
        <f t="shared" si="2"/>
        <v>0</v>
      </c>
    </row>
    <row r="30" spans="2:12" x14ac:dyDescent="0.35">
      <c r="B30" s="49" t="s">
        <v>324</v>
      </c>
      <c r="C30" s="49"/>
      <c r="D30" s="49"/>
      <c r="E30" s="49">
        <f t="shared" si="0"/>
        <v>0</v>
      </c>
      <c r="F30" s="49"/>
      <c r="G30" s="49"/>
      <c r="H30" s="49"/>
      <c r="I30" s="49">
        <f t="shared" si="1"/>
        <v>0</v>
      </c>
      <c r="J30" s="49"/>
      <c r="K30" s="49"/>
      <c r="L30" s="49">
        <f t="shared" si="2"/>
        <v>0</v>
      </c>
    </row>
    <row r="31" spans="2:12" x14ac:dyDescent="0.35">
      <c r="B31" s="49"/>
      <c r="C31" s="49"/>
      <c r="D31" s="49"/>
      <c r="E31" s="49">
        <f t="shared" ref="E31:E32" si="6">C31*D31</f>
        <v>0</v>
      </c>
      <c r="F31" s="49"/>
      <c r="G31" s="49"/>
      <c r="H31" s="49"/>
      <c r="I31" s="49">
        <f t="shared" ref="I31:I32" si="7">G31*H31</f>
        <v>0</v>
      </c>
      <c r="J31" s="49"/>
      <c r="K31" s="49"/>
      <c r="L31" s="49">
        <f t="shared" ref="L31:L32" si="8">J31*K31</f>
        <v>0</v>
      </c>
    </row>
    <row r="32" spans="2:12" x14ac:dyDescent="0.35">
      <c r="B32" s="49"/>
      <c r="C32" s="49"/>
      <c r="D32" s="49"/>
      <c r="E32" s="49">
        <f t="shared" si="6"/>
        <v>0</v>
      </c>
      <c r="F32" s="49"/>
      <c r="G32" s="49"/>
      <c r="H32" s="49"/>
      <c r="I32" s="49">
        <f t="shared" si="7"/>
        <v>0</v>
      </c>
      <c r="J32" s="49"/>
      <c r="K32" s="49"/>
      <c r="L32" s="49">
        <f t="shared" si="8"/>
        <v>0</v>
      </c>
    </row>
    <row r="33" spans="2:12" x14ac:dyDescent="0.35">
      <c r="B33" s="49" t="s">
        <v>321</v>
      </c>
      <c r="C33" s="49"/>
      <c r="D33" s="49"/>
      <c r="E33" s="49">
        <f t="shared" si="0"/>
        <v>0</v>
      </c>
      <c r="F33" s="49"/>
      <c r="G33" s="49"/>
      <c r="H33" s="49"/>
      <c r="I33" s="49">
        <f t="shared" si="1"/>
        <v>0</v>
      </c>
      <c r="J33" s="49"/>
      <c r="K33" s="49"/>
      <c r="L33" s="49">
        <f t="shared" si="2"/>
        <v>0</v>
      </c>
    </row>
    <row r="34" spans="2:12" x14ac:dyDescent="0.35">
      <c r="B34" s="49" t="s">
        <v>325</v>
      </c>
      <c r="C34" s="49"/>
      <c r="D34" s="49"/>
      <c r="E34" s="49">
        <f t="shared" si="0"/>
        <v>0</v>
      </c>
      <c r="F34" s="49"/>
      <c r="G34" s="49"/>
      <c r="H34" s="49"/>
      <c r="I34" s="49">
        <f t="shared" si="1"/>
        <v>0</v>
      </c>
      <c r="J34" s="49"/>
      <c r="K34" s="49"/>
      <c r="L34" s="49">
        <f t="shared" si="2"/>
        <v>0</v>
      </c>
    </row>
    <row r="35" spans="2:12" x14ac:dyDescent="0.35">
      <c r="B35" s="49" t="s">
        <v>322</v>
      </c>
      <c r="C35" s="49"/>
      <c r="D35" s="49"/>
      <c r="E35" s="49">
        <f t="shared" si="0"/>
        <v>0</v>
      </c>
      <c r="F35" s="49"/>
      <c r="G35" s="49"/>
      <c r="H35" s="49"/>
      <c r="I35" s="49">
        <f t="shared" si="1"/>
        <v>0</v>
      </c>
      <c r="J35" s="49"/>
      <c r="K35" s="49"/>
      <c r="L35" s="49">
        <f t="shared" si="2"/>
        <v>0</v>
      </c>
    </row>
    <row r="36" spans="2:12" x14ac:dyDescent="0.35">
      <c r="B36" s="49" t="s">
        <v>323</v>
      </c>
      <c r="C36" s="49"/>
      <c r="D36" s="49"/>
      <c r="E36" s="49">
        <f t="shared" si="0"/>
        <v>0</v>
      </c>
      <c r="F36" s="49"/>
      <c r="G36" s="49"/>
      <c r="H36" s="49"/>
      <c r="I36" s="49">
        <f>G36*H36</f>
        <v>0</v>
      </c>
      <c r="J36" s="49"/>
      <c r="K36" s="49"/>
      <c r="L36" s="49">
        <f>J36*K36</f>
        <v>0</v>
      </c>
    </row>
    <row r="37" spans="2:12" x14ac:dyDescent="0.35">
      <c r="B37" s="49"/>
      <c r="C37" s="49"/>
      <c r="D37" s="49"/>
      <c r="E37" s="49">
        <f t="shared" ref="E37:E38" si="9">C37*D37</f>
        <v>0</v>
      </c>
      <c r="F37" s="49"/>
      <c r="G37" s="49"/>
      <c r="H37" s="49"/>
      <c r="I37" s="49">
        <f t="shared" ref="I37:I38" si="10">G37*H37</f>
        <v>0</v>
      </c>
      <c r="J37" s="49"/>
      <c r="K37" s="49"/>
      <c r="L37" s="49">
        <f t="shared" ref="L37:L38" si="11">J37*K37</f>
        <v>0</v>
      </c>
    </row>
    <row r="38" spans="2:12" x14ac:dyDescent="0.35">
      <c r="B38" s="49" t="s">
        <v>326</v>
      </c>
      <c r="C38" s="49"/>
      <c r="D38" s="49"/>
      <c r="E38" s="49">
        <f t="shared" si="9"/>
        <v>0</v>
      </c>
      <c r="F38" s="49"/>
      <c r="G38" s="49"/>
      <c r="H38" s="49"/>
      <c r="I38" s="49">
        <f t="shared" si="10"/>
        <v>0</v>
      </c>
      <c r="J38" s="49"/>
      <c r="K38" s="49"/>
      <c r="L38" s="49">
        <f t="shared" si="11"/>
        <v>0</v>
      </c>
    </row>
    <row r="39" spans="2:12" x14ac:dyDescent="0.35">
      <c r="B39" s="49"/>
      <c r="C39" s="49"/>
      <c r="D39" s="49"/>
      <c r="E39" s="49">
        <f t="shared" si="0"/>
        <v>0</v>
      </c>
      <c r="F39" s="49"/>
      <c r="G39" s="49"/>
      <c r="H39" s="49"/>
      <c r="I39" s="49">
        <f>G39*H39</f>
        <v>0</v>
      </c>
      <c r="J39" s="49"/>
      <c r="K39" s="49"/>
      <c r="L39" s="49">
        <f>J39*K39</f>
        <v>0</v>
      </c>
    </row>
    <row r="40" spans="2:12" x14ac:dyDescent="0.35">
      <c r="B40" s="49"/>
      <c r="C40" s="49"/>
      <c r="D40" s="49"/>
      <c r="E40" s="49">
        <f t="shared" si="0"/>
        <v>0</v>
      </c>
      <c r="F40" s="49"/>
      <c r="G40" s="49"/>
      <c r="H40" s="49"/>
      <c r="I40" s="49">
        <f>G40*H40</f>
        <v>0</v>
      </c>
      <c r="J40" s="49"/>
      <c r="K40" s="49"/>
      <c r="L40" s="49">
        <f>J40*K40</f>
        <v>0</v>
      </c>
    </row>
    <row r="41" spans="2:12" x14ac:dyDescent="0.35">
      <c r="B41" s="49"/>
      <c r="C41" s="49"/>
      <c r="D41" s="49"/>
      <c r="E41" s="49">
        <f t="shared" si="0"/>
        <v>0</v>
      </c>
      <c r="F41" s="49"/>
      <c r="G41" s="49"/>
      <c r="H41" s="49"/>
      <c r="I41" s="49">
        <f>G41*H41</f>
        <v>0</v>
      </c>
      <c r="J41" s="49"/>
      <c r="K41" s="49"/>
      <c r="L41" s="49">
        <f>J41*K41</f>
        <v>0</v>
      </c>
    </row>
    <row r="42" spans="2:12" x14ac:dyDescent="0.35">
      <c r="B42" s="49" t="s">
        <v>146</v>
      </c>
      <c r="C42" s="49"/>
      <c r="D42" s="49">
        <f>E42*10.764</f>
        <v>0</v>
      </c>
      <c r="E42" s="63">
        <f>SUM(E6:E41)</f>
        <v>0</v>
      </c>
      <c r="F42" s="49"/>
      <c r="G42" s="49"/>
      <c r="H42" s="49">
        <f>I42*10.764</f>
        <v>0</v>
      </c>
      <c r="I42" s="62">
        <f>SUM(I6:I41)</f>
        <v>0</v>
      </c>
      <c r="J42" s="49"/>
      <c r="K42" s="49">
        <f>L42*10.764</f>
        <v>0</v>
      </c>
      <c r="L42" s="61">
        <f>SUM(L6:L41)</f>
        <v>0</v>
      </c>
    </row>
    <row r="44" spans="2:12" x14ac:dyDescent="0.3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2025-06-07T09:52:14Z</cp:lastPrinted>
  <dcterms:created xsi:type="dcterms:W3CDTF">2019-07-16T09:29:46Z</dcterms:created>
  <dcterms:modified xsi:type="dcterms:W3CDTF">2025-09-08T11:11:30Z</dcterms:modified>
</cp:coreProperties>
</file>