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VSJCV\Making\AXIS\2025-26\Axis\APF Dump\Sept 2025\09-09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Report!$A$1:$H$393</definedName>
  </definedNames>
  <calcPr calcId="162913"/>
</workbook>
</file>

<file path=xl/calcChain.xml><?xml version="1.0" encoding="utf-8"?>
<calcChain xmlns="http://schemas.openxmlformats.org/spreadsheetml/2006/main">
  <c r="D194" i="1" l="1"/>
  <c r="F194" i="1" s="1"/>
  <c r="D193" i="1"/>
  <c r="F193" i="1" s="1"/>
  <c r="D192" i="1"/>
  <c r="F192" i="1" s="1"/>
  <c r="D191" i="1"/>
  <c r="F191" i="1" s="1"/>
  <c r="D190" i="1"/>
  <c r="F190" i="1" s="1"/>
  <c r="A190" i="1"/>
  <c r="A191" i="1" s="1"/>
  <c r="A192" i="1" s="1"/>
  <c r="A193" i="1" s="1"/>
  <c r="A194" i="1" s="1"/>
  <c r="G189" i="1"/>
  <c r="D189" i="1"/>
  <c r="F189" i="1" s="1"/>
  <c r="D55" i="1" l="1"/>
  <c r="D243" i="1"/>
  <c r="D241" i="1"/>
  <c r="D240" i="1"/>
  <c r="D242" i="1"/>
  <c r="D239" i="1"/>
  <c r="D237" i="1"/>
  <c r="D236" i="1"/>
  <c r="D234" i="1"/>
  <c r="D233" i="1"/>
  <c r="I233" i="1"/>
  <c r="D231" i="1"/>
  <c r="D228" i="1"/>
  <c r="G226" i="1"/>
  <c r="D226" i="1"/>
  <c r="F226" i="1" s="1"/>
  <c r="D223" i="1"/>
  <c r="F223" i="1" s="1"/>
  <c r="D224" i="1"/>
  <c r="F224" i="1" s="1"/>
  <c r="A224" i="1"/>
  <c r="G223" i="1"/>
  <c r="G224" i="1" s="1"/>
  <c r="D221" i="1"/>
  <c r="G214" i="1"/>
  <c r="G209" i="1"/>
  <c r="G204" i="1"/>
  <c r="D217" i="1"/>
  <c r="D216" i="1"/>
  <c r="D215" i="1"/>
  <c r="D214" i="1"/>
  <c r="D212" i="1"/>
  <c r="D211" i="1"/>
  <c r="D210" i="1"/>
  <c r="D207" i="1"/>
  <c r="D206" i="1"/>
  <c r="D205" i="1"/>
  <c r="D204" i="1"/>
  <c r="D202" i="1"/>
  <c r="D201" i="1"/>
  <c r="D200" i="1"/>
  <c r="D199" i="1"/>
  <c r="D186" i="1"/>
  <c r="D185" i="1"/>
  <c r="D184" i="1"/>
  <c r="D183" i="1"/>
  <c r="D182" i="1"/>
  <c r="D180" i="1"/>
  <c r="D179" i="1"/>
  <c r="D178" i="1"/>
  <c r="D177" i="1"/>
  <c r="D176" i="1"/>
  <c r="D175" i="1"/>
  <c r="D173" i="1"/>
  <c r="D172" i="1"/>
  <c r="D171" i="1"/>
  <c r="D170" i="1"/>
  <c r="D169" i="1"/>
  <c r="D168" i="1"/>
  <c r="C145" i="1" s="1"/>
  <c r="D156" i="1"/>
  <c r="C146" i="1" l="1"/>
  <c r="E145" i="1"/>
  <c r="C147" i="1"/>
  <c r="E146" i="1"/>
  <c r="E147" i="1"/>
  <c r="D161" i="1"/>
  <c r="E161" i="1" s="1"/>
  <c r="F161" i="1" s="1"/>
  <c r="D160" i="1"/>
  <c r="E160" i="1" s="1"/>
  <c r="F160" i="1" s="1"/>
  <c r="D159" i="1"/>
  <c r="E159" i="1" s="1"/>
  <c r="F159" i="1" s="1"/>
  <c r="D158" i="1"/>
  <c r="E158" i="1" s="1"/>
  <c r="F158" i="1" s="1"/>
  <c r="F11" i="5"/>
  <c r="G11" i="5" s="1"/>
  <c r="F10" i="5"/>
  <c r="G10" i="5" s="1"/>
  <c r="G9" i="5"/>
  <c r="F9" i="5"/>
  <c r="F8" i="5"/>
  <c r="G8" i="5" s="1"/>
  <c r="F7" i="5"/>
  <c r="G7" i="5" s="1"/>
  <c r="F6" i="5"/>
  <c r="G6" i="5" s="1"/>
  <c r="G5" i="5"/>
  <c r="G12" i="5" s="1"/>
  <c r="F5" i="5"/>
  <c r="D268" i="1"/>
  <c r="B247" i="1"/>
  <c r="B246" i="1"/>
  <c r="F243" i="1"/>
  <c r="F242" i="1"/>
  <c r="F241" i="1"/>
  <c r="A240" i="1"/>
  <c r="A241" i="1" s="1"/>
  <c r="A242" i="1" s="1"/>
  <c r="A243" i="1" s="1"/>
  <c r="G239" i="1"/>
  <c r="G240" i="1" s="1"/>
  <c r="G241" i="1" s="1"/>
  <c r="G242" i="1" s="1"/>
  <c r="G243" i="1" s="1"/>
  <c r="F239" i="1"/>
  <c r="F237" i="1"/>
  <c r="F236" i="1"/>
  <c r="D235" i="1"/>
  <c r="F235" i="1" s="1"/>
  <c r="A234" i="1"/>
  <c r="A235" i="1" s="1"/>
  <c r="A236" i="1" s="1"/>
  <c r="A237" i="1" s="1"/>
  <c r="G233" i="1"/>
  <c r="G234" i="1" s="1"/>
  <c r="G235" i="1" s="1"/>
  <c r="G236" i="1" s="1"/>
  <c r="G237" i="1" s="1"/>
  <c r="F233" i="1"/>
  <c r="G231" i="1"/>
  <c r="F231" i="1"/>
  <c r="G228" i="1"/>
  <c r="F228" i="1"/>
  <c r="G221" i="1"/>
  <c r="F221" i="1"/>
  <c r="G147" i="1" s="1"/>
  <c r="F217" i="1"/>
  <c r="F216" i="1"/>
  <c r="F215" i="1"/>
  <c r="A215" i="1"/>
  <c r="A216" i="1" s="1"/>
  <c r="A217" i="1" s="1"/>
  <c r="F212" i="1"/>
  <c r="F211" i="1"/>
  <c r="F210" i="1"/>
  <c r="A210" i="1"/>
  <c r="A211" i="1" s="1"/>
  <c r="A212" i="1" s="1"/>
  <c r="F207" i="1"/>
  <c r="F206" i="1"/>
  <c r="F205" i="1"/>
  <c r="A205" i="1"/>
  <c r="A206" i="1" s="1"/>
  <c r="A207" i="1" s="1"/>
  <c r="F202" i="1"/>
  <c r="F201" i="1"/>
  <c r="F200" i="1"/>
  <c r="A200" i="1"/>
  <c r="A201" i="1" s="1"/>
  <c r="A202" i="1" s="1"/>
  <c r="G199" i="1"/>
  <c r="F199" i="1"/>
  <c r="J197" i="1"/>
  <c r="F186" i="1"/>
  <c r="F184" i="1"/>
  <c r="F183" i="1"/>
  <c r="A183" i="1"/>
  <c r="A184" i="1" s="1"/>
  <c r="A185" i="1" s="1"/>
  <c r="A186" i="1" s="1"/>
  <c r="A187" i="1" s="1"/>
  <c r="G182" i="1"/>
  <c r="F182" i="1"/>
  <c r="I182" i="1" s="1"/>
  <c r="F180" i="1"/>
  <c r="F179" i="1"/>
  <c r="F178" i="1"/>
  <c r="F177" i="1"/>
  <c r="F176" i="1"/>
  <c r="A176" i="1"/>
  <c r="A177" i="1" s="1"/>
  <c r="A178" i="1" s="1"/>
  <c r="A179" i="1" s="1"/>
  <c r="A180" i="1" s="1"/>
  <c r="G175" i="1"/>
  <c r="F175" i="1"/>
  <c r="I175" i="1" s="1"/>
  <c r="F173" i="1"/>
  <c r="F172" i="1"/>
  <c r="F171" i="1"/>
  <c r="E170" i="1"/>
  <c r="E169" i="1"/>
  <c r="A169" i="1"/>
  <c r="A170" i="1" s="1"/>
  <c r="A171" i="1" s="1"/>
  <c r="A172" i="1" s="1"/>
  <c r="A173" i="1" s="1"/>
  <c r="G168" i="1"/>
  <c r="F168" i="1"/>
  <c r="J166" i="1"/>
  <c r="D157" i="1"/>
  <c r="A157" i="1"/>
  <c r="A161" i="1" s="1"/>
  <c r="G156" i="1"/>
  <c r="E156" i="1"/>
  <c r="J155" i="1"/>
  <c r="F138" i="1"/>
  <c r="J122" i="1"/>
  <c r="J121" i="1"/>
  <c r="J120" i="1"/>
  <c r="J119" i="1"/>
  <c r="C111" i="1"/>
  <c r="J108" i="1"/>
  <c r="J107" i="1"/>
  <c r="J106" i="1"/>
  <c r="J105" i="1"/>
  <c r="C97" i="1"/>
  <c r="J94" i="1"/>
  <c r="J93" i="1"/>
  <c r="J92" i="1"/>
  <c r="J91" i="1"/>
  <c r="C83" i="1"/>
  <c r="J80" i="1"/>
  <c r="J79" i="1"/>
  <c r="J78" i="1"/>
  <c r="J77" i="1"/>
  <c r="C69" i="1"/>
  <c r="D63" i="1"/>
  <c r="G49" i="1"/>
  <c r="G50" i="1" s="1"/>
  <c r="C49" i="1"/>
  <c r="C50" i="1" s="1"/>
  <c r="E42" i="1"/>
  <c r="E43" i="1" s="1"/>
  <c r="K41" i="1"/>
  <c r="K40" i="1"/>
  <c r="E29" i="1"/>
  <c r="E26" i="1"/>
  <c r="E24" i="1"/>
  <c r="C14" i="1"/>
  <c r="E7" i="1"/>
  <c r="E3" i="1"/>
  <c r="H70" i="1"/>
  <c r="H98" i="1"/>
  <c r="H84" i="1"/>
  <c r="H112" i="1"/>
  <c r="E148" i="1" l="1"/>
  <c r="C148" i="1"/>
  <c r="I168" i="1"/>
  <c r="F169" i="1"/>
  <c r="F240" i="1"/>
  <c r="F214" i="1"/>
  <c r="F170" i="1"/>
  <c r="F185" i="1"/>
  <c r="E157" i="1"/>
  <c r="F157" i="1" s="1"/>
  <c r="F156" i="1"/>
  <c r="C141" i="1"/>
  <c r="E141" i="1"/>
  <c r="F234" i="1"/>
  <c r="G148" i="1" s="1"/>
  <c r="F204" i="1"/>
  <c r="G146" i="1" s="1"/>
  <c r="D121" i="1"/>
  <c r="D117" i="1"/>
  <c r="J111" i="1"/>
  <c r="J113" i="1" s="1"/>
  <c r="J116" i="1"/>
  <c r="C115" i="1" s="1"/>
  <c r="J114" i="1"/>
  <c r="D124" i="1"/>
  <c r="D120" i="1"/>
  <c r="D123" i="1"/>
  <c r="D119" i="1"/>
  <c r="J115" i="1"/>
  <c r="D122" i="1"/>
  <c r="D118" i="1"/>
  <c r="J117" i="1"/>
  <c r="J118" i="1" s="1"/>
  <c r="J123" i="1" s="1"/>
  <c r="J124" i="1" s="1"/>
  <c r="C116" i="1" s="1"/>
  <c r="D81" i="1"/>
  <c r="D77" i="1"/>
  <c r="J73" i="1"/>
  <c r="D80" i="1"/>
  <c r="D76" i="1"/>
  <c r="J72" i="1"/>
  <c r="J75" i="1"/>
  <c r="J76" i="1" s="1"/>
  <c r="J81" i="1" s="1"/>
  <c r="J82" i="1" s="1"/>
  <c r="C74" i="1" s="1"/>
  <c r="D79" i="1"/>
  <c r="D75" i="1"/>
  <c r="J69" i="1"/>
  <c r="J71" i="1" s="1"/>
  <c r="J74" i="1"/>
  <c r="C73" i="1" s="1"/>
  <c r="D73" i="1" s="1"/>
  <c r="D82" i="1"/>
  <c r="D78" i="1"/>
  <c r="D94" i="1"/>
  <c r="D90" i="1"/>
  <c r="J89" i="1"/>
  <c r="J90" i="1" s="1"/>
  <c r="J95" i="1" s="1"/>
  <c r="J96" i="1" s="1"/>
  <c r="C88" i="1" s="1"/>
  <c r="D93" i="1"/>
  <c r="D89" i="1"/>
  <c r="J83" i="1"/>
  <c r="J85" i="1" s="1"/>
  <c r="J88" i="1"/>
  <c r="C87" i="1" s="1"/>
  <c r="J86" i="1"/>
  <c r="D96" i="1"/>
  <c r="D92" i="1"/>
  <c r="D95" i="1"/>
  <c r="D91" i="1"/>
  <c r="J87" i="1"/>
  <c r="D108" i="1"/>
  <c r="D104" i="1"/>
  <c r="J103" i="1"/>
  <c r="J104" i="1" s="1"/>
  <c r="J109" i="1" s="1"/>
  <c r="J110" i="1" s="1"/>
  <c r="J97" i="1"/>
  <c r="J99" i="1" s="1"/>
  <c r="D105" i="1"/>
  <c r="D107" i="1"/>
  <c r="D103" i="1"/>
  <c r="J100" i="1"/>
  <c r="J102" i="1"/>
  <c r="C101" i="1" s="1"/>
  <c r="D109" i="1"/>
  <c r="D110" i="1"/>
  <c r="D106" i="1"/>
  <c r="D102" i="1"/>
  <c r="J101" i="1"/>
  <c r="E101" i="1"/>
  <c r="G145" i="1" l="1"/>
  <c r="C142" i="1"/>
  <c r="C149" i="1"/>
  <c r="E149" i="1"/>
  <c r="E142" i="1"/>
  <c r="G141" i="1"/>
  <c r="G142" i="1" s="1"/>
  <c r="E87" i="1"/>
  <c r="D88" i="1"/>
  <c r="E115" i="1"/>
  <c r="D116" i="1"/>
  <c r="E73" i="1"/>
  <c r="D74" i="1"/>
  <c r="I70" i="1" s="1"/>
  <c r="G87" i="1"/>
  <c r="G115" i="1"/>
  <c r="D115" i="1"/>
  <c r="G101" i="1"/>
  <c r="D101" i="1"/>
  <c r="I98" i="1" s="1"/>
  <c r="I99" i="1" s="1"/>
  <c r="D87" i="1"/>
  <c r="G73" i="1"/>
  <c r="D67" i="1" s="1"/>
  <c r="J70" i="1"/>
  <c r="G149" i="1" l="1"/>
  <c r="J144" i="1"/>
  <c r="I84" i="1"/>
  <c r="I85" i="1" s="1"/>
  <c r="J84" i="1"/>
  <c r="J98" i="1"/>
  <c r="I97" i="1" s="1"/>
  <c r="C99" i="1" s="1"/>
  <c r="I112" i="1"/>
  <c r="I113" i="1" s="1"/>
  <c r="I71" i="1"/>
  <c r="I69" i="1" s="1"/>
  <c r="C71" i="1" s="1"/>
  <c r="J112" i="1"/>
  <c r="F68" i="1"/>
  <c r="D68" i="1"/>
  <c r="I83" i="1" l="1"/>
  <c r="C85" i="1" s="1"/>
  <c r="I111" i="1"/>
  <c r="C113" i="1" s="1"/>
</calcChain>
</file>

<file path=xl/sharedStrings.xml><?xml version="1.0" encoding="utf-8"?>
<sst xmlns="http://schemas.openxmlformats.org/spreadsheetml/2006/main" count="421" uniqueCount="256">
  <si>
    <t>Office No. 1031, Wing J, Akshar Business Park, Plot No. 03 Sector 25, Near APMC Market,
Vashi, Navi Mumbai, Maharashtra 400703 TEL: 022-46090378/79/80                                                                                             E mail : vsjcapf@gmail.com. Web site : www.vsjadon.com</t>
  </si>
  <si>
    <t xml:space="preserve">Valuation Report </t>
  </si>
  <si>
    <t>Date:</t>
  </si>
  <si>
    <t>CPC Name:</t>
  </si>
  <si>
    <t>Axis Badlapur</t>
  </si>
  <si>
    <t>Date Of Property Visit</t>
  </si>
  <si>
    <t>Name of the builder group</t>
  </si>
  <si>
    <t>Sagar Homes</t>
  </si>
  <si>
    <t>Name of the builder company</t>
  </si>
  <si>
    <t>Name of the Project</t>
  </si>
  <si>
    <t>Bhagwati Celeste</t>
  </si>
  <si>
    <t>Contact Details ( Name &amp; Contact No.)</t>
  </si>
  <si>
    <t>Site Meet Person Contact Details ( Name &amp; Contact No.)</t>
  </si>
  <si>
    <t>Name / No of the Building</t>
  </si>
  <si>
    <t>Building No.1 (Wing A) - Aries
Building No.1 (Wing B) - Taurus
Building No.2 - Libra
Building No.3 - Leo</t>
  </si>
  <si>
    <t>Docouments Provided</t>
  </si>
  <si>
    <t>Approved Plans, CC, Sale Plans</t>
  </si>
  <si>
    <t>RERA No.</t>
  </si>
  <si>
    <t>P51700034475</t>
  </si>
  <si>
    <t xml:space="preserve">Project location details       </t>
  </si>
  <si>
    <t>CTS No</t>
  </si>
  <si>
    <t>Locality</t>
  </si>
  <si>
    <t>Mhatre Nagar</t>
  </si>
  <si>
    <t>Road</t>
  </si>
  <si>
    <t>Ayare Gaon Road</t>
  </si>
  <si>
    <t>Village</t>
  </si>
  <si>
    <t>Ayare</t>
  </si>
  <si>
    <t>City</t>
  </si>
  <si>
    <t>Dombivli East</t>
  </si>
  <si>
    <t>District</t>
  </si>
  <si>
    <t>Thane</t>
  </si>
  <si>
    <t>Taluka</t>
  </si>
  <si>
    <t>Kalyan</t>
  </si>
  <si>
    <t>Pin Code</t>
  </si>
  <si>
    <t>Nearby Landmark</t>
  </si>
  <si>
    <t>Waman Shrushti Building</t>
  </si>
  <si>
    <t xml:space="preserve">Distance from city centre: </t>
  </si>
  <si>
    <t>0.5KM from Kopar Railway Station</t>
  </si>
  <si>
    <t>Accessibility to the Project from the City: (Proximity to civic amenities like school, hospital, market, etc.)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</si>
  <si>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</si>
  <si>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</si>
  <si>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</si>
  <si>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</si>
  <si>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</si>
  <si>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</si>
  <si>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</si>
  <si>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</si>
  <si>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</si>
  <si>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Type of Structure</t>
  </si>
  <si>
    <t>RCC Frame Structure</t>
  </si>
  <si>
    <t xml:space="preserve">Approved usage of the Property:                                                                                                                                             </t>
  </si>
  <si>
    <t>Restrictive Covenants in regard to Land Use</t>
  </si>
  <si>
    <t>No</t>
  </si>
  <si>
    <t>Boundries</t>
  </si>
  <si>
    <t>As per deed</t>
  </si>
  <si>
    <t>At site</t>
  </si>
  <si>
    <t>East</t>
  </si>
  <si>
    <t>NA</t>
  </si>
  <si>
    <t>West</t>
  </si>
  <si>
    <t>Internal Road</t>
  </si>
  <si>
    <t>North</t>
  </si>
  <si>
    <t>Baban Smurti Apartment</t>
  </si>
  <si>
    <t>South</t>
  </si>
  <si>
    <t>Building</t>
  </si>
  <si>
    <t>Does the boundaries at site match, as mentioned in the Docoumentation: NA</t>
  </si>
  <si>
    <t>Latitude</t>
  </si>
  <si>
    <t>Longitude</t>
  </si>
  <si>
    <t>Location Link</t>
  </si>
  <si>
    <t>https://goo.gl/maps/moPBMX5iMQTj6pMeA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</si>
  <si>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</si>
  <si>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</si>
  <si>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</si>
  <si>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</si>
  <si>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</si>
  <si>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Approved Builtup area of the project (Sq.Mt)</t>
  </si>
  <si>
    <t>Total number of Buildings</t>
  </si>
  <si>
    <t>4 Buildings</t>
  </si>
  <si>
    <t xml:space="preserve">Approval Detail : Plan approval </t>
  </si>
  <si>
    <t>Name of Municipal Corporation/Authority</t>
  </si>
  <si>
    <t>Kalyan-Dombivli Municipal Corporation</t>
  </si>
  <si>
    <t xml:space="preserve">Layout Approval No     </t>
  </si>
  <si>
    <t>Dated</t>
  </si>
  <si>
    <t xml:space="preserve">Approved Floor plan No.  </t>
  </si>
  <si>
    <t xml:space="preserve">Commencement-CC No
Valid Up to: </t>
  </si>
  <si>
    <t xml:space="preserve">O. Certificate No.: 
Approved upto : </t>
  </si>
  <si>
    <t>Building wise Construction details</t>
  </si>
  <si>
    <t>Approved area of building (Sq.Mt)</t>
  </si>
  <si>
    <t>Approved no of units</t>
  </si>
  <si>
    <t>Approved no of Floors</t>
  </si>
  <si>
    <t>Proposed no of Floors</t>
  </si>
  <si>
    <t>Building No.1 (A Wing) - Aries = G + 1st to 19th Floor</t>
  </si>
  <si>
    <t>Building No.1 (B Wing) - Taurus = G + 1st to 19th Floor</t>
  </si>
  <si>
    <t>Building No.2 - Libra = G + 1st to 7th Floor</t>
  </si>
  <si>
    <t>Building No.3 - Leo = G + 1st to 6th Floor</t>
  </si>
  <si>
    <t>Expected Completion</t>
  </si>
  <si>
    <t>As per RERA - 31/03/2027</t>
  </si>
  <si>
    <t>Projected life of the structure</t>
  </si>
  <si>
    <t xml:space="preserve">Quality of construction: </t>
  </si>
  <si>
    <r>
      <rPr>
        <sz val="12"/>
        <color indexed="8"/>
        <rFont val="Times New Roman"/>
        <family val="1"/>
      </rP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</si>
  <si>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Vitrified tiles flooring, Kitchen Platform, Decorative</t>
  </si>
  <si>
    <t xml:space="preserve">Violations Observed if any : </t>
  </si>
  <si>
    <t xml:space="preserve">Material laying at Site: </t>
  </si>
  <si>
    <t xml:space="preserve">Wheather the construction is as per approved Building plan : </t>
  </si>
  <si>
    <t>Construction details:</t>
  </si>
  <si>
    <t>Basement</t>
  </si>
  <si>
    <t>Ground</t>
  </si>
  <si>
    <t>Podium</t>
  </si>
  <si>
    <t>Floors</t>
  </si>
  <si>
    <t xml:space="preserve">Stage of construction: </t>
  </si>
  <si>
    <t>Type of Work</t>
  </si>
  <si>
    <t>Slab/Floor</t>
  </si>
  <si>
    <t>Complition %</t>
  </si>
  <si>
    <t>Progress %</t>
  </si>
  <si>
    <t>Disbursement %</t>
  </si>
  <si>
    <t>Piling Work in process</t>
  </si>
  <si>
    <t>Excavation</t>
  </si>
  <si>
    <t>Excavation in process</t>
  </si>
  <si>
    <t>Plinth</t>
  </si>
  <si>
    <t>Excavation Completed</t>
  </si>
  <si>
    <t>RCC (Including podiums)</t>
  </si>
  <si>
    <t>Footing in Process</t>
  </si>
  <si>
    <t>Brickwork</t>
  </si>
  <si>
    <t>Brickwork &amp; Internal Plaster</t>
  </si>
  <si>
    <t>Footing Completed</t>
  </si>
  <si>
    <t>Internal Plaster</t>
  </si>
  <si>
    <t>Basement 1</t>
  </si>
  <si>
    <t>Ext. Plaster &amp; Plumbing</t>
  </si>
  <si>
    <t>External Plaster &amp; Plumbing</t>
  </si>
  <si>
    <t>Basement 2</t>
  </si>
  <si>
    <t>Flooring &amp; Fitting</t>
  </si>
  <si>
    <t>Basement 3</t>
  </si>
  <si>
    <t>Painting &amp; Wooden</t>
  </si>
  <si>
    <t>Basement 4</t>
  </si>
  <si>
    <t>Building Common Amenities</t>
  </si>
  <si>
    <t>Plinth in process</t>
  </si>
  <si>
    <t>Possession</t>
  </si>
  <si>
    <t>Plinth completed</t>
  </si>
  <si>
    <t xml:space="preserve">Recommended Rates of the Property : </t>
  </si>
  <si>
    <t>On Saleable Area</t>
  </si>
  <si>
    <t>Recommended rate of the Flat Per Sq. Ft.</t>
  </si>
  <si>
    <t>7000 to 7100</t>
  </si>
  <si>
    <t>Rushikesh</t>
  </si>
  <si>
    <t>Cost sheet</t>
  </si>
  <si>
    <t>Recommended rate of the Shop Per Sq. Ft.</t>
  </si>
  <si>
    <t>Recommended rate of the Office Per Sq. Ft.</t>
  </si>
  <si>
    <t>Floor Rise Rate</t>
  </si>
  <si>
    <t>Development Charges</t>
  </si>
  <si>
    <t>Club Charges</t>
  </si>
  <si>
    <t>Legal Charges</t>
  </si>
  <si>
    <t>Gas Connection Charges</t>
  </si>
  <si>
    <t>Water, Electricity, Drainages, Sewerage Connection</t>
  </si>
  <si>
    <t>Society Formation Charges</t>
  </si>
  <si>
    <t>Advance Maintenance Charges</t>
  </si>
  <si>
    <t xml:space="preserve">Recommended rate of Parking </t>
  </si>
  <si>
    <t>Distressed valuation of the Property</t>
  </si>
  <si>
    <t>Commercial Area Details :</t>
  </si>
  <si>
    <t>Building &amp; Wing</t>
  </si>
  <si>
    <t>No. of Units</t>
  </si>
  <si>
    <t>Total Carpet Area</t>
  </si>
  <si>
    <t>Total Saleable Area</t>
  </si>
  <si>
    <t>Building No. 1 Wing A</t>
  </si>
  <si>
    <t>Total</t>
  </si>
  <si>
    <t>Residential Area Details :</t>
  </si>
  <si>
    <t>Building No.1</t>
  </si>
  <si>
    <t>Wing A</t>
  </si>
  <si>
    <t>Wing B</t>
  </si>
  <si>
    <t>Building No.2</t>
  </si>
  <si>
    <t>Building No.3</t>
  </si>
  <si>
    <t>Building details Floor Wise</t>
  </si>
  <si>
    <t xml:space="preserve">Details of Flats in Building   </t>
  </si>
  <si>
    <r>
      <rPr>
        <b/>
        <sz val="12"/>
        <color indexed="8"/>
        <rFont val="Times New Roman"/>
        <family val="1"/>
      </rP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</si>
  <si>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t>Shop No.
(Sale Plan)</t>
  </si>
  <si>
    <t>Description</t>
  </si>
  <si>
    <t>Gross Carpet area</t>
  </si>
  <si>
    <t>Attached Loft area</t>
  </si>
  <si>
    <t>Saleable area Loading :</t>
  </si>
  <si>
    <t>Floor</t>
  </si>
  <si>
    <t>Building No. 1(Wing A) - Aries</t>
  </si>
  <si>
    <t>Ground Floor For Commercial &amp; Parking</t>
  </si>
  <si>
    <t>Shop</t>
  </si>
  <si>
    <t>Building No. 2 - Libra</t>
  </si>
  <si>
    <r>
      <rPr>
        <b/>
        <sz val="12"/>
        <color indexed="8"/>
        <rFont val="Times New Roman"/>
        <family val="1"/>
      </rP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</si>
  <si>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</si>
  <si>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Attached Terrace area</t>
  </si>
  <si>
    <t>Building No. 1 Wing A - Aries</t>
  </si>
  <si>
    <t>1st Floor For Residential</t>
  </si>
  <si>
    <t>Refuge Area</t>
  </si>
  <si>
    <t>Building No. 1 Wing B - Taurus</t>
  </si>
  <si>
    <t>Ground Floor For Parking</t>
  </si>
  <si>
    <t>1st Floor For Residential (Part Terrace Area)</t>
  </si>
  <si>
    <t>1RK</t>
  </si>
  <si>
    <t>7th Floor (Part Terrace Area)</t>
  </si>
  <si>
    <t>Building No. 3 - Leo</t>
  </si>
  <si>
    <t>Ground Floor For Residential (Part Parking Area)</t>
  </si>
  <si>
    <t>1st, 2nd &amp; 3rd Floor</t>
  </si>
  <si>
    <t xml:space="preserve">Remarks:  </t>
  </si>
  <si>
    <t>*</t>
  </si>
  <si>
    <t>Construction work is in process at the time of Visit.</t>
  </si>
  <si>
    <t>We considered Carpet area as per Approved Plan.</t>
  </si>
  <si>
    <t>We have considered proposed No. of Floor for Stage Calculation.</t>
  </si>
  <si>
    <t>We have considered rate by verifying it from market inquire.</t>
  </si>
  <si>
    <t>Recommended rate should be considered as all inclusive rate if other charges are not mentioned. (Excluding GST &amp; other government Taxes)</t>
  </si>
  <si>
    <t>Car parking is subjected to authentic documentation.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</si>
  <si>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</si>
  <si>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</si>
  <si>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</si>
  <si>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</si>
  <si>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</si>
  <si>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>5) Gross carpet area =  Net Carpet area + Fungible area.</t>
  </si>
  <si>
    <t>6) Fungible Area= Enclosed Balcony + Flower Bed + Covered Balcony + Service Slab + Duct + Chajja + Wheather Shed area.</t>
  </si>
  <si>
    <t>Inspected By :</t>
  </si>
  <si>
    <t>Report By :</t>
  </si>
  <si>
    <t>Authorized Signatory
Name &amp; Seal of the agency</t>
  </si>
  <si>
    <t xml:space="preserve">PHOTOGRAPHS OF PROPERTY : 
</t>
  </si>
  <si>
    <t>Google Map :</t>
  </si>
  <si>
    <t>Layout Plan :</t>
  </si>
  <si>
    <t>Market Research Data</t>
  </si>
  <si>
    <t>Source</t>
  </si>
  <si>
    <t>Distance from proposed property</t>
  </si>
  <si>
    <t>Flat</t>
  </si>
  <si>
    <t>Net Carpet</t>
  </si>
  <si>
    <t>Saleable Area</t>
  </si>
  <si>
    <t>Rate on Saleable</t>
  </si>
  <si>
    <t>Market Value</t>
  </si>
  <si>
    <t>Magic Brick</t>
  </si>
  <si>
    <t>99 Acres</t>
  </si>
  <si>
    <t>Average</t>
  </si>
  <si>
    <t xml:space="preserve">Valuation Adopted </t>
  </si>
  <si>
    <t>KDMCB/0001/2024/APL</t>
  </si>
  <si>
    <t>5537 to 5538, 5543 to 5544, 5648 to 5671, 5672/1 to 5672/4, 5672/9 to 5672/20, 5673 to 5681, 5683 to 5684, 5776 to 5797 &amp; 5849 to 5850</t>
  </si>
  <si>
    <t>Building No.1 A Wing = Gr+ 1st to 19th Floor
Building No.1 B Wing = Gr + 1st to 19th Floor
Building No.2 = Gr + 1st to 6th + 7th Floor
Building No.3 = Gr + 1st to 3th + 4th to  6th Floor
Proposed built-up area : 12881.46 Sq Mt</t>
  </si>
  <si>
    <t>3 + 4</t>
  </si>
  <si>
    <t>5 + 6</t>
  </si>
  <si>
    <t>2nd to 7th &amp; 9th to 12th, 14th to 17th Floor For Residential</t>
  </si>
  <si>
    <t>8th, 13th &amp; 18th Floor (Part Refuge Area)</t>
  </si>
  <si>
    <t>19th Floor For Multipurpose hall, Indoor games, Gym, Spa, Society Ofice &amp; Part Terrace Area</t>
  </si>
  <si>
    <t>19th Floor</t>
  </si>
  <si>
    <t>3rd Floor</t>
  </si>
  <si>
    <t>2nd, 4th to 6th Floor</t>
  </si>
  <si>
    <t>4th, 5th &amp; 6th Floor</t>
  </si>
  <si>
    <t>We have updated revised approved Plans &amp; CC on 16/12/2024.</t>
  </si>
  <si>
    <t>We considered Gross carpet area = Net carpet + Enclose balcony.</t>
  </si>
  <si>
    <t>Flats - 204, Shops - 6</t>
  </si>
  <si>
    <t>Building No.1 A Wing = G + 1st to 19th Floor
Building No.1 B Wing = G + 1st to 19th Floor
Building No.2 = St/Gr + 1st to 6th + 7th(pt) Floor 
Building No.3 = St/Gr + 1st to 6th Floor</t>
  </si>
  <si>
    <t>Bhargav</t>
  </si>
  <si>
    <t>Verbal</t>
  </si>
  <si>
    <t>7100 to 8000 &amp; OC &amp; Charges</t>
  </si>
  <si>
    <t>17th Floor For Residential</t>
  </si>
  <si>
    <t>2nd to 7th &amp; 9th to 12th, 14th to 16th Floor For Residential</t>
  </si>
  <si>
    <t xml:space="preserve">Building No. 1 Wing A Flat No. 1701 Area changes to 65% Loading for staff case on 31/12/2024 by trupti </t>
  </si>
  <si>
    <t>Mr. Kalpesh : 9372450153</t>
  </si>
  <si>
    <t>Amit Joshi : 8863886316</t>
  </si>
  <si>
    <t>Pooja</t>
  </si>
  <si>
    <t>park 1L + by bhargav verbal on 20/08/2025</t>
  </si>
  <si>
    <t>Recommended Rates / Other Charges of the Property have been revised on 18/09/2023, 28/12/2024 &amp; 20/08/2025.</t>
  </si>
  <si>
    <t>Gangaram parshuram Lambore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</si>
</sst>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_ * #,##0_ ;_ * \-#,##0_ ;_ * &quot;-&quot;??_ ;_ @_ "/>
    <numFmt numFmtId="168" formatCode="[&gt;0]0&quot;BHK&quot;;&quot;1RK&quot;"/>
  </numFmts>
  <fonts count="25">
    <font>
      <sz val="11"/>
      <color rgb="FF000000"/>
      <name val="Calibri"/>
      <charset val="134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2"/>
      <color rgb="FFFF0000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u/>
      <sz val="11"/>
      <color theme="10"/>
      <name val="Calibri"/>
      <family val="2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sz val="11"/>
      <color rgb="FF000000"/>
      <name val="Times New Roman"/>
      <family val="1"/>
    </font>
    <font>
      <b/>
      <sz val="11"/>
      <color indexed="8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1"/>
      <color rgb="FF000000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11">
    <xf numFmtId="0" fontId="0" fillId="0" borderId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4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2" fillId="0" borderId="0"/>
    <xf numFmtId="0" fontId="2" fillId="0" borderId="0"/>
  </cellStyleXfs>
  <cellXfs count="238">
    <xf numFmtId="0" fontId="0" fillId="0" borderId="0" xfId="0"/>
    <xf numFmtId="0" fontId="1" fillId="0" borderId="0" xfId="6"/>
    <xf numFmtId="0" fontId="2" fillId="0" borderId="0" xfId="10"/>
    <xf numFmtId="0" fontId="3" fillId="0" borderId="1" xfId="10" applyFont="1" applyBorder="1" applyAlignment="1">
      <alignment horizontal="center" vertical="top" wrapText="1"/>
    </xf>
    <xf numFmtId="0" fontId="2" fillId="0" borderId="1" xfId="10" applyBorder="1" applyAlignment="1">
      <alignment horizontal="center" vertical="center"/>
    </xf>
    <xf numFmtId="0" fontId="2" fillId="0" borderId="1" xfId="10" applyBorder="1" applyAlignment="1">
      <alignment horizontal="left" vertical="center"/>
    </xf>
    <xf numFmtId="1" fontId="2" fillId="0" borderId="1" xfId="10" applyNumberFormat="1" applyBorder="1" applyAlignment="1">
      <alignment horizontal="center" vertical="center"/>
    </xf>
    <xf numFmtId="165" fontId="2" fillId="0" borderId="1" xfId="4" applyNumberFormat="1" applyFont="1" applyBorder="1" applyAlignment="1">
      <alignment horizontal="right" vertical="center"/>
    </xf>
    <xf numFmtId="0" fontId="2" fillId="0" borderId="1" xfId="10" applyBorder="1" applyAlignment="1">
      <alignment horizontal="left" vertical="center" wrapText="1"/>
    </xf>
    <xf numFmtId="0" fontId="3" fillId="0" borderId="1" xfId="10" applyFont="1" applyBorder="1" applyAlignment="1">
      <alignment horizontal="center" vertical="center"/>
    </xf>
    <xf numFmtId="1" fontId="4" fillId="0" borderId="1" xfId="10" applyNumberFormat="1" applyFont="1" applyBorder="1" applyAlignment="1">
      <alignment horizontal="center" vertical="center"/>
    </xf>
    <xf numFmtId="0" fontId="1" fillId="0" borderId="1" xfId="6" applyBorder="1" applyAlignment="1">
      <alignment horizontal="center" vertical="center"/>
    </xf>
    <xf numFmtId="0" fontId="5" fillId="0" borderId="0" xfId="6" applyFont="1"/>
    <xf numFmtId="0" fontId="6" fillId="0" borderId="0" xfId="8" applyFont="1"/>
    <xf numFmtId="0" fontId="7" fillId="0" borderId="0" xfId="8" applyFont="1"/>
    <xf numFmtId="0" fontId="8" fillId="0" borderId="0" xfId="8" applyFont="1"/>
    <xf numFmtId="0" fontId="9" fillId="0" borderId="0" xfId="5" applyFont="1"/>
    <xf numFmtId="0" fontId="10" fillId="0" borderId="0" xfId="0" applyFont="1" applyAlignment="1">
      <alignment horizontal="center" vertical="center"/>
    </xf>
    <xf numFmtId="0" fontId="10" fillId="0" borderId="0" xfId="8" applyFont="1" applyAlignment="1">
      <alignment horizontal="center" vertical="center"/>
    </xf>
    <xf numFmtId="0" fontId="10" fillId="0" borderId="0" xfId="8" applyFont="1" applyProtection="1">
      <protection locked="0"/>
    </xf>
    <xf numFmtId="0" fontId="10" fillId="0" borderId="0" xfId="8" applyFont="1"/>
    <xf numFmtId="0" fontId="7" fillId="0" borderId="1" xfId="8" applyFont="1" applyBorder="1" applyAlignment="1" applyProtection="1">
      <alignment horizontal="center" vertical="top"/>
      <protection locked="0"/>
    </xf>
    <xf numFmtId="0" fontId="9" fillId="0" borderId="1" xfId="8" applyFont="1" applyBorder="1" applyAlignment="1" applyProtection="1">
      <alignment vertical="top" wrapText="1"/>
      <protection locked="0"/>
    </xf>
    <xf numFmtId="0" fontId="12" fillId="0" borderId="1" xfId="8" applyFont="1" applyBorder="1" applyAlignment="1" applyProtection="1">
      <alignment vertical="top"/>
      <protection locked="0"/>
    </xf>
    <xf numFmtId="0" fontId="10" fillId="2" borderId="0" xfId="8" applyFont="1" applyFill="1"/>
    <xf numFmtId="1" fontId="10" fillId="0" borderId="0" xfId="8" applyNumberFormat="1" applyFont="1"/>
    <xf numFmtId="14" fontId="10" fillId="0" borderId="0" xfId="8" applyNumberFormat="1" applyFont="1"/>
    <xf numFmtId="0" fontId="10" fillId="0" borderId="0" xfId="8" applyFont="1" applyProtection="1">
      <protection hidden="1"/>
    </xf>
    <xf numFmtId="0" fontId="7" fillId="0" borderId="20" xfId="8" applyFont="1" applyBorder="1" applyAlignment="1" applyProtection="1">
      <alignment horizontal="center" vertical="top"/>
      <protection locked="0"/>
    </xf>
    <xf numFmtId="0" fontId="7" fillId="0" borderId="21" xfId="8" applyFont="1" applyBorder="1" applyAlignment="1" applyProtection="1">
      <alignment horizontal="center" vertical="top"/>
      <protection locked="0"/>
    </xf>
    <xf numFmtId="0" fontId="10" fillId="0" borderId="1" xfId="8" applyFont="1" applyBorder="1" applyAlignment="1" applyProtection="1">
      <alignment horizontal="center" vertical="top" wrapText="1"/>
      <protection locked="0"/>
    </xf>
    <xf numFmtId="0" fontId="7" fillId="0" borderId="1" xfId="8" applyFont="1" applyBorder="1" applyAlignment="1" applyProtection="1">
      <alignment horizontal="center" vertical="top" wrapText="1"/>
      <protection locked="0"/>
    </xf>
    <xf numFmtId="9" fontId="10" fillId="0" borderId="1" xfId="2" applyFont="1" applyFill="1" applyBorder="1" applyAlignment="1" applyProtection="1">
      <alignment horizontal="center" vertical="top" wrapText="1"/>
      <protection locked="0"/>
    </xf>
    <xf numFmtId="1" fontId="7" fillId="0" borderId="1" xfId="8" applyNumberFormat="1" applyFont="1" applyBorder="1" applyAlignment="1" applyProtection="1">
      <alignment horizontal="center" vertical="top" wrapText="1"/>
      <protection locked="0"/>
    </xf>
    <xf numFmtId="0" fontId="10" fillId="0" borderId="25" xfId="8" applyFont="1" applyBorder="1" applyAlignment="1" applyProtection="1">
      <alignment horizontal="center" vertical="top" wrapText="1"/>
      <protection locked="0"/>
    </xf>
    <xf numFmtId="9" fontId="10" fillId="0" borderId="25" xfId="2" applyFont="1" applyFill="1" applyBorder="1" applyAlignment="1" applyProtection="1">
      <alignment horizontal="center" vertical="top" wrapText="1"/>
      <protection locked="0"/>
    </xf>
    <xf numFmtId="0" fontId="10" fillId="0" borderId="20" xfId="8" applyFont="1" applyBorder="1" applyAlignment="1" applyProtection="1">
      <alignment horizontal="center" vertical="top"/>
      <protection locked="0"/>
    </xf>
    <xf numFmtId="0" fontId="10" fillId="0" borderId="1" xfId="8" applyFont="1" applyBorder="1" applyAlignment="1" applyProtection="1">
      <alignment horizontal="center" vertical="top"/>
      <protection locked="0"/>
    </xf>
    <xf numFmtId="0" fontId="10" fillId="0" borderId="21" xfId="8" applyFont="1" applyBorder="1" applyAlignment="1" applyProtection="1">
      <alignment horizontal="center" vertical="top"/>
      <protection locked="0"/>
    </xf>
    <xf numFmtId="1" fontId="10" fillId="0" borderId="1" xfId="8" applyNumberFormat="1" applyFont="1" applyBorder="1" applyAlignment="1" applyProtection="1">
      <alignment horizontal="center" vertical="top" wrapText="1"/>
      <protection locked="0"/>
    </xf>
    <xf numFmtId="0" fontId="16" fillId="0" borderId="0" xfId="8" applyFont="1"/>
    <xf numFmtId="0" fontId="17" fillId="2" borderId="29" xfId="0" applyFont="1" applyFill="1" applyBorder="1"/>
    <xf numFmtId="0" fontId="18" fillId="0" borderId="30" xfId="0" applyFont="1" applyBorder="1"/>
    <xf numFmtId="0" fontId="18" fillId="0" borderId="1" xfId="0" applyFont="1" applyBorder="1"/>
    <xf numFmtId="0" fontId="18" fillId="0" borderId="21" xfId="0" applyFont="1" applyBorder="1"/>
    <xf numFmtId="0" fontId="19" fillId="0" borderId="0" xfId="0" applyFont="1" applyProtection="1">
      <protection hidden="1"/>
    </xf>
    <xf numFmtId="0" fontId="10" fillId="0" borderId="23" xfId="8" applyFont="1" applyBorder="1"/>
    <xf numFmtId="0" fontId="19" fillId="0" borderId="23" xfId="0" applyFont="1" applyBorder="1" applyProtection="1">
      <protection hidden="1"/>
    </xf>
    <xf numFmtId="1" fontId="0" fillId="0" borderId="23" xfId="0" applyNumberFormat="1" applyBorder="1"/>
    <xf numFmtId="1" fontId="0" fillId="0" borderId="23" xfId="0" applyNumberFormat="1" applyBorder="1" applyAlignment="1">
      <alignment horizontal="right"/>
    </xf>
    <xf numFmtId="0" fontId="19" fillId="0" borderId="31" xfId="0" applyFont="1" applyBorder="1" applyProtection="1">
      <protection hidden="1"/>
    </xf>
    <xf numFmtId="1" fontId="0" fillId="0" borderId="28" xfId="0" applyNumberFormat="1" applyBorder="1"/>
    <xf numFmtId="14" fontId="10" fillId="2" borderId="0" xfId="8" applyNumberFormat="1" applyFont="1" applyFill="1"/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1" fontId="12" fillId="0" borderId="10" xfId="8" applyNumberFormat="1" applyFont="1" applyBorder="1" applyAlignment="1" applyProtection="1">
      <alignment horizontal="center" vertical="top" wrapText="1"/>
      <protection locked="0"/>
    </xf>
    <xf numFmtId="9" fontId="12" fillId="0" borderId="14" xfId="2" applyFont="1" applyFill="1" applyBorder="1" applyAlignment="1" applyProtection="1">
      <alignment horizontal="center" vertical="top" wrapText="1"/>
      <protection locked="0"/>
    </xf>
    <xf numFmtId="1" fontId="9" fillId="0" borderId="3" xfId="8" applyNumberFormat="1" applyFont="1" applyBorder="1" applyAlignment="1" applyProtection="1">
      <alignment horizontal="center" vertical="center" wrapText="1"/>
      <protection locked="0"/>
    </xf>
    <xf numFmtId="1" fontId="9" fillId="0" borderId="1" xfId="8" applyNumberFormat="1" applyFont="1" applyBorder="1" applyAlignment="1" applyProtection="1">
      <alignment horizontal="center" vertical="center" wrapText="1"/>
      <protection locked="0"/>
    </xf>
    <xf numFmtId="1" fontId="10" fillId="0" borderId="1" xfId="8" applyNumberFormat="1" applyFont="1" applyBorder="1" applyAlignment="1">
      <alignment horizontal="center" vertical="center"/>
    </xf>
    <xf numFmtId="168" fontId="9" fillId="0" borderId="1" xfId="8" applyNumberFormat="1" applyFont="1" applyBorder="1" applyAlignment="1" applyProtection="1">
      <alignment horizontal="center" vertical="center" wrapText="1"/>
      <protection locked="0"/>
    </xf>
    <xf numFmtId="1" fontId="10" fillId="0" borderId="0" xfId="0" applyNumberFormat="1" applyFont="1" applyAlignment="1">
      <alignment horizontal="center" vertical="center"/>
    </xf>
    <xf numFmtId="1" fontId="10" fillId="0" borderId="0" xfId="8" applyNumberFormat="1" applyFont="1" applyAlignment="1">
      <alignment horizontal="center" vertical="center"/>
    </xf>
    <xf numFmtId="1" fontId="9" fillId="0" borderId="0" xfId="8" applyNumberFormat="1" applyFont="1" applyAlignment="1" applyProtection="1">
      <alignment horizontal="center" vertical="center" wrapText="1"/>
      <protection locked="0"/>
    </xf>
    <xf numFmtId="0" fontId="12" fillId="0" borderId="0" xfId="8" applyFont="1" applyAlignment="1" applyProtection="1">
      <alignment vertical="top"/>
      <protection locked="0"/>
    </xf>
    <xf numFmtId="0" fontId="12" fillId="0" borderId="0" xfId="8" applyFont="1" applyAlignment="1" applyProtection="1">
      <alignment vertical="top" wrapText="1"/>
      <protection locked="0"/>
    </xf>
    <xf numFmtId="0" fontId="9" fillId="0" borderId="0" xfId="8" applyFont="1" applyAlignment="1" applyProtection="1">
      <alignment vertical="top" wrapText="1"/>
      <protection locked="0"/>
    </xf>
    <xf numFmtId="0" fontId="15" fillId="0" borderId="0" xfId="8" applyFont="1" applyProtection="1">
      <protection locked="0"/>
    </xf>
    <xf numFmtId="0" fontId="10" fillId="0" borderId="0" xfId="8" applyFont="1" applyAlignment="1">
      <alignment horizontal="center" vertical="center"/>
    </xf>
    <xf numFmtId="1" fontId="9" fillId="0" borderId="3" xfId="8" applyNumberFormat="1" applyFont="1" applyBorder="1" applyAlignment="1" applyProtection="1">
      <alignment horizontal="center" vertical="center" wrapText="1"/>
      <protection locked="0"/>
    </xf>
    <xf numFmtId="1" fontId="9" fillId="0" borderId="1" xfId="8" applyNumberFormat="1" applyFont="1" applyBorder="1" applyAlignment="1" applyProtection="1">
      <alignment horizontal="center" vertical="center" wrapText="1"/>
      <protection locked="0"/>
    </xf>
    <xf numFmtId="0" fontId="10" fillId="0" borderId="0" xfId="8" applyFont="1" applyAlignment="1">
      <alignment horizontal="center" vertical="center"/>
    </xf>
    <xf numFmtId="1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0" xfId="0" applyFont="1" applyFill="1" applyAlignment="1">
      <alignment horizontal="center" vertical="center"/>
    </xf>
    <xf numFmtId="1" fontId="9" fillId="0" borderId="1" xfId="8" applyNumberFormat="1" applyFont="1" applyBorder="1" applyAlignment="1" applyProtection="1">
      <alignment horizontal="center" vertical="center" wrapText="1"/>
      <protection locked="0"/>
    </xf>
    <xf numFmtId="0" fontId="7" fillId="0" borderId="1" xfId="8" applyFont="1" applyBorder="1" applyAlignment="1" applyProtection="1">
      <alignment horizontal="center" vertical="top"/>
      <protection locked="0"/>
    </xf>
    <xf numFmtId="0" fontId="10" fillId="0" borderId="1" xfId="8" applyFont="1" applyBorder="1" applyAlignment="1" applyProtection="1">
      <alignment horizontal="center" vertical="top" wrapText="1"/>
      <protection locked="0"/>
    </xf>
    <xf numFmtId="0" fontId="17" fillId="2" borderId="16" xfId="0" applyFont="1" applyFill="1" applyBorder="1"/>
    <xf numFmtId="0" fontId="18" fillId="0" borderId="3" xfId="0" applyFont="1" applyBorder="1"/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1" fontId="9" fillId="0" borderId="1" xfId="8" applyNumberFormat="1" applyFont="1" applyBorder="1" applyAlignment="1" applyProtection="1">
      <alignment horizontal="center" vertical="center" wrapText="1"/>
      <protection locked="0"/>
    </xf>
    <xf numFmtId="168" fontId="9" fillId="0" borderId="1" xfId="8" applyNumberFormat="1" applyFont="1" applyBorder="1" applyAlignment="1" applyProtection="1">
      <alignment horizontal="center" vertical="center" wrapText="1"/>
      <protection locked="0"/>
    </xf>
    <xf numFmtId="0" fontId="8" fillId="0" borderId="11" xfId="8" applyFont="1" applyBorder="1" applyAlignment="1">
      <alignment horizontal="center" wrapText="1"/>
    </xf>
    <xf numFmtId="0" fontId="8" fillId="0" borderId="0" xfId="8" applyFont="1" applyBorder="1" applyAlignment="1">
      <alignment horizontal="center" wrapText="1"/>
    </xf>
    <xf numFmtId="1" fontId="12" fillId="0" borderId="1" xfId="8" applyNumberFormat="1" applyFont="1" applyBorder="1" applyAlignment="1" applyProtection="1">
      <alignment horizontal="center" vertical="center" wrapText="1"/>
      <protection locked="0"/>
    </xf>
    <xf numFmtId="1" fontId="9" fillId="0" borderId="1" xfId="8" applyNumberFormat="1" applyFont="1" applyBorder="1" applyAlignment="1" applyProtection="1">
      <alignment horizontal="center" vertical="center" wrapText="1"/>
      <protection locked="0"/>
    </xf>
    <xf numFmtId="0" fontId="10" fillId="0" borderId="0" xfId="8" applyFont="1" applyAlignment="1">
      <alignment horizontal="center" vertical="center"/>
    </xf>
    <xf numFmtId="1" fontId="10" fillId="2" borderId="11" xfId="8" applyNumberFormat="1" applyFont="1" applyFill="1" applyBorder="1" applyAlignment="1">
      <alignment horizontal="center" vertical="center" wrapText="1"/>
    </xf>
    <xf numFmtId="1" fontId="10" fillId="2" borderId="0" xfId="8" applyNumberFormat="1" applyFont="1" applyFill="1" applyBorder="1" applyAlignment="1">
      <alignment horizontal="center" vertical="center" wrapText="1"/>
    </xf>
    <xf numFmtId="168" fontId="9" fillId="0" borderId="1" xfId="8" applyNumberFormat="1" applyFont="1" applyBorder="1" applyAlignment="1" applyProtection="1">
      <alignment horizontal="center" vertical="center" wrapText="1"/>
      <protection locked="0"/>
    </xf>
    <xf numFmtId="0" fontId="15" fillId="0" borderId="0" xfId="8" applyFont="1" applyAlignment="1" applyProtection="1">
      <alignment horizontal="left" vertical="top"/>
      <protection locked="0"/>
    </xf>
    <xf numFmtId="0" fontId="10" fillId="0" borderId="0" xfId="8" applyFont="1" applyAlignment="1" applyProtection="1">
      <alignment horizontal="left" vertical="top"/>
      <protection locked="0"/>
    </xf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1" fontId="12" fillId="0" borderId="10" xfId="8" applyNumberFormat="1" applyFont="1" applyBorder="1" applyAlignment="1" applyProtection="1">
      <alignment horizontal="center" vertical="top" wrapText="1"/>
      <protection locked="0"/>
    </xf>
    <xf numFmtId="1" fontId="12" fillId="0" borderId="14" xfId="8" applyNumberFormat="1" applyFont="1" applyBorder="1" applyAlignment="1" applyProtection="1">
      <alignment horizontal="center" vertical="top" wrapText="1"/>
      <protection locked="0"/>
    </xf>
    <xf numFmtId="1" fontId="12" fillId="0" borderId="5" xfId="8" applyNumberFormat="1" applyFont="1" applyBorder="1" applyAlignment="1" applyProtection="1">
      <alignment horizontal="center" vertical="top" wrapText="1"/>
      <protection locked="0"/>
    </xf>
    <xf numFmtId="1" fontId="12" fillId="0" borderId="7" xfId="8" applyNumberFormat="1" applyFont="1" applyBorder="1" applyAlignment="1" applyProtection="1">
      <alignment horizontal="center" vertical="top" wrapText="1"/>
      <protection locked="0"/>
    </xf>
    <xf numFmtId="0" fontId="13" fillId="0" borderId="1" xfId="8" applyFont="1" applyBorder="1" applyAlignment="1" applyProtection="1">
      <alignment horizontal="center" vertical="top" wrapText="1"/>
      <protection locked="0"/>
    </xf>
    <xf numFmtId="1" fontId="12" fillId="0" borderId="6" xfId="8" applyNumberFormat="1" applyFont="1" applyBorder="1" applyAlignment="1" applyProtection="1">
      <alignment horizontal="center" vertical="top" wrapText="1"/>
      <protection locked="0"/>
    </xf>
    <xf numFmtId="1" fontId="12" fillId="0" borderId="8" xfId="8" applyNumberFormat="1" applyFont="1" applyBorder="1" applyAlignment="1" applyProtection="1">
      <alignment horizontal="center" vertical="top" wrapText="1"/>
      <protection locked="0"/>
    </xf>
    <xf numFmtId="0" fontId="9" fillId="0" borderId="1" xfId="8" applyFont="1" applyBorder="1" applyAlignment="1" applyProtection="1">
      <alignment vertical="top"/>
      <protection locked="0"/>
    </xf>
    <xf numFmtId="0" fontId="9" fillId="0" borderId="1" xfId="8" applyFont="1" applyBorder="1" applyAlignment="1" applyProtection="1">
      <alignment horizontal="left" vertical="top"/>
      <protection locked="0"/>
    </xf>
    <xf numFmtId="0" fontId="9" fillId="0" borderId="1" xfId="8" applyFont="1" applyBorder="1" applyAlignment="1" applyProtection="1">
      <alignment horizontal="left" vertical="top" wrapText="1"/>
      <protection locked="0"/>
    </xf>
    <xf numFmtId="0" fontId="21" fillId="0" borderId="1" xfId="8" applyFont="1" applyBorder="1" applyAlignment="1" applyProtection="1">
      <alignment horizontal="center" vertical="top" wrapText="1"/>
      <protection locked="0"/>
    </xf>
    <xf numFmtId="1" fontId="13" fillId="0" borderId="2" xfId="0" applyNumberFormat="1" applyFont="1" applyBorder="1" applyAlignment="1" applyProtection="1">
      <alignment vertical="top" wrapText="1"/>
      <protection locked="0"/>
    </xf>
    <xf numFmtId="1" fontId="13" fillId="0" borderId="4" xfId="0" applyNumberFormat="1" applyFont="1" applyBorder="1" applyAlignment="1" applyProtection="1">
      <alignment vertical="top" wrapText="1"/>
      <protection locked="0"/>
    </xf>
    <xf numFmtId="1" fontId="13" fillId="0" borderId="3" xfId="0" applyNumberFormat="1" applyFont="1" applyBorder="1" applyAlignment="1" applyProtection="1">
      <alignment vertical="top" wrapText="1"/>
      <protection locked="0"/>
    </xf>
    <xf numFmtId="1" fontId="12" fillId="0" borderId="2" xfId="0" applyNumberFormat="1" applyFont="1" applyBorder="1" applyAlignment="1" applyProtection="1">
      <alignment vertical="top" wrapText="1"/>
      <protection locked="0"/>
    </xf>
    <xf numFmtId="1" fontId="12" fillId="0" borderId="4" xfId="0" applyNumberFormat="1" applyFont="1" applyBorder="1" applyAlignment="1" applyProtection="1">
      <alignment vertical="top" wrapText="1"/>
      <protection locked="0"/>
    </xf>
    <xf numFmtId="1" fontId="12" fillId="0" borderId="3" xfId="0" applyNumberFormat="1" applyFont="1" applyBorder="1" applyAlignment="1" applyProtection="1">
      <alignment vertical="top" wrapText="1"/>
      <protection locked="0"/>
    </xf>
    <xf numFmtId="0" fontId="12" fillId="0" borderId="1" xfId="8" applyFont="1" applyBorder="1" applyAlignment="1" applyProtection="1">
      <alignment vertical="top"/>
      <protection locked="0"/>
    </xf>
    <xf numFmtId="1" fontId="12" fillId="3" borderId="2" xfId="0" applyNumberFormat="1" applyFont="1" applyFill="1" applyBorder="1" applyAlignment="1" applyProtection="1">
      <alignment vertical="top" wrapText="1"/>
      <protection locked="0"/>
    </xf>
    <xf numFmtId="1" fontId="12" fillId="3" borderId="4" xfId="0" applyNumberFormat="1" applyFont="1" applyFill="1" applyBorder="1" applyAlignment="1" applyProtection="1">
      <alignment vertical="top" wrapText="1"/>
      <protection locked="0"/>
    </xf>
    <xf numFmtId="1" fontId="12" fillId="3" borderId="3" xfId="0" applyNumberFormat="1" applyFont="1" applyFill="1" applyBorder="1" applyAlignment="1" applyProtection="1">
      <alignment vertical="top" wrapText="1"/>
      <protection locked="0"/>
    </xf>
    <xf numFmtId="1" fontId="12" fillId="0" borderId="1" xfId="0" applyNumberFormat="1" applyFont="1" applyBorder="1" applyAlignment="1" applyProtection="1">
      <alignment horizontal="left" vertical="top" wrapText="1"/>
      <protection locked="0"/>
    </xf>
    <xf numFmtId="1" fontId="12" fillId="0" borderId="2" xfId="8" applyNumberFormat="1" applyFont="1" applyBorder="1" applyAlignment="1" applyProtection="1">
      <alignment horizontal="center" vertical="center" wrapText="1"/>
      <protection locked="0"/>
    </xf>
    <xf numFmtId="1" fontId="12" fillId="0" borderId="4" xfId="8" applyNumberFormat="1" applyFont="1" applyBorder="1" applyAlignment="1" applyProtection="1">
      <alignment horizontal="center" vertical="center" wrapText="1"/>
      <protection locked="0"/>
    </xf>
    <xf numFmtId="1" fontId="12" fillId="0" borderId="3" xfId="8" applyNumberFormat="1" applyFont="1" applyBorder="1" applyAlignment="1" applyProtection="1">
      <alignment horizontal="center" vertical="center" wrapText="1"/>
      <protection locked="0"/>
    </xf>
    <xf numFmtId="1" fontId="9" fillId="0" borderId="5" xfId="8" applyNumberFormat="1" applyFont="1" applyBorder="1" applyAlignment="1" applyProtection="1">
      <alignment horizontal="center" vertical="center" wrapText="1"/>
      <protection locked="0"/>
    </xf>
    <xf numFmtId="1" fontId="9" fillId="0" borderId="6" xfId="8" applyNumberFormat="1" applyFont="1" applyBorder="1" applyAlignment="1" applyProtection="1">
      <alignment horizontal="center" vertical="center" wrapText="1"/>
      <protection locked="0"/>
    </xf>
    <xf numFmtId="1" fontId="9" fillId="0" borderId="11" xfId="8" applyNumberFormat="1" applyFont="1" applyBorder="1" applyAlignment="1" applyProtection="1">
      <alignment horizontal="center" vertical="center" wrapText="1"/>
      <protection locked="0"/>
    </xf>
    <xf numFmtId="1" fontId="9" fillId="0" borderId="12" xfId="8" applyNumberFormat="1" applyFont="1" applyBorder="1" applyAlignment="1" applyProtection="1">
      <alignment horizontal="center" vertical="center" wrapText="1"/>
      <protection locked="0"/>
    </xf>
    <xf numFmtId="1" fontId="9" fillId="0" borderId="7" xfId="8" applyNumberFormat="1" applyFont="1" applyBorder="1" applyAlignment="1" applyProtection="1">
      <alignment horizontal="center" vertical="center" wrapText="1"/>
      <protection locked="0"/>
    </xf>
    <xf numFmtId="1" fontId="9" fillId="0" borderId="8" xfId="8" applyNumberFormat="1" applyFont="1" applyBorder="1" applyAlignment="1" applyProtection="1">
      <alignment horizontal="center" vertical="center" wrapText="1"/>
      <protection locked="0"/>
    </xf>
    <xf numFmtId="168" fontId="9" fillId="0" borderId="2" xfId="8" applyNumberFormat="1" applyFont="1" applyBorder="1" applyAlignment="1" applyProtection="1">
      <alignment horizontal="center" vertical="center" wrapText="1"/>
      <protection locked="0"/>
    </xf>
    <xf numFmtId="168" fontId="9" fillId="0" borderId="4" xfId="8" applyNumberFormat="1" applyFont="1" applyBorder="1" applyAlignment="1" applyProtection="1">
      <alignment horizontal="center" vertical="center" wrapText="1"/>
      <protection locked="0"/>
    </xf>
    <xf numFmtId="168" fontId="9" fillId="0" borderId="3" xfId="8" applyNumberFormat="1" applyFont="1" applyBorder="1" applyAlignment="1" applyProtection="1">
      <alignment horizontal="center" vertical="center" wrapText="1"/>
      <protection locked="0"/>
    </xf>
    <xf numFmtId="1" fontId="9" fillId="0" borderId="2" xfId="8" applyNumberFormat="1" applyFont="1" applyBorder="1" applyAlignment="1" applyProtection="1">
      <alignment horizontal="center" vertical="center" wrapText="1"/>
      <protection locked="0"/>
    </xf>
    <xf numFmtId="1" fontId="9" fillId="0" borderId="4" xfId="8" applyNumberFormat="1" applyFont="1" applyBorder="1" applyAlignment="1" applyProtection="1">
      <alignment horizontal="center" vertical="center" wrapText="1"/>
      <protection locked="0"/>
    </xf>
    <xf numFmtId="1" fontId="9" fillId="0" borderId="3" xfId="8" applyNumberFormat="1" applyFont="1" applyBorder="1" applyAlignment="1" applyProtection="1">
      <alignment horizontal="center" vertical="center" wrapText="1"/>
      <protection locked="0"/>
    </xf>
    <xf numFmtId="1" fontId="20" fillId="0" borderId="10" xfId="8" applyNumberFormat="1" applyFont="1" applyBorder="1" applyAlignment="1" applyProtection="1">
      <alignment horizontal="center" vertical="top" wrapText="1"/>
      <protection locked="0"/>
    </xf>
    <xf numFmtId="1" fontId="20" fillId="0" borderId="14" xfId="8" applyNumberFormat="1" applyFont="1" applyBorder="1" applyAlignment="1" applyProtection="1">
      <alignment horizontal="center" vertical="top" wrapText="1"/>
      <protection locked="0"/>
    </xf>
    <xf numFmtId="0" fontId="12" fillId="0" borderId="1" xfId="8" applyFont="1" applyBorder="1" applyAlignment="1" applyProtection="1">
      <alignment horizontal="center" vertical="top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1" fontId="15" fillId="0" borderId="1" xfId="0" applyNumberFormat="1" applyFont="1" applyBorder="1" applyAlignment="1" applyProtection="1">
      <alignment horizontal="center" vertical="center"/>
      <protection locked="0"/>
    </xf>
    <xf numFmtId="1" fontId="12" fillId="0" borderId="1" xfId="0" applyNumberFormat="1" applyFont="1" applyBorder="1" applyAlignment="1" applyProtection="1">
      <alignment horizontal="center" vertical="top" wrapText="1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67" fontId="7" fillId="0" borderId="1" xfId="1" applyNumberFormat="1" applyFont="1" applyFill="1" applyBorder="1" applyAlignment="1" applyProtection="1">
      <alignment horizontal="left" vertical="top"/>
      <protection locked="0"/>
    </xf>
    <xf numFmtId="0" fontId="12" fillId="0" borderId="1" xfId="8" applyFont="1" applyBorder="1" applyAlignment="1" applyProtection="1">
      <alignment horizontal="left" vertical="top"/>
      <protection locked="0"/>
    </xf>
    <xf numFmtId="0" fontId="10" fillId="0" borderId="20" xfId="8" applyFont="1" applyBorder="1" applyAlignment="1" applyProtection="1">
      <alignment horizontal="center" vertical="top" wrapText="1"/>
      <protection locked="0"/>
    </xf>
    <xf numFmtId="0" fontId="10" fillId="0" borderId="1" xfId="8" applyFont="1" applyBorder="1" applyAlignment="1" applyProtection="1">
      <alignment horizontal="center" vertical="top" wrapText="1"/>
      <protection locked="0"/>
    </xf>
    <xf numFmtId="0" fontId="10" fillId="0" borderId="24" xfId="8" applyFont="1" applyBorder="1" applyAlignment="1" applyProtection="1">
      <alignment horizontal="center" vertical="top" wrapText="1"/>
      <protection locked="0"/>
    </xf>
    <xf numFmtId="0" fontId="10" fillId="0" borderId="25" xfId="8" applyFont="1" applyBorder="1" applyAlignment="1" applyProtection="1">
      <alignment horizontal="center" vertical="top" wrapText="1"/>
      <protection locked="0"/>
    </xf>
    <xf numFmtId="0" fontId="12" fillId="0" borderId="14" xfId="8" applyFont="1" applyBorder="1" applyAlignment="1" applyProtection="1">
      <alignment horizontal="left" vertical="top"/>
      <protection locked="0"/>
    </xf>
    <xf numFmtId="0" fontId="12" fillId="0" borderId="14" xfId="8" applyFont="1" applyBorder="1" applyAlignment="1" applyProtection="1">
      <alignment horizontal="center" vertical="top"/>
      <protection locked="0"/>
    </xf>
    <xf numFmtId="0" fontId="13" fillId="0" borderId="32" xfId="8" applyFont="1" applyBorder="1" applyAlignment="1" applyProtection="1">
      <alignment horizontal="left" vertical="top" wrapText="1"/>
      <protection locked="0"/>
    </xf>
    <xf numFmtId="0" fontId="13" fillId="0" borderId="8" xfId="8" applyFont="1" applyBorder="1" applyAlignment="1" applyProtection="1">
      <alignment horizontal="left" vertical="top" wrapText="1"/>
      <protection locked="0"/>
    </xf>
    <xf numFmtId="0" fontId="13" fillId="0" borderId="7" xfId="8" applyFont="1" applyBorder="1" applyAlignment="1" applyProtection="1">
      <alignment horizontal="left" vertical="top" wrapText="1"/>
      <protection locked="0"/>
    </xf>
    <xf numFmtId="0" fontId="13" fillId="0" borderId="13" xfId="8" applyFont="1" applyBorder="1" applyAlignment="1" applyProtection="1">
      <alignment horizontal="left" vertical="top" wrapText="1"/>
      <protection locked="0"/>
    </xf>
    <xf numFmtId="0" fontId="13" fillId="0" borderId="33" xfId="8" applyFont="1" applyBorder="1" applyAlignment="1" applyProtection="1">
      <alignment horizontal="left" vertical="top" wrapText="1"/>
      <protection locked="0"/>
    </xf>
    <xf numFmtId="0" fontId="13" fillId="0" borderId="20" xfId="8" applyFont="1" applyBorder="1" applyAlignment="1" applyProtection="1">
      <alignment horizontal="left" vertical="top"/>
      <protection locked="0"/>
    </xf>
    <xf numFmtId="0" fontId="13" fillId="0" borderId="1" xfId="8" applyFont="1" applyBorder="1" applyAlignment="1" applyProtection="1">
      <alignment horizontal="left" vertical="top"/>
      <protection locked="0"/>
    </xf>
    <xf numFmtId="0" fontId="13" fillId="0" borderId="1" xfId="8" applyFont="1" applyBorder="1" applyAlignment="1" applyProtection="1">
      <alignment horizontal="left" vertical="top" wrapText="1"/>
      <protection locked="0"/>
    </xf>
    <xf numFmtId="0" fontId="13" fillId="0" borderId="21" xfId="8" applyFont="1" applyBorder="1" applyAlignment="1" applyProtection="1">
      <alignment horizontal="left" vertical="top" wrapText="1"/>
      <protection locked="0"/>
    </xf>
    <xf numFmtId="0" fontId="10" fillId="0" borderId="21" xfId="8" applyFont="1" applyBorder="1" applyAlignment="1" applyProtection="1">
      <alignment horizontal="center" vertical="top" wrapText="1"/>
      <protection locked="0"/>
    </xf>
    <xf numFmtId="9" fontId="10" fillId="0" borderId="1" xfId="2" applyFont="1" applyFill="1" applyBorder="1" applyAlignment="1" applyProtection="1">
      <alignment horizontal="center" vertical="center" wrapText="1"/>
      <protection locked="0"/>
    </xf>
    <xf numFmtId="9" fontId="10" fillId="0" borderId="5" xfId="2" applyFont="1" applyFill="1" applyBorder="1" applyAlignment="1" applyProtection="1">
      <alignment horizontal="center" vertical="center" wrapText="1"/>
      <protection locked="0"/>
    </xf>
    <xf numFmtId="9" fontId="10" fillId="0" borderId="6" xfId="2" applyFont="1" applyFill="1" applyBorder="1" applyAlignment="1" applyProtection="1">
      <alignment horizontal="center" vertical="center" wrapText="1"/>
      <protection locked="0"/>
    </xf>
    <xf numFmtId="9" fontId="10" fillId="0" borderId="11" xfId="2" applyFont="1" applyFill="1" applyBorder="1" applyAlignment="1" applyProtection="1">
      <alignment horizontal="center" vertical="center" wrapText="1"/>
      <protection locked="0"/>
    </xf>
    <xf numFmtId="9" fontId="10" fillId="0" borderId="12" xfId="2" applyFont="1" applyFill="1" applyBorder="1" applyAlignment="1" applyProtection="1">
      <alignment horizontal="center" vertical="center" wrapText="1"/>
      <protection locked="0"/>
    </xf>
    <xf numFmtId="9" fontId="10" fillId="0" borderId="26" xfId="2" applyFont="1" applyFill="1" applyBorder="1" applyAlignment="1" applyProtection="1">
      <alignment horizontal="center" vertical="center" wrapText="1"/>
      <protection locked="0"/>
    </xf>
    <xf numFmtId="9" fontId="10" fillId="0" borderId="27" xfId="2" applyFont="1" applyFill="1" applyBorder="1" applyAlignment="1" applyProtection="1">
      <alignment horizontal="center" vertical="center" wrapText="1"/>
      <protection locked="0"/>
    </xf>
    <xf numFmtId="9" fontId="10" fillId="0" borderId="22" xfId="2" applyFont="1" applyFill="1" applyBorder="1" applyAlignment="1" applyProtection="1">
      <alignment horizontal="center" vertical="center" wrapText="1"/>
      <protection locked="0"/>
    </xf>
    <xf numFmtId="9" fontId="10" fillId="0" borderId="23" xfId="2" applyFont="1" applyFill="1" applyBorder="1" applyAlignment="1" applyProtection="1">
      <alignment horizontal="center" vertical="center" wrapText="1"/>
      <protection locked="0"/>
    </xf>
    <xf numFmtId="9" fontId="10" fillId="0" borderId="28" xfId="2" applyFont="1" applyFill="1" applyBorder="1" applyAlignment="1" applyProtection="1">
      <alignment horizontal="center" vertical="center" wrapText="1"/>
      <protection locked="0"/>
    </xf>
    <xf numFmtId="0" fontId="15" fillId="0" borderId="15" xfId="8" applyFont="1" applyBorder="1" applyAlignment="1" applyProtection="1">
      <alignment horizontal="left" vertical="top" wrapText="1"/>
      <protection locked="0"/>
    </xf>
    <xf numFmtId="0" fontId="15" fillId="0" borderId="16" xfId="8" applyFont="1" applyBorder="1" applyAlignment="1" applyProtection="1">
      <alignment horizontal="left" vertical="top" wrapText="1"/>
      <protection locked="0"/>
    </xf>
    <xf numFmtId="0" fontId="15" fillId="0" borderId="17" xfId="8" applyFont="1" applyBorder="1" applyAlignment="1" applyProtection="1">
      <alignment horizontal="left" vertical="top" wrapText="1"/>
      <protection locked="0"/>
    </xf>
    <xf numFmtId="0" fontId="15" fillId="0" borderId="18" xfId="8" applyFont="1" applyBorder="1" applyAlignment="1" applyProtection="1">
      <alignment horizontal="left" vertical="top" wrapText="1"/>
      <protection locked="0"/>
    </xf>
    <xf numFmtId="0" fontId="15" fillId="0" borderId="19" xfId="8" applyFont="1" applyBorder="1" applyAlignment="1" applyProtection="1">
      <alignment horizontal="left" vertical="top" wrapText="1"/>
      <protection locked="0"/>
    </xf>
    <xf numFmtId="0" fontId="15" fillId="0" borderId="20" xfId="8" applyFont="1" applyBorder="1" applyAlignment="1" applyProtection="1">
      <alignment horizontal="left" vertical="top"/>
      <protection locked="0"/>
    </xf>
    <xf numFmtId="0" fontId="15" fillId="0" borderId="1" xfId="8" applyFont="1" applyBorder="1" applyAlignment="1" applyProtection="1">
      <alignment horizontal="left" vertical="top"/>
      <protection locked="0"/>
    </xf>
    <xf numFmtId="0" fontId="15" fillId="0" borderId="1" xfId="8" applyFont="1" applyBorder="1" applyAlignment="1" applyProtection="1">
      <alignment horizontal="left" vertical="top" wrapText="1"/>
      <protection locked="0"/>
    </xf>
    <xf numFmtId="0" fontId="15" fillId="0" borderId="21" xfId="8" applyFont="1" applyBorder="1" applyAlignment="1" applyProtection="1">
      <alignment horizontal="left" vertical="top" wrapText="1"/>
      <protection locked="0"/>
    </xf>
    <xf numFmtId="0" fontId="7" fillId="0" borderId="1" xfId="8" applyFont="1" applyBorder="1" applyAlignment="1" applyProtection="1">
      <alignment horizontal="left" vertical="top" wrapText="1"/>
      <protection locked="0"/>
    </xf>
    <xf numFmtId="1" fontId="9" fillId="0" borderId="1" xfId="8" applyNumberFormat="1" applyFont="1" applyBorder="1" applyAlignment="1" applyProtection="1">
      <alignment horizontal="left" vertical="top" wrapText="1"/>
      <protection locked="0"/>
    </xf>
    <xf numFmtId="0" fontId="7" fillId="0" borderId="1" xfId="8" applyFont="1" applyBorder="1" applyAlignment="1" applyProtection="1">
      <alignment horizontal="left" vertical="top"/>
      <protection locked="0"/>
    </xf>
    <xf numFmtId="0" fontId="7" fillId="0" borderId="5" xfId="8" applyFont="1" applyBorder="1" applyAlignment="1" applyProtection="1">
      <alignment horizontal="left" vertical="top" wrapText="1"/>
      <protection locked="0"/>
    </xf>
    <xf numFmtId="0" fontId="7" fillId="0" borderId="9" xfId="8" applyFont="1" applyBorder="1" applyAlignment="1" applyProtection="1">
      <alignment horizontal="left" vertical="top" wrapText="1"/>
      <protection locked="0"/>
    </xf>
    <xf numFmtId="0" fontId="7" fillId="0" borderId="6" xfId="8" applyFont="1" applyBorder="1" applyAlignment="1" applyProtection="1">
      <alignment horizontal="left" vertical="top" wrapText="1"/>
      <protection locked="0"/>
    </xf>
    <xf numFmtId="0" fontId="7" fillId="0" borderId="10" xfId="8" applyFont="1" applyBorder="1" applyAlignment="1" applyProtection="1">
      <alignment horizontal="left" vertical="top" wrapText="1"/>
      <protection locked="0"/>
    </xf>
    <xf numFmtId="0" fontId="7" fillId="0" borderId="10" xfId="8" applyFont="1" applyBorder="1" applyAlignment="1" applyProtection="1">
      <alignment horizontal="left" vertical="top"/>
      <protection locked="0"/>
    </xf>
    <xf numFmtId="0" fontId="12" fillId="0" borderId="5" xfId="8" applyFont="1" applyBorder="1" applyAlignment="1" applyProtection="1">
      <alignment horizontal="left" vertical="top" wrapText="1"/>
      <protection locked="0"/>
    </xf>
    <xf numFmtId="0" fontId="12" fillId="0" borderId="6" xfId="8" applyFont="1" applyBorder="1" applyAlignment="1" applyProtection="1">
      <alignment horizontal="left" vertical="top" wrapText="1"/>
      <protection locked="0"/>
    </xf>
    <xf numFmtId="0" fontId="12" fillId="0" borderId="7" xfId="8" applyFont="1" applyBorder="1" applyAlignment="1" applyProtection="1">
      <alignment horizontal="left" vertical="top" wrapText="1"/>
      <protection locked="0"/>
    </xf>
    <xf numFmtId="0" fontId="12" fillId="0" borderId="8" xfId="8" applyFont="1" applyBorder="1" applyAlignment="1" applyProtection="1">
      <alignment horizontal="left" vertical="top" wrapText="1"/>
      <protection locked="0"/>
    </xf>
    <xf numFmtId="0" fontId="12" fillId="0" borderId="2" xfId="8" applyFont="1" applyBorder="1" applyAlignment="1" applyProtection="1">
      <alignment horizontal="left" vertical="top" wrapText="1"/>
      <protection locked="0"/>
    </xf>
    <xf numFmtId="0" fontId="12" fillId="0" borderId="4" xfId="8" applyFont="1" applyBorder="1" applyAlignment="1" applyProtection="1">
      <alignment horizontal="left" vertical="top" wrapText="1"/>
      <protection locked="0"/>
    </xf>
    <xf numFmtId="0" fontId="12" fillId="0" borderId="3" xfId="8" applyFont="1" applyBorder="1" applyAlignment="1" applyProtection="1">
      <alignment horizontal="left" vertical="top" wrapText="1"/>
      <protection locked="0"/>
    </xf>
    <xf numFmtId="14" fontId="12" fillId="0" borderId="2" xfId="8" applyNumberFormat="1" applyFont="1" applyBorder="1" applyAlignment="1" applyProtection="1">
      <alignment horizontal="left" vertical="top"/>
      <protection locked="0"/>
    </xf>
    <xf numFmtId="0" fontId="12" fillId="0" borderId="3" xfId="8" applyFont="1" applyBorder="1" applyAlignment="1" applyProtection="1">
      <alignment horizontal="left" vertical="top"/>
      <protection locked="0"/>
    </xf>
    <xf numFmtId="2" fontId="9" fillId="0" borderId="1" xfId="8" applyNumberFormat="1" applyFont="1" applyBorder="1" applyAlignment="1" applyProtection="1">
      <alignment horizontal="left" vertical="top"/>
      <protection locked="0"/>
    </xf>
    <xf numFmtId="0" fontId="9" fillId="0" borderId="2" xfId="8" applyFont="1" applyBorder="1" applyAlignment="1" applyProtection="1">
      <alignment horizontal="left" vertical="top" wrapText="1"/>
      <protection locked="0"/>
    </xf>
    <xf numFmtId="0" fontId="9" fillId="0" borderId="3" xfId="8" applyFont="1" applyBorder="1" applyAlignment="1" applyProtection="1">
      <alignment horizontal="left" vertical="top" wrapText="1"/>
      <protection locked="0"/>
    </xf>
    <xf numFmtId="0" fontId="9" fillId="0" borderId="4" xfId="8" applyFont="1" applyBorder="1" applyAlignment="1" applyProtection="1">
      <alignment horizontal="left" vertical="top" wrapText="1"/>
      <protection locked="0"/>
    </xf>
    <xf numFmtId="14" fontId="9" fillId="0" borderId="2" xfId="8" applyNumberFormat="1" applyFont="1" applyBorder="1" applyAlignment="1" applyProtection="1">
      <alignment horizontal="left" vertical="top" wrapText="1"/>
      <protection locked="0"/>
    </xf>
    <xf numFmtId="14" fontId="9" fillId="0" borderId="3" xfId="8" applyNumberFormat="1" applyFont="1" applyBorder="1" applyAlignment="1" applyProtection="1">
      <alignment horizontal="left" vertical="top" wrapText="1"/>
      <protection locked="0"/>
    </xf>
    <xf numFmtId="0" fontId="9" fillId="0" borderId="5" xfId="8" applyFont="1" applyBorder="1" applyAlignment="1" applyProtection="1">
      <alignment horizontal="left" vertical="top" wrapText="1"/>
      <protection locked="0"/>
    </xf>
    <xf numFmtId="0" fontId="9" fillId="0" borderId="6" xfId="8" applyFont="1" applyBorder="1" applyAlignment="1" applyProtection="1">
      <alignment horizontal="left" vertical="top" wrapText="1"/>
      <protection locked="0"/>
    </xf>
    <xf numFmtId="0" fontId="9" fillId="0" borderId="7" xfId="8" applyFont="1" applyBorder="1" applyAlignment="1" applyProtection="1">
      <alignment horizontal="left" vertical="top" wrapText="1"/>
      <protection locked="0"/>
    </xf>
    <xf numFmtId="0" fontId="9" fillId="0" borderId="8" xfId="8" applyFont="1" applyBorder="1" applyAlignment="1" applyProtection="1">
      <alignment horizontal="left" vertical="top" wrapText="1"/>
      <protection locked="0"/>
    </xf>
    <xf numFmtId="166" fontId="7" fillId="0" borderId="2" xfId="8" applyNumberFormat="1" applyFont="1" applyBorder="1" applyAlignment="1" applyProtection="1">
      <alignment horizontal="left"/>
      <protection locked="0"/>
    </xf>
    <xf numFmtId="166" fontId="7" fillId="0" borderId="4" xfId="8" applyNumberFormat="1" applyFont="1" applyBorder="1" applyAlignment="1" applyProtection="1">
      <alignment horizontal="left"/>
      <protection locked="0"/>
    </xf>
    <xf numFmtId="166" fontId="7" fillId="0" borderId="3" xfId="8" applyNumberFormat="1" applyFont="1" applyBorder="1" applyAlignment="1" applyProtection="1">
      <alignment horizontal="left"/>
      <protection locked="0"/>
    </xf>
    <xf numFmtId="2" fontId="7" fillId="0" borderId="2" xfId="8" applyNumberFormat="1" applyFont="1" applyBorder="1" applyAlignment="1" applyProtection="1">
      <alignment horizontal="left"/>
      <protection locked="0"/>
    </xf>
    <xf numFmtId="2" fontId="7" fillId="0" borderId="4" xfId="8" applyNumberFormat="1" applyFont="1" applyBorder="1" applyAlignment="1" applyProtection="1">
      <alignment horizontal="left"/>
      <protection locked="0"/>
    </xf>
    <xf numFmtId="2" fontId="7" fillId="0" borderId="3" xfId="8" applyNumberFormat="1" applyFont="1" applyBorder="1" applyAlignment="1" applyProtection="1">
      <alignment horizontal="left"/>
      <protection locked="0"/>
    </xf>
    <xf numFmtId="0" fontId="13" fillId="0" borderId="2" xfId="8" applyFont="1" applyBorder="1" applyAlignment="1" applyProtection="1">
      <alignment horizontal="left" vertical="top"/>
      <protection locked="0"/>
    </xf>
    <xf numFmtId="0" fontId="13" fillId="0" borderId="4" xfId="8" applyFont="1" applyBorder="1" applyAlignment="1" applyProtection="1">
      <alignment horizontal="left" vertical="top"/>
      <protection locked="0"/>
    </xf>
    <xf numFmtId="0" fontId="13" fillId="0" borderId="3" xfId="8" applyFont="1" applyBorder="1" applyAlignment="1" applyProtection="1">
      <alignment horizontal="left" vertical="top"/>
      <protection locked="0"/>
    </xf>
    <xf numFmtId="0" fontId="14" fillId="0" borderId="1" xfId="3" applyFill="1" applyBorder="1" applyAlignment="1" applyProtection="1">
      <alignment horizontal="left" vertical="top" wrapText="1"/>
      <protection locked="0"/>
    </xf>
    <xf numFmtId="0" fontId="12" fillId="0" borderId="2" xfId="8" applyFont="1" applyBorder="1" applyAlignment="1" applyProtection="1">
      <alignment horizontal="left" vertical="top"/>
      <protection locked="0"/>
    </xf>
    <xf numFmtId="0" fontId="12" fillId="0" borderId="4" xfId="8" applyFont="1" applyBorder="1" applyAlignment="1" applyProtection="1">
      <alignment horizontal="left" vertical="top"/>
      <protection locked="0"/>
    </xf>
    <xf numFmtId="2" fontId="7" fillId="0" borderId="2" xfId="8" applyNumberFormat="1" applyFont="1" applyBorder="1" applyAlignment="1" applyProtection="1">
      <alignment horizontal="left" wrapText="1"/>
      <protection locked="0"/>
    </xf>
    <xf numFmtId="2" fontId="7" fillId="0" borderId="4" xfId="8" applyNumberFormat="1" applyFont="1" applyBorder="1" applyAlignment="1" applyProtection="1">
      <alignment horizontal="left" wrapText="1"/>
      <protection locked="0"/>
    </xf>
    <xf numFmtId="2" fontId="7" fillId="0" borderId="3" xfId="8" applyNumberFormat="1" applyFont="1" applyBorder="1" applyAlignment="1" applyProtection="1">
      <alignment horizontal="left" wrapText="1"/>
      <protection locked="0"/>
    </xf>
    <xf numFmtId="0" fontId="7" fillId="0" borderId="1" xfId="8" applyFont="1" applyBorder="1" applyAlignment="1" applyProtection="1">
      <alignment horizontal="center"/>
      <protection locked="0"/>
    </xf>
    <xf numFmtId="0" fontId="7" fillId="0" borderId="1" xfId="8" applyFont="1" applyBorder="1" applyAlignment="1" applyProtection="1">
      <alignment horizontal="center" vertical="top"/>
      <protection locked="0"/>
    </xf>
    <xf numFmtId="0" fontId="10" fillId="0" borderId="1" xfId="8" applyFont="1" applyBorder="1" applyAlignment="1" applyProtection="1">
      <alignment horizontal="center"/>
      <protection locked="0"/>
    </xf>
    <xf numFmtId="0" fontId="9" fillId="0" borderId="1" xfId="8" applyFont="1" applyBorder="1" applyAlignment="1" applyProtection="1">
      <alignment horizontal="center" vertical="top"/>
      <protection locked="0"/>
    </xf>
    <xf numFmtId="0" fontId="13" fillId="0" borderId="1" xfId="8" applyFont="1" applyBorder="1" applyAlignment="1" applyProtection="1">
      <alignment horizontal="center"/>
      <protection locked="0"/>
    </xf>
    <xf numFmtId="0" fontId="13" fillId="0" borderId="1" xfId="8" applyFont="1" applyBorder="1" applyAlignment="1" applyProtection="1">
      <alignment horizontal="center" vertical="top"/>
      <protection locked="0"/>
    </xf>
    <xf numFmtId="0" fontId="10" fillId="0" borderId="1" xfId="8" applyFont="1" applyBorder="1" applyAlignment="1" applyProtection="1">
      <alignment horizontal="left" vertical="top" wrapText="1"/>
      <protection locked="0"/>
    </xf>
    <xf numFmtId="0" fontId="7" fillId="0" borderId="1" xfId="8" applyFont="1" applyBorder="1" applyAlignment="1" applyProtection="1">
      <alignment horizontal="left"/>
      <protection locked="0"/>
    </xf>
    <xf numFmtId="0" fontId="7" fillId="0" borderId="2" xfId="8" applyFont="1" applyBorder="1" applyAlignment="1" applyProtection="1">
      <alignment horizontal="left" vertical="top" wrapText="1"/>
      <protection locked="0"/>
    </xf>
    <xf numFmtId="0" fontId="7" fillId="0" borderId="3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/>
      <protection locked="0"/>
    </xf>
    <xf numFmtId="0" fontId="11" fillId="0" borderId="1" xfId="8" applyFont="1" applyBorder="1" applyAlignment="1" applyProtection="1">
      <alignment horizontal="center" vertical="top" wrapText="1"/>
      <protection locked="0"/>
    </xf>
    <xf numFmtId="14" fontId="7" fillId="0" borderId="1" xfId="8" applyNumberFormat="1" applyFont="1" applyBorder="1" applyAlignment="1" applyProtection="1">
      <alignment horizontal="left" vertical="top"/>
      <protection locked="0"/>
    </xf>
    <xf numFmtId="0" fontId="3" fillId="0" borderId="1" xfId="10" applyFont="1" applyBorder="1" applyAlignment="1">
      <alignment horizontal="left"/>
    </xf>
    <xf numFmtId="1" fontId="12" fillId="0" borderId="1" xfId="8" applyNumberFormat="1" applyFont="1" applyBorder="1" applyAlignment="1" applyProtection="1">
      <alignment horizontal="center" vertical="top" wrapText="1"/>
      <protection locked="0"/>
    </xf>
    <xf numFmtId="1" fontId="20" fillId="0" borderId="1" xfId="8" applyNumberFormat="1" applyFont="1" applyBorder="1" applyAlignment="1" applyProtection="1">
      <alignment horizontal="center" vertical="top" wrapText="1"/>
      <protection locked="0"/>
    </xf>
    <xf numFmtId="1" fontId="12" fillId="0" borderId="1" xfId="8" applyNumberFormat="1" applyFont="1" applyBorder="1" applyAlignment="1" applyProtection="1">
      <alignment horizontal="center" vertical="top" wrapText="1"/>
      <protection locked="0"/>
    </xf>
    <xf numFmtId="9" fontId="12" fillId="0" borderId="1" xfId="2" applyFont="1" applyFill="1" applyBorder="1" applyAlignment="1" applyProtection="1">
      <alignment horizontal="center" vertical="top" wrapText="1"/>
      <protection locked="0"/>
    </xf>
  </cellXfs>
  <cellStyles count="11">
    <cellStyle name="Comma" xfId="1" builtinId="3"/>
    <cellStyle name="Comma 2" xfId="4"/>
    <cellStyle name="Excel Built-in Normal" xfId="5"/>
    <cellStyle name="Excel Built-in Normal 2" xfId="6"/>
    <cellStyle name="Hyperlink" xfId="3" builtinId="8"/>
    <cellStyle name="Normal" xfId="0" builtinId="0"/>
    <cellStyle name="Normal 2" xfId="7"/>
    <cellStyle name="Normal 3" xfId="8"/>
    <cellStyle name="Normal 3 3" xfId="9"/>
    <cellStyle name="Normal 4" xfId="1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5" Type="http://schemas.openxmlformats.org/officeDocument/2006/relationships/image" Target="../media/image5.jpeg"/><Relationship Id="rId15" Type="http://schemas.openxmlformats.org/officeDocument/2006/relationships/image" Target="../media/image15.emf"/><Relationship Id="rId23" Type="http://schemas.openxmlformats.org/officeDocument/2006/relationships/image" Target="../media/image23.pn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4" Type="http://schemas.openxmlformats.org/officeDocument/2006/relationships/image" Target="../media/image4.emf"/><Relationship Id="rId9" Type="http://schemas.openxmlformats.org/officeDocument/2006/relationships/image" Target="../media/image9.jpeg"/><Relationship Id="rId14" Type="http://schemas.openxmlformats.org/officeDocument/2006/relationships/image" Target="../media/image14.emf"/><Relationship Id="rId22" Type="http://schemas.openxmlformats.org/officeDocument/2006/relationships/image" Target="../media/image22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8.png"/><Relationship Id="rId1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331</xdr:row>
      <xdr:rowOff>38100</xdr:rowOff>
    </xdr:from>
    <xdr:to>
      <xdr:col>7</xdr:col>
      <xdr:colOff>238125</xdr:colOff>
      <xdr:row>349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/>
        <a:srcRect/>
        <a:stretch>
          <a:fillRect/>
        </a:stretch>
      </xdr:blipFill>
      <xdr:spPr>
        <a:xfrm>
          <a:off x="561975" y="70558025"/>
          <a:ext cx="5372100" cy="37338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561975</xdr:colOff>
      <xdr:row>311</xdr:row>
      <xdr:rowOff>0</xdr:rowOff>
    </xdr:from>
    <xdr:to>
      <xdr:col>7</xdr:col>
      <xdr:colOff>238125</xdr:colOff>
      <xdr:row>329</xdr:row>
      <xdr:rowOff>133351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/>
        <a:srcRect/>
        <a:stretch>
          <a:fillRect/>
        </a:stretch>
      </xdr:blipFill>
      <xdr:spPr>
        <a:xfrm>
          <a:off x="561975" y="66519425"/>
          <a:ext cx="5372100" cy="37338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428625</xdr:colOff>
      <xdr:row>353</xdr:row>
      <xdr:rowOff>9525</xdr:rowOff>
    </xdr:from>
    <xdr:to>
      <xdr:col>7</xdr:col>
      <xdr:colOff>559100</xdr:colOff>
      <xdr:row>377</xdr:row>
      <xdr:rowOff>194993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428625" y="74063225"/>
          <a:ext cx="6105825" cy="4909868"/>
          <a:chOff x="428625" y="73075800"/>
          <a:chExt cx="5826425" cy="4986068"/>
        </a:xfrm>
      </xdr:grpSpPr>
      <xdr:pic>
        <xdr:nvPicPr>
          <xdr:cNvPr id="44" name="Picture 43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email"/>
          <a:srcRect/>
          <a:stretch>
            <a:fillRect/>
          </a:stretch>
        </xdr:blipFill>
        <xdr:spPr>
          <a:xfrm>
            <a:off x="428625" y="73075800"/>
            <a:ext cx="5826425" cy="4986068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/>
        </xdr:nvSpPr>
        <xdr:spPr>
          <a:xfrm>
            <a:off x="2019300" y="74676000"/>
            <a:ext cx="1003352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100" b="1">
                <a:solidFill>
                  <a:schemeClr val="tx1"/>
                </a:solidFill>
              </a:rPr>
              <a:t>Building No. 1</a:t>
            </a:r>
          </a:p>
        </xdr:txBody>
      </xdr:sp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/>
        </xdr:nvSpPr>
        <xdr:spPr>
          <a:xfrm>
            <a:off x="1466850" y="73914000"/>
            <a:ext cx="607089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100" b="1"/>
              <a:t>Wing A</a:t>
            </a:r>
          </a:p>
        </xdr:txBody>
      </xdr:sp>
      <xdr:sp macro="" textlink="">
        <xdr:nvSpPr>
          <xdr:cNvPr id="45" name="TextBox 44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SpPr txBox="1"/>
        </xdr:nvSpPr>
        <xdr:spPr>
          <a:xfrm>
            <a:off x="3048000" y="73866375"/>
            <a:ext cx="600677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100" b="1"/>
              <a:t>Wing B</a:t>
            </a:r>
          </a:p>
        </xdr:txBody>
      </xdr:sp>
      <xdr:sp macro="" textlink="">
        <xdr:nvSpPr>
          <xdr:cNvPr id="46" name="TextBox 45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SpPr txBox="1"/>
        </xdr:nvSpPr>
        <xdr:spPr>
          <a:xfrm>
            <a:off x="2800350" y="76790550"/>
            <a:ext cx="1003352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1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Building No. 3</a:t>
            </a:r>
            <a:endParaRPr lang="en-IN">
              <a:effectLst/>
            </a:endParaRPr>
          </a:p>
        </xdr:txBody>
      </xdr:sp>
      <xdr:sp macro="" textlink="">
        <xdr:nvSpPr>
          <xdr:cNvPr id="47" name="TextBox 46">
            <a:extLst>
              <a:ext uri="{FF2B5EF4-FFF2-40B4-BE49-F238E27FC236}">
                <a16:creationId xmlns:a16="http://schemas.microsoft.com/office/drawing/2014/main" id="{00000000-0008-0000-0000-00002F000000}"/>
              </a:ext>
            </a:extLst>
          </xdr:cNvPr>
          <xdr:cNvSpPr txBox="1"/>
        </xdr:nvSpPr>
        <xdr:spPr>
          <a:xfrm>
            <a:off x="1009650" y="75895200"/>
            <a:ext cx="1003352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1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Building No. 2</a:t>
            </a:r>
            <a:endParaRPr lang="en-IN">
              <a:effectLst/>
            </a:endParaRPr>
          </a:p>
        </xdr:txBody>
      </xdr:sp>
    </xdr:grpSp>
    <xdr:clientData/>
  </xdr:twoCellAnchor>
  <xdr:twoCellAnchor editAs="oneCell">
    <xdr:from>
      <xdr:col>2</xdr:col>
      <xdr:colOff>592456</xdr:colOff>
      <xdr:row>378</xdr:row>
      <xdr:rowOff>154305</xdr:rowOff>
    </xdr:from>
    <xdr:to>
      <xdr:col>5</xdr:col>
      <xdr:colOff>502920</xdr:colOff>
      <xdr:row>392</xdr:row>
      <xdr:rowOff>32584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5173" t="15729" r="19382" b="8837"/>
        <a:stretch>
          <a:fillRect/>
        </a:stretch>
      </xdr:blipFill>
      <xdr:spPr>
        <a:xfrm>
          <a:off x="2200276" y="79638525"/>
          <a:ext cx="2546984" cy="265195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1024982</xdr:colOff>
      <xdr:row>263</xdr:row>
      <xdr:rowOff>117694</xdr:rowOff>
    </xdr:from>
    <xdr:to>
      <xdr:col>9</xdr:col>
      <xdr:colOff>249413</xdr:colOff>
      <xdr:row>265</xdr:row>
      <xdr:rowOff>88219</xdr:rowOff>
    </xdr:to>
    <xdr:sp macro="" textlink="">
      <xdr:nvSpPr>
        <xdr:cNvPr id="38" name="Rectangl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7549515" y="56645175"/>
          <a:ext cx="386080" cy="370205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/>
            <a:t>1A</a:t>
          </a:r>
        </a:p>
      </xdr:txBody>
    </xdr:sp>
    <xdr:clientData/>
  </xdr:twoCellAnchor>
  <xdr:twoCellAnchor>
    <xdr:from>
      <xdr:col>9</xdr:col>
      <xdr:colOff>262732</xdr:colOff>
      <xdr:row>264</xdr:row>
      <xdr:rowOff>38268</xdr:rowOff>
    </xdr:from>
    <xdr:to>
      <xdr:col>9</xdr:col>
      <xdr:colOff>694260</xdr:colOff>
      <xdr:row>266</xdr:row>
      <xdr:rowOff>7550</xdr:rowOff>
    </xdr:to>
    <xdr:sp macro="" textlink="">
      <xdr:nvSpPr>
        <xdr:cNvPr id="39" name="Rectangl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7948930" y="56765825"/>
          <a:ext cx="431800" cy="368935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/>
            <a:t>1B</a:t>
          </a:r>
        </a:p>
      </xdr:txBody>
    </xdr:sp>
    <xdr:clientData/>
  </xdr:twoCellAnchor>
  <xdr:twoCellAnchor>
    <xdr:from>
      <xdr:col>9</xdr:col>
      <xdr:colOff>43916</xdr:colOff>
      <xdr:row>294</xdr:row>
      <xdr:rowOff>29899</xdr:rowOff>
    </xdr:from>
    <xdr:to>
      <xdr:col>9</xdr:col>
      <xdr:colOff>345602</xdr:colOff>
      <xdr:row>295</xdr:row>
      <xdr:rowOff>197964</xdr:rowOff>
    </xdr:to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7730490" y="62748795"/>
          <a:ext cx="301625" cy="367665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b="1"/>
            <a:t>2</a:t>
          </a:r>
          <a:endParaRPr lang="en-IN" b="1"/>
        </a:p>
      </xdr:txBody>
    </xdr:sp>
    <xdr:clientData/>
  </xdr:twoCellAnchor>
  <xdr:twoCellAnchor>
    <xdr:from>
      <xdr:col>10</xdr:col>
      <xdr:colOff>669445</xdr:colOff>
      <xdr:row>263</xdr:row>
      <xdr:rowOff>191031</xdr:rowOff>
    </xdr:from>
    <xdr:to>
      <xdr:col>11</xdr:col>
      <xdr:colOff>267109</xdr:colOff>
      <xdr:row>265</xdr:row>
      <xdr:rowOff>160313</xdr:rowOff>
    </xdr:to>
    <xdr:sp macro="" textlink="">
      <xdr:nvSpPr>
        <xdr:cNvPr id="41" name="Rectangl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9117965" y="56718200"/>
          <a:ext cx="302260" cy="369570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b="1"/>
            <a:t>3</a:t>
          </a:r>
          <a:endParaRPr lang="en-IN" b="1"/>
        </a:p>
      </xdr:txBody>
    </xdr:sp>
    <xdr:clientData/>
  </xdr:twoCellAnchor>
  <xdr:twoCellAnchor>
    <xdr:from>
      <xdr:col>8</xdr:col>
      <xdr:colOff>735330</xdr:colOff>
      <xdr:row>269</xdr:row>
      <xdr:rowOff>15240</xdr:rowOff>
    </xdr:from>
    <xdr:to>
      <xdr:col>16</xdr:col>
      <xdr:colOff>234544</xdr:colOff>
      <xdr:row>305</xdr:row>
      <xdr:rowOff>111190</xdr:rowOff>
    </xdr:to>
    <xdr:grpSp>
      <xdr:nvGrpSpPr>
        <xdr:cNvPr id="27" name="Group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GrpSpPr/>
      </xdr:nvGrpSpPr>
      <xdr:grpSpPr>
        <a:xfrm>
          <a:off x="7580630" y="57539890"/>
          <a:ext cx="6249264" cy="7176200"/>
          <a:chOff x="277893" y="335280"/>
          <a:chExt cx="6096229" cy="7218745"/>
        </a:xfrm>
      </xdr:grpSpPr>
      <xdr:grpSp>
        <xdr:nvGrpSpPr>
          <xdr:cNvPr id="29" name="Group 28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GrpSpPr/>
        </xdr:nvGrpSpPr>
        <xdr:grpSpPr>
          <a:xfrm>
            <a:off x="623745" y="5754025"/>
            <a:ext cx="5404523" cy="1800000"/>
            <a:chOff x="277892" y="5884089"/>
            <a:chExt cx="5404523" cy="1800000"/>
          </a:xfrm>
        </xdr:grpSpPr>
        <xdr:pic>
          <xdr:nvPicPr>
            <xdr:cNvPr id="49" name="Picture 48">
              <a:extLst>
                <a:ext uri="{FF2B5EF4-FFF2-40B4-BE49-F238E27FC236}">
                  <a16:creationId xmlns:a16="http://schemas.microsoft.com/office/drawing/2014/main" id="{00000000-0008-0000-0000-000031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5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333821" y="5884089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50" name="Picture 49">
              <a:extLst>
                <a:ext uri="{FF2B5EF4-FFF2-40B4-BE49-F238E27FC236}">
                  <a16:creationId xmlns:a16="http://schemas.microsoft.com/office/drawing/2014/main" id="{00000000-0008-0000-0000-000032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827795" y="5884089"/>
              <a:ext cx="1354219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51" name="Picture 50">
              <a:extLst>
                <a:ext uri="{FF2B5EF4-FFF2-40B4-BE49-F238E27FC236}">
                  <a16:creationId xmlns:a16="http://schemas.microsoft.com/office/drawing/2014/main" id="{00000000-0008-0000-0000-000033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7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77892" y="5884089"/>
              <a:ext cx="2398096" cy="1800000"/>
            </a:xfrm>
            <a:prstGeom prst="rect">
              <a:avLst/>
            </a:prstGeom>
          </xdr:spPr>
        </xdr:pic>
      </xdr:grpSp>
      <xdr:grpSp>
        <xdr:nvGrpSpPr>
          <xdr:cNvPr id="30" name="Group 29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GrpSpPr/>
        </xdr:nvGrpSpPr>
        <xdr:grpSpPr>
          <a:xfrm>
            <a:off x="277893" y="335280"/>
            <a:ext cx="6096229" cy="2520000"/>
            <a:chOff x="277893" y="335280"/>
            <a:chExt cx="6096229" cy="2520000"/>
          </a:xfrm>
        </xdr:grpSpPr>
        <xdr:pic>
          <xdr:nvPicPr>
            <xdr:cNvPr id="36" name="Picture 35">
              <a:extLst>
                <a:ext uri="{FF2B5EF4-FFF2-40B4-BE49-F238E27FC236}">
                  <a16:creationId xmlns:a16="http://schemas.microsoft.com/office/drawing/2014/main" id="{00000000-0008-0000-0000-000024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77893" y="335280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7" name="Picture 36">
              <a:extLst>
                <a:ext uri="{FF2B5EF4-FFF2-40B4-BE49-F238E27FC236}">
                  <a16:creationId xmlns:a16="http://schemas.microsoft.com/office/drawing/2014/main" id="{00000000-0008-0000-0000-000025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9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486091" y="335280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2" name="Picture 41">
              <a:extLst>
                <a:ext uri="{FF2B5EF4-FFF2-40B4-BE49-F238E27FC236}">
                  <a16:creationId xmlns:a16="http://schemas.microsoft.com/office/drawing/2014/main" id="{00000000-0008-0000-0000-00002A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381992" y="335280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sp macro="" textlink="">
          <xdr:nvSpPr>
            <xdr:cNvPr id="43" name="TextBox 21">
              <a:extLst>
                <a:ext uri="{FF2B5EF4-FFF2-40B4-BE49-F238E27FC236}">
                  <a16:creationId xmlns:a16="http://schemas.microsoft.com/office/drawing/2014/main" id="{00000000-0008-0000-0000-00002B000000}"/>
                </a:ext>
              </a:extLst>
            </xdr:cNvPr>
            <xdr:cNvSpPr txBox="1"/>
          </xdr:nvSpPr>
          <xdr:spPr>
            <a:xfrm>
              <a:off x="4727853" y="335280"/>
              <a:ext cx="1437955" cy="307777"/>
            </a:xfrm>
            <a:prstGeom prst="rect">
              <a:avLst/>
            </a:prstGeom>
            <a:solidFill>
              <a:schemeClr val="bg1"/>
            </a:solidFill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IN" sz="1400"/>
                <a:t>Building No 2</a:t>
              </a:r>
            </a:p>
          </xdr:txBody>
        </xdr:sp>
      </xdr:grpSp>
      <xdr:grpSp>
        <xdr:nvGrpSpPr>
          <xdr:cNvPr id="31" name="Group 30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GrpSpPr/>
        </xdr:nvGrpSpPr>
        <xdr:grpSpPr>
          <a:xfrm>
            <a:off x="277893" y="3038994"/>
            <a:ext cx="6096229" cy="2545560"/>
            <a:chOff x="277892" y="3091246"/>
            <a:chExt cx="6096229" cy="2545560"/>
          </a:xfrm>
        </xdr:grpSpPr>
        <xdr:pic>
          <xdr:nvPicPr>
            <xdr:cNvPr id="32" name="Picture 31">
              <a:extLst>
                <a:ext uri="{FF2B5EF4-FFF2-40B4-BE49-F238E27FC236}">
                  <a16:creationId xmlns:a16="http://schemas.microsoft.com/office/drawing/2014/main" id="{00000000-0008-0000-0000-000020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1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77892" y="3102563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3" name="Picture 32">
              <a:extLst>
                <a:ext uri="{FF2B5EF4-FFF2-40B4-BE49-F238E27FC236}">
                  <a16:creationId xmlns:a16="http://schemas.microsoft.com/office/drawing/2014/main" id="{00000000-0008-0000-0000-000021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381992" y="3116806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4" name="Picture 33">
              <a:extLst>
                <a:ext uri="{FF2B5EF4-FFF2-40B4-BE49-F238E27FC236}">
                  <a16:creationId xmlns:a16="http://schemas.microsoft.com/office/drawing/2014/main" id="{00000000-0008-0000-0000-000022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3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486090" y="3091246"/>
              <a:ext cx="1888031" cy="2520000"/>
            </a:xfrm>
            <a:prstGeom prst="rect">
              <a:avLst/>
            </a:prstGeom>
          </xdr:spPr>
        </xdr:pic>
        <xdr:sp macro="" textlink="">
          <xdr:nvSpPr>
            <xdr:cNvPr id="35" name="TextBox 22">
              <a:extLst>
                <a:ext uri="{FF2B5EF4-FFF2-40B4-BE49-F238E27FC236}">
                  <a16:creationId xmlns:a16="http://schemas.microsoft.com/office/drawing/2014/main" id="{00000000-0008-0000-0000-000023000000}"/>
                </a:ext>
              </a:extLst>
            </xdr:cNvPr>
            <xdr:cNvSpPr txBox="1"/>
          </xdr:nvSpPr>
          <xdr:spPr>
            <a:xfrm>
              <a:off x="643062" y="3116806"/>
              <a:ext cx="1478078" cy="307777"/>
            </a:xfrm>
            <a:prstGeom prst="rect">
              <a:avLst/>
            </a:prstGeom>
            <a:solidFill>
              <a:schemeClr val="bg1"/>
            </a:solidFill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IN" sz="1400"/>
                <a:t>Building No 3</a:t>
              </a:r>
            </a:p>
          </xdr:txBody>
        </xdr:sp>
      </xdr:grpSp>
    </xdr:grpSp>
    <xdr:clientData/>
  </xdr:twoCellAnchor>
  <xdr:twoCellAnchor editAs="oneCell">
    <xdr:from>
      <xdr:col>8</xdr:col>
      <xdr:colOff>838200</xdr:colOff>
      <xdr:row>14</xdr:row>
      <xdr:rowOff>57150</xdr:rowOff>
    </xdr:from>
    <xdr:to>
      <xdr:col>17</xdr:col>
      <xdr:colOff>378335</xdr:colOff>
      <xdr:row>21</xdr:row>
      <xdr:rowOff>56925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62825" y="4314825"/>
          <a:ext cx="6598160" cy="18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723900</xdr:colOff>
      <xdr:row>43</xdr:row>
      <xdr:rowOff>0</xdr:rowOff>
    </xdr:from>
    <xdr:to>
      <xdr:col>13</xdr:col>
      <xdr:colOff>619950</xdr:colOff>
      <xdr:row>50</xdr:row>
      <xdr:rowOff>891225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48525" y="10687050"/>
          <a:ext cx="4068000" cy="25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374650</xdr:colOff>
      <xdr:row>268</xdr:row>
      <xdr:rowOff>57150</xdr:rowOff>
    </xdr:from>
    <xdr:to>
      <xdr:col>7</xdr:col>
      <xdr:colOff>459836</xdr:colOff>
      <xdr:row>308</xdr:row>
      <xdr:rowOff>31750</xdr:rowOff>
    </xdr:to>
    <xdr:grpSp>
      <xdr:nvGrpSpPr>
        <xdr:cNvPr id="7" name="Group 6"/>
        <xdr:cNvGrpSpPr/>
      </xdr:nvGrpSpPr>
      <xdr:grpSpPr>
        <a:xfrm>
          <a:off x="374650" y="57384950"/>
          <a:ext cx="6060536" cy="7842250"/>
          <a:chOff x="374650" y="57384950"/>
          <a:chExt cx="6060536" cy="7842250"/>
        </a:xfrm>
      </xdr:grpSpPr>
      <xdr:pic>
        <xdr:nvPicPr>
          <xdr:cNvPr id="62" name="Picture 61"/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90572" y="64317759"/>
            <a:ext cx="1348594" cy="909441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3" name="Picture 62"/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659655" y="62755624"/>
            <a:ext cx="2398095" cy="1442876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4" name="Picture 63"/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74650" y="57384950"/>
            <a:ext cx="1941976" cy="259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5" name="Picture 64"/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433930" y="57384950"/>
            <a:ext cx="1941976" cy="259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6" name="Picture 65"/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493210" y="57384950"/>
            <a:ext cx="1941976" cy="259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7" name="Picture 66"/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001832" y="64317759"/>
            <a:ext cx="1354219" cy="909441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8" name="Picture 67"/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87801" y="62755624"/>
            <a:ext cx="1348594" cy="1442876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9" name="Picture 68"/>
          <xdr:cNvPicPr>
            <a:picLocks noChangeAspect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74650" y="60070287"/>
            <a:ext cx="1941976" cy="259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0" name="Picture 69"/>
          <xdr:cNvPicPr>
            <a:picLocks noChangeAspect="1"/>
          </xdr:cNvPicPr>
        </xdr:nvPicPr>
        <xdr:blipFill>
          <a:blip xmlns:r="http://schemas.openxmlformats.org/officeDocument/2006/relationships" r:embed="rId2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173728" y="62755624"/>
            <a:ext cx="1348594" cy="1442876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1" name="Picture 70"/>
          <xdr:cNvPicPr>
            <a:picLocks noChangeAspect="1"/>
          </xdr:cNvPicPr>
        </xdr:nvPicPr>
        <xdr:blipFill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433930" y="60070287"/>
            <a:ext cx="1941976" cy="259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2" name="Picture 71"/>
          <xdr:cNvPicPr>
            <a:picLocks noChangeAspect="1"/>
          </xdr:cNvPicPr>
        </xdr:nvPicPr>
        <xdr:blipFill>
          <a:blip xmlns:r="http://schemas.openxmlformats.org/officeDocument/2006/relationships" r:embed="rId2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493210" y="60070287"/>
            <a:ext cx="1941976" cy="2592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moPBMX5iMQTj6pMeA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352"/>
  <sheetViews>
    <sheetView tabSelected="1" view="pageBreakPreview" zoomScaleNormal="100" zoomScaleSheetLayoutView="100" workbookViewId="0">
      <selection activeCell="E9" sqref="E9:H9"/>
    </sheetView>
  </sheetViews>
  <sheetFormatPr defaultColWidth="9.1796875" defaultRowHeight="15.5"/>
  <cols>
    <col min="1" max="1" width="11.453125" style="19" customWidth="1"/>
    <col min="2" max="2" width="12" style="19" customWidth="1"/>
    <col min="3" max="3" width="12.7265625" style="19" customWidth="1"/>
    <col min="4" max="4" width="14.1796875" style="19" customWidth="1"/>
    <col min="5" max="7" width="11.7265625" style="19" customWidth="1"/>
    <col min="8" max="8" width="12.453125" style="19" customWidth="1"/>
    <col min="9" max="9" width="17.453125" style="20" customWidth="1"/>
    <col min="10" max="10" width="11.453125" style="20" customWidth="1"/>
    <col min="11" max="11" width="10.54296875" style="20" customWidth="1"/>
    <col min="12" max="12" width="11.26953125" style="20" bestFit="1" customWidth="1"/>
    <col min="13" max="13" width="11.81640625" style="20" customWidth="1"/>
    <col min="14" max="14" width="12.54296875" style="20" customWidth="1"/>
    <col min="15" max="15" width="9.81640625" style="20" customWidth="1"/>
    <col min="16" max="16" width="11.7265625" style="20" customWidth="1"/>
    <col min="17" max="247" width="9.1796875" style="20"/>
    <col min="248" max="248" width="8.7265625" style="20" customWidth="1"/>
    <col min="249" max="249" width="9.81640625" style="20" customWidth="1"/>
    <col min="250" max="250" width="14.453125" style="20" customWidth="1"/>
    <col min="251" max="251" width="7.26953125" style="20" customWidth="1"/>
    <col min="252" max="252" width="5.54296875" style="20" customWidth="1"/>
    <col min="253" max="253" width="9" style="20" customWidth="1"/>
    <col min="254" max="255" width="9.81640625" style="20" customWidth="1"/>
    <col min="256" max="256" width="11.1796875" style="20" customWidth="1"/>
    <col min="257" max="257" width="2.81640625" style="20" customWidth="1"/>
    <col min="258" max="258" width="3.54296875" style="20" customWidth="1"/>
    <col min="259" max="503" width="9.1796875" style="20"/>
    <col min="504" max="504" width="8.7265625" style="20" customWidth="1"/>
    <col min="505" max="505" width="9.81640625" style="20" customWidth="1"/>
    <col min="506" max="506" width="14.453125" style="20" customWidth="1"/>
    <col min="507" max="507" width="7.26953125" style="20" customWidth="1"/>
    <col min="508" max="508" width="5.54296875" style="20" customWidth="1"/>
    <col min="509" max="509" width="9" style="20" customWidth="1"/>
    <col min="510" max="511" width="9.81640625" style="20" customWidth="1"/>
    <col min="512" max="512" width="11.1796875" style="20" customWidth="1"/>
    <col min="513" max="513" width="2.81640625" style="20" customWidth="1"/>
    <col min="514" max="514" width="3.54296875" style="20" customWidth="1"/>
    <col min="515" max="759" width="9.1796875" style="20"/>
    <col min="760" max="760" width="8.7265625" style="20" customWidth="1"/>
    <col min="761" max="761" width="9.81640625" style="20" customWidth="1"/>
    <col min="762" max="762" width="14.453125" style="20" customWidth="1"/>
    <col min="763" max="763" width="7.26953125" style="20" customWidth="1"/>
    <col min="764" max="764" width="5.54296875" style="20" customWidth="1"/>
    <col min="765" max="765" width="9" style="20" customWidth="1"/>
    <col min="766" max="767" width="9.81640625" style="20" customWidth="1"/>
    <col min="768" max="768" width="11.1796875" style="20" customWidth="1"/>
    <col min="769" max="769" width="2.81640625" style="20" customWidth="1"/>
    <col min="770" max="770" width="3.54296875" style="20" customWidth="1"/>
    <col min="771" max="1015" width="9.1796875" style="20"/>
    <col min="1016" max="1016" width="8.7265625" style="20" customWidth="1"/>
    <col min="1017" max="1017" width="9.81640625" style="20" customWidth="1"/>
    <col min="1018" max="1018" width="14.453125" style="20" customWidth="1"/>
    <col min="1019" max="1019" width="7.26953125" style="20" customWidth="1"/>
    <col min="1020" max="1020" width="5.54296875" style="20" customWidth="1"/>
    <col min="1021" max="1021" width="9" style="20" customWidth="1"/>
    <col min="1022" max="1023" width="9.81640625" style="20" customWidth="1"/>
    <col min="1024" max="1024" width="11.1796875" style="20" customWidth="1"/>
    <col min="1025" max="1025" width="2.81640625" style="20" customWidth="1"/>
    <col min="1026" max="1026" width="3.54296875" style="20" customWidth="1"/>
    <col min="1027" max="1271" width="9.1796875" style="20"/>
    <col min="1272" max="1272" width="8.7265625" style="20" customWidth="1"/>
    <col min="1273" max="1273" width="9.81640625" style="20" customWidth="1"/>
    <col min="1274" max="1274" width="14.453125" style="20" customWidth="1"/>
    <col min="1275" max="1275" width="7.26953125" style="20" customWidth="1"/>
    <col min="1276" max="1276" width="5.54296875" style="20" customWidth="1"/>
    <col min="1277" max="1277" width="9" style="20" customWidth="1"/>
    <col min="1278" max="1279" width="9.81640625" style="20" customWidth="1"/>
    <col min="1280" max="1280" width="11.1796875" style="20" customWidth="1"/>
    <col min="1281" max="1281" width="2.81640625" style="20" customWidth="1"/>
    <col min="1282" max="1282" width="3.54296875" style="20" customWidth="1"/>
    <col min="1283" max="1527" width="9.1796875" style="20"/>
    <col min="1528" max="1528" width="8.7265625" style="20" customWidth="1"/>
    <col min="1529" max="1529" width="9.81640625" style="20" customWidth="1"/>
    <col min="1530" max="1530" width="14.453125" style="20" customWidth="1"/>
    <col min="1531" max="1531" width="7.26953125" style="20" customWidth="1"/>
    <col min="1532" max="1532" width="5.54296875" style="20" customWidth="1"/>
    <col min="1533" max="1533" width="9" style="20" customWidth="1"/>
    <col min="1534" max="1535" width="9.81640625" style="20" customWidth="1"/>
    <col min="1536" max="1536" width="11.1796875" style="20" customWidth="1"/>
    <col min="1537" max="1537" width="2.81640625" style="20" customWidth="1"/>
    <col min="1538" max="1538" width="3.54296875" style="20" customWidth="1"/>
    <col min="1539" max="1783" width="9.1796875" style="20"/>
    <col min="1784" max="1784" width="8.7265625" style="20" customWidth="1"/>
    <col min="1785" max="1785" width="9.81640625" style="20" customWidth="1"/>
    <col min="1786" max="1786" width="14.453125" style="20" customWidth="1"/>
    <col min="1787" max="1787" width="7.26953125" style="20" customWidth="1"/>
    <col min="1788" max="1788" width="5.54296875" style="20" customWidth="1"/>
    <col min="1789" max="1789" width="9" style="20" customWidth="1"/>
    <col min="1790" max="1791" width="9.81640625" style="20" customWidth="1"/>
    <col min="1792" max="1792" width="11.1796875" style="20" customWidth="1"/>
    <col min="1793" max="1793" width="2.81640625" style="20" customWidth="1"/>
    <col min="1794" max="1794" width="3.54296875" style="20" customWidth="1"/>
    <col min="1795" max="2039" width="9.1796875" style="20"/>
    <col min="2040" max="2040" width="8.7265625" style="20" customWidth="1"/>
    <col min="2041" max="2041" width="9.81640625" style="20" customWidth="1"/>
    <col min="2042" max="2042" width="14.453125" style="20" customWidth="1"/>
    <col min="2043" max="2043" width="7.26953125" style="20" customWidth="1"/>
    <col min="2044" max="2044" width="5.54296875" style="20" customWidth="1"/>
    <col min="2045" max="2045" width="9" style="20" customWidth="1"/>
    <col min="2046" max="2047" width="9.81640625" style="20" customWidth="1"/>
    <col min="2048" max="2048" width="11.1796875" style="20" customWidth="1"/>
    <col min="2049" max="2049" width="2.81640625" style="20" customWidth="1"/>
    <col min="2050" max="2050" width="3.54296875" style="20" customWidth="1"/>
    <col min="2051" max="2295" width="9.1796875" style="20"/>
    <col min="2296" max="2296" width="8.7265625" style="20" customWidth="1"/>
    <col min="2297" max="2297" width="9.81640625" style="20" customWidth="1"/>
    <col min="2298" max="2298" width="14.453125" style="20" customWidth="1"/>
    <col min="2299" max="2299" width="7.26953125" style="20" customWidth="1"/>
    <col min="2300" max="2300" width="5.54296875" style="20" customWidth="1"/>
    <col min="2301" max="2301" width="9" style="20" customWidth="1"/>
    <col min="2302" max="2303" width="9.81640625" style="20" customWidth="1"/>
    <col min="2304" max="2304" width="11.1796875" style="20" customWidth="1"/>
    <col min="2305" max="2305" width="2.81640625" style="20" customWidth="1"/>
    <col min="2306" max="2306" width="3.54296875" style="20" customWidth="1"/>
    <col min="2307" max="2551" width="9.1796875" style="20"/>
    <col min="2552" max="2552" width="8.7265625" style="20" customWidth="1"/>
    <col min="2553" max="2553" width="9.81640625" style="20" customWidth="1"/>
    <col min="2554" max="2554" width="14.453125" style="20" customWidth="1"/>
    <col min="2555" max="2555" width="7.26953125" style="20" customWidth="1"/>
    <col min="2556" max="2556" width="5.54296875" style="20" customWidth="1"/>
    <col min="2557" max="2557" width="9" style="20" customWidth="1"/>
    <col min="2558" max="2559" width="9.81640625" style="20" customWidth="1"/>
    <col min="2560" max="2560" width="11.1796875" style="20" customWidth="1"/>
    <col min="2561" max="2561" width="2.81640625" style="20" customWidth="1"/>
    <col min="2562" max="2562" width="3.54296875" style="20" customWidth="1"/>
    <col min="2563" max="2807" width="9.1796875" style="20"/>
    <col min="2808" max="2808" width="8.7265625" style="20" customWidth="1"/>
    <col min="2809" max="2809" width="9.81640625" style="20" customWidth="1"/>
    <col min="2810" max="2810" width="14.453125" style="20" customWidth="1"/>
    <col min="2811" max="2811" width="7.26953125" style="20" customWidth="1"/>
    <col min="2812" max="2812" width="5.54296875" style="20" customWidth="1"/>
    <col min="2813" max="2813" width="9" style="20" customWidth="1"/>
    <col min="2814" max="2815" width="9.81640625" style="20" customWidth="1"/>
    <col min="2816" max="2816" width="11.1796875" style="20" customWidth="1"/>
    <col min="2817" max="2817" width="2.81640625" style="20" customWidth="1"/>
    <col min="2818" max="2818" width="3.54296875" style="20" customWidth="1"/>
    <col min="2819" max="3063" width="9.1796875" style="20"/>
    <col min="3064" max="3064" width="8.7265625" style="20" customWidth="1"/>
    <col min="3065" max="3065" width="9.81640625" style="20" customWidth="1"/>
    <col min="3066" max="3066" width="14.453125" style="20" customWidth="1"/>
    <col min="3067" max="3067" width="7.26953125" style="20" customWidth="1"/>
    <col min="3068" max="3068" width="5.54296875" style="20" customWidth="1"/>
    <col min="3069" max="3069" width="9" style="20" customWidth="1"/>
    <col min="3070" max="3071" width="9.81640625" style="20" customWidth="1"/>
    <col min="3072" max="3072" width="11.1796875" style="20" customWidth="1"/>
    <col min="3073" max="3073" width="2.81640625" style="20" customWidth="1"/>
    <col min="3074" max="3074" width="3.54296875" style="20" customWidth="1"/>
    <col min="3075" max="3319" width="9.1796875" style="20"/>
    <col min="3320" max="3320" width="8.7265625" style="20" customWidth="1"/>
    <col min="3321" max="3321" width="9.81640625" style="20" customWidth="1"/>
    <col min="3322" max="3322" width="14.453125" style="20" customWidth="1"/>
    <col min="3323" max="3323" width="7.26953125" style="20" customWidth="1"/>
    <col min="3324" max="3324" width="5.54296875" style="20" customWidth="1"/>
    <col min="3325" max="3325" width="9" style="20" customWidth="1"/>
    <col min="3326" max="3327" width="9.81640625" style="20" customWidth="1"/>
    <col min="3328" max="3328" width="11.1796875" style="20" customWidth="1"/>
    <col min="3329" max="3329" width="2.81640625" style="20" customWidth="1"/>
    <col min="3330" max="3330" width="3.54296875" style="20" customWidth="1"/>
    <col min="3331" max="3575" width="9.1796875" style="20"/>
    <col min="3576" max="3576" width="8.7265625" style="20" customWidth="1"/>
    <col min="3577" max="3577" width="9.81640625" style="20" customWidth="1"/>
    <col min="3578" max="3578" width="14.453125" style="20" customWidth="1"/>
    <col min="3579" max="3579" width="7.26953125" style="20" customWidth="1"/>
    <col min="3580" max="3580" width="5.54296875" style="20" customWidth="1"/>
    <col min="3581" max="3581" width="9" style="20" customWidth="1"/>
    <col min="3582" max="3583" width="9.81640625" style="20" customWidth="1"/>
    <col min="3584" max="3584" width="11.1796875" style="20" customWidth="1"/>
    <col min="3585" max="3585" width="2.81640625" style="20" customWidth="1"/>
    <col min="3586" max="3586" width="3.54296875" style="20" customWidth="1"/>
    <col min="3587" max="3831" width="9.1796875" style="20"/>
    <col min="3832" max="3832" width="8.7265625" style="20" customWidth="1"/>
    <col min="3833" max="3833" width="9.81640625" style="20" customWidth="1"/>
    <col min="3834" max="3834" width="14.453125" style="20" customWidth="1"/>
    <col min="3835" max="3835" width="7.26953125" style="20" customWidth="1"/>
    <col min="3836" max="3836" width="5.54296875" style="20" customWidth="1"/>
    <col min="3837" max="3837" width="9" style="20" customWidth="1"/>
    <col min="3838" max="3839" width="9.81640625" style="20" customWidth="1"/>
    <col min="3840" max="3840" width="11.1796875" style="20" customWidth="1"/>
    <col min="3841" max="3841" width="2.81640625" style="20" customWidth="1"/>
    <col min="3842" max="3842" width="3.54296875" style="20" customWidth="1"/>
    <col min="3843" max="4087" width="9.1796875" style="20"/>
    <col min="4088" max="4088" width="8.7265625" style="20" customWidth="1"/>
    <col min="4089" max="4089" width="9.81640625" style="20" customWidth="1"/>
    <col min="4090" max="4090" width="14.453125" style="20" customWidth="1"/>
    <col min="4091" max="4091" width="7.26953125" style="20" customWidth="1"/>
    <col min="4092" max="4092" width="5.54296875" style="20" customWidth="1"/>
    <col min="4093" max="4093" width="9" style="20" customWidth="1"/>
    <col min="4094" max="4095" width="9.81640625" style="20" customWidth="1"/>
    <col min="4096" max="4096" width="11.1796875" style="20" customWidth="1"/>
    <col min="4097" max="4097" width="2.81640625" style="20" customWidth="1"/>
    <col min="4098" max="4098" width="3.54296875" style="20" customWidth="1"/>
    <col min="4099" max="4343" width="9.1796875" style="20"/>
    <col min="4344" max="4344" width="8.7265625" style="20" customWidth="1"/>
    <col min="4345" max="4345" width="9.81640625" style="20" customWidth="1"/>
    <col min="4346" max="4346" width="14.453125" style="20" customWidth="1"/>
    <col min="4347" max="4347" width="7.26953125" style="20" customWidth="1"/>
    <col min="4348" max="4348" width="5.54296875" style="20" customWidth="1"/>
    <col min="4349" max="4349" width="9" style="20" customWidth="1"/>
    <col min="4350" max="4351" width="9.81640625" style="20" customWidth="1"/>
    <col min="4352" max="4352" width="11.1796875" style="20" customWidth="1"/>
    <col min="4353" max="4353" width="2.81640625" style="20" customWidth="1"/>
    <col min="4354" max="4354" width="3.54296875" style="20" customWidth="1"/>
    <col min="4355" max="4599" width="9.1796875" style="20"/>
    <col min="4600" max="4600" width="8.7265625" style="20" customWidth="1"/>
    <col min="4601" max="4601" width="9.81640625" style="20" customWidth="1"/>
    <col min="4602" max="4602" width="14.453125" style="20" customWidth="1"/>
    <col min="4603" max="4603" width="7.26953125" style="20" customWidth="1"/>
    <col min="4604" max="4604" width="5.54296875" style="20" customWidth="1"/>
    <col min="4605" max="4605" width="9" style="20" customWidth="1"/>
    <col min="4606" max="4607" width="9.81640625" style="20" customWidth="1"/>
    <col min="4608" max="4608" width="11.1796875" style="20" customWidth="1"/>
    <col min="4609" max="4609" width="2.81640625" style="20" customWidth="1"/>
    <col min="4610" max="4610" width="3.54296875" style="20" customWidth="1"/>
    <col min="4611" max="4855" width="9.1796875" style="20"/>
    <col min="4856" max="4856" width="8.7265625" style="20" customWidth="1"/>
    <col min="4857" max="4857" width="9.81640625" style="20" customWidth="1"/>
    <col min="4858" max="4858" width="14.453125" style="20" customWidth="1"/>
    <col min="4859" max="4859" width="7.26953125" style="20" customWidth="1"/>
    <col min="4860" max="4860" width="5.54296875" style="20" customWidth="1"/>
    <col min="4861" max="4861" width="9" style="20" customWidth="1"/>
    <col min="4862" max="4863" width="9.81640625" style="20" customWidth="1"/>
    <col min="4864" max="4864" width="11.1796875" style="20" customWidth="1"/>
    <col min="4865" max="4865" width="2.81640625" style="20" customWidth="1"/>
    <col min="4866" max="4866" width="3.54296875" style="20" customWidth="1"/>
    <col min="4867" max="5111" width="9.1796875" style="20"/>
    <col min="5112" max="5112" width="8.7265625" style="20" customWidth="1"/>
    <col min="5113" max="5113" width="9.81640625" style="20" customWidth="1"/>
    <col min="5114" max="5114" width="14.453125" style="20" customWidth="1"/>
    <col min="5115" max="5115" width="7.26953125" style="20" customWidth="1"/>
    <col min="5116" max="5116" width="5.54296875" style="20" customWidth="1"/>
    <col min="5117" max="5117" width="9" style="20" customWidth="1"/>
    <col min="5118" max="5119" width="9.81640625" style="20" customWidth="1"/>
    <col min="5120" max="5120" width="11.1796875" style="20" customWidth="1"/>
    <col min="5121" max="5121" width="2.81640625" style="20" customWidth="1"/>
    <col min="5122" max="5122" width="3.54296875" style="20" customWidth="1"/>
    <col min="5123" max="5367" width="9.1796875" style="20"/>
    <col min="5368" max="5368" width="8.7265625" style="20" customWidth="1"/>
    <col min="5369" max="5369" width="9.81640625" style="20" customWidth="1"/>
    <col min="5370" max="5370" width="14.453125" style="20" customWidth="1"/>
    <col min="5371" max="5371" width="7.26953125" style="20" customWidth="1"/>
    <col min="5372" max="5372" width="5.54296875" style="20" customWidth="1"/>
    <col min="5373" max="5373" width="9" style="20" customWidth="1"/>
    <col min="5374" max="5375" width="9.81640625" style="20" customWidth="1"/>
    <col min="5376" max="5376" width="11.1796875" style="20" customWidth="1"/>
    <col min="5377" max="5377" width="2.81640625" style="20" customWidth="1"/>
    <col min="5378" max="5378" width="3.54296875" style="20" customWidth="1"/>
    <col min="5379" max="5623" width="9.1796875" style="20"/>
    <col min="5624" max="5624" width="8.7265625" style="20" customWidth="1"/>
    <col min="5625" max="5625" width="9.81640625" style="20" customWidth="1"/>
    <col min="5626" max="5626" width="14.453125" style="20" customWidth="1"/>
    <col min="5627" max="5627" width="7.26953125" style="20" customWidth="1"/>
    <col min="5628" max="5628" width="5.54296875" style="20" customWidth="1"/>
    <col min="5629" max="5629" width="9" style="20" customWidth="1"/>
    <col min="5630" max="5631" width="9.81640625" style="20" customWidth="1"/>
    <col min="5632" max="5632" width="11.1796875" style="20" customWidth="1"/>
    <col min="5633" max="5633" width="2.81640625" style="20" customWidth="1"/>
    <col min="5634" max="5634" width="3.54296875" style="20" customWidth="1"/>
    <col min="5635" max="5879" width="9.1796875" style="20"/>
    <col min="5880" max="5880" width="8.7265625" style="20" customWidth="1"/>
    <col min="5881" max="5881" width="9.81640625" style="20" customWidth="1"/>
    <col min="5882" max="5882" width="14.453125" style="20" customWidth="1"/>
    <col min="5883" max="5883" width="7.26953125" style="20" customWidth="1"/>
    <col min="5884" max="5884" width="5.54296875" style="20" customWidth="1"/>
    <col min="5885" max="5885" width="9" style="20" customWidth="1"/>
    <col min="5886" max="5887" width="9.81640625" style="20" customWidth="1"/>
    <col min="5888" max="5888" width="11.1796875" style="20" customWidth="1"/>
    <col min="5889" max="5889" width="2.81640625" style="20" customWidth="1"/>
    <col min="5890" max="5890" width="3.54296875" style="20" customWidth="1"/>
    <col min="5891" max="6135" width="9.1796875" style="20"/>
    <col min="6136" max="6136" width="8.7265625" style="20" customWidth="1"/>
    <col min="6137" max="6137" width="9.81640625" style="20" customWidth="1"/>
    <col min="6138" max="6138" width="14.453125" style="20" customWidth="1"/>
    <col min="6139" max="6139" width="7.26953125" style="20" customWidth="1"/>
    <col min="6140" max="6140" width="5.54296875" style="20" customWidth="1"/>
    <col min="6141" max="6141" width="9" style="20" customWidth="1"/>
    <col min="6142" max="6143" width="9.81640625" style="20" customWidth="1"/>
    <col min="6144" max="6144" width="11.1796875" style="20" customWidth="1"/>
    <col min="6145" max="6145" width="2.81640625" style="20" customWidth="1"/>
    <col min="6146" max="6146" width="3.54296875" style="20" customWidth="1"/>
    <col min="6147" max="6391" width="9.1796875" style="20"/>
    <col min="6392" max="6392" width="8.7265625" style="20" customWidth="1"/>
    <col min="6393" max="6393" width="9.81640625" style="20" customWidth="1"/>
    <col min="6394" max="6394" width="14.453125" style="20" customWidth="1"/>
    <col min="6395" max="6395" width="7.26953125" style="20" customWidth="1"/>
    <col min="6396" max="6396" width="5.54296875" style="20" customWidth="1"/>
    <col min="6397" max="6397" width="9" style="20" customWidth="1"/>
    <col min="6398" max="6399" width="9.81640625" style="20" customWidth="1"/>
    <col min="6400" max="6400" width="11.1796875" style="20" customWidth="1"/>
    <col min="6401" max="6401" width="2.81640625" style="20" customWidth="1"/>
    <col min="6402" max="6402" width="3.54296875" style="20" customWidth="1"/>
    <col min="6403" max="6647" width="9.1796875" style="20"/>
    <col min="6648" max="6648" width="8.7265625" style="20" customWidth="1"/>
    <col min="6649" max="6649" width="9.81640625" style="20" customWidth="1"/>
    <col min="6650" max="6650" width="14.453125" style="20" customWidth="1"/>
    <col min="6651" max="6651" width="7.26953125" style="20" customWidth="1"/>
    <col min="6652" max="6652" width="5.54296875" style="20" customWidth="1"/>
    <col min="6653" max="6653" width="9" style="20" customWidth="1"/>
    <col min="6654" max="6655" width="9.81640625" style="20" customWidth="1"/>
    <col min="6656" max="6656" width="11.1796875" style="20" customWidth="1"/>
    <col min="6657" max="6657" width="2.81640625" style="20" customWidth="1"/>
    <col min="6658" max="6658" width="3.54296875" style="20" customWidth="1"/>
    <col min="6659" max="6903" width="9.1796875" style="20"/>
    <col min="6904" max="6904" width="8.7265625" style="20" customWidth="1"/>
    <col min="6905" max="6905" width="9.81640625" style="20" customWidth="1"/>
    <col min="6906" max="6906" width="14.453125" style="20" customWidth="1"/>
    <col min="6907" max="6907" width="7.26953125" style="20" customWidth="1"/>
    <col min="6908" max="6908" width="5.54296875" style="20" customWidth="1"/>
    <col min="6909" max="6909" width="9" style="20" customWidth="1"/>
    <col min="6910" max="6911" width="9.81640625" style="20" customWidth="1"/>
    <col min="6912" max="6912" width="11.1796875" style="20" customWidth="1"/>
    <col min="6913" max="6913" width="2.81640625" style="20" customWidth="1"/>
    <col min="6914" max="6914" width="3.54296875" style="20" customWidth="1"/>
    <col min="6915" max="7159" width="9.1796875" style="20"/>
    <col min="7160" max="7160" width="8.7265625" style="20" customWidth="1"/>
    <col min="7161" max="7161" width="9.81640625" style="20" customWidth="1"/>
    <col min="7162" max="7162" width="14.453125" style="20" customWidth="1"/>
    <col min="7163" max="7163" width="7.26953125" style="20" customWidth="1"/>
    <col min="7164" max="7164" width="5.54296875" style="20" customWidth="1"/>
    <col min="7165" max="7165" width="9" style="20" customWidth="1"/>
    <col min="7166" max="7167" width="9.81640625" style="20" customWidth="1"/>
    <col min="7168" max="7168" width="11.1796875" style="20" customWidth="1"/>
    <col min="7169" max="7169" width="2.81640625" style="20" customWidth="1"/>
    <col min="7170" max="7170" width="3.54296875" style="20" customWidth="1"/>
    <col min="7171" max="7415" width="9.1796875" style="20"/>
    <col min="7416" max="7416" width="8.7265625" style="20" customWidth="1"/>
    <col min="7417" max="7417" width="9.81640625" style="20" customWidth="1"/>
    <col min="7418" max="7418" width="14.453125" style="20" customWidth="1"/>
    <col min="7419" max="7419" width="7.26953125" style="20" customWidth="1"/>
    <col min="7420" max="7420" width="5.54296875" style="20" customWidth="1"/>
    <col min="7421" max="7421" width="9" style="20" customWidth="1"/>
    <col min="7422" max="7423" width="9.81640625" style="20" customWidth="1"/>
    <col min="7424" max="7424" width="11.1796875" style="20" customWidth="1"/>
    <col min="7425" max="7425" width="2.81640625" style="20" customWidth="1"/>
    <col min="7426" max="7426" width="3.54296875" style="20" customWidth="1"/>
    <col min="7427" max="7671" width="9.1796875" style="20"/>
    <col min="7672" max="7672" width="8.7265625" style="20" customWidth="1"/>
    <col min="7673" max="7673" width="9.81640625" style="20" customWidth="1"/>
    <col min="7674" max="7674" width="14.453125" style="20" customWidth="1"/>
    <col min="7675" max="7675" width="7.26953125" style="20" customWidth="1"/>
    <col min="7676" max="7676" width="5.54296875" style="20" customWidth="1"/>
    <col min="7677" max="7677" width="9" style="20" customWidth="1"/>
    <col min="7678" max="7679" width="9.81640625" style="20" customWidth="1"/>
    <col min="7680" max="7680" width="11.1796875" style="20" customWidth="1"/>
    <col min="7681" max="7681" width="2.81640625" style="20" customWidth="1"/>
    <col min="7682" max="7682" width="3.54296875" style="20" customWidth="1"/>
    <col min="7683" max="7927" width="9.1796875" style="20"/>
    <col min="7928" max="7928" width="8.7265625" style="20" customWidth="1"/>
    <col min="7929" max="7929" width="9.81640625" style="20" customWidth="1"/>
    <col min="7930" max="7930" width="14.453125" style="20" customWidth="1"/>
    <col min="7931" max="7931" width="7.26953125" style="20" customWidth="1"/>
    <col min="7932" max="7932" width="5.54296875" style="20" customWidth="1"/>
    <col min="7933" max="7933" width="9" style="20" customWidth="1"/>
    <col min="7934" max="7935" width="9.81640625" style="20" customWidth="1"/>
    <col min="7936" max="7936" width="11.1796875" style="20" customWidth="1"/>
    <col min="7937" max="7937" width="2.81640625" style="20" customWidth="1"/>
    <col min="7938" max="7938" width="3.54296875" style="20" customWidth="1"/>
    <col min="7939" max="8183" width="9.1796875" style="20"/>
    <col min="8184" max="8184" width="8.7265625" style="20" customWidth="1"/>
    <col min="8185" max="8185" width="9.81640625" style="20" customWidth="1"/>
    <col min="8186" max="8186" width="14.453125" style="20" customWidth="1"/>
    <col min="8187" max="8187" width="7.26953125" style="20" customWidth="1"/>
    <col min="8188" max="8188" width="5.54296875" style="20" customWidth="1"/>
    <col min="8189" max="8189" width="9" style="20" customWidth="1"/>
    <col min="8190" max="8191" width="9.81640625" style="20" customWidth="1"/>
    <col min="8192" max="8192" width="11.1796875" style="20" customWidth="1"/>
    <col min="8193" max="8193" width="2.81640625" style="20" customWidth="1"/>
    <col min="8194" max="8194" width="3.54296875" style="20" customWidth="1"/>
    <col min="8195" max="8439" width="9.1796875" style="20"/>
    <col min="8440" max="8440" width="8.7265625" style="20" customWidth="1"/>
    <col min="8441" max="8441" width="9.81640625" style="20" customWidth="1"/>
    <col min="8442" max="8442" width="14.453125" style="20" customWidth="1"/>
    <col min="8443" max="8443" width="7.26953125" style="20" customWidth="1"/>
    <col min="8444" max="8444" width="5.54296875" style="20" customWidth="1"/>
    <col min="8445" max="8445" width="9" style="20" customWidth="1"/>
    <col min="8446" max="8447" width="9.81640625" style="20" customWidth="1"/>
    <col min="8448" max="8448" width="11.1796875" style="20" customWidth="1"/>
    <col min="8449" max="8449" width="2.81640625" style="20" customWidth="1"/>
    <col min="8450" max="8450" width="3.54296875" style="20" customWidth="1"/>
    <col min="8451" max="8695" width="9.1796875" style="20"/>
    <col min="8696" max="8696" width="8.7265625" style="20" customWidth="1"/>
    <col min="8697" max="8697" width="9.81640625" style="20" customWidth="1"/>
    <col min="8698" max="8698" width="14.453125" style="20" customWidth="1"/>
    <col min="8699" max="8699" width="7.26953125" style="20" customWidth="1"/>
    <col min="8700" max="8700" width="5.54296875" style="20" customWidth="1"/>
    <col min="8701" max="8701" width="9" style="20" customWidth="1"/>
    <col min="8702" max="8703" width="9.81640625" style="20" customWidth="1"/>
    <col min="8704" max="8704" width="11.1796875" style="20" customWidth="1"/>
    <col min="8705" max="8705" width="2.81640625" style="20" customWidth="1"/>
    <col min="8706" max="8706" width="3.54296875" style="20" customWidth="1"/>
    <col min="8707" max="8951" width="9.1796875" style="20"/>
    <col min="8952" max="8952" width="8.7265625" style="20" customWidth="1"/>
    <col min="8953" max="8953" width="9.81640625" style="20" customWidth="1"/>
    <col min="8954" max="8954" width="14.453125" style="20" customWidth="1"/>
    <col min="8955" max="8955" width="7.26953125" style="20" customWidth="1"/>
    <col min="8956" max="8956" width="5.54296875" style="20" customWidth="1"/>
    <col min="8957" max="8957" width="9" style="20" customWidth="1"/>
    <col min="8958" max="8959" width="9.81640625" style="20" customWidth="1"/>
    <col min="8960" max="8960" width="11.1796875" style="20" customWidth="1"/>
    <col min="8961" max="8961" width="2.81640625" style="20" customWidth="1"/>
    <col min="8962" max="8962" width="3.54296875" style="20" customWidth="1"/>
    <col min="8963" max="9207" width="9.1796875" style="20"/>
    <col min="9208" max="9208" width="8.7265625" style="20" customWidth="1"/>
    <col min="9209" max="9209" width="9.81640625" style="20" customWidth="1"/>
    <col min="9210" max="9210" width="14.453125" style="20" customWidth="1"/>
    <col min="9211" max="9211" width="7.26953125" style="20" customWidth="1"/>
    <col min="9212" max="9212" width="5.54296875" style="20" customWidth="1"/>
    <col min="9213" max="9213" width="9" style="20" customWidth="1"/>
    <col min="9214" max="9215" width="9.81640625" style="20" customWidth="1"/>
    <col min="9216" max="9216" width="11.1796875" style="20" customWidth="1"/>
    <col min="9217" max="9217" width="2.81640625" style="20" customWidth="1"/>
    <col min="9218" max="9218" width="3.54296875" style="20" customWidth="1"/>
    <col min="9219" max="9463" width="9.1796875" style="20"/>
    <col min="9464" max="9464" width="8.7265625" style="20" customWidth="1"/>
    <col min="9465" max="9465" width="9.81640625" style="20" customWidth="1"/>
    <col min="9466" max="9466" width="14.453125" style="20" customWidth="1"/>
    <col min="9467" max="9467" width="7.26953125" style="20" customWidth="1"/>
    <col min="9468" max="9468" width="5.54296875" style="20" customWidth="1"/>
    <col min="9469" max="9469" width="9" style="20" customWidth="1"/>
    <col min="9470" max="9471" width="9.81640625" style="20" customWidth="1"/>
    <col min="9472" max="9472" width="11.1796875" style="20" customWidth="1"/>
    <col min="9473" max="9473" width="2.81640625" style="20" customWidth="1"/>
    <col min="9474" max="9474" width="3.54296875" style="20" customWidth="1"/>
    <col min="9475" max="9719" width="9.1796875" style="20"/>
    <col min="9720" max="9720" width="8.7265625" style="20" customWidth="1"/>
    <col min="9721" max="9721" width="9.81640625" style="20" customWidth="1"/>
    <col min="9722" max="9722" width="14.453125" style="20" customWidth="1"/>
    <col min="9723" max="9723" width="7.26953125" style="20" customWidth="1"/>
    <col min="9724" max="9724" width="5.54296875" style="20" customWidth="1"/>
    <col min="9725" max="9725" width="9" style="20" customWidth="1"/>
    <col min="9726" max="9727" width="9.81640625" style="20" customWidth="1"/>
    <col min="9728" max="9728" width="11.1796875" style="20" customWidth="1"/>
    <col min="9729" max="9729" width="2.81640625" style="20" customWidth="1"/>
    <col min="9730" max="9730" width="3.54296875" style="20" customWidth="1"/>
    <col min="9731" max="9975" width="9.1796875" style="20"/>
    <col min="9976" max="9976" width="8.7265625" style="20" customWidth="1"/>
    <col min="9977" max="9977" width="9.81640625" style="20" customWidth="1"/>
    <col min="9978" max="9978" width="14.453125" style="20" customWidth="1"/>
    <col min="9979" max="9979" width="7.26953125" style="20" customWidth="1"/>
    <col min="9980" max="9980" width="5.54296875" style="20" customWidth="1"/>
    <col min="9981" max="9981" width="9" style="20" customWidth="1"/>
    <col min="9982" max="9983" width="9.81640625" style="20" customWidth="1"/>
    <col min="9984" max="9984" width="11.1796875" style="20" customWidth="1"/>
    <col min="9985" max="9985" width="2.81640625" style="20" customWidth="1"/>
    <col min="9986" max="9986" width="3.54296875" style="20" customWidth="1"/>
    <col min="9987" max="10231" width="9.1796875" style="20"/>
    <col min="10232" max="10232" width="8.7265625" style="20" customWidth="1"/>
    <col min="10233" max="10233" width="9.81640625" style="20" customWidth="1"/>
    <col min="10234" max="10234" width="14.453125" style="20" customWidth="1"/>
    <col min="10235" max="10235" width="7.26953125" style="20" customWidth="1"/>
    <col min="10236" max="10236" width="5.54296875" style="20" customWidth="1"/>
    <col min="10237" max="10237" width="9" style="20" customWidth="1"/>
    <col min="10238" max="10239" width="9.81640625" style="20" customWidth="1"/>
    <col min="10240" max="10240" width="11.1796875" style="20" customWidth="1"/>
    <col min="10241" max="10241" width="2.81640625" style="20" customWidth="1"/>
    <col min="10242" max="10242" width="3.54296875" style="20" customWidth="1"/>
    <col min="10243" max="10487" width="9.1796875" style="20"/>
    <col min="10488" max="10488" width="8.7265625" style="20" customWidth="1"/>
    <col min="10489" max="10489" width="9.81640625" style="20" customWidth="1"/>
    <col min="10490" max="10490" width="14.453125" style="20" customWidth="1"/>
    <col min="10491" max="10491" width="7.26953125" style="20" customWidth="1"/>
    <col min="10492" max="10492" width="5.54296875" style="20" customWidth="1"/>
    <col min="10493" max="10493" width="9" style="20" customWidth="1"/>
    <col min="10494" max="10495" width="9.81640625" style="20" customWidth="1"/>
    <col min="10496" max="10496" width="11.1796875" style="20" customWidth="1"/>
    <col min="10497" max="10497" width="2.81640625" style="20" customWidth="1"/>
    <col min="10498" max="10498" width="3.54296875" style="20" customWidth="1"/>
    <col min="10499" max="10743" width="9.1796875" style="20"/>
    <col min="10744" max="10744" width="8.7265625" style="20" customWidth="1"/>
    <col min="10745" max="10745" width="9.81640625" style="20" customWidth="1"/>
    <col min="10746" max="10746" width="14.453125" style="20" customWidth="1"/>
    <col min="10747" max="10747" width="7.26953125" style="20" customWidth="1"/>
    <col min="10748" max="10748" width="5.54296875" style="20" customWidth="1"/>
    <col min="10749" max="10749" width="9" style="20" customWidth="1"/>
    <col min="10750" max="10751" width="9.81640625" style="20" customWidth="1"/>
    <col min="10752" max="10752" width="11.1796875" style="20" customWidth="1"/>
    <col min="10753" max="10753" width="2.81640625" style="20" customWidth="1"/>
    <col min="10754" max="10754" width="3.54296875" style="20" customWidth="1"/>
    <col min="10755" max="10999" width="9.1796875" style="20"/>
    <col min="11000" max="11000" width="8.7265625" style="20" customWidth="1"/>
    <col min="11001" max="11001" width="9.81640625" style="20" customWidth="1"/>
    <col min="11002" max="11002" width="14.453125" style="20" customWidth="1"/>
    <col min="11003" max="11003" width="7.26953125" style="20" customWidth="1"/>
    <col min="11004" max="11004" width="5.54296875" style="20" customWidth="1"/>
    <col min="11005" max="11005" width="9" style="20" customWidth="1"/>
    <col min="11006" max="11007" width="9.81640625" style="20" customWidth="1"/>
    <col min="11008" max="11008" width="11.1796875" style="20" customWidth="1"/>
    <col min="11009" max="11009" width="2.81640625" style="20" customWidth="1"/>
    <col min="11010" max="11010" width="3.54296875" style="20" customWidth="1"/>
    <col min="11011" max="11255" width="9.1796875" style="20"/>
    <col min="11256" max="11256" width="8.7265625" style="20" customWidth="1"/>
    <col min="11257" max="11257" width="9.81640625" style="20" customWidth="1"/>
    <col min="11258" max="11258" width="14.453125" style="20" customWidth="1"/>
    <col min="11259" max="11259" width="7.26953125" style="20" customWidth="1"/>
    <col min="11260" max="11260" width="5.54296875" style="20" customWidth="1"/>
    <col min="11261" max="11261" width="9" style="20" customWidth="1"/>
    <col min="11262" max="11263" width="9.81640625" style="20" customWidth="1"/>
    <col min="11264" max="11264" width="11.1796875" style="20" customWidth="1"/>
    <col min="11265" max="11265" width="2.81640625" style="20" customWidth="1"/>
    <col min="11266" max="11266" width="3.54296875" style="20" customWidth="1"/>
    <col min="11267" max="11511" width="9.1796875" style="20"/>
    <col min="11512" max="11512" width="8.7265625" style="20" customWidth="1"/>
    <col min="11513" max="11513" width="9.81640625" style="20" customWidth="1"/>
    <col min="11514" max="11514" width="14.453125" style="20" customWidth="1"/>
    <col min="11515" max="11515" width="7.26953125" style="20" customWidth="1"/>
    <col min="11516" max="11516" width="5.54296875" style="20" customWidth="1"/>
    <col min="11517" max="11517" width="9" style="20" customWidth="1"/>
    <col min="11518" max="11519" width="9.81640625" style="20" customWidth="1"/>
    <col min="11520" max="11520" width="11.1796875" style="20" customWidth="1"/>
    <col min="11521" max="11521" width="2.81640625" style="20" customWidth="1"/>
    <col min="11522" max="11522" width="3.54296875" style="20" customWidth="1"/>
    <col min="11523" max="11767" width="9.1796875" style="20"/>
    <col min="11768" max="11768" width="8.7265625" style="20" customWidth="1"/>
    <col min="11769" max="11769" width="9.81640625" style="20" customWidth="1"/>
    <col min="11770" max="11770" width="14.453125" style="20" customWidth="1"/>
    <col min="11771" max="11771" width="7.26953125" style="20" customWidth="1"/>
    <col min="11772" max="11772" width="5.54296875" style="20" customWidth="1"/>
    <col min="11773" max="11773" width="9" style="20" customWidth="1"/>
    <col min="11774" max="11775" width="9.81640625" style="20" customWidth="1"/>
    <col min="11776" max="11776" width="11.1796875" style="20" customWidth="1"/>
    <col min="11777" max="11777" width="2.81640625" style="20" customWidth="1"/>
    <col min="11778" max="11778" width="3.54296875" style="20" customWidth="1"/>
    <col min="11779" max="12023" width="9.1796875" style="20"/>
    <col min="12024" max="12024" width="8.7265625" style="20" customWidth="1"/>
    <col min="12025" max="12025" width="9.81640625" style="20" customWidth="1"/>
    <col min="12026" max="12026" width="14.453125" style="20" customWidth="1"/>
    <col min="12027" max="12027" width="7.26953125" style="20" customWidth="1"/>
    <col min="12028" max="12028" width="5.54296875" style="20" customWidth="1"/>
    <col min="12029" max="12029" width="9" style="20" customWidth="1"/>
    <col min="12030" max="12031" width="9.81640625" style="20" customWidth="1"/>
    <col min="12032" max="12032" width="11.1796875" style="20" customWidth="1"/>
    <col min="12033" max="12033" width="2.81640625" style="20" customWidth="1"/>
    <col min="12034" max="12034" width="3.54296875" style="20" customWidth="1"/>
    <col min="12035" max="12279" width="9.1796875" style="20"/>
    <col min="12280" max="12280" width="8.7265625" style="20" customWidth="1"/>
    <col min="12281" max="12281" width="9.81640625" style="20" customWidth="1"/>
    <col min="12282" max="12282" width="14.453125" style="20" customWidth="1"/>
    <col min="12283" max="12283" width="7.26953125" style="20" customWidth="1"/>
    <col min="12284" max="12284" width="5.54296875" style="20" customWidth="1"/>
    <col min="12285" max="12285" width="9" style="20" customWidth="1"/>
    <col min="12286" max="12287" width="9.81640625" style="20" customWidth="1"/>
    <col min="12288" max="12288" width="11.1796875" style="20" customWidth="1"/>
    <col min="12289" max="12289" width="2.81640625" style="20" customWidth="1"/>
    <col min="12290" max="12290" width="3.54296875" style="20" customWidth="1"/>
    <col min="12291" max="12535" width="9.1796875" style="20"/>
    <col min="12536" max="12536" width="8.7265625" style="20" customWidth="1"/>
    <col min="12537" max="12537" width="9.81640625" style="20" customWidth="1"/>
    <col min="12538" max="12538" width="14.453125" style="20" customWidth="1"/>
    <col min="12539" max="12539" width="7.26953125" style="20" customWidth="1"/>
    <col min="12540" max="12540" width="5.54296875" style="20" customWidth="1"/>
    <col min="12541" max="12541" width="9" style="20" customWidth="1"/>
    <col min="12542" max="12543" width="9.81640625" style="20" customWidth="1"/>
    <col min="12544" max="12544" width="11.1796875" style="20" customWidth="1"/>
    <col min="12545" max="12545" width="2.81640625" style="20" customWidth="1"/>
    <col min="12546" max="12546" width="3.54296875" style="20" customWidth="1"/>
    <col min="12547" max="12791" width="9.1796875" style="20"/>
    <col min="12792" max="12792" width="8.7265625" style="20" customWidth="1"/>
    <col min="12793" max="12793" width="9.81640625" style="20" customWidth="1"/>
    <col min="12794" max="12794" width="14.453125" style="20" customWidth="1"/>
    <col min="12795" max="12795" width="7.26953125" style="20" customWidth="1"/>
    <col min="12796" max="12796" width="5.54296875" style="20" customWidth="1"/>
    <col min="12797" max="12797" width="9" style="20" customWidth="1"/>
    <col min="12798" max="12799" width="9.81640625" style="20" customWidth="1"/>
    <col min="12800" max="12800" width="11.1796875" style="20" customWidth="1"/>
    <col min="12801" max="12801" width="2.81640625" style="20" customWidth="1"/>
    <col min="12802" max="12802" width="3.54296875" style="20" customWidth="1"/>
    <col min="12803" max="13047" width="9.1796875" style="20"/>
    <col min="13048" max="13048" width="8.7265625" style="20" customWidth="1"/>
    <col min="13049" max="13049" width="9.81640625" style="20" customWidth="1"/>
    <col min="13050" max="13050" width="14.453125" style="20" customWidth="1"/>
    <col min="13051" max="13051" width="7.26953125" style="20" customWidth="1"/>
    <col min="13052" max="13052" width="5.54296875" style="20" customWidth="1"/>
    <col min="13053" max="13053" width="9" style="20" customWidth="1"/>
    <col min="13054" max="13055" width="9.81640625" style="20" customWidth="1"/>
    <col min="13056" max="13056" width="11.1796875" style="20" customWidth="1"/>
    <col min="13057" max="13057" width="2.81640625" style="20" customWidth="1"/>
    <col min="13058" max="13058" width="3.54296875" style="20" customWidth="1"/>
    <col min="13059" max="13303" width="9.1796875" style="20"/>
    <col min="13304" max="13304" width="8.7265625" style="20" customWidth="1"/>
    <col min="13305" max="13305" width="9.81640625" style="20" customWidth="1"/>
    <col min="13306" max="13306" width="14.453125" style="20" customWidth="1"/>
    <col min="13307" max="13307" width="7.26953125" style="20" customWidth="1"/>
    <col min="13308" max="13308" width="5.54296875" style="20" customWidth="1"/>
    <col min="13309" max="13309" width="9" style="20" customWidth="1"/>
    <col min="13310" max="13311" width="9.81640625" style="20" customWidth="1"/>
    <col min="13312" max="13312" width="11.1796875" style="20" customWidth="1"/>
    <col min="13313" max="13313" width="2.81640625" style="20" customWidth="1"/>
    <col min="13314" max="13314" width="3.54296875" style="20" customWidth="1"/>
    <col min="13315" max="13559" width="9.1796875" style="20"/>
    <col min="13560" max="13560" width="8.7265625" style="20" customWidth="1"/>
    <col min="13561" max="13561" width="9.81640625" style="20" customWidth="1"/>
    <col min="13562" max="13562" width="14.453125" style="20" customWidth="1"/>
    <col min="13563" max="13563" width="7.26953125" style="20" customWidth="1"/>
    <col min="13564" max="13564" width="5.54296875" style="20" customWidth="1"/>
    <col min="13565" max="13565" width="9" style="20" customWidth="1"/>
    <col min="13566" max="13567" width="9.81640625" style="20" customWidth="1"/>
    <col min="13568" max="13568" width="11.1796875" style="20" customWidth="1"/>
    <col min="13569" max="13569" width="2.81640625" style="20" customWidth="1"/>
    <col min="13570" max="13570" width="3.54296875" style="20" customWidth="1"/>
    <col min="13571" max="13815" width="9.1796875" style="20"/>
    <col min="13816" max="13816" width="8.7265625" style="20" customWidth="1"/>
    <col min="13817" max="13817" width="9.81640625" style="20" customWidth="1"/>
    <col min="13818" max="13818" width="14.453125" style="20" customWidth="1"/>
    <col min="13819" max="13819" width="7.26953125" style="20" customWidth="1"/>
    <col min="13820" max="13820" width="5.54296875" style="20" customWidth="1"/>
    <col min="13821" max="13821" width="9" style="20" customWidth="1"/>
    <col min="13822" max="13823" width="9.81640625" style="20" customWidth="1"/>
    <col min="13824" max="13824" width="11.1796875" style="20" customWidth="1"/>
    <col min="13825" max="13825" width="2.81640625" style="20" customWidth="1"/>
    <col min="13826" max="13826" width="3.54296875" style="20" customWidth="1"/>
    <col min="13827" max="14071" width="9.1796875" style="20"/>
    <col min="14072" max="14072" width="8.7265625" style="20" customWidth="1"/>
    <col min="14073" max="14073" width="9.81640625" style="20" customWidth="1"/>
    <col min="14074" max="14074" width="14.453125" style="20" customWidth="1"/>
    <col min="14075" max="14075" width="7.26953125" style="20" customWidth="1"/>
    <col min="14076" max="14076" width="5.54296875" style="20" customWidth="1"/>
    <col min="14077" max="14077" width="9" style="20" customWidth="1"/>
    <col min="14078" max="14079" width="9.81640625" style="20" customWidth="1"/>
    <col min="14080" max="14080" width="11.1796875" style="20" customWidth="1"/>
    <col min="14081" max="14081" width="2.81640625" style="20" customWidth="1"/>
    <col min="14082" max="14082" width="3.54296875" style="20" customWidth="1"/>
    <col min="14083" max="14327" width="9.1796875" style="20"/>
    <col min="14328" max="14328" width="8.7265625" style="20" customWidth="1"/>
    <col min="14329" max="14329" width="9.81640625" style="20" customWidth="1"/>
    <col min="14330" max="14330" width="14.453125" style="20" customWidth="1"/>
    <col min="14331" max="14331" width="7.26953125" style="20" customWidth="1"/>
    <col min="14332" max="14332" width="5.54296875" style="20" customWidth="1"/>
    <col min="14333" max="14333" width="9" style="20" customWidth="1"/>
    <col min="14334" max="14335" width="9.81640625" style="20" customWidth="1"/>
    <col min="14336" max="14336" width="11.1796875" style="20" customWidth="1"/>
    <col min="14337" max="14337" width="2.81640625" style="20" customWidth="1"/>
    <col min="14338" max="14338" width="3.54296875" style="20" customWidth="1"/>
    <col min="14339" max="14583" width="9.1796875" style="20"/>
    <col min="14584" max="14584" width="8.7265625" style="20" customWidth="1"/>
    <col min="14585" max="14585" width="9.81640625" style="20" customWidth="1"/>
    <col min="14586" max="14586" width="14.453125" style="20" customWidth="1"/>
    <col min="14587" max="14587" width="7.26953125" style="20" customWidth="1"/>
    <col min="14588" max="14588" width="5.54296875" style="20" customWidth="1"/>
    <col min="14589" max="14589" width="9" style="20" customWidth="1"/>
    <col min="14590" max="14591" width="9.81640625" style="20" customWidth="1"/>
    <col min="14592" max="14592" width="11.1796875" style="20" customWidth="1"/>
    <col min="14593" max="14593" width="2.81640625" style="20" customWidth="1"/>
    <col min="14594" max="14594" width="3.54296875" style="20" customWidth="1"/>
    <col min="14595" max="14839" width="9.1796875" style="20"/>
    <col min="14840" max="14840" width="8.7265625" style="20" customWidth="1"/>
    <col min="14841" max="14841" width="9.81640625" style="20" customWidth="1"/>
    <col min="14842" max="14842" width="14.453125" style="20" customWidth="1"/>
    <col min="14843" max="14843" width="7.26953125" style="20" customWidth="1"/>
    <col min="14844" max="14844" width="5.54296875" style="20" customWidth="1"/>
    <col min="14845" max="14845" width="9" style="20" customWidth="1"/>
    <col min="14846" max="14847" width="9.81640625" style="20" customWidth="1"/>
    <col min="14848" max="14848" width="11.1796875" style="20" customWidth="1"/>
    <col min="14849" max="14849" width="2.81640625" style="20" customWidth="1"/>
    <col min="14850" max="14850" width="3.54296875" style="20" customWidth="1"/>
    <col min="14851" max="15095" width="9.1796875" style="20"/>
    <col min="15096" max="15096" width="8.7265625" style="20" customWidth="1"/>
    <col min="15097" max="15097" width="9.81640625" style="20" customWidth="1"/>
    <col min="15098" max="15098" width="14.453125" style="20" customWidth="1"/>
    <col min="15099" max="15099" width="7.26953125" style="20" customWidth="1"/>
    <col min="15100" max="15100" width="5.54296875" style="20" customWidth="1"/>
    <col min="15101" max="15101" width="9" style="20" customWidth="1"/>
    <col min="15102" max="15103" width="9.81640625" style="20" customWidth="1"/>
    <col min="15104" max="15104" width="11.1796875" style="20" customWidth="1"/>
    <col min="15105" max="15105" width="2.81640625" style="20" customWidth="1"/>
    <col min="15106" max="15106" width="3.54296875" style="20" customWidth="1"/>
    <col min="15107" max="15351" width="9.1796875" style="20"/>
    <col min="15352" max="15352" width="8.7265625" style="20" customWidth="1"/>
    <col min="15353" max="15353" width="9.81640625" style="20" customWidth="1"/>
    <col min="15354" max="15354" width="14.453125" style="20" customWidth="1"/>
    <col min="15355" max="15355" width="7.26953125" style="20" customWidth="1"/>
    <col min="15356" max="15356" width="5.54296875" style="20" customWidth="1"/>
    <col min="15357" max="15357" width="9" style="20" customWidth="1"/>
    <col min="15358" max="15359" width="9.81640625" style="20" customWidth="1"/>
    <col min="15360" max="15360" width="11.1796875" style="20" customWidth="1"/>
    <col min="15361" max="15361" width="2.81640625" style="20" customWidth="1"/>
    <col min="15362" max="15362" width="3.54296875" style="20" customWidth="1"/>
    <col min="15363" max="15607" width="9.1796875" style="20"/>
    <col min="15608" max="15608" width="8.7265625" style="20" customWidth="1"/>
    <col min="15609" max="15609" width="9.81640625" style="20" customWidth="1"/>
    <col min="15610" max="15610" width="14.453125" style="20" customWidth="1"/>
    <col min="15611" max="15611" width="7.26953125" style="20" customWidth="1"/>
    <col min="15612" max="15612" width="5.54296875" style="20" customWidth="1"/>
    <col min="15613" max="15613" width="9" style="20" customWidth="1"/>
    <col min="15614" max="15615" width="9.81640625" style="20" customWidth="1"/>
    <col min="15616" max="15616" width="11.1796875" style="20" customWidth="1"/>
    <col min="15617" max="15617" width="2.81640625" style="20" customWidth="1"/>
    <col min="15618" max="15618" width="3.54296875" style="20" customWidth="1"/>
    <col min="15619" max="15863" width="9.1796875" style="20"/>
    <col min="15864" max="15864" width="8.7265625" style="20" customWidth="1"/>
    <col min="15865" max="15865" width="9.81640625" style="20" customWidth="1"/>
    <col min="15866" max="15866" width="14.453125" style="20" customWidth="1"/>
    <col min="15867" max="15867" width="7.26953125" style="20" customWidth="1"/>
    <col min="15868" max="15868" width="5.54296875" style="20" customWidth="1"/>
    <col min="15869" max="15869" width="9" style="20" customWidth="1"/>
    <col min="15870" max="15871" width="9.81640625" style="20" customWidth="1"/>
    <col min="15872" max="15872" width="11.1796875" style="20" customWidth="1"/>
    <col min="15873" max="15873" width="2.81640625" style="20" customWidth="1"/>
    <col min="15874" max="15874" width="3.54296875" style="20" customWidth="1"/>
    <col min="15875" max="16119" width="9.1796875" style="20"/>
    <col min="16120" max="16120" width="8.7265625" style="20" customWidth="1"/>
    <col min="16121" max="16121" width="9.81640625" style="20" customWidth="1"/>
    <col min="16122" max="16122" width="14.453125" style="20" customWidth="1"/>
    <col min="16123" max="16123" width="7.26953125" style="20" customWidth="1"/>
    <col min="16124" max="16124" width="5.54296875" style="20" customWidth="1"/>
    <col min="16125" max="16125" width="9" style="20" customWidth="1"/>
    <col min="16126" max="16127" width="9.81640625" style="20" customWidth="1"/>
    <col min="16128" max="16128" width="11.1796875" style="20" customWidth="1"/>
    <col min="16129" max="16129" width="2.81640625" style="20" customWidth="1"/>
    <col min="16130" max="16130" width="3.54296875" style="20" customWidth="1"/>
    <col min="16131" max="16384" width="9.1796875" style="20"/>
  </cols>
  <sheetData>
    <row r="1" spans="1:8" ht="46.5" customHeight="1">
      <c r="A1" s="231" t="s">
        <v>0</v>
      </c>
      <c r="B1" s="231"/>
      <c r="C1" s="231"/>
      <c r="D1" s="231"/>
      <c r="E1" s="231"/>
      <c r="F1" s="231"/>
      <c r="G1" s="231"/>
      <c r="H1" s="231"/>
    </row>
    <row r="2" spans="1:8" ht="16.5" customHeight="1">
      <c r="A2" s="131" t="s">
        <v>1</v>
      </c>
      <c r="B2" s="131"/>
      <c r="C2" s="131"/>
      <c r="D2" s="131"/>
      <c r="E2" s="131"/>
      <c r="F2" s="131"/>
      <c r="G2" s="131"/>
      <c r="H2" s="131"/>
    </row>
    <row r="3" spans="1:8">
      <c r="A3" s="180" t="s">
        <v>2</v>
      </c>
      <c r="B3" s="180"/>
      <c r="C3" s="180"/>
      <c r="D3" s="180"/>
      <c r="E3" s="180" t="str">
        <f ca="1">TEXT(TODAY(),"DD/MM/YYYY")</f>
        <v>09/09/2025</v>
      </c>
      <c r="F3" s="180"/>
      <c r="G3" s="180"/>
      <c r="H3" s="180"/>
    </row>
    <row r="4" spans="1:8" ht="15" customHeight="1">
      <c r="A4" s="180" t="s">
        <v>3</v>
      </c>
      <c r="B4" s="180"/>
      <c r="C4" s="180"/>
      <c r="D4" s="180"/>
      <c r="E4" s="180" t="s">
        <v>4</v>
      </c>
      <c r="F4" s="180"/>
      <c r="G4" s="180"/>
      <c r="H4" s="180"/>
    </row>
    <row r="5" spans="1:8">
      <c r="A5" s="180" t="s">
        <v>5</v>
      </c>
      <c r="B5" s="180"/>
      <c r="C5" s="180"/>
      <c r="D5" s="180"/>
      <c r="E5" s="232">
        <v>45906</v>
      </c>
      <c r="F5" s="180"/>
      <c r="G5" s="180"/>
      <c r="H5" s="180"/>
    </row>
    <row r="6" spans="1:8" ht="16.5" customHeight="1">
      <c r="A6" s="180" t="s">
        <v>6</v>
      </c>
      <c r="B6" s="180"/>
      <c r="C6" s="180"/>
      <c r="D6" s="180"/>
      <c r="E6" s="180" t="s">
        <v>7</v>
      </c>
      <c r="F6" s="180"/>
      <c r="G6" s="180"/>
      <c r="H6" s="180"/>
    </row>
    <row r="7" spans="1:8" ht="15" customHeight="1">
      <c r="A7" s="180" t="s">
        <v>8</v>
      </c>
      <c r="B7" s="180"/>
      <c r="C7" s="180"/>
      <c r="D7" s="180"/>
      <c r="E7" s="180" t="str">
        <f>E6</f>
        <v>Sagar Homes</v>
      </c>
      <c r="F7" s="180"/>
      <c r="G7" s="180"/>
      <c r="H7" s="180"/>
    </row>
    <row r="8" spans="1:8">
      <c r="A8" s="180" t="s">
        <v>9</v>
      </c>
      <c r="B8" s="180"/>
      <c r="C8" s="180"/>
      <c r="D8" s="180"/>
      <c r="E8" s="155" t="s">
        <v>10</v>
      </c>
      <c r="F8" s="155"/>
      <c r="G8" s="155"/>
      <c r="H8" s="155"/>
    </row>
    <row r="9" spans="1:8">
      <c r="A9" s="180" t="s">
        <v>11</v>
      </c>
      <c r="B9" s="180"/>
      <c r="C9" s="180"/>
      <c r="D9" s="180"/>
      <c r="E9" s="180" t="s">
        <v>251</v>
      </c>
      <c r="F9" s="180"/>
      <c r="G9" s="180"/>
      <c r="H9" s="180"/>
    </row>
    <row r="10" spans="1:8">
      <c r="A10" s="180" t="s">
        <v>12</v>
      </c>
      <c r="B10" s="180"/>
      <c r="C10" s="180"/>
      <c r="D10" s="180"/>
      <c r="E10" s="180" t="s">
        <v>250</v>
      </c>
      <c r="F10" s="180"/>
      <c r="G10" s="180"/>
      <c r="H10" s="180"/>
    </row>
    <row r="11" spans="1:8" ht="66.75" customHeight="1">
      <c r="A11" s="180" t="s">
        <v>13</v>
      </c>
      <c r="B11" s="180"/>
      <c r="C11" s="180"/>
      <c r="D11" s="180"/>
      <c r="E11" s="178" t="s">
        <v>14</v>
      </c>
      <c r="F11" s="180"/>
      <c r="G11" s="180"/>
      <c r="H11" s="180"/>
    </row>
    <row r="12" spans="1:8">
      <c r="A12" s="100" t="s">
        <v>15</v>
      </c>
      <c r="B12" s="100"/>
      <c r="C12" s="100"/>
      <c r="D12" s="100"/>
      <c r="E12" s="178" t="s">
        <v>16</v>
      </c>
      <c r="F12" s="178"/>
      <c r="G12" s="178"/>
      <c r="H12" s="178"/>
    </row>
    <row r="13" spans="1:8">
      <c r="A13" s="100" t="s">
        <v>17</v>
      </c>
      <c r="B13" s="100"/>
      <c r="C13" s="100"/>
      <c r="D13" s="100"/>
      <c r="E13" s="178" t="s">
        <v>18</v>
      </c>
      <c r="F13" s="180"/>
      <c r="G13" s="180"/>
      <c r="H13" s="180"/>
    </row>
    <row r="14" spans="1:8" ht="66" customHeight="1">
      <c r="A14" s="101" t="s">
        <v>19</v>
      </c>
      <c r="B14" s="101"/>
      <c r="C14" s="101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Bhagwati Celeste, CTS No.5537 to 5538, 5543 to 5544, 5648 to 5671, 5672/1 to 5672/4, 5672/9 to 5672/20, 5673 to 5681, 5683 to 5684, 5776 to 5797 &amp; 5849 to 5850, near Waman Shrushti Building, Ayare Gaon Road, Mhatre Nagar, Ayare, Dombivli East, Kalyan, Thane - 421201.</v>
      </c>
      <c r="D14" s="101"/>
      <c r="E14" s="101"/>
      <c r="F14" s="101"/>
      <c r="G14" s="101"/>
      <c r="H14" s="101"/>
    </row>
    <row r="15" spans="1:8" ht="31.5" customHeight="1">
      <c r="A15" s="178" t="s">
        <v>20</v>
      </c>
      <c r="B15" s="178"/>
      <c r="C15" s="178" t="s">
        <v>229</v>
      </c>
      <c r="D15" s="178"/>
      <c r="E15" s="178"/>
      <c r="F15" s="178"/>
      <c r="G15" s="178"/>
      <c r="H15" s="178"/>
    </row>
    <row r="16" spans="1:8" ht="15.75" customHeight="1">
      <c r="A16" s="228" t="s">
        <v>21</v>
      </c>
      <c r="B16" s="229"/>
      <c r="C16" s="228" t="s">
        <v>22</v>
      </c>
      <c r="D16" s="230"/>
      <c r="E16" s="230"/>
      <c r="F16" s="230"/>
      <c r="G16" s="230"/>
      <c r="H16" s="229"/>
    </row>
    <row r="17" spans="1:8" ht="15.75" customHeight="1">
      <c r="A17" s="101" t="s">
        <v>23</v>
      </c>
      <c r="B17" s="101"/>
      <c r="C17" s="178" t="s">
        <v>24</v>
      </c>
      <c r="D17" s="178"/>
      <c r="E17" s="101" t="s">
        <v>25</v>
      </c>
      <c r="F17" s="101"/>
      <c r="G17" s="178" t="s">
        <v>26</v>
      </c>
      <c r="H17" s="178"/>
    </row>
    <row r="18" spans="1:8">
      <c r="A18" s="100" t="s">
        <v>27</v>
      </c>
      <c r="B18" s="100"/>
      <c r="C18" s="178" t="s">
        <v>28</v>
      </c>
      <c r="D18" s="178"/>
      <c r="E18" s="101" t="s">
        <v>29</v>
      </c>
      <c r="F18" s="101"/>
      <c r="G18" s="227" t="s">
        <v>30</v>
      </c>
      <c r="H18" s="227"/>
    </row>
    <row r="19" spans="1:8">
      <c r="A19" s="100" t="s">
        <v>31</v>
      </c>
      <c r="B19" s="100"/>
      <c r="C19" s="178" t="s">
        <v>32</v>
      </c>
      <c r="D19" s="178"/>
      <c r="E19" s="101" t="s">
        <v>33</v>
      </c>
      <c r="F19" s="101"/>
      <c r="G19" s="178">
        <v>421201</v>
      </c>
      <c r="H19" s="178"/>
    </row>
    <row r="20" spans="1:8" ht="32.25" customHeight="1">
      <c r="A20" s="100" t="s">
        <v>34</v>
      </c>
      <c r="B20" s="100"/>
      <c r="C20" s="178" t="s">
        <v>35</v>
      </c>
      <c r="D20" s="178"/>
      <c r="E20" s="101" t="s">
        <v>36</v>
      </c>
      <c r="F20" s="101"/>
      <c r="G20" s="226" t="s">
        <v>37</v>
      </c>
      <c r="H20" s="226"/>
    </row>
    <row r="21" spans="1:8" ht="15" customHeight="1">
      <c r="A21" s="101" t="s">
        <v>38</v>
      </c>
      <c r="B21" s="101"/>
      <c r="C21" s="101"/>
      <c r="D21" s="101"/>
      <c r="E21" s="180" t="s">
        <v>39</v>
      </c>
      <c r="F21" s="180"/>
      <c r="G21" s="180"/>
      <c r="H21" s="180"/>
    </row>
    <row r="22" spans="1:8" ht="18.75" customHeight="1">
      <c r="A22" s="101"/>
      <c r="B22" s="101"/>
      <c r="C22" s="101"/>
      <c r="D22" s="101"/>
      <c r="E22" s="180"/>
      <c r="F22" s="180"/>
      <c r="G22" s="180"/>
      <c r="H22" s="180"/>
    </row>
    <row r="23" spans="1:8" ht="15" customHeight="1">
      <c r="A23" s="101" t="s">
        <v>40</v>
      </c>
      <c r="B23" s="101"/>
      <c r="C23" s="101"/>
      <c r="D23" s="101"/>
      <c r="E23" s="178" t="s">
        <v>41</v>
      </c>
      <c r="F23" s="178"/>
      <c r="G23" s="178"/>
      <c r="H23" s="178"/>
    </row>
    <row r="24" spans="1:8" ht="15" customHeight="1">
      <c r="A24" s="100" t="s">
        <v>42</v>
      </c>
      <c r="B24" s="100"/>
      <c r="C24" s="100"/>
      <c r="D24" s="100"/>
      <c r="E24" s="178" t="str">
        <f>IF(AND(G18="Mumbai"),"Upper Class","Middle Class")</f>
        <v>Middle Class</v>
      </c>
      <c r="F24" s="178"/>
      <c r="G24" s="178"/>
      <c r="H24" s="178"/>
    </row>
    <row r="25" spans="1:8">
      <c r="A25" s="100" t="s">
        <v>43</v>
      </c>
      <c r="B25" s="100"/>
      <c r="C25" s="100"/>
      <c r="D25" s="100"/>
      <c r="E25" s="178" t="s">
        <v>44</v>
      </c>
      <c r="F25" s="178"/>
      <c r="G25" s="178"/>
      <c r="H25" s="178"/>
    </row>
    <row r="26" spans="1:8" ht="15.75" customHeight="1">
      <c r="A26" s="100" t="s">
        <v>45</v>
      </c>
      <c r="B26" s="100"/>
      <c r="C26" s="100"/>
      <c r="D26" s="100"/>
      <c r="E26" s="178" t="str">
        <f>IF(AND(G18="Mumbai"),"Developed","Developing")</f>
        <v>Developing</v>
      </c>
      <c r="F26" s="178"/>
      <c r="G26" s="178"/>
      <c r="H26" s="178"/>
    </row>
    <row r="27" spans="1:8">
      <c r="A27" s="100" t="s">
        <v>46</v>
      </c>
      <c r="B27" s="100"/>
      <c r="C27" s="100"/>
      <c r="D27" s="100"/>
      <c r="E27" s="178" t="s">
        <v>47</v>
      </c>
      <c r="F27" s="178"/>
      <c r="G27" s="178"/>
      <c r="H27" s="178"/>
    </row>
    <row r="28" spans="1:8" ht="15.75" customHeight="1">
      <c r="A28" s="100" t="s">
        <v>48</v>
      </c>
      <c r="B28" s="100"/>
      <c r="C28" s="100"/>
      <c r="D28" s="100"/>
      <c r="E28" s="178" t="s">
        <v>49</v>
      </c>
      <c r="F28" s="178"/>
      <c r="G28" s="178"/>
      <c r="H28" s="178"/>
    </row>
    <row r="29" spans="1:8" ht="15" customHeight="1">
      <c r="A29" s="100" t="s">
        <v>50</v>
      </c>
      <c r="B29" s="100"/>
      <c r="C29" s="100"/>
      <c r="D29" s="100"/>
      <c r="E29" s="178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 + Commercial</v>
      </c>
      <c r="F29" s="178"/>
      <c r="G29" s="178"/>
      <c r="H29" s="178"/>
    </row>
    <row r="30" spans="1:8" ht="15.75" customHeight="1">
      <c r="A30" s="100" t="s">
        <v>51</v>
      </c>
      <c r="B30" s="100"/>
      <c r="C30" s="100"/>
      <c r="D30" s="100"/>
      <c r="E30" s="178" t="s">
        <v>52</v>
      </c>
      <c r="F30" s="178"/>
      <c r="G30" s="178"/>
      <c r="H30" s="178"/>
    </row>
    <row r="31" spans="1:8" s="13" customFormat="1">
      <c r="A31" s="224" t="s">
        <v>53</v>
      </c>
      <c r="B31" s="224"/>
      <c r="C31" s="225" t="s">
        <v>54</v>
      </c>
      <c r="D31" s="225"/>
      <c r="E31" s="225"/>
      <c r="F31" s="225" t="s">
        <v>55</v>
      </c>
      <c r="G31" s="225"/>
      <c r="H31" s="225"/>
    </row>
    <row r="32" spans="1:8" s="13" customFormat="1">
      <c r="A32" s="220" t="s">
        <v>56</v>
      </c>
      <c r="B32" s="220" t="s">
        <v>57</v>
      </c>
      <c r="C32" s="221" t="s">
        <v>57</v>
      </c>
      <c r="D32" s="221"/>
      <c r="E32" s="221"/>
      <c r="F32" s="221" t="s">
        <v>35</v>
      </c>
      <c r="G32" s="221"/>
      <c r="H32" s="221"/>
    </row>
    <row r="33" spans="1:11">
      <c r="A33" s="220" t="s">
        <v>58</v>
      </c>
      <c r="B33" s="220" t="s">
        <v>57</v>
      </c>
      <c r="C33" s="221" t="s">
        <v>57</v>
      </c>
      <c r="D33" s="221"/>
      <c r="E33" s="221"/>
      <c r="F33" s="221" t="s">
        <v>59</v>
      </c>
      <c r="G33" s="221"/>
      <c r="H33" s="221"/>
    </row>
    <row r="34" spans="1:11" s="13" customFormat="1">
      <c r="A34" s="220" t="s">
        <v>60</v>
      </c>
      <c r="B34" s="220" t="s">
        <v>57</v>
      </c>
      <c r="C34" s="221" t="s">
        <v>57</v>
      </c>
      <c r="D34" s="221"/>
      <c r="E34" s="221"/>
      <c r="F34" s="221" t="s">
        <v>61</v>
      </c>
      <c r="G34" s="221"/>
      <c r="H34" s="221"/>
    </row>
    <row r="35" spans="1:11">
      <c r="A35" s="220" t="s">
        <v>62</v>
      </c>
      <c r="B35" s="220" t="s">
        <v>57</v>
      </c>
      <c r="C35" s="221" t="s">
        <v>57</v>
      </c>
      <c r="D35" s="221"/>
      <c r="E35" s="221"/>
      <c r="F35" s="221" t="s">
        <v>63</v>
      </c>
      <c r="G35" s="221"/>
      <c r="H35" s="221"/>
    </row>
    <row r="36" spans="1:11">
      <c r="A36" s="100" t="s">
        <v>64</v>
      </c>
      <c r="B36" s="100"/>
      <c r="C36" s="100"/>
      <c r="D36" s="100"/>
      <c r="E36" s="100"/>
      <c r="F36" s="100"/>
      <c r="G36" s="100"/>
      <c r="H36" s="100"/>
    </row>
    <row r="37" spans="1:11" ht="15.75" customHeight="1">
      <c r="A37" s="131" t="s">
        <v>65</v>
      </c>
      <c r="B37" s="131"/>
      <c r="C37" s="222">
        <v>19.208759000000001</v>
      </c>
      <c r="D37" s="222"/>
      <c r="E37" s="131" t="s">
        <v>66</v>
      </c>
      <c r="F37" s="131"/>
      <c r="G37" s="223">
        <v>73.081547999999998</v>
      </c>
      <c r="H37" s="223"/>
    </row>
    <row r="38" spans="1:11">
      <c r="A38" s="131" t="s">
        <v>67</v>
      </c>
      <c r="B38" s="131"/>
      <c r="C38" s="214" t="s">
        <v>68</v>
      </c>
      <c r="D38" s="178"/>
      <c r="E38" s="178"/>
      <c r="F38" s="178"/>
      <c r="G38" s="178"/>
      <c r="H38" s="178"/>
    </row>
    <row r="39" spans="1:11">
      <c r="A39" s="215" t="s">
        <v>69</v>
      </c>
      <c r="B39" s="216"/>
      <c r="C39" s="216"/>
      <c r="D39" s="216"/>
      <c r="E39" s="216"/>
      <c r="F39" s="216"/>
      <c r="G39" s="216"/>
      <c r="H39" s="194"/>
    </row>
    <row r="40" spans="1:11">
      <c r="A40" s="100" t="s">
        <v>70</v>
      </c>
      <c r="B40" s="100"/>
      <c r="C40" s="100"/>
      <c r="D40" s="100"/>
      <c r="E40" s="217">
        <v>3225.84</v>
      </c>
      <c r="F40" s="218"/>
      <c r="G40" s="218"/>
      <c r="H40" s="219"/>
      <c r="I40" s="24">
        <v>3225.84</v>
      </c>
      <c r="J40" s="20">
        <v>3225.84</v>
      </c>
      <c r="K40" s="24">
        <f>J41/J40</f>
        <v>1.6704486273342758</v>
      </c>
    </row>
    <row r="41" spans="1:11">
      <c r="A41" s="100" t="s">
        <v>71</v>
      </c>
      <c r="B41" s="100"/>
      <c r="C41" s="100"/>
      <c r="D41" s="100"/>
      <c r="E41" s="205">
        <v>1.67</v>
      </c>
      <c r="F41" s="206"/>
      <c r="G41" s="206"/>
      <c r="H41" s="207"/>
      <c r="J41" s="20">
        <v>5388.6</v>
      </c>
      <c r="K41" s="20">
        <f>J42/J40</f>
        <v>1.9119609156064776</v>
      </c>
    </row>
    <row r="42" spans="1:11">
      <c r="A42" s="100" t="s">
        <v>72</v>
      </c>
      <c r="B42" s="100"/>
      <c r="C42" s="100"/>
      <c r="D42" s="100"/>
      <c r="E42" s="205">
        <f>E44/E40-E41</f>
        <v>2.3196957071646458</v>
      </c>
      <c r="F42" s="206"/>
      <c r="G42" s="206"/>
      <c r="H42" s="207"/>
      <c r="J42" s="24">
        <v>6167.68</v>
      </c>
    </row>
    <row r="43" spans="1:11">
      <c r="A43" s="100" t="s">
        <v>73</v>
      </c>
      <c r="B43" s="100"/>
      <c r="C43" s="100"/>
      <c r="D43" s="100"/>
      <c r="E43" s="205">
        <f>E41+E42</f>
        <v>3.9896957071646457</v>
      </c>
      <c r="F43" s="206"/>
      <c r="G43" s="206"/>
      <c r="H43" s="207"/>
    </row>
    <row r="44" spans="1:11">
      <c r="A44" s="100" t="s">
        <v>74</v>
      </c>
      <c r="B44" s="100"/>
      <c r="C44" s="100"/>
      <c r="D44" s="100"/>
      <c r="E44" s="208">
        <v>12870.12</v>
      </c>
      <c r="F44" s="209"/>
      <c r="G44" s="209"/>
      <c r="H44" s="210"/>
    </row>
    <row r="45" spans="1:11">
      <c r="A45" s="180" t="s">
        <v>75</v>
      </c>
      <c r="B45" s="180"/>
      <c r="C45" s="180"/>
      <c r="D45" s="180"/>
      <c r="E45" s="180" t="s">
        <v>76</v>
      </c>
      <c r="F45" s="180"/>
      <c r="G45" s="180"/>
      <c r="H45" s="180"/>
    </row>
    <row r="46" spans="1:11">
      <c r="A46" s="142" t="s">
        <v>77</v>
      </c>
      <c r="B46" s="142"/>
      <c r="C46" s="142"/>
      <c r="D46" s="142"/>
      <c r="E46" s="142"/>
      <c r="F46" s="142"/>
      <c r="G46" s="142"/>
      <c r="H46" s="142"/>
    </row>
    <row r="47" spans="1:11" ht="33.75" customHeight="1">
      <c r="A47" s="196" t="s">
        <v>78</v>
      </c>
      <c r="B47" s="197"/>
      <c r="C47" s="211" t="s">
        <v>79</v>
      </c>
      <c r="D47" s="212"/>
      <c r="E47" s="212"/>
      <c r="F47" s="212"/>
      <c r="G47" s="212"/>
      <c r="H47" s="213"/>
    </row>
    <row r="48" spans="1:11" ht="15.75" customHeight="1">
      <c r="A48" s="196" t="s">
        <v>80</v>
      </c>
      <c r="B48" s="197"/>
      <c r="C48" s="196" t="s">
        <v>228</v>
      </c>
      <c r="D48" s="198"/>
      <c r="E48" s="197"/>
      <c r="F48" s="22" t="s">
        <v>81</v>
      </c>
      <c r="G48" s="199">
        <v>45624</v>
      </c>
      <c r="H48" s="197"/>
    </row>
    <row r="49" spans="1:14">
      <c r="A49" s="196" t="s">
        <v>82</v>
      </c>
      <c r="B49" s="197"/>
      <c r="C49" s="196" t="str">
        <f>C48</f>
        <v>KDMCB/0001/2024/APL</v>
      </c>
      <c r="D49" s="198"/>
      <c r="E49" s="197"/>
      <c r="F49" s="22" t="s">
        <v>81</v>
      </c>
      <c r="G49" s="199">
        <f>G48</f>
        <v>45624</v>
      </c>
      <c r="H49" s="200"/>
    </row>
    <row r="50" spans="1:14" s="14" customFormat="1" ht="15.75" customHeight="1">
      <c r="A50" s="201" t="s">
        <v>83</v>
      </c>
      <c r="B50" s="202"/>
      <c r="C50" s="196" t="str">
        <f>C49</f>
        <v>KDMCB/0001/2024/APL</v>
      </c>
      <c r="D50" s="198"/>
      <c r="E50" s="197"/>
      <c r="F50" s="22" t="s">
        <v>81</v>
      </c>
      <c r="G50" s="199">
        <f>G49</f>
        <v>45624</v>
      </c>
      <c r="H50" s="200"/>
    </row>
    <row r="51" spans="1:14" s="14" customFormat="1" ht="82.5" customHeight="1">
      <c r="A51" s="203"/>
      <c r="B51" s="204"/>
      <c r="C51" s="196" t="s">
        <v>230</v>
      </c>
      <c r="D51" s="198"/>
      <c r="E51" s="198"/>
      <c r="F51" s="198"/>
      <c r="G51" s="198"/>
      <c r="H51" s="197"/>
    </row>
    <row r="52" spans="1:14">
      <c r="A52" s="186" t="s">
        <v>84</v>
      </c>
      <c r="B52" s="187"/>
      <c r="C52" s="190" t="s">
        <v>57</v>
      </c>
      <c r="D52" s="191"/>
      <c r="E52" s="192"/>
      <c r="F52" s="23" t="s">
        <v>81</v>
      </c>
      <c r="G52" s="193" t="s">
        <v>57</v>
      </c>
      <c r="H52" s="194"/>
    </row>
    <row r="53" spans="1:14">
      <c r="A53" s="188"/>
      <c r="B53" s="189"/>
      <c r="C53" s="190" t="s">
        <v>57</v>
      </c>
      <c r="D53" s="191"/>
      <c r="E53" s="191"/>
      <c r="F53" s="191"/>
      <c r="G53" s="191"/>
      <c r="H53" s="192"/>
    </row>
    <row r="54" spans="1:14">
      <c r="A54" s="109" t="s">
        <v>85</v>
      </c>
      <c r="B54" s="109"/>
      <c r="C54" s="109"/>
      <c r="D54" s="109"/>
      <c r="E54" s="109"/>
      <c r="F54" s="109"/>
      <c r="G54" s="109"/>
      <c r="H54" s="109"/>
    </row>
    <row r="55" spans="1:14">
      <c r="A55" s="101" t="s">
        <v>86</v>
      </c>
      <c r="B55" s="101"/>
      <c r="C55" s="101"/>
      <c r="D55" s="195">
        <f>E44</f>
        <v>12870.12</v>
      </c>
      <c r="E55" s="100"/>
      <c r="F55" s="100"/>
      <c r="G55" s="100"/>
      <c r="H55" s="100"/>
    </row>
    <row r="56" spans="1:14">
      <c r="A56" s="178" t="s">
        <v>87</v>
      </c>
      <c r="B56" s="180"/>
      <c r="C56" s="180"/>
      <c r="D56" s="180" t="s">
        <v>242</v>
      </c>
      <c r="E56" s="180"/>
      <c r="F56" s="180"/>
      <c r="G56" s="180"/>
      <c r="H56" s="180"/>
      <c r="I56" s="25"/>
    </row>
    <row r="57" spans="1:14" ht="66" customHeight="1">
      <c r="A57" s="181" t="s">
        <v>88</v>
      </c>
      <c r="B57" s="182"/>
      <c r="C57" s="183"/>
      <c r="D57" s="184" t="s">
        <v>243</v>
      </c>
      <c r="E57" s="185"/>
      <c r="F57" s="185"/>
      <c r="G57" s="185"/>
      <c r="H57" s="185"/>
    </row>
    <row r="58" spans="1:14" ht="15.75" customHeight="1">
      <c r="A58" s="178" t="s">
        <v>89</v>
      </c>
      <c r="B58" s="178"/>
      <c r="C58" s="178"/>
      <c r="D58" s="180" t="s">
        <v>90</v>
      </c>
      <c r="E58" s="180"/>
      <c r="F58" s="180"/>
      <c r="G58" s="180"/>
      <c r="H58" s="180"/>
    </row>
    <row r="59" spans="1:14" ht="15.75" customHeight="1">
      <c r="A59" s="178"/>
      <c r="B59" s="178"/>
      <c r="C59" s="178"/>
      <c r="D59" s="180" t="s">
        <v>91</v>
      </c>
      <c r="E59" s="180"/>
      <c r="F59" s="180"/>
      <c r="G59" s="180"/>
      <c r="H59" s="180"/>
    </row>
    <row r="60" spans="1:14" ht="15.75" customHeight="1">
      <c r="A60" s="178"/>
      <c r="B60" s="178"/>
      <c r="C60" s="178"/>
      <c r="D60" s="180" t="s">
        <v>92</v>
      </c>
      <c r="E60" s="180"/>
      <c r="F60" s="180"/>
      <c r="G60" s="180"/>
      <c r="H60" s="180"/>
    </row>
    <row r="61" spans="1:14" ht="15.75" customHeight="1">
      <c r="A61" s="178"/>
      <c r="B61" s="178"/>
      <c r="C61" s="178"/>
      <c r="D61" s="180" t="s">
        <v>93</v>
      </c>
      <c r="E61" s="180"/>
      <c r="F61" s="180"/>
      <c r="G61" s="180"/>
      <c r="H61" s="180"/>
    </row>
    <row r="62" spans="1:14" ht="15.75" customHeight="1">
      <c r="A62" s="100" t="s">
        <v>94</v>
      </c>
      <c r="B62" s="100"/>
      <c r="C62" s="100"/>
      <c r="D62" s="101" t="s">
        <v>95</v>
      </c>
      <c r="E62" s="101"/>
      <c r="F62" s="101"/>
      <c r="G62" s="101"/>
      <c r="H62" s="101"/>
      <c r="J62" s="26"/>
      <c r="K62" s="25"/>
      <c r="N62" s="25"/>
    </row>
    <row r="63" spans="1:14" ht="15.75" customHeight="1">
      <c r="A63" s="100" t="s">
        <v>96</v>
      </c>
      <c r="B63" s="100"/>
      <c r="C63" s="100"/>
      <c r="D63" s="179" t="str">
        <f>(IF(G52="NA","60 Years After Completion",IF(G52&lt;&gt;"NA",""&amp;60-ROUNDDOWN((E3-G52)/360,0)&amp;" Years"," ")))</f>
        <v>60 Years After Completion</v>
      </c>
      <c r="E63" s="179"/>
      <c r="F63" s="179"/>
      <c r="G63" s="179"/>
      <c r="H63" s="179"/>
      <c r="N63" s="25"/>
    </row>
    <row r="64" spans="1:14" ht="15.75" customHeight="1">
      <c r="A64" s="100" t="s">
        <v>97</v>
      </c>
      <c r="B64" s="100"/>
      <c r="C64" s="100"/>
      <c r="D64" s="101" t="s">
        <v>47</v>
      </c>
      <c r="E64" s="101"/>
      <c r="F64" s="101"/>
      <c r="G64" s="101"/>
      <c r="H64" s="101"/>
      <c r="J64" s="27"/>
      <c r="K64" s="27"/>
    </row>
    <row r="65" spans="1:14" ht="15" hidden="1" customHeight="1">
      <c r="A65" s="100" t="s">
        <v>98</v>
      </c>
      <c r="B65" s="100"/>
      <c r="C65" s="100"/>
      <c r="D65" s="178" t="s">
        <v>99</v>
      </c>
      <c r="E65" s="101"/>
      <c r="F65" s="101"/>
      <c r="G65" s="101"/>
      <c r="H65" s="101"/>
    </row>
    <row r="66" spans="1:14">
      <c r="A66" s="101" t="s">
        <v>100</v>
      </c>
      <c r="B66" s="101"/>
      <c r="C66" s="101"/>
      <c r="D66" s="101" t="s">
        <v>57</v>
      </c>
      <c r="E66" s="101"/>
      <c r="F66" s="101"/>
      <c r="G66" s="101"/>
      <c r="H66" s="101"/>
      <c r="I66" s="40"/>
      <c r="J66" s="40"/>
      <c r="K66" s="40"/>
      <c r="L66" s="40"/>
      <c r="M66" s="40"/>
      <c r="N66" s="40"/>
    </row>
    <row r="67" spans="1:14" ht="15.75" customHeight="1">
      <c r="A67" s="100" t="s">
        <v>101</v>
      </c>
      <c r="B67" s="100"/>
      <c r="C67" s="100"/>
      <c r="D67" s="178" t="str">
        <f ca="1">(IF(G73&gt;95%,"Nothing",IF(G73&gt;0%,"Cement, Aggregate, Steel, etc",IF(G73=0%,"Work not yet Started"))))</f>
        <v>Cement, Aggregate, Steel, etc</v>
      </c>
      <c r="E67" s="178"/>
      <c r="F67" s="178"/>
      <c r="G67" s="178"/>
      <c r="H67" s="178"/>
      <c r="J67" s="27"/>
    </row>
    <row r="68" spans="1:14" ht="33.75" customHeight="1">
      <c r="A68" s="101" t="s">
        <v>102</v>
      </c>
      <c r="B68" s="101"/>
      <c r="C68" s="101"/>
      <c r="D68" s="178" t="str">
        <f ca="1">(IF(D67="Nothing","Yes",IF(D67="Cement, Aggregate, Steel, etc","Under Construction",IF(D67="Work not yet Started","Work not yet Started"))))</f>
        <v>Under Construction</v>
      </c>
      <c r="E68" s="178"/>
      <c r="F68" s="178" t="str">
        <f ca="1">(IF(D67="Nothing","Yes",IF(D67="Cement, Aggregate, Steel, etc","Under Construction",IF(D67="Work not yet Started","Work not yet Started"))))</f>
        <v>Under Construction</v>
      </c>
      <c r="G68" s="178"/>
      <c r="H68" s="178"/>
    </row>
    <row r="69" spans="1:14" ht="15.75" customHeight="1">
      <c r="A69" s="149" t="s">
        <v>103</v>
      </c>
      <c r="B69" s="150"/>
      <c r="C69" s="151" t="str">
        <f>D58</f>
        <v>Building No.1 (A Wing) - Aries = G + 1st to 19th Floor</v>
      </c>
      <c r="D69" s="152"/>
      <c r="E69" s="152"/>
      <c r="F69" s="152"/>
      <c r="G69" s="152"/>
      <c r="H69" s="153"/>
      <c r="I69" s="41" t="str">
        <f ca="1">IF(D82=100%,"All work Completed. Possession granted to the Building.",IF(D81=100%,"All work Completed, Waiting for OC",I70&amp;""&amp;I71&amp;""&amp;J70&amp;""&amp;J69&amp;" "&amp;J71))</f>
        <v>Excavation, Plinth Completed, RCC upto 18 Slab, Brickwork upto 13 Floor, Internal Plaster upto 11 Floor, External Plaster upto 5 Floor Completed</v>
      </c>
      <c r="J69" s="42" t="str">
        <f ca="1">(IF(C75=(D70+F70+H70),"",IF(C75&gt;0,", RCC upto "&amp;C75&amp;" Slab","")))&amp;(IF(C76=H70,"",IF(C76&gt;0,", Brickwork upto "&amp;C76&amp;" Floor","")))&amp;(IF(C77=H70,"",IF(C77&gt;0,", Internal Plaster upto "&amp;C77&amp;" Floor","")))&amp;(IF(C78=H70,"",IF(C78&gt;0,", External Plaster upto "&amp;C78&amp;" Floor","")))&amp;(IF(C79=H70,"",IF(C79&gt;0,", Flooring upto "&amp;C79&amp;" Floor","")))&amp;(IF(C80=H70,"",IF(C80&gt;0,", Painting upto "&amp;C80&amp;" Floor","")))&amp;(IF(C81=H70,"",IF(C81&gt;0,", Finishing upto "&amp;C81&amp;" Floor","")))&amp;(IF(C82=H70,"",IF(C82&gt;0,", Possession upto "&amp;C82&amp;" Floor","")))</f>
        <v>, RCC upto 18 Slab, Brickwork upto 13 Floor, Internal Plaster upto 11 Floor, External Plaster upto 5 Floor</v>
      </c>
    </row>
    <row r="70" spans="1:14">
      <c r="A70" s="28" t="s">
        <v>104</v>
      </c>
      <c r="B70" s="21">
        <v>0</v>
      </c>
      <c r="C70" s="21" t="s">
        <v>105</v>
      </c>
      <c r="D70" s="21">
        <v>1</v>
      </c>
      <c r="E70" s="21" t="s">
        <v>106</v>
      </c>
      <c r="F70" s="21">
        <v>0</v>
      </c>
      <c r="G70" s="21" t="s">
        <v>107</v>
      </c>
      <c r="H70" s="29">
        <f ca="1">--TRIM(RIGHT(SUBSTITUTE(LEFT(C69,_xlfn.AGGREGATE(16,6,FIND({0,1,2,3,4,5,6,7,8,9},C69,ROW(INDIRECT("1:"&amp;LEN(C69)))),1))," ",REPT(" ",LEN(C69))),LEN(C69)))</f>
        <v>19</v>
      </c>
      <c r="I70" s="43" t="str">
        <f ca="1">IF(D73=100%,"Excavation","")&amp;IF(D74=100%,", Plinth","")&amp;IF(D75=100%,", RCC Slab","")&amp;IF(D76=100%,", Brickwork","")&amp;IF(D77=100%,", Internal Plaster","")&amp;IF(D78=100%,", External Plaster","")&amp;IF(D79=100%,", Flooring","")&amp;IF(D80=100%,", Painting","")&amp;IF(D81=100%,", Building common Amenities","")</f>
        <v>Excavation, Plinth</v>
      </c>
      <c r="J70" s="44" t="str">
        <f ca="1">(IF(C73=0,"Work not yet Started.",IF(D73=25%,"Piling work in process",IF(D73=50%,"Excavation work in process",IF(D73=100%,"","0")))))&amp;(IF(C74=0%,"",IF(C74=J75,", Footing work is process",IF(C74=J76,", Footing work Completed",IF(C74=J77,", 1st Basement Completed",IF(C74=J78,", 1st &amp; 2nd Basement Completed",IF(C74=J79,", 1st to 3rd Basement Completed",IF(C74=J80,", 1st to 4th Basement Completed",IF(C74=J81,", Plinth work is process",IF(C74=J82,"","0"))))))))))</f>
        <v/>
      </c>
    </row>
    <row r="71" spans="1:14" ht="31.5" customHeight="1">
      <c r="A71" s="154" t="s">
        <v>108</v>
      </c>
      <c r="B71" s="155"/>
      <c r="C71" s="156" t="str">
        <f ca="1">(IF($C$53=C69,"All work Completed. OC Received.",I69))</f>
        <v>Excavation, Plinth Completed, RCC upto 18 Slab, Brickwork upto 13 Floor, Internal Plaster upto 11 Floor, External Plaster upto 5 Floor Completed</v>
      </c>
      <c r="D71" s="156"/>
      <c r="E71" s="156"/>
      <c r="F71" s="156"/>
      <c r="G71" s="156"/>
      <c r="H71" s="157"/>
      <c r="I71" s="43" t="str">
        <f ca="1">IF(I70&lt;&gt;""," Completed","")</f>
        <v xml:space="preserve"> Completed</v>
      </c>
      <c r="J71" s="44" t="str">
        <f ca="1">IF(J69&lt;&gt;"","Completed","")</f>
        <v>Completed</v>
      </c>
    </row>
    <row r="72" spans="1:14" ht="15.75" customHeight="1">
      <c r="A72" s="143" t="s">
        <v>109</v>
      </c>
      <c r="B72" s="144"/>
      <c r="C72" s="30" t="s">
        <v>110</v>
      </c>
      <c r="D72" s="30" t="s">
        <v>111</v>
      </c>
      <c r="E72" s="144" t="s">
        <v>112</v>
      </c>
      <c r="F72" s="144"/>
      <c r="G72" s="144" t="s">
        <v>113</v>
      </c>
      <c r="H72" s="158"/>
      <c r="I72" s="45" t="s">
        <v>114</v>
      </c>
      <c r="J72" s="46">
        <f ca="1">H70*25%</f>
        <v>4.75</v>
      </c>
    </row>
    <row r="73" spans="1:14">
      <c r="A73" s="143" t="s">
        <v>115</v>
      </c>
      <c r="B73" s="144"/>
      <c r="C73" s="31">
        <f ca="1">J74</f>
        <v>19</v>
      </c>
      <c r="D73" s="32">
        <f ca="1">((100/H70)*C73)/100</f>
        <v>1</v>
      </c>
      <c r="E73" s="160">
        <f ca="1">(((C74/H70*10)+(40/(D70+F70+H70)*C75)+(7.5/(H70)*C76)+(7.5/(H70)*C77)+(10/H70*C78)+(10/H70*C79)+(5/H70*C80)+(5/H70*C81)+(5/H70*C82))/100)</f>
        <v>0.58105263157894738</v>
      </c>
      <c r="F73" s="161"/>
      <c r="G73" s="160">
        <f ca="1">((((C73/H70)*20)+((C74/H70)*25)+(30/(H70+F70+D70)*C75)+(5/H70*C76)+(5/H70*C77)+(5/H70*C78)+(5/H70*C79)+(0/H70*C80)+(0/H70*C81)+(5/H70*C82))/100)</f>
        <v>0.79631578947368409</v>
      </c>
      <c r="H73" s="166"/>
      <c r="I73" s="45" t="s">
        <v>116</v>
      </c>
      <c r="J73" s="47">
        <f ca="1">H70*50%</f>
        <v>9.5</v>
      </c>
    </row>
    <row r="74" spans="1:14">
      <c r="A74" s="143" t="s">
        <v>117</v>
      </c>
      <c r="B74" s="144"/>
      <c r="C74" s="33">
        <f ca="1">J82</f>
        <v>19</v>
      </c>
      <c r="D74" s="32">
        <f ca="1">((100/H70)*C74)/100</f>
        <v>1</v>
      </c>
      <c r="E74" s="162"/>
      <c r="F74" s="163"/>
      <c r="G74" s="162"/>
      <c r="H74" s="167"/>
      <c r="I74" s="45" t="s">
        <v>118</v>
      </c>
      <c r="J74" s="47">
        <f ca="1">H70</f>
        <v>19</v>
      </c>
    </row>
    <row r="75" spans="1:14" ht="15.75" customHeight="1">
      <c r="A75" s="143" t="s">
        <v>119</v>
      </c>
      <c r="B75" s="144"/>
      <c r="C75" s="30">
        <v>18</v>
      </c>
      <c r="D75" s="32">
        <f ca="1">((100/(D70+F70+H70))*C75)/100</f>
        <v>0.9</v>
      </c>
      <c r="E75" s="162"/>
      <c r="F75" s="163"/>
      <c r="G75" s="162"/>
      <c r="H75" s="167"/>
      <c r="I75" s="45" t="s">
        <v>120</v>
      </c>
      <c r="J75" s="48">
        <f ca="1">(IF(B70&gt;1,(H70/(B70+2)),H70/4))</f>
        <v>4.75</v>
      </c>
    </row>
    <row r="76" spans="1:14" ht="15.75" customHeight="1">
      <c r="A76" s="143" t="s">
        <v>121</v>
      </c>
      <c r="B76" s="144" t="s">
        <v>122</v>
      </c>
      <c r="C76" s="30">
        <v>13</v>
      </c>
      <c r="D76" s="32">
        <f ca="1">((100/H70)*C76)/100</f>
        <v>0.6842105263157896</v>
      </c>
      <c r="E76" s="162"/>
      <c r="F76" s="163"/>
      <c r="G76" s="162"/>
      <c r="H76" s="167"/>
      <c r="I76" s="45" t="s">
        <v>123</v>
      </c>
      <c r="J76" s="48">
        <f ca="1">(IF(B70&gt;1,(H70/(B70+2)+J75),H70/4+J75))</f>
        <v>9.5</v>
      </c>
    </row>
    <row r="77" spans="1:14" ht="15.75" customHeight="1">
      <c r="A77" s="143" t="s">
        <v>124</v>
      </c>
      <c r="B77" s="144" t="s">
        <v>122</v>
      </c>
      <c r="C77" s="30">
        <v>11</v>
      </c>
      <c r="D77" s="32">
        <f ca="1">((100/H70)*C77)/100</f>
        <v>0.57894736842105265</v>
      </c>
      <c r="E77" s="162"/>
      <c r="F77" s="163"/>
      <c r="G77" s="162"/>
      <c r="H77" s="167"/>
      <c r="I77" s="45" t="s">
        <v>125</v>
      </c>
      <c r="J77" s="48">
        <f>(IF(B70&gt;1,(H70/(B70+2)+J76),0))</f>
        <v>0</v>
      </c>
    </row>
    <row r="78" spans="1:14" ht="15" customHeight="1">
      <c r="A78" s="143" t="s">
        <v>126</v>
      </c>
      <c r="B78" s="144" t="s">
        <v>127</v>
      </c>
      <c r="C78" s="30">
        <v>5</v>
      </c>
      <c r="D78" s="32">
        <f ca="1">((100/(H70))*C78)/100</f>
        <v>0.26315789473684215</v>
      </c>
      <c r="E78" s="162"/>
      <c r="F78" s="163"/>
      <c r="G78" s="162"/>
      <c r="H78" s="167"/>
      <c r="I78" s="45" t="s">
        <v>128</v>
      </c>
      <c r="J78" s="48">
        <f>(IF(B70&gt;2,(H70/(B70+2)+J77),0))</f>
        <v>0</v>
      </c>
    </row>
    <row r="79" spans="1:14" ht="15.75" customHeight="1">
      <c r="A79" s="143" t="s">
        <v>129</v>
      </c>
      <c r="B79" s="144" t="s">
        <v>129</v>
      </c>
      <c r="C79" s="30">
        <v>0</v>
      </c>
      <c r="D79" s="32">
        <f ca="1">((100/H70)*C79)/100</f>
        <v>0</v>
      </c>
      <c r="E79" s="162"/>
      <c r="F79" s="163"/>
      <c r="G79" s="162"/>
      <c r="H79" s="167"/>
      <c r="I79" s="45" t="s">
        <v>130</v>
      </c>
      <c r="J79" s="49">
        <f>(IF(B70&gt;3,(H70/(B70+2)+J78),0))</f>
        <v>0</v>
      </c>
    </row>
    <row r="80" spans="1:14" ht="15.75" customHeight="1">
      <c r="A80" s="143" t="s">
        <v>131</v>
      </c>
      <c r="B80" s="144"/>
      <c r="C80" s="30">
        <v>0</v>
      </c>
      <c r="D80" s="32">
        <f ca="1">((100/H70)*C80)/100</f>
        <v>0</v>
      </c>
      <c r="E80" s="162"/>
      <c r="F80" s="163"/>
      <c r="G80" s="162"/>
      <c r="H80" s="167"/>
      <c r="I80" s="45" t="s">
        <v>132</v>
      </c>
      <c r="J80" s="48">
        <f>(IF(B70&gt;4,(H70/(B70+2)+J79),0))</f>
        <v>0</v>
      </c>
    </row>
    <row r="81" spans="1:10" ht="15.75" customHeight="1">
      <c r="A81" s="143" t="s">
        <v>133</v>
      </c>
      <c r="B81" s="144" t="s">
        <v>133</v>
      </c>
      <c r="C81" s="30">
        <v>0</v>
      </c>
      <c r="D81" s="32">
        <f ca="1">((100/(H70))*C81)/100</f>
        <v>0</v>
      </c>
      <c r="E81" s="162"/>
      <c r="F81" s="163"/>
      <c r="G81" s="162"/>
      <c r="H81" s="167"/>
      <c r="I81" s="45" t="s">
        <v>134</v>
      </c>
      <c r="J81" s="48">
        <f ca="1">(IF(B70=1,(H70/(B70+3)+J76),IF(B70=0,(H70/4+J76),IF(B70&gt;1,0))))</f>
        <v>14.25</v>
      </c>
    </row>
    <row r="82" spans="1:10">
      <c r="A82" s="145" t="s">
        <v>135</v>
      </c>
      <c r="B82" s="146"/>
      <c r="C82" s="34">
        <v>0</v>
      </c>
      <c r="D82" s="35">
        <f ca="1">((100/(H70))*C82)/100</f>
        <v>0</v>
      </c>
      <c r="E82" s="164"/>
      <c r="F82" s="165"/>
      <c r="G82" s="164"/>
      <c r="H82" s="168"/>
      <c r="I82" s="50" t="s">
        <v>136</v>
      </c>
      <c r="J82" s="51">
        <f ca="1">(IF(B70&gt;1.5,(H70/(B70+2)+J76+MAX(0,J77-J76)+MAX(0,J78-J77)+MAX(0,J79-J78)+MAX(0,J80-J79)+MAX(0,J81-J80)),IF(B70=1,(H70/(B70+3)+J81),IF(B70=0,H70/4+J81))))</f>
        <v>19</v>
      </c>
    </row>
    <row r="83" spans="1:10" ht="15.75" customHeight="1">
      <c r="A83" s="169" t="s">
        <v>103</v>
      </c>
      <c r="B83" s="170"/>
      <c r="C83" s="171" t="str">
        <f>D59</f>
        <v>Building No.1 (B Wing) - Taurus = G + 1st to 19th Floor</v>
      </c>
      <c r="D83" s="172"/>
      <c r="E83" s="172"/>
      <c r="F83" s="172"/>
      <c r="G83" s="172"/>
      <c r="H83" s="173"/>
      <c r="I83" s="41" t="str">
        <f ca="1">IF(D96=100%,"All work Completed. Possession granted to the Building.",IF(D95=100%,"All work Completed, Waiting for OC",I84&amp;""&amp;I85&amp;""&amp;J84&amp;""&amp;J83&amp;" "&amp;J85))</f>
        <v>Excavation, Plinth Completed, RCC upto 18 Slab, Brickwork upto 13 Floor, Internal Plaster upto 12 Floor, External Plaster upto 5 Floor Completed</v>
      </c>
      <c r="J83" s="42" t="str">
        <f ca="1">(IF(C89=(D84+F84+H84),"",IF(C89&gt;0,", RCC upto "&amp;C89&amp;" Slab","")))&amp;(IF(C90=H84,"",IF(C90&gt;0,", Brickwork upto "&amp;C90&amp;" Floor","")))&amp;(IF(C91=H84,"",IF(C91&gt;0,", Internal Plaster upto "&amp;C91&amp;" Floor","")))&amp;(IF(C92=H84,"",IF(C92&gt;0,", External Plaster upto "&amp;C92&amp;" Floor","")))&amp;(IF(C93=H84,"",IF(C93&gt;0,", Flooring upto "&amp;C93&amp;" Floor","")))&amp;(IF(C94=H84,"",IF(C94&gt;0,", Painting upto "&amp;C94&amp;" Floor","")))&amp;(IF(C95=H84,"",IF(C95&gt;0,", Finishing upto "&amp;C95&amp;" Floor","")))&amp;(IF(C96=H84,"",IF(C96&gt;0,", Possession upto "&amp;C96&amp;" Floor","")))</f>
        <v>, RCC upto 18 Slab, Brickwork upto 13 Floor, Internal Plaster upto 12 Floor, External Plaster upto 5 Floor</v>
      </c>
    </row>
    <row r="84" spans="1:10">
      <c r="A84" s="36" t="s">
        <v>104</v>
      </c>
      <c r="B84" s="37">
        <v>0</v>
      </c>
      <c r="C84" s="37" t="s">
        <v>105</v>
      </c>
      <c r="D84" s="37">
        <v>1</v>
      </c>
      <c r="E84" s="37" t="s">
        <v>106</v>
      </c>
      <c r="F84" s="37">
        <v>0</v>
      </c>
      <c r="G84" s="37" t="s">
        <v>107</v>
      </c>
      <c r="H84" s="38">
        <f ca="1">--TRIM(RIGHT(SUBSTITUTE(LEFT(C83,_xlfn.AGGREGATE(16,6,FIND({0,1,2,3,4,5,6,7,8,9},C83,ROW(INDIRECT("1:"&amp;LEN(C83)))),1))," ",REPT(" ",LEN(C83))),LEN(C83)))</f>
        <v>19</v>
      </c>
      <c r="I84" s="43" t="str">
        <f ca="1">IF(D87=100%,"Excavation","")&amp;IF(D88=100%,", Plinth","")&amp;IF(D89=100%,", RCC Slab","")&amp;IF(D90=100%,", Brickwork","")&amp;IF(D91=100%,", Internal Plaster","")&amp;IF(D92=100%,", External Plaster","")&amp;IF(D93=100%,", Flooring","")&amp;IF(D94=100%,", Painting","")&amp;IF(D95=100%,", Building common Amenities","")</f>
        <v>Excavation, Plinth</v>
      </c>
      <c r="J84" s="44" t="str">
        <f ca="1">(IF(C87=0,"Work not yet Started.",IF(D87=25%,"Piling work in process",IF(D87=50%,"Excavation work in process",IF(D87=100%,"","0")))))&amp;(IF(C88=0%,"",IF(C88=J89,", Footing work is process",IF(C88=J90,", Footing work Completed",IF(C88=J91,", 1st Basement Completed",IF(C88=J92,", 1st &amp; 2nd Basement Completed",IF(C88=J93,", 1st to 3rd Basement Completed",IF(C88=J94,", 1st to 4th Basement Completed",IF(C88=J95,", Plinth work is process",IF(C88=J96,"","0"))))))))))</f>
        <v/>
      </c>
    </row>
    <row r="85" spans="1:10" ht="32.25" customHeight="1">
      <c r="A85" s="174" t="s">
        <v>108</v>
      </c>
      <c r="B85" s="175"/>
      <c r="C85" s="176" t="str">
        <f ca="1">(IF($C$53=C83,"All work Completed. OC Received.",I83))</f>
        <v>Excavation, Plinth Completed, RCC upto 18 Slab, Brickwork upto 13 Floor, Internal Plaster upto 12 Floor, External Plaster upto 5 Floor Completed</v>
      </c>
      <c r="D85" s="176"/>
      <c r="E85" s="176"/>
      <c r="F85" s="176"/>
      <c r="G85" s="176"/>
      <c r="H85" s="177"/>
      <c r="I85" s="43" t="str">
        <f ca="1">IF(I84&lt;&gt;""," Completed","")</f>
        <v xml:space="preserve"> Completed</v>
      </c>
      <c r="J85" s="44" t="str">
        <f ca="1">IF(J83&lt;&gt;"","Completed","")</f>
        <v>Completed</v>
      </c>
    </row>
    <row r="86" spans="1:10" ht="15.75" customHeight="1">
      <c r="A86" s="143" t="s">
        <v>109</v>
      </c>
      <c r="B86" s="144"/>
      <c r="C86" s="30" t="s">
        <v>110</v>
      </c>
      <c r="D86" s="30" t="s">
        <v>111</v>
      </c>
      <c r="E86" s="144" t="s">
        <v>112</v>
      </c>
      <c r="F86" s="144"/>
      <c r="G86" s="144" t="s">
        <v>113</v>
      </c>
      <c r="H86" s="158"/>
      <c r="I86" s="45" t="s">
        <v>114</v>
      </c>
      <c r="J86" s="46">
        <f ca="1">H84*25%</f>
        <v>4.75</v>
      </c>
    </row>
    <row r="87" spans="1:10">
      <c r="A87" s="144" t="s">
        <v>115</v>
      </c>
      <c r="B87" s="144"/>
      <c r="C87" s="75">
        <f ca="1">J88</f>
        <v>19</v>
      </c>
      <c r="D87" s="32">
        <f ca="1">((100/H84)*C87)/100</f>
        <v>1</v>
      </c>
      <c r="E87" s="159">
        <f ca="1">(((C88/H84*10)+(40/(D84+F84+H84)*C89)+(7.5/(H84)*C90)+(7.5/(H84)*C91)+(10/H84*C92)+(10/H84*C93)+(5/H84*C94)+(5/H84*C95)+(5/H84*C96))/100)</f>
        <v>0.58499999999999996</v>
      </c>
      <c r="F87" s="159"/>
      <c r="G87" s="159">
        <f ca="1">((((C87/H84)*20)+((C88/H84)*25)+(30/(H84+F84+D84)*C89)+(5/H84*C90)+(5/H84*C91)+(5/H84*C92)+(5/H84*C93)+(0/H84*C94)+(0/H84*C95)+(5/H84*C96))/100)</f>
        <v>0.79894736842105263</v>
      </c>
      <c r="H87" s="159"/>
      <c r="I87" s="45" t="s">
        <v>116</v>
      </c>
      <c r="J87" s="47">
        <f ca="1">H84*50%</f>
        <v>9.5</v>
      </c>
    </row>
    <row r="88" spans="1:10">
      <c r="A88" s="144" t="s">
        <v>117</v>
      </c>
      <c r="B88" s="144"/>
      <c r="C88" s="39">
        <f ca="1">J96</f>
        <v>19</v>
      </c>
      <c r="D88" s="32">
        <f ca="1">((100/H84)*C88)/100</f>
        <v>1</v>
      </c>
      <c r="E88" s="159"/>
      <c r="F88" s="159"/>
      <c r="G88" s="159"/>
      <c r="H88" s="159"/>
      <c r="I88" s="45" t="s">
        <v>118</v>
      </c>
      <c r="J88" s="47">
        <f ca="1">H84</f>
        <v>19</v>
      </c>
    </row>
    <row r="89" spans="1:10" ht="15.75" customHeight="1">
      <c r="A89" s="144" t="s">
        <v>119</v>
      </c>
      <c r="B89" s="144"/>
      <c r="C89" s="75">
        <v>18</v>
      </c>
      <c r="D89" s="32">
        <f ca="1">((100/(D84+F84+H84))*C89)/100</f>
        <v>0.9</v>
      </c>
      <c r="E89" s="159"/>
      <c r="F89" s="159"/>
      <c r="G89" s="159"/>
      <c r="H89" s="159"/>
      <c r="I89" s="45" t="s">
        <v>120</v>
      </c>
      <c r="J89" s="48">
        <f ca="1">(IF(B84&gt;1,(H84/(B84+2)),H84/4))</f>
        <v>4.75</v>
      </c>
    </row>
    <row r="90" spans="1:10" ht="15.75" customHeight="1">
      <c r="A90" s="144" t="s">
        <v>121</v>
      </c>
      <c r="B90" s="144" t="s">
        <v>122</v>
      </c>
      <c r="C90" s="75">
        <v>13</v>
      </c>
      <c r="D90" s="32">
        <f ca="1">((100/H84)*C90)/100</f>
        <v>0.6842105263157896</v>
      </c>
      <c r="E90" s="159"/>
      <c r="F90" s="159"/>
      <c r="G90" s="159"/>
      <c r="H90" s="159"/>
      <c r="I90" s="45" t="s">
        <v>123</v>
      </c>
      <c r="J90" s="48">
        <f ca="1">(IF(B84&gt;1,(H84/(B84+2)+J89),H84/4+J89))</f>
        <v>9.5</v>
      </c>
    </row>
    <row r="91" spans="1:10" ht="15.75" customHeight="1">
      <c r="A91" s="144" t="s">
        <v>124</v>
      </c>
      <c r="B91" s="144" t="s">
        <v>122</v>
      </c>
      <c r="C91" s="75">
        <v>12</v>
      </c>
      <c r="D91" s="32">
        <f ca="1">((100/H84)*C91)/100</f>
        <v>0.63157894736842113</v>
      </c>
      <c r="E91" s="159"/>
      <c r="F91" s="159"/>
      <c r="G91" s="159"/>
      <c r="H91" s="159"/>
      <c r="I91" s="45" t="s">
        <v>125</v>
      </c>
      <c r="J91" s="48">
        <f>(IF(B84&gt;1,(H84/(B84+2)+J90),0))</f>
        <v>0</v>
      </c>
    </row>
    <row r="92" spans="1:10" ht="15" customHeight="1">
      <c r="A92" s="144" t="s">
        <v>126</v>
      </c>
      <c r="B92" s="144" t="s">
        <v>127</v>
      </c>
      <c r="C92" s="75">
        <v>5</v>
      </c>
      <c r="D92" s="32">
        <f ca="1">((100/(H84))*C92)/100</f>
        <v>0.26315789473684215</v>
      </c>
      <c r="E92" s="159"/>
      <c r="F92" s="159"/>
      <c r="G92" s="159"/>
      <c r="H92" s="159"/>
      <c r="I92" s="45" t="s">
        <v>128</v>
      </c>
      <c r="J92" s="48">
        <f>(IF(B84&gt;2,(H84/(B84+2)+J91),0))</f>
        <v>0</v>
      </c>
    </row>
    <row r="93" spans="1:10" ht="15.75" customHeight="1">
      <c r="A93" s="144" t="s">
        <v>129</v>
      </c>
      <c r="B93" s="144" t="s">
        <v>129</v>
      </c>
      <c r="C93" s="75">
        <v>0</v>
      </c>
      <c r="D93" s="32">
        <f ca="1">((100/H84)*C93)/100</f>
        <v>0</v>
      </c>
      <c r="E93" s="159"/>
      <c r="F93" s="159"/>
      <c r="G93" s="159"/>
      <c r="H93" s="159"/>
      <c r="I93" s="45" t="s">
        <v>130</v>
      </c>
      <c r="J93" s="49">
        <f>(IF(B84&gt;3,(H84/(B84+2)+J92),0))</f>
        <v>0</v>
      </c>
    </row>
    <row r="94" spans="1:10" ht="15.75" customHeight="1">
      <c r="A94" s="144" t="s">
        <v>131</v>
      </c>
      <c r="B94" s="144"/>
      <c r="C94" s="75">
        <v>0</v>
      </c>
      <c r="D94" s="32">
        <f ca="1">((100/H84)*C94)/100</f>
        <v>0</v>
      </c>
      <c r="E94" s="159"/>
      <c r="F94" s="159"/>
      <c r="G94" s="159"/>
      <c r="H94" s="159"/>
      <c r="I94" s="45" t="s">
        <v>132</v>
      </c>
      <c r="J94" s="48">
        <f>(IF(B84&gt;4,(H84/(B84+2)+J93),0))</f>
        <v>0</v>
      </c>
    </row>
    <row r="95" spans="1:10" ht="15.75" customHeight="1">
      <c r="A95" s="144" t="s">
        <v>133</v>
      </c>
      <c r="B95" s="144" t="s">
        <v>133</v>
      </c>
      <c r="C95" s="75">
        <v>0</v>
      </c>
      <c r="D95" s="32">
        <f ca="1">((100/(H84))*C95)/100</f>
        <v>0</v>
      </c>
      <c r="E95" s="159"/>
      <c r="F95" s="159"/>
      <c r="G95" s="159"/>
      <c r="H95" s="159"/>
      <c r="I95" s="45" t="s">
        <v>134</v>
      </c>
      <c r="J95" s="48">
        <f ca="1">(IF(B84=1,(H84/(B84+3)+J90),IF(B84=0,(H84/4+J90),IF(B84&gt;1,0))))</f>
        <v>14.25</v>
      </c>
    </row>
    <row r="96" spans="1:10">
      <c r="A96" s="144" t="s">
        <v>135</v>
      </c>
      <c r="B96" s="144"/>
      <c r="C96" s="75">
        <v>0</v>
      </c>
      <c r="D96" s="32">
        <f ca="1">((100/(H84))*C96)/100</f>
        <v>0</v>
      </c>
      <c r="E96" s="159"/>
      <c r="F96" s="159"/>
      <c r="G96" s="159"/>
      <c r="H96" s="159"/>
      <c r="I96" s="50" t="s">
        <v>136</v>
      </c>
      <c r="J96" s="51">
        <f ca="1">(IF(B84&gt;1.5,(H84/(B84+2)+J90+MAX(0,J91-J90)+MAX(0,J92-J91)+MAX(0,J93-J92)+MAX(0,J94-J93)+MAX(0,J95-J94)),IF(B84=1,(H84/(B84+3)+J95),IF(B84=0,H84/4+J95))))</f>
        <v>19</v>
      </c>
    </row>
    <row r="97" spans="1:10" ht="15.75" customHeight="1">
      <c r="A97" s="156" t="s">
        <v>103</v>
      </c>
      <c r="B97" s="156"/>
      <c r="C97" s="156" t="str">
        <f>D60</f>
        <v>Building No.2 - Libra = G + 1st to 7th Floor</v>
      </c>
      <c r="D97" s="156"/>
      <c r="E97" s="156"/>
      <c r="F97" s="156"/>
      <c r="G97" s="156"/>
      <c r="H97" s="156"/>
      <c r="I97" s="76" t="str">
        <f ca="1">IF(D110=100%,"All work Completed. Possession granted to the Building.",IF(D109=100%,"All work Completed, Waiting for OC",I98&amp;""&amp;I99&amp;""&amp;J98&amp;""&amp;J97&amp;" "&amp;J99))</f>
        <v>Excavation, Plinth, RCC Slab, Brickwork, Internal Plaster Completed, External Plaster upto 5.5 Floor, Flooring upto 2 Floor, Painting upto 2 Floor Completed</v>
      </c>
      <c r="J97" s="42" t="str">
        <f ca="1">(IF(C103=(D98+F98+H98),"",IF(C103&gt;0,", RCC upto "&amp;C103&amp;" Slab","")))&amp;(IF(C104=H98,"",IF(C104&gt;0,", Brickwork upto "&amp;C104&amp;" Floor","")))&amp;(IF(C105=H98,"",IF(C105&gt;0,", Internal Plaster upto "&amp;C105&amp;" Floor","")))&amp;(IF(C106=H98,"",IF(C106&gt;0,", External Plaster upto "&amp;C106&amp;" Floor","")))&amp;(IF(C107=H98,"",IF(C107&gt;0,", Flooring upto "&amp;C107&amp;" Floor","")))&amp;(IF(C108=H98,"",IF(C108&gt;0,", Painting upto "&amp;C108&amp;" Floor","")))&amp;(IF(C109=H98,"",IF(C109&gt;0,", Finishing upto "&amp;C109&amp;" Floor","")))&amp;(IF(C110=H98,"",IF(C110&gt;0,", Possession upto "&amp;C110&amp;" Floor","")))</f>
        <v>, External Plaster upto 5.5 Floor, Flooring upto 2 Floor, Painting upto 2 Floor</v>
      </c>
    </row>
    <row r="98" spans="1:10">
      <c r="A98" s="74" t="s">
        <v>104</v>
      </c>
      <c r="B98" s="74">
        <v>0</v>
      </c>
      <c r="C98" s="74" t="s">
        <v>105</v>
      </c>
      <c r="D98" s="74">
        <v>1</v>
      </c>
      <c r="E98" s="74" t="s">
        <v>106</v>
      </c>
      <c r="F98" s="74">
        <v>0</v>
      </c>
      <c r="G98" s="74" t="s">
        <v>107</v>
      </c>
      <c r="H98" s="74">
        <f ca="1">--TRIM(RIGHT(SUBSTITUTE(LEFT(C97,_xlfn.AGGREGATE(16,6,FIND({0,1,2,3,4,5,6,7,8,9},C97,ROW(INDIRECT("1:"&amp;LEN(C97)))),1))," ",REPT(" ",LEN(C97))),LEN(C97)))</f>
        <v>7</v>
      </c>
      <c r="I98" s="77" t="str">
        <f ca="1">IF(D101=100%,"Excavation","")&amp;IF(D102=100%,", Plinth","")&amp;IF(D103=100%,", RCC Slab","")&amp;IF(D104=100%,", Brickwork","")&amp;IF(D105=100%,", Internal Plaster","")&amp;IF(D106=100%,", External Plaster","")&amp;IF(D107=100%,", Flooring","")&amp;IF(D108=100%,", Painting","")&amp;IF(D109=100%,", Building common Amenities","")</f>
        <v>Excavation, Plinth, RCC Slab, Brickwork, Internal Plaster</v>
      </c>
      <c r="J98" s="44" t="str">
        <f ca="1">(IF(C101=0,"Work not yet Started.",IF(D101=25%,"Piling work in process",IF(D101=50%,"Excavation work in process",IF(D101=100%,"","0")))))&amp;(IF(C102=0%,"",IF(C102=J103,", Footing work is process",IF(C102=J104,", Footing work Completed",IF(C102=J105,", 1st Basement Completed",IF(C102=J106,", 1st &amp; 2nd Basement Completed",IF(C102=J107,", 1st to 3rd Basement Completed",IF(C102=J108,", 1st to 4th Basement Completed",IF(C102=J109,", Plinth work is process",IF(C102=J110,"","0"))))))))))</f>
        <v/>
      </c>
    </row>
    <row r="99" spans="1:10" ht="32.15" customHeight="1">
      <c r="A99" s="155" t="s">
        <v>108</v>
      </c>
      <c r="B99" s="155"/>
      <c r="C99" s="156" t="str">
        <f ca="1">(IF($C$53=C97,"All work Completed. OC Received.",I97))</f>
        <v>Excavation, Plinth, RCC Slab, Brickwork, Internal Plaster Completed, External Plaster upto 5.5 Floor, Flooring upto 2 Floor, Painting upto 2 Floor Completed</v>
      </c>
      <c r="D99" s="156"/>
      <c r="E99" s="156"/>
      <c r="F99" s="156"/>
      <c r="G99" s="156"/>
      <c r="H99" s="156"/>
      <c r="I99" s="77" t="str">
        <f ca="1">IF(I98&lt;&gt;""," Completed","")</f>
        <v xml:space="preserve"> Completed</v>
      </c>
      <c r="J99" s="44" t="str">
        <f ca="1">IF(J97&lt;&gt;"","Completed","")</f>
        <v>Completed</v>
      </c>
    </row>
    <row r="100" spans="1:10" ht="15.75" customHeight="1">
      <c r="A100" s="144" t="s">
        <v>109</v>
      </c>
      <c r="B100" s="144"/>
      <c r="C100" s="75" t="s">
        <v>110</v>
      </c>
      <c r="D100" s="75" t="s">
        <v>111</v>
      </c>
      <c r="E100" s="144" t="s">
        <v>112</v>
      </c>
      <c r="F100" s="144"/>
      <c r="G100" s="144" t="s">
        <v>113</v>
      </c>
      <c r="H100" s="144"/>
      <c r="I100" s="45" t="s">
        <v>114</v>
      </c>
      <c r="J100" s="46">
        <f ca="1">H98*25%</f>
        <v>1.75</v>
      </c>
    </row>
    <row r="101" spans="1:10">
      <c r="A101" s="144" t="s">
        <v>115</v>
      </c>
      <c r="B101" s="144"/>
      <c r="C101" s="31">
        <f ca="1">J102</f>
        <v>7</v>
      </c>
      <c r="D101" s="32">
        <f ca="1">((100/H98)*C101)/100</f>
        <v>1</v>
      </c>
      <c r="E101" s="159">
        <f ca="1">(((C102/H98*10)+(40/(D98+F98+H98)*C103)+(7.5/(H98)*C104)+(7.5/(H98)*C105)+(10/H98*C106)+(10/H98*C107)+(5/H98*C108)+(5/H98*C109)+(5/H98*C110))/100)</f>
        <v>0.77142857142857157</v>
      </c>
      <c r="F101" s="159"/>
      <c r="G101" s="159">
        <f ca="1">((((C101/H98)*20)+((C102/H98)*25)+(30/(H98+F98+D98)*C103)+(5/H98*C104)+(5/H98*C105)+(5/H98*C106)+(5/H98*C107)+(0/H98*C108)+(0/H98*C109)+(5/H98*C110))/100)</f>
        <v>0.90357142857142858</v>
      </c>
      <c r="H101" s="159"/>
      <c r="I101" s="45" t="s">
        <v>116</v>
      </c>
      <c r="J101" s="47">
        <f ca="1">H98*50%</f>
        <v>3.5</v>
      </c>
    </row>
    <row r="102" spans="1:10">
      <c r="A102" s="144" t="s">
        <v>117</v>
      </c>
      <c r="B102" s="144"/>
      <c r="C102" s="33">
        <v>7</v>
      </c>
      <c r="D102" s="32">
        <f ca="1">((100/H98)*C102)/100</f>
        <v>1</v>
      </c>
      <c r="E102" s="159"/>
      <c r="F102" s="159"/>
      <c r="G102" s="159"/>
      <c r="H102" s="159"/>
      <c r="I102" s="45" t="s">
        <v>118</v>
      </c>
      <c r="J102" s="47">
        <f ca="1">H98</f>
        <v>7</v>
      </c>
    </row>
    <row r="103" spans="1:10" ht="15.75" customHeight="1">
      <c r="A103" s="144" t="s">
        <v>119</v>
      </c>
      <c r="B103" s="144"/>
      <c r="C103" s="31">
        <v>8</v>
      </c>
      <c r="D103" s="32">
        <f ca="1">((100/(D98+F98+H98))*C103)/100</f>
        <v>1</v>
      </c>
      <c r="E103" s="159"/>
      <c r="F103" s="159"/>
      <c r="G103" s="159"/>
      <c r="H103" s="159"/>
      <c r="I103" s="45" t="s">
        <v>120</v>
      </c>
      <c r="J103" s="48">
        <f ca="1">(IF(B98&gt;1,(H98/(B98+2)),H98/4))</f>
        <v>1.75</v>
      </c>
    </row>
    <row r="104" spans="1:10" ht="15.75" customHeight="1">
      <c r="A104" s="144" t="s">
        <v>121</v>
      </c>
      <c r="B104" s="144" t="s">
        <v>122</v>
      </c>
      <c r="C104" s="75">
        <v>7</v>
      </c>
      <c r="D104" s="32">
        <f ca="1">((100/H98)*C104)/100</f>
        <v>1</v>
      </c>
      <c r="E104" s="159"/>
      <c r="F104" s="159"/>
      <c r="G104" s="159"/>
      <c r="H104" s="159"/>
      <c r="I104" s="45" t="s">
        <v>123</v>
      </c>
      <c r="J104" s="48">
        <f ca="1">(IF(B98&gt;1,(H98/(B98+2)+J103),H98/4+J103))</f>
        <v>3.5</v>
      </c>
    </row>
    <row r="105" spans="1:10" ht="15.75" customHeight="1">
      <c r="A105" s="144" t="s">
        <v>124</v>
      </c>
      <c r="B105" s="144" t="s">
        <v>122</v>
      </c>
      <c r="C105" s="75">
        <v>7</v>
      </c>
      <c r="D105" s="32">
        <f ca="1">((100/H98)*C105)/100</f>
        <v>1</v>
      </c>
      <c r="E105" s="159"/>
      <c r="F105" s="159"/>
      <c r="G105" s="159"/>
      <c r="H105" s="159"/>
      <c r="I105" s="45" t="s">
        <v>125</v>
      </c>
      <c r="J105" s="48">
        <f>(IF(B98&gt;1,(H98/(B98+2)+J104),0))</f>
        <v>0</v>
      </c>
    </row>
    <row r="106" spans="1:10" ht="15" customHeight="1">
      <c r="A106" s="144" t="s">
        <v>126</v>
      </c>
      <c r="B106" s="144" t="s">
        <v>127</v>
      </c>
      <c r="C106" s="75">
        <v>5.5</v>
      </c>
      <c r="D106" s="32">
        <f ca="1">((100/(H98))*C106)/100</f>
        <v>0.7857142857142857</v>
      </c>
      <c r="E106" s="159"/>
      <c r="F106" s="159"/>
      <c r="G106" s="159"/>
      <c r="H106" s="159"/>
      <c r="I106" s="45" t="s">
        <v>128</v>
      </c>
      <c r="J106" s="48">
        <f>(IF(B98&gt;2,(H98/(B98+2)+J105),0))</f>
        <v>0</v>
      </c>
    </row>
    <row r="107" spans="1:10" ht="15.75" customHeight="1">
      <c r="A107" s="144" t="s">
        <v>129</v>
      </c>
      <c r="B107" s="144" t="s">
        <v>129</v>
      </c>
      <c r="C107" s="75">
        <v>2</v>
      </c>
      <c r="D107" s="32">
        <f ca="1">((100/H98)*C107)/100</f>
        <v>0.28571428571428575</v>
      </c>
      <c r="E107" s="159"/>
      <c r="F107" s="159"/>
      <c r="G107" s="159"/>
      <c r="H107" s="159"/>
      <c r="I107" s="45" t="s">
        <v>130</v>
      </c>
      <c r="J107" s="49">
        <f>(IF(B98&gt;3,(H98/(B98+2)+J106),0))</f>
        <v>0</v>
      </c>
    </row>
    <row r="108" spans="1:10" ht="15.75" customHeight="1">
      <c r="A108" s="144" t="s">
        <v>131</v>
      </c>
      <c r="B108" s="144"/>
      <c r="C108" s="75">
        <v>2</v>
      </c>
      <c r="D108" s="32">
        <f ca="1">((100/H98)*C108)/100</f>
        <v>0.28571428571428575</v>
      </c>
      <c r="E108" s="159"/>
      <c r="F108" s="159"/>
      <c r="G108" s="159"/>
      <c r="H108" s="159"/>
      <c r="I108" s="45" t="s">
        <v>132</v>
      </c>
      <c r="J108" s="48">
        <f>(IF(B98&gt;4,(H98/(B98+2)+J107),0))</f>
        <v>0</v>
      </c>
    </row>
    <row r="109" spans="1:10" ht="15.75" customHeight="1">
      <c r="A109" s="144" t="s">
        <v>133</v>
      </c>
      <c r="B109" s="144" t="s">
        <v>133</v>
      </c>
      <c r="C109" s="75">
        <v>0</v>
      </c>
      <c r="D109" s="32">
        <f ca="1">((100/(H98))*C109)/100</f>
        <v>0</v>
      </c>
      <c r="E109" s="159"/>
      <c r="F109" s="159"/>
      <c r="G109" s="159"/>
      <c r="H109" s="159"/>
      <c r="I109" s="45" t="s">
        <v>134</v>
      </c>
      <c r="J109" s="48">
        <f ca="1">(IF(B98=1,(H98/(B98+3)+J104),IF(B98=0,(H98/4+J104),IF(B98&gt;1,0))))</f>
        <v>5.25</v>
      </c>
    </row>
    <row r="110" spans="1:10">
      <c r="A110" s="144" t="s">
        <v>135</v>
      </c>
      <c r="B110" s="144"/>
      <c r="C110" s="75">
        <v>0</v>
      </c>
      <c r="D110" s="32">
        <f ca="1">((100/(H98))*C110)/100</f>
        <v>0</v>
      </c>
      <c r="E110" s="159"/>
      <c r="F110" s="159"/>
      <c r="G110" s="159"/>
      <c r="H110" s="159"/>
      <c r="I110" s="50" t="s">
        <v>136</v>
      </c>
      <c r="J110" s="51">
        <f ca="1">(IF(B98&gt;1.5,(H98/(B98+2)+J104+MAX(0,J105-J104)+MAX(0,J106-J105)+MAX(0,J107-J106)+MAX(0,J108-J107)+MAX(0,J109-J108)),IF(B98=1,(H98/(B98+3)+J109),IF(B98=0,H98/4+J109))))</f>
        <v>7</v>
      </c>
    </row>
    <row r="111" spans="1:10" ht="15.75" customHeight="1">
      <c r="A111" s="149" t="s">
        <v>103</v>
      </c>
      <c r="B111" s="150"/>
      <c r="C111" s="151" t="str">
        <f>D61</f>
        <v>Building No.3 - Leo = G + 1st to 6th Floor</v>
      </c>
      <c r="D111" s="152"/>
      <c r="E111" s="152"/>
      <c r="F111" s="152"/>
      <c r="G111" s="152"/>
      <c r="H111" s="153"/>
      <c r="I111" s="41" t="str">
        <f ca="1">IF(D124=100%,"All work Completed. Possession granted to the Building.",IF(D123=100%,"All work Completed, Waiting for OC",I112&amp;""&amp;I113&amp;""&amp;J112&amp;""&amp;J111&amp;" "&amp;J113))</f>
        <v>Excavation, Plinth, RCC Slab, Brickwork, Internal Plaster Completed, External Plaster upto 5.5 Floor, Flooring upto 2 Floor, Painting upto 2 Floor Completed</v>
      </c>
      <c r="J111" s="42" t="str">
        <f ca="1">(IF(C117=(D112+F112+H112),"",IF(C117&gt;0,", RCC upto "&amp;C117&amp;" Slab","")))&amp;(IF(C118=H112,"",IF(C118&gt;0,", Brickwork upto "&amp;C118&amp;" Floor","")))&amp;(IF(C119=H112,"",IF(C119&gt;0,", Internal Plaster upto "&amp;C119&amp;" Floor","")))&amp;(IF(C120=H112,"",IF(C120&gt;0,", External Plaster upto "&amp;C120&amp;" Floor","")))&amp;(IF(C121=H112,"",IF(C121&gt;0,", Flooring upto "&amp;C121&amp;" Floor","")))&amp;(IF(C122=H112,"",IF(C122&gt;0,", Painting upto "&amp;C122&amp;" Floor","")))&amp;(IF(C123=H112,"",IF(C123&gt;0,", Finishing upto "&amp;C123&amp;" Floor","")))&amp;(IF(C124=H112,"",IF(C124&gt;0,", Possession upto "&amp;C124&amp;" Floor","")))</f>
        <v>, External Plaster upto 5.5 Floor, Flooring upto 2 Floor, Painting upto 2 Floor</v>
      </c>
    </row>
    <row r="112" spans="1:10">
      <c r="A112" s="28" t="s">
        <v>104</v>
      </c>
      <c r="B112" s="21">
        <v>0</v>
      </c>
      <c r="C112" s="21" t="s">
        <v>105</v>
      </c>
      <c r="D112" s="21">
        <v>1</v>
      </c>
      <c r="E112" s="21" t="s">
        <v>106</v>
      </c>
      <c r="F112" s="21">
        <v>0</v>
      </c>
      <c r="G112" s="21" t="s">
        <v>107</v>
      </c>
      <c r="H112" s="29">
        <f ca="1">--TRIM(RIGHT(SUBSTITUTE(LEFT(C111,_xlfn.AGGREGATE(16,6,FIND({0,1,2,3,4,5,6,7,8,9},C111,ROW(INDIRECT("1:"&amp;LEN(C111)))),1))," ",REPT(" ",LEN(C111))),LEN(C111)))</f>
        <v>6</v>
      </c>
      <c r="I112" s="43" t="str">
        <f ca="1">IF(D115=100%,"Excavation","")&amp;IF(D116=100%,", Plinth","")&amp;IF(D117=100%,", RCC Slab","")&amp;IF(D118=100%,", Brickwork","")&amp;IF(D119=100%,", Internal Plaster","")&amp;IF(D120=100%,", External Plaster","")&amp;IF(D121=100%,", Flooring","")&amp;IF(D122=100%,", Painting","")&amp;IF(D123=100%,", Building common Amenities","")</f>
        <v>Excavation, Plinth, RCC Slab, Brickwork, Internal Plaster</v>
      </c>
      <c r="J112" s="44" t="str">
        <f ca="1">(IF(C115=0,"Work not yet Started.",IF(D115=25%,"Piling work in process",IF(D115=50%,"Excavation work in process",IF(D115=100%,"","0")))))&amp;(IF(C116=0%,"",IF(C116=J117,", Footing work is process",IF(C116=J118,", Footing work Completed",IF(C116=J119,", 1st Basement Completed",IF(C116=J120,", 1st &amp; 2nd Basement Completed",IF(C116=J121,", 1st to 3rd Basement Completed",IF(C116=J122,", 1st to 4th Basement Completed",IF(C116=J123,", Plinth work is process",IF(C116=J124,"","0"))))))))))</f>
        <v/>
      </c>
    </row>
    <row r="113" spans="1:13" ht="32.25" customHeight="1">
      <c r="A113" s="154" t="s">
        <v>108</v>
      </c>
      <c r="B113" s="155"/>
      <c r="C113" s="156" t="str">
        <f ca="1">(IF($C$53=C111,"All work Completed. OC Received.",I111))</f>
        <v>Excavation, Plinth, RCC Slab, Brickwork, Internal Plaster Completed, External Plaster upto 5.5 Floor, Flooring upto 2 Floor, Painting upto 2 Floor Completed</v>
      </c>
      <c r="D113" s="156"/>
      <c r="E113" s="156"/>
      <c r="F113" s="156"/>
      <c r="G113" s="156"/>
      <c r="H113" s="157"/>
      <c r="I113" s="43" t="str">
        <f ca="1">IF(I112&lt;&gt;""," Completed","")</f>
        <v xml:space="preserve"> Completed</v>
      </c>
      <c r="J113" s="44" t="str">
        <f ca="1">IF(J111&lt;&gt;"","Completed","")</f>
        <v>Completed</v>
      </c>
    </row>
    <row r="114" spans="1:13" ht="15.75" customHeight="1">
      <c r="A114" s="143" t="s">
        <v>109</v>
      </c>
      <c r="B114" s="144"/>
      <c r="C114" s="30" t="s">
        <v>110</v>
      </c>
      <c r="D114" s="30" t="s">
        <v>111</v>
      </c>
      <c r="E114" s="144" t="s">
        <v>112</v>
      </c>
      <c r="F114" s="144"/>
      <c r="G114" s="144" t="s">
        <v>113</v>
      </c>
      <c r="H114" s="158"/>
      <c r="I114" s="45" t="s">
        <v>114</v>
      </c>
      <c r="J114" s="46">
        <f ca="1">H112*25%</f>
        <v>1.5</v>
      </c>
    </row>
    <row r="115" spans="1:13">
      <c r="A115" s="143" t="s">
        <v>115</v>
      </c>
      <c r="B115" s="144"/>
      <c r="C115" s="30">
        <f ca="1">J116</f>
        <v>6</v>
      </c>
      <c r="D115" s="32">
        <f ca="1">((100/H112)*C115)/100</f>
        <v>1</v>
      </c>
      <c r="E115" s="160">
        <f ca="1">(((C116/H112*10)+(40/(D112+F112+H112)*C117)+(7.5/(H112)*C118)+(7.5/(H112)*C119)+(10/H112*C120)+(10/H112*C121)+(5/H112*C122)+(5/H112*C123)+(5/H112*C124))/100)</f>
        <v>0.79166666666666674</v>
      </c>
      <c r="F115" s="161"/>
      <c r="G115" s="160">
        <f ca="1">((((C115/H112)*20)+((C116/H112)*25)+(30/(H112+F112+D112)*C117)+(5/H112*C118)+(5/H112*C119)+(5/H112*C120)+(5/H112*C121)+(0/H112*C122)+(0/H112*C123)+(5/H112*C124))/100)</f>
        <v>0.91249999999999998</v>
      </c>
      <c r="H115" s="166"/>
      <c r="I115" s="45" t="s">
        <v>116</v>
      </c>
      <c r="J115" s="47">
        <f ca="1">H112*50%</f>
        <v>3</v>
      </c>
    </row>
    <row r="116" spans="1:13">
      <c r="A116" s="143" t="s">
        <v>117</v>
      </c>
      <c r="B116" s="144"/>
      <c r="C116" s="39">
        <f ca="1">J124</f>
        <v>6</v>
      </c>
      <c r="D116" s="32">
        <f ca="1">((100/H112)*C116)/100</f>
        <v>1</v>
      </c>
      <c r="E116" s="162"/>
      <c r="F116" s="163"/>
      <c r="G116" s="162"/>
      <c r="H116" s="167"/>
      <c r="I116" s="45" t="s">
        <v>118</v>
      </c>
      <c r="J116" s="47">
        <f ca="1">H112</f>
        <v>6</v>
      </c>
    </row>
    <row r="117" spans="1:13" ht="15.75" customHeight="1">
      <c r="A117" s="143" t="s">
        <v>119</v>
      </c>
      <c r="B117" s="144"/>
      <c r="C117" s="30">
        <v>7</v>
      </c>
      <c r="D117" s="32">
        <f ca="1">((100/(D112+F112+H112))*C117)/100</f>
        <v>1</v>
      </c>
      <c r="E117" s="162"/>
      <c r="F117" s="163"/>
      <c r="G117" s="162"/>
      <c r="H117" s="167"/>
      <c r="I117" s="45" t="s">
        <v>120</v>
      </c>
      <c r="J117" s="48">
        <f ca="1">(IF(B112&gt;1,(H112/(B112+2)),H112/4))</f>
        <v>1.5</v>
      </c>
    </row>
    <row r="118" spans="1:13" ht="15.75" customHeight="1">
      <c r="A118" s="143" t="s">
        <v>121</v>
      </c>
      <c r="B118" s="144" t="s">
        <v>122</v>
      </c>
      <c r="C118" s="30">
        <v>6</v>
      </c>
      <c r="D118" s="32">
        <f ca="1">((100/H112)*C118)/100</f>
        <v>1</v>
      </c>
      <c r="E118" s="162"/>
      <c r="F118" s="163"/>
      <c r="G118" s="162"/>
      <c r="H118" s="167"/>
      <c r="I118" s="45" t="s">
        <v>123</v>
      </c>
      <c r="J118" s="48">
        <f ca="1">(IF(B112&gt;1,(H112/(B112+2)+J117),H112/4+J117))</f>
        <v>3</v>
      </c>
    </row>
    <row r="119" spans="1:13" ht="15.75" customHeight="1">
      <c r="A119" s="143" t="s">
        <v>124</v>
      </c>
      <c r="B119" s="144" t="s">
        <v>122</v>
      </c>
      <c r="C119" s="30">
        <v>6</v>
      </c>
      <c r="D119" s="32">
        <f ca="1">((100/H112)*C119)/100</f>
        <v>1</v>
      </c>
      <c r="E119" s="162"/>
      <c r="F119" s="163"/>
      <c r="G119" s="162"/>
      <c r="H119" s="167"/>
      <c r="I119" s="45" t="s">
        <v>125</v>
      </c>
      <c r="J119" s="48">
        <f>(IF(B112&gt;1,(H112/(B112+2)+J118),0))</f>
        <v>0</v>
      </c>
    </row>
    <row r="120" spans="1:13" ht="15" customHeight="1">
      <c r="A120" s="143" t="s">
        <v>126</v>
      </c>
      <c r="B120" s="144" t="s">
        <v>127</v>
      </c>
      <c r="C120" s="30">
        <v>5.5</v>
      </c>
      <c r="D120" s="32">
        <f ca="1">((100/(H112))*C120)/100</f>
        <v>0.91666666666666674</v>
      </c>
      <c r="E120" s="162"/>
      <c r="F120" s="163"/>
      <c r="G120" s="162"/>
      <c r="H120" s="167"/>
      <c r="I120" s="45" t="s">
        <v>128</v>
      </c>
      <c r="J120" s="48">
        <f>(IF(B112&gt;2,(H112/(B112+2)+J119),0))</f>
        <v>0</v>
      </c>
    </row>
    <row r="121" spans="1:13" ht="15.75" customHeight="1">
      <c r="A121" s="143" t="s">
        <v>129</v>
      </c>
      <c r="B121" s="144" t="s">
        <v>129</v>
      </c>
      <c r="C121" s="30">
        <v>2</v>
      </c>
      <c r="D121" s="32">
        <f ca="1">((100/H112)*C121)/100</f>
        <v>0.33333333333333337</v>
      </c>
      <c r="E121" s="162"/>
      <c r="F121" s="163"/>
      <c r="G121" s="162"/>
      <c r="H121" s="167"/>
      <c r="I121" s="45" t="s">
        <v>130</v>
      </c>
      <c r="J121" s="49">
        <f>(IF(B112&gt;3,(H112/(B112+2)+J120),0))</f>
        <v>0</v>
      </c>
    </row>
    <row r="122" spans="1:13" ht="15.75" customHeight="1">
      <c r="A122" s="143" t="s">
        <v>131</v>
      </c>
      <c r="B122" s="144"/>
      <c r="C122" s="30">
        <v>2</v>
      </c>
      <c r="D122" s="32">
        <f ca="1">((100/H112)*C122)/100</f>
        <v>0.33333333333333337</v>
      </c>
      <c r="E122" s="162"/>
      <c r="F122" s="163"/>
      <c r="G122" s="162"/>
      <c r="H122" s="167"/>
      <c r="I122" s="45" t="s">
        <v>132</v>
      </c>
      <c r="J122" s="48">
        <f>(IF(B112&gt;4,(H112/(B112+2)+J121),0))</f>
        <v>0</v>
      </c>
    </row>
    <row r="123" spans="1:13" ht="15.75" customHeight="1">
      <c r="A123" s="143" t="s">
        <v>133</v>
      </c>
      <c r="B123" s="144" t="s">
        <v>133</v>
      </c>
      <c r="C123" s="30">
        <v>0</v>
      </c>
      <c r="D123" s="32">
        <f ca="1">((100/(H112))*C123)/100</f>
        <v>0</v>
      </c>
      <c r="E123" s="162"/>
      <c r="F123" s="163"/>
      <c r="G123" s="162"/>
      <c r="H123" s="167"/>
      <c r="I123" s="45" t="s">
        <v>134</v>
      </c>
      <c r="J123" s="48">
        <f ca="1">(IF(B112=1,(H112/(B112+3)+J118),IF(B112=0,(H112/4+J118),IF(B112&gt;1,0))))</f>
        <v>4.5</v>
      </c>
    </row>
    <row r="124" spans="1:13">
      <c r="A124" s="145" t="s">
        <v>135</v>
      </c>
      <c r="B124" s="146"/>
      <c r="C124" s="34">
        <v>0</v>
      </c>
      <c r="D124" s="35">
        <f ca="1">((100/(H112))*C124)/100</f>
        <v>0</v>
      </c>
      <c r="E124" s="164"/>
      <c r="F124" s="165"/>
      <c r="G124" s="164"/>
      <c r="H124" s="168"/>
      <c r="I124" s="50" t="s">
        <v>136</v>
      </c>
      <c r="J124" s="51">
        <f ca="1">(IF(B112&gt;1.5,(H112/(B112+2)+J118+MAX(0,J119-J118)+MAX(0,J120-J119)+MAX(0,J121-J120)+MAX(0,J122-J121)+MAX(0,J123-J122)),IF(B112=1,(H112/(B112+3)+J123),IF(B112=0,H112/4+J123))))</f>
        <v>6</v>
      </c>
    </row>
    <row r="125" spans="1:13">
      <c r="A125" s="147" t="s">
        <v>137</v>
      </c>
      <c r="B125" s="147"/>
      <c r="C125" s="147"/>
      <c r="D125" s="147"/>
      <c r="E125" s="147"/>
      <c r="F125" s="148" t="s">
        <v>138</v>
      </c>
      <c r="G125" s="148"/>
      <c r="H125" s="148"/>
    </row>
    <row r="126" spans="1:13">
      <c r="A126" s="100" t="s">
        <v>139</v>
      </c>
      <c r="B126" s="100"/>
      <c r="C126" s="100"/>
      <c r="D126" s="100"/>
      <c r="E126" s="100"/>
      <c r="F126" s="141">
        <v>8000</v>
      </c>
      <c r="G126" s="141"/>
      <c r="H126" s="141"/>
      <c r="I126" s="24" t="s">
        <v>140</v>
      </c>
      <c r="J126" s="24" t="s">
        <v>141</v>
      </c>
      <c r="K126" s="24" t="s">
        <v>142</v>
      </c>
      <c r="L126" s="52">
        <v>45187</v>
      </c>
    </row>
    <row r="127" spans="1:13">
      <c r="A127" s="100" t="s">
        <v>143</v>
      </c>
      <c r="B127" s="100"/>
      <c r="C127" s="100"/>
      <c r="D127" s="100"/>
      <c r="E127" s="100"/>
      <c r="F127" s="141">
        <v>14000</v>
      </c>
      <c r="G127" s="141"/>
      <c r="H127" s="141"/>
      <c r="I127" s="24" t="s">
        <v>246</v>
      </c>
      <c r="K127" s="24" t="s">
        <v>244</v>
      </c>
      <c r="L127" s="24" t="s">
        <v>245</v>
      </c>
      <c r="M127" s="52">
        <v>45654</v>
      </c>
    </row>
    <row r="128" spans="1:13" hidden="1">
      <c r="A128" s="100" t="s">
        <v>144</v>
      </c>
      <c r="B128" s="100"/>
      <c r="C128" s="100"/>
      <c r="D128" s="100"/>
      <c r="E128" s="100"/>
      <c r="F128" s="141"/>
      <c r="G128" s="141"/>
      <c r="H128" s="141"/>
    </row>
    <row r="129" spans="1:15" s="15" customFormat="1" hidden="1">
      <c r="A129" s="100" t="s">
        <v>145</v>
      </c>
      <c r="B129" s="100"/>
      <c r="C129" s="100"/>
      <c r="D129" s="100"/>
      <c r="E129" s="100"/>
      <c r="F129" s="141"/>
      <c r="G129" s="141"/>
      <c r="H129" s="141"/>
    </row>
    <row r="130" spans="1:15" s="15" customFormat="1">
      <c r="A130" s="100" t="s">
        <v>146</v>
      </c>
      <c r="B130" s="100"/>
      <c r="C130" s="100"/>
      <c r="D130" s="100"/>
      <c r="E130" s="100"/>
      <c r="F130" s="141">
        <v>300000</v>
      </c>
      <c r="G130" s="141"/>
      <c r="H130" s="141"/>
      <c r="I130" s="81" t="s">
        <v>249</v>
      </c>
      <c r="J130" s="82"/>
      <c r="K130" s="82"/>
      <c r="L130" s="82"/>
      <c r="M130" s="82"/>
      <c r="N130" s="82"/>
      <c r="O130" s="82"/>
    </row>
    <row r="131" spans="1:15" s="15" customFormat="1" ht="15.75" hidden="1" customHeight="1">
      <c r="A131" s="100" t="s">
        <v>147</v>
      </c>
      <c r="B131" s="100"/>
      <c r="C131" s="100"/>
      <c r="D131" s="100"/>
      <c r="E131" s="100"/>
      <c r="F131" s="141"/>
      <c r="G131" s="141"/>
      <c r="H131" s="141"/>
      <c r="I131" s="81"/>
      <c r="J131" s="82"/>
      <c r="K131" s="82"/>
      <c r="L131" s="82"/>
      <c r="M131" s="82"/>
      <c r="N131" s="82"/>
      <c r="O131" s="82"/>
    </row>
    <row r="132" spans="1:15" s="15" customFormat="1" ht="15.75" hidden="1" customHeight="1">
      <c r="A132" s="100" t="s">
        <v>148</v>
      </c>
      <c r="B132" s="100"/>
      <c r="C132" s="100"/>
      <c r="D132" s="100"/>
      <c r="E132" s="100"/>
      <c r="F132" s="141"/>
      <c r="G132" s="141"/>
      <c r="H132" s="141"/>
      <c r="I132" s="81"/>
      <c r="J132" s="82"/>
      <c r="K132" s="82"/>
      <c r="L132" s="82"/>
      <c r="M132" s="82"/>
      <c r="N132" s="82"/>
      <c r="O132" s="82"/>
    </row>
    <row r="133" spans="1:15" s="15" customFormat="1" ht="15.75" hidden="1" customHeight="1">
      <c r="A133" s="100" t="s">
        <v>149</v>
      </c>
      <c r="B133" s="100"/>
      <c r="C133" s="100"/>
      <c r="D133" s="100"/>
      <c r="E133" s="100"/>
      <c r="F133" s="141"/>
      <c r="G133" s="141"/>
      <c r="H133" s="141"/>
      <c r="I133" s="81"/>
      <c r="J133" s="82"/>
      <c r="K133" s="82"/>
      <c r="L133" s="82"/>
      <c r="M133" s="82"/>
      <c r="N133" s="82"/>
      <c r="O133" s="82"/>
    </row>
    <row r="134" spans="1:15" s="15" customFormat="1" ht="15.75" hidden="1" customHeight="1">
      <c r="A134" s="100" t="s">
        <v>150</v>
      </c>
      <c r="B134" s="100"/>
      <c r="C134" s="100"/>
      <c r="D134" s="100"/>
      <c r="E134" s="100"/>
      <c r="F134" s="141"/>
      <c r="G134" s="141"/>
      <c r="H134" s="141"/>
      <c r="I134" s="81"/>
      <c r="J134" s="82"/>
      <c r="K134" s="82"/>
      <c r="L134" s="82"/>
      <c r="M134" s="82"/>
      <c r="N134" s="82"/>
      <c r="O134" s="82"/>
    </row>
    <row r="135" spans="1:15" s="15" customFormat="1" ht="15.75" hidden="1" customHeight="1">
      <c r="A135" s="100" t="s">
        <v>151</v>
      </c>
      <c r="B135" s="100"/>
      <c r="C135" s="100"/>
      <c r="D135" s="100"/>
      <c r="E135" s="100"/>
      <c r="F135" s="141"/>
      <c r="G135" s="141"/>
      <c r="H135" s="141"/>
      <c r="I135" s="81"/>
      <c r="J135" s="82"/>
      <c r="K135" s="82"/>
      <c r="L135" s="82"/>
      <c r="M135" s="82"/>
      <c r="N135" s="82"/>
      <c r="O135" s="82"/>
    </row>
    <row r="136" spans="1:15" s="15" customFormat="1" ht="15.75" hidden="1" customHeight="1">
      <c r="A136" s="100" t="s">
        <v>152</v>
      </c>
      <c r="B136" s="100"/>
      <c r="C136" s="100"/>
      <c r="D136" s="100"/>
      <c r="E136" s="100"/>
      <c r="F136" s="141"/>
      <c r="G136" s="141"/>
      <c r="H136" s="141"/>
      <c r="I136" s="81"/>
      <c r="J136" s="82"/>
      <c r="K136" s="82"/>
      <c r="L136" s="82"/>
      <c r="M136" s="82"/>
      <c r="N136" s="82"/>
      <c r="O136" s="82"/>
    </row>
    <row r="137" spans="1:15">
      <c r="A137" s="100" t="s">
        <v>153</v>
      </c>
      <c r="B137" s="100"/>
      <c r="C137" s="100"/>
      <c r="D137" s="100"/>
      <c r="E137" s="100"/>
      <c r="F137" s="141">
        <v>500000</v>
      </c>
      <c r="G137" s="141"/>
      <c r="H137" s="141"/>
      <c r="I137" s="81"/>
      <c r="J137" s="82"/>
      <c r="K137" s="82"/>
      <c r="L137" s="82"/>
      <c r="M137" s="82"/>
      <c r="N137" s="82"/>
      <c r="O137" s="82"/>
    </row>
    <row r="138" spans="1:15" s="16" customFormat="1">
      <c r="A138" s="142" t="s">
        <v>154</v>
      </c>
      <c r="B138" s="142"/>
      <c r="C138" s="142"/>
      <c r="D138" s="142"/>
      <c r="E138" s="142"/>
      <c r="F138" s="141">
        <f>F126*0.8</f>
        <v>6400</v>
      </c>
      <c r="G138" s="141"/>
      <c r="H138" s="141"/>
      <c r="J138" s="16" t="s">
        <v>253</v>
      </c>
    </row>
    <row r="139" spans="1:15" s="17" customFormat="1" ht="15.75" customHeight="1">
      <c r="A139" s="134" t="s">
        <v>155</v>
      </c>
      <c r="B139" s="134"/>
      <c r="C139" s="134"/>
      <c r="D139" s="134"/>
      <c r="E139" s="134"/>
      <c r="F139" s="134"/>
      <c r="G139" s="134"/>
      <c r="H139" s="134"/>
    </row>
    <row r="140" spans="1:15" s="17" customFormat="1" ht="15.75" customHeight="1">
      <c r="A140" s="136" t="s">
        <v>156</v>
      </c>
      <c r="B140" s="136"/>
      <c r="C140" s="137" t="s">
        <v>157</v>
      </c>
      <c r="D140" s="137"/>
      <c r="E140" s="138" t="s">
        <v>158</v>
      </c>
      <c r="F140" s="138"/>
      <c r="G140" s="136" t="s">
        <v>159</v>
      </c>
      <c r="H140" s="136"/>
    </row>
    <row r="141" spans="1:15" s="17" customFormat="1">
      <c r="A141" s="91" t="s">
        <v>160</v>
      </c>
      <c r="B141" s="91"/>
      <c r="C141" s="132">
        <f>COUNT(D156:D161)</f>
        <v>6</v>
      </c>
      <c r="D141" s="139"/>
      <c r="E141" s="133">
        <f>SUM(D156:D161)</f>
        <v>1084.5052920000001</v>
      </c>
      <c r="F141" s="140"/>
      <c r="G141" s="133">
        <f>SUM(F156:F161)</f>
        <v>2241.3109368</v>
      </c>
      <c r="H141" s="140"/>
    </row>
    <row r="142" spans="1:15" s="17" customFormat="1">
      <c r="A142" s="134" t="s">
        <v>161</v>
      </c>
      <c r="B142" s="134"/>
      <c r="C142" s="135">
        <f>SUM(C141:D141)</f>
        <v>6</v>
      </c>
      <c r="D142" s="137"/>
      <c r="E142" s="135">
        <f>SUM(E141:F141)</f>
        <v>1084.5052920000001</v>
      </c>
      <c r="F142" s="137"/>
      <c r="G142" s="135">
        <f>SUM(G141:H141)</f>
        <v>2241.3109368</v>
      </c>
      <c r="H142" s="137"/>
    </row>
    <row r="143" spans="1:15" s="17" customFormat="1">
      <c r="A143" s="134" t="s">
        <v>162</v>
      </c>
      <c r="B143" s="134"/>
      <c r="C143" s="134"/>
      <c r="D143" s="134"/>
      <c r="E143" s="134"/>
      <c r="F143" s="134"/>
      <c r="G143" s="134"/>
      <c r="H143" s="134"/>
    </row>
    <row r="144" spans="1:15" s="17" customFormat="1" ht="15.75" customHeight="1">
      <c r="A144" s="136" t="s">
        <v>156</v>
      </c>
      <c r="B144" s="136"/>
      <c r="C144" s="137" t="s">
        <v>157</v>
      </c>
      <c r="D144" s="137"/>
      <c r="E144" s="138" t="s">
        <v>158</v>
      </c>
      <c r="F144" s="138"/>
      <c r="G144" s="136" t="s">
        <v>159</v>
      </c>
      <c r="H144" s="136"/>
      <c r="J144" s="60">
        <f>E142+E149</f>
        <v>82367.228080799978</v>
      </c>
    </row>
    <row r="145" spans="1:14" s="17" customFormat="1">
      <c r="A145" s="91" t="s">
        <v>163</v>
      </c>
      <c r="B145" s="78" t="s">
        <v>164</v>
      </c>
      <c r="C145" s="132">
        <f>COUNT(D168:D173)+COUNT(D175:D180)*13+COUNT(D182:D186)*3</f>
        <v>99</v>
      </c>
      <c r="D145" s="132"/>
      <c r="E145" s="133">
        <f>SUM(D168:D173)+SUM(D175:D180)*13+SUM(D182:D186)*3</f>
        <v>42110.244820799991</v>
      </c>
      <c r="F145" s="133"/>
      <c r="G145" s="133">
        <f>SUM(F168:F173)+SUM(F175:F180)*13+SUM(F182:F186)*3</f>
        <v>63273.868351199999</v>
      </c>
      <c r="H145" s="133"/>
    </row>
    <row r="146" spans="1:14" s="17" customFormat="1">
      <c r="A146" s="91"/>
      <c r="B146" s="78" t="s">
        <v>165</v>
      </c>
      <c r="C146" s="132">
        <f>COUNT(D199:D202)+COUNT(D204:D207)*13+COUNT(D210:D212,D214:D217)</f>
        <v>63</v>
      </c>
      <c r="D146" s="132"/>
      <c r="E146" s="133">
        <f>SUM(D199:D202)+SUM(D204:D207)*13+SUM(D210:D212,D214:D217)</f>
        <v>25226.429669999998</v>
      </c>
      <c r="F146" s="133"/>
      <c r="G146" s="133">
        <f>SUM(F199:F202)+SUM(F204:F207)*13+SUM(F210:F212,F214:F217)</f>
        <v>37839.644504999989</v>
      </c>
      <c r="H146" s="133"/>
    </row>
    <row r="147" spans="1:14" s="17" customFormat="1" ht="15.75" customHeight="1">
      <c r="A147" s="91" t="s">
        <v>166</v>
      </c>
      <c r="B147" s="91"/>
      <c r="C147" s="132">
        <f>COUNT(D221,D226,D228)+COUNT(D223:D224)*4</f>
        <v>11</v>
      </c>
      <c r="D147" s="132"/>
      <c r="E147" s="133">
        <f>SUM(D221,D226,D228)+SUM(D223:D224)*4</f>
        <v>6686.6452379999992</v>
      </c>
      <c r="F147" s="133"/>
      <c r="G147" s="133">
        <f>SUM(F221,F226,F228)+SUM(F223:F224)*4</f>
        <v>10029.967857</v>
      </c>
      <c r="H147" s="133"/>
    </row>
    <row r="148" spans="1:14" s="17" customFormat="1">
      <c r="A148" s="91" t="s">
        <v>167</v>
      </c>
      <c r="B148" s="91"/>
      <c r="C148" s="132">
        <f>COUNT(D231)+COUNT(D233:D237)*3+COUNT(D239:D243)*3</f>
        <v>31</v>
      </c>
      <c r="D148" s="132"/>
      <c r="E148" s="133">
        <f>SUM(D231)+SUM(D233:D237)*3+SUM(D239:D243)*3</f>
        <v>7259.4030600000006</v>
      </c>
      <c r="F148" s="133"/>
      <c r="G148" s="133">
        <f>SUM(F231)+SUM(F233:F237)*3+SUM(F239:F243)*3</f>
        <v>10889.104589999999</v>
      </c>
      <c r="H148" s="133"/>
    </row>
    <row r="149" spans="1:14" s="17" customFormat="1">
      <c r="A149" s="134" t="s">
        <v>161</v>
      </c>
      <c r="B149" s="134"/>
      <c r="C149" s="135">
        <f>SUM(C145:D148)</f>
        <v>204</v>
      </c>
      <c r="D149" s="135"/>
      <c r="E149" s="135">
        <f t="shared" ref="E149" si="0">SUM(E145:F148)</f>
        <v>81282.722788799976</v>
      </c>
      <c r="F149" s="135"/>
      <c r="G149" s="135">
        <f>SUM(G145:H148)</f>
        <v>122032.58530319999</v>
      </c>
      <c r="H149" s="135"/>
    </row>
    <row r="150" spans="1:14" s="16" customFormat="1">
      <c r="A150" s="131" t="s">
        <v>168</v>
      </c>
      <c r="B150" s="131"/>
      <c r="C150" s="131"/>
      <c r="D150" s="131"/>
      <c r="E150" s="131"/>
      <c r="F150" s="131"/>
      <c r="G150" s="131"/>
      <c r="H150" s="131"/>
    </row>
    <row r="151" spans="1:14">
      <c r="A151" s="131" t="s">
        <v>169</v>
      </c>
      <c r="B151" s="131"/>
      <c r="C151" s="131"/>
      <c r="D151" s="131"/>
      <c r="E151" s="131"/>
      <c r="F151" s="131"/>
      <c r="G151" s="131"/>
      <c r="H151" s="131"/>
    </row>
    <row r="152" spans="1:14" ht="47.25" customHeight="1">
      <c r="A152" s="234" t="s">
        <v>170</v>
      </c>
      <c r="B152" s="234" t="s">
        <v>171</v>
      </c>
      <c r="C152" s="234" t="s">
        <v>172</v>
      </c>
      <c r="D152" s="234" t="s">
        <v>173</v>
      </c>
      <c r="E152" s="235" t="s">
        <v>174</v>
      </c>
      <c r="F152" s="236" t="s">
        <v>175</v>
      </c>
      <c r="G152" s="234" t="s">
        <v>176</v>
      </c>
      <c r="H152" s="234"/>
    </row>
    <row r="153" spans="1:14" s="18" customFormat="1">
      <c r="A153" s="234"/>
      <c r="B153" s="234"/>
      <c r="C153" s="234"/>
      <c r="D153" s="234"/>
      <c r="E153" s="235"/>
      <c r="F153" s="237">
        <v>0.55000000000000004</v>
      </c>
      <c r="G153" s="234"/>
      <c r="H153" s="234"/>
    </row>
    <row r="154" spans="1:14" s="18" customFormat="1">
      <c r="A154" s="114" t="s">
        <v>177</v>
      </c>
      <c r="B154" s="115"/>
      <c r="C154" s="115"/>
      <c r="D154" s="115"/>
      <c r="E154" s="115"/>
      <c r="F154" s="115"/>
      <c r="G154" s="115"/>
      <c r="H154" s="116"/>
      <c r="J154" s="61"/>
    </row>
    <row r="155" spans="1:14" s="18" customFormat="1">
      <c r="A155" s="114" t="s">
        <v>178</v>
      </c>
      <c r="B155" s="115"/>
      <c r="C155" s="115"/>
      <c r="D155" s="115"/>
      <c r="E155" s="115"/>
      <c r="F155" s="115"/>
      <c r="G155" s="115"/>
      <c r="H155" s="116"/>
      <c r="J155" s="58">
        <f>10.764</f>
        <v>10.763999999999999</v>
      </c>
    </row>
    <row r="156" spans="1:14" s="18" customFormat="1" ht="15.75" customHeight="1">
      <c r="A156" s="126">
        <v>1</v>
      </c>
      <c r="B156" s="128"/>
      <c r="C156" s="57" t="s">
        <v>179</v>
      </c>
      <c r="D156" s="58">
        <f>(4.33*4.1)*(10.764)</f>
        <v>191.09329199999999</v>
      </c>
      <c r="E156" s="58">
        <f>D156/3</f>
        <v>63.697763999999999</v>
      </c>
      <c r="F156" s="57">
        <f>(D156+E156)*(($F$153)+1)</f>
        <v>394.92613679999999</v>
      </c>
      <c r="G156" s="117" t="str">
        <f>A155</f>
        <v>Ground Floor For Commercial &amp; Parking</v>
      </c>
      <c r="H156" s="118"/>
      <c r="I156" s="61"/>
      <c r="L156" s="85"/>
      <c r="M156" s="85"/>
      <c r="N156" s="61"/>
    </row>
    <row r="157" spans="1:14" s="18" customFormat="1">
      <c r="A157" s="126">
        <f t="shared" ref="A157:A161" si="1">A156+1</f>
        <v>2</v>
      </c>
      <c r="B157" s="128"/>
      <c r="C157" s="57" t="s">
        <v>179</v>
      </c>
      <c r="D157" s="58">
        <f>(10.14)*(10.764)</f>
        <v>109.14695999999999</v>
      </c>
      <c r="E157" s="58">
        <f t="shared" ref="E157:E161" si="2">D157/3</f>
        <v>36.38232</v>
      </c>
      <c r="F157" s="57">
        <f t="shared" ref="F157:F159" si="3">(D157+E157)*(($F$153)+1)</f>
        <v>225.57038400000002</v>
      </c>
      <c r="G157" s="119"/>
      <c r="H157" s="120"/>
      <c r="I157" s="61"/>
      <c r="L157" s="85"/>
      <c r="M157" s="85"/>
      <c r="N157" s="61"/>
    </row>
    <row r="158" spans="1:14" s="18" customFormat="1">
      <c r="A158" s="126" t="s">
        <v>231</v>
      </c>
      <c r="B158" s="128"/>
      <c r="C158" s="57" t="s">
        <v>179</v>
      </c>
      <c r="D158" s="58">
        <f>(25.7)*(10.764)</f>
        <v>276.63479999999998</v>
      </c>
      <c r="E158" s="58">
        <f t="shared" si="2"/>
        <v>92.21159999999999</v>
      </c>
      <c r="F158" s="57">
        <f t="shared" si="3"/>
        <v>571.71191999999996</v>
      </c>
      <c r="G158" s="119"/>
      <c r="H158" s="120"/>
      <c r="I158" s="61"/>
      <c r="L158" s="85"/>
      <c r="M158" s="85"/>
      <c r="N158" s="61"/>
    </row>
    <row r="159" spans="1:14" s="18" customFormat="1">
      <c r="A159" s="126" t="s">
        <v>232</v>
      </c>
      <c r="B159" s="128"/>
      <c r="C159" s="57" t="s">
        <v>179</v>
      </c>
      <c r="D159" s="58">
        <f>(25.24)*(10.764)</f>
        <v>271.68335999999999</v>
      </c>
      <c r="E159" s="58">
        <f t="shared" si="2"/>
        <v>90.561120000000003</v>
      </c>
      <c r="F159" s="57">
        <f t="shared" si="3"/>
        <v>561.47894400000007</v>
      </c>
      <c r="G159" s="119"/>
      <c r="H159" s="120"/>
      <c r="I159" s="61"/>
      <c r="L159" s="85"/>
      <c r="M159" s="85"/>
      <c r="N159" s="61"/>
    </row>
    <row r="160" spans="1:14" s="18" customFormat="1">
      <c r="A160" s="126">
        <v>7</v>
      </c>
      <c r="B160" s="128"/>
      <c r="C160" s="57" t="s">
        <v>179</v>
      </c>
      <c r="D160" s="58">
        <f>(9.93)*(10.764)</f>
        <v>106.88651999999999</v>
      </c>
      <c r="E160" s="58">
        <f t="shared" si="2"/>
        <v>35.628839999999997</v>
      </c>
      <c r="F160" s="57">
        <f t="shared" ref="F160:F161" si="4">(D160+E160)*(($F$153)+1)</f>
        <v>220.89880799999997</v>
      </c>
      <c r="G160" s="119"/>
      <c r="H160" s="120"/>
      <c r="I160" s="61"/>
      <c r="L160" s="85"/>
      <c r="M160" s="85"/>
      <c r="N160" s="61"/>
    </row>
    <row r="161" spans="1:14" s="18" customFormat="1">
      <c r="A161" s="126">
        <f t="shared" si="1"/>
        <v>8</v>
      </c>
      <c r="B161" s="128"/>
      <c r="C161" s="57" t="s">
        <v>179</v>
      </c>
      <c r="D161" s="58">
        <f>(11.99)*(10.764)</f>
        <v>129.06036</v>
      </c>
      <c r="E161" s="58">
        <f t="shared" si="2"/>
        <v>43.020119999999999</v>
      </c>
      <c r="F161" s="57">
        <f t="shared" si="4"/>
        <v>266.72474399999999</v>
      </c>
      <c r="G161" s="121"/>
      <c r="H161" s="122"/>
      <c r="I161" s="61"/>
      <c r="L161" s="85"/>
      <c r="M161" s="85"/>
      <c r="N161" s="61"/>
    </row>
    <row r="162" spans="1:14" s="18" customFormat="1">
      <c r="A162" s="126"/>
      <c r="B162" s="127"/>
      <c r="C162" s="127"/>
      <c r="D162" s="127"/>
      <c r="E162" s="127"/>
      <c r="F162" s="127"/>
      <c r="G162" s="127"/>
      <c r="H162" s="128"/>
      <c r="I162" s="61"/>
      <c r="N162" s="61"/>
    </row>
    <row r="163" spans="1:14" ht="47.25" customHeight="1">
      <c r="A163" s="94" t="s">
        <v>181</v>
      </c>
      <c r="B163" s="94" t="s">
        <v>182</v>
      </c>
      <c r="C163" s="92" t="s">
        <v>172</v>
      </c>
      <c r="D163" s="92" t="s">
        <v>173</v>
      </c>
      <c r="E163" s="129" t="s">
        <v>183</v>
      </c>
      <c r="F163" s="54" t="s">
        <v>175</v>
      </c>
      <c r="G163" s="94" t="s">
        <v>176</v>
      </c>
      <c r="H163" s="97"/>
      <c r="I163" s="61"/>
    </row>
    <row r="164" spans="1:14" s="18" customFormat="1">
      <c r="A164" s="95"/>
      <c r="B164" s="95"/>
      <c r="C164" s="93"/>
      <c r="D164" s="93"/>
      <c r="E164" s="130"/>
      <c r="F164" s="55">
        <v>0.5</v>
      </c>
      <c r="G164" s="95"/>
      <c r="H164" s="98"/>
      <c r="I164" s="61"/>
    </row>
    <row r="165" spans="1:14" s="18" customFormat="1" ht="15.75" customHeight="1">
      <c r="A165" s="83" t="s">
        <v>184</v>
      </c>
      <c r="B165" s="83"/>
      <c r="C165" s="83"/>
      <c r="D165" s="83"/>
      <c r="E165" s="83"/>
      <c r="F165" s="83"/>
      <c r="G165" s="83"/>
      <c r="H165" s="83"/>
      <c r="J165" s="61"/>
    </row>
    <row r="166" spans="1:14" s="18" customFormat="1">
      <c r="A166" s="114" t="s">
        <v>178</v>
      </c>
      <c r="B166" s="115"/>
      <c r="C166" s="115"/>
      <c r="D166" s="115"/>
      <c r="E166" s="115"/>
      <c r="F166" s="115"/>
      <c r="G166" s="115"/>
      <c r="H166" s="116"/>
      <c r="J166" s="58">
        <f>10.764</f>
        <v>10.763999999999999</v>
      </c>
    </row>
    <row r="167" spans="1:14" s="18" customFormat="1">
      <c r="A167" s="83" t="s">
        <v>185</v>
      </c>
      <c r="B167" s="83"/>
      <c r="C167" s="83"/>
      <c r="D167" s="83"/>
      <c r="E167" s="83"/>
      <c r="F167" s="83"/>
      <c r="G167" s="83"/>
      <c r="H167" s="83"/>
      <c r="J167" s="61"/>
    </row>
    <row r="168" spans="1:14" s="18" customFormat="1" ht="15.75" customHeight="1">
      <c r="A168" s="84">
        <v>1</v>
      </c>
      <c r="B168" s="84"/>
      <c r="C168" s="59">
        <v>1</v>
      </c>
      <c r="D168" s="58">
        <f>(3.95*2.75+2.3*2.55+2.75*2.71+1.65*1.2+1.35*1.2+1.2*0.3+2.55*0.9)*(10.764)</f>
        <v>327.60234000000003</v>
      </c>
      <c r="E168" s="57">
        <v>0</v>
      </c>
      <c r="F168" s="57">
        <f t="shared" ref="F168:F173" si="5">D168*(($F$164)+1)+(IF(E168&lt;101,E168,IF(E168&lt;201,E168/2,IF(E168&lt;=301,E168/3,E168/4))))</f>
        <v>491.40351000000004</v>
      </c>
      <c r="G168" s="84" t="str">
        <f>A167</f>
        <v>1st Floor For Residential</v>
      </c>
      <c r="H168" s="84"/>
      <c r="I168" s="61">
        <f>4000000/F168</f>
        <v>8139.9499975081571</v>
      </c>
      <c r="L168" s="85"/>
      <c r="M168" s="85"/>
      <c r="N168" s="61"/>
    </row>
    <row r="169" spans="1:14" s="18" customFormat="1" ht="15.75" customHeight="1">
      <c r="A169" s="84">
        <f t="shared" ref="A169:A173" si="6">A168+1</f>
        <v>2</v>
      </c>
      <c r="B169" s="84"/>
      <c r="C169" s="59">
        <v>2</v>
      </c>
      <c r="D169" s="58">
        <f>(4.25*2.9+1.2*1.3+2.17*0.83+2.9*2.75+2.83*2.3+3.35*2.75+1.2*2+1.2*2.3+1.7*0.9)*(10.764)</f>
        <v>495.92546639999989</v>
      </c>
      <c r="E169" s="57">
        <f>(5.6*0.9)*(10.764)</f>
        <v>54.25056</v>
      </c>
      <c r="F169" s="57">
        <f t="shared" si="5"/>
        <v>798.13875959999973</v>
      </c>
      <c r="G169" s="84"/>
      <c r="H169" s="84"/>
      <c r="I169" s="61"/>
      <c r="L169" s="85"/>
      <c r="M169" s="85"/>
      <c r="N169" s="61"/>
    </row>
    <row r="170" spans="1:14" s="18" customFormat="1" ht="15.75" customHeight="1">
      <c r="A170" s="84">
        <f t="shared" si="6"/>
        <v>3</v>
      </c>
      <c r="B170" s="84"/>
      <c r="C170" s="59">
        <v>2</v>
      </c>
      <c r="D170" s="58">
        <f>(2.9*2.75+4.25*2.9+2.75*2.3+3.8*2.75+2.15*1.2+1.2*2.3+2.3*0.9+1.3*1.2)*(10.764)</f>
        <v>495.62837999999994</v>
      </c>
      <c r="E170" s="57">
        <f>(5.6*0.9)*(10.764)</f>
        <v>54.25056</v>
      </c>
      <c r="F170" s="57">
        <f t="shared" si="5"/>
        <v>797.69312999999988</v>
      </c>
      <c r="G170" s="84"/>
      <c r="H170" s="84"/>
      <c r="I170" s="61"/>
      <c r="L170" s="85"/>
      <c r="M170" s="85"/>
      <c r="N170" s="61"/>
    </row>
    <row r="171" spans="1:14" s="18" customFormat="1" ht="15.75" customHeight="1">
      <c r="A171" s="84">
        <f t="shared" si="6"/>
        <v>4</v>
      </c>
      <c r="B171" s="84"/>
      <c r="C171" s="59">
        <v>1</v>
      </c>
      <c r="D171" s="58">
        <f>(2.9*4.1+0.83*2.25+2.3*3.8+2.75*3.35+2.3*1.2+2*1.2+1.7*0.9)*(10.764)</f>
        <v>413.3375999999999</v>
      </c>
      <c r="E171" s="57">
        <v>0</v>
      </c>
      <c r="F171" s="57">
        <f t="shared" si="5"/>
        <v>620.00639999999987</v>
      </c>
      <c r="G171" s="84"/>
      <c r="H171" s="84"/>
      <c r="I171" s="61"/>
      <c r="L171" s="85"/>
      <c r="M171" s="85"/>
      <c r="N171" s="61"/>
    </row>
    <row r="172" spans="1:14" s="18" customFormat="1" ht="15.75" customHeight="1">
      <c r="A172" s="84">
        <f t="shared" si="6"/>
        <v>5</v>
      </c>
      <c r="B172" s="84"/>
      <c r="C172" s="59">
        <v>1</v>
      </c>
      <c r="D172" s="58">
        <f>(2.75*4.1+2.3*3.8+2.9*3.35+1.85*1.2+1.85*1.28+3.4*0.9+0.9*0.3)*(10.764)</f>
        <v>405.24307199999998</v>
      </c>
      <c r="E172" s="57">
        <v>0</v>
      </c>
      <c r="F172" s="57">
        <f t="shared" si="5"/>
        <v>607.86460799999998</v>
      </c>
      <c r="G172" s="84"/>
      <c r="H172" s="84"/>
      <c r="I172" s="61"/>
      <c r="L172" s="85"/>
      <c r="M172" s="85"/>
      <c r="N172" s="61"/>
    </row>
    <row r="173" spans="1:14" s="18" customFormat="1" ht="15.75" customHeight="1">
      <c r="A173" s="84">
        <f t="shared" si="6"/>
        <v>6</v>
      </c>
      <c r="B173" s="84"/>
      <c r="C173" s="59">
        <v>1</v>
      </c>
      <c r="D173" s="58">
        <f>(2.75*4.33+2.3*3.8+2.9*3.35+1.85*1.2+1.85*1.28+3.4*0.9+0.9*0.3)*(10.764)</f>
        <v>412.05130200000008</v>
      </c>
      <c r="E173" s="57">
        <v>0</v>
      </c>
      <c r="F173" s="57">
        <f t="shared" si="5"/>
        <v>618.07695300000012</v>
      </c>
      <c r="G173" s="84"/>
      <c r="H173" s="84"/>
      <c r="I173" s="61"/>
      <c r="L173" s="85"/>
      <c r="M173" s="85"/>
      <c r="N173" s="61"/>
    </row>
    <row r="174" spans="1:14" s="18" customFormat="1">
      <c r="A174" s="83" t="s">
        <v>248</v>
      </c>
      <c r="B174" s="83"/>
      <c r="C174" s="83"/>
      <c r="D174" s="83"/>
      <c r="E174" s="83"/>
      <c r="F174" s="83"/>
      <c r="G174" s="83"/>
      <c r="H174" s="83"/>
      <c r="J174" s="61"/>
    </row>
    <row r="175" spans="1:14" s="18" customFormat="1" ht="15.75" customHeight="1">
      <c r="A175" s="84">
        <v>1</v>
      </c>
      <c r="B175" s="84"/>
      <c r="C175" s="80">
        <v>1</v>
      </c>
      <c r="D175" s="58">
        <f>(3.95*2.75+2.3*2.55+2.75*2.71+1.65*1.2+1.35*1.2+1.2*0.3+2.55*0.9)*(10.764)</f>
        <v>327.60234000000003</v>
      </c>
      <c r="E175" s="79">
        <v>0</v>
      </c>
      <c r="F175" s="79">
        <f t="shared" ref="F175:F180" si="7">D175*(($F$164)+1)+(IF(E175&lt;101,E175,IF(E175&lt;201,E175/2,IF(E175&lt;=301,E175/3,E175/4))))</f>
        <v>491.40351000000004</v>
      </c>
      <c r="G175" s="84" t="str">
        <f>A174</f>
        <v>2nd to 7th &amp; 9th to 12th, 14th to 16th Floor For Residential</v>
      </c>
      <c r="H175" s="84"/>
      <c r="I175" s="61">
        <f>4000000/F175</f>
        <v>8139.9499975081571</v>
      </c>
      <c r="L175" s="85"/>
      <c r="M175" s="85"/>
      <c r="N175" s="61"/>
    </row>
    <row r="176" spans="1:14" s="18" customFormat="1" ht="15.75" customHeight="1">
      <c r="A176" s="84">
        <f t="shared" ref="A176:A180" si="8">A175+1</f>
        <v>2</v>
      </c>
      <c r="B176" s="84"/>
      <c r="C176" s="80">
        <v>2</v>
      </c>
      <c r="D176" s="58">
        <f>(4.25*2.9+1.2*1.3+2.17*0.83+2.9*2.75+2.83*2.3+3.35*2.75+1.2*2+1.2*2.3+1.7*0.9)*(10.764)</f>
        <v>495.92546639999989</v>
      </c>
      <c r="E176" s="79">
        <v>0</v>
      </c>
      <c r="F176" s="79">
        <f t="shared" si="7"/>
        <v>743.88819959999978</v>
      </c>
      <c r="G176" s="84"/>
      <c r="H176" s="84"/>
      <c r="I176" s="61"/>
      <c r="L176" s="85"/>
      <c r="M176" s="85"/>
      <c r="N176" s="61"/>
    </row>
    <row r="177" spans="1:15" s="18" customFormat="1" ht="15.75" customHeight="1">
      <c r="A177" s="84">
        <f t="shared" si="8"/>
        <v>3</v>
      </c>
      <c r="B177" s="84"/>
      <c r="C177" s="80">
        <v>2</v>
      </c>
      <c r="D177" s="58">
        <f>(2.9*2.75+4.25*2.9+2.75*2.3+3.8*2.75+2.15*1.2+1.2*2.3+2.3*0.9+1.3*1.2)*(10.764)</f>
        <v>495.62837999999994</v>
      </c>
      <c r="E177" s="79">
        <v>0</v>
      </c>
      <c r="F177" s="79">
        <f t="shared" si="7"/>
        <v>743.44256999999993</v>
      </c>
      <c r="G177" s="84"/>
      <c r="H177" s="84"/>
      <c r="I177" s="61"/>
      <c r="L177" s="85"/>
      <c r="M177" s="85"/>
      <c r="N177" s="61"/>
    </row>
    <row r="178" spans="1:15" s="18" customFormat="1" ht="15.75" customHeight="1">
      <c r="A178" s="84">
        <f t="shared" si="8"/>
        <v>4</v>
      </c>
      <c r="B178" s="84"/>
      <c r="C178" s="80">
        <v>1</v>
      </c>
      <c r="D178" s="58">
        <f>(2.9*4.1+0.83*2.25+2.3*3.8+2.75*3.35+2.3*1.2+2*1.2+1.7*0.9)*(10.764)</f>
        <v>413.3375999999999</v>
      </c>
      <c r="E178" s="79">
        <v>0</v>
      </c>
      <c r="F178" s="79">
        <f t="shared" si="7"/>
        <v>620.00639999999987</v>
      </c>
      <c r="G178" s="84"/>
      <c r="H178" s="84"/>
      <c r="I178" s="61"/>
      <c r="L178" s="85"/>
      <c r="M178" s="85"/>
      <c r="N178" s="61"/>
    </row>
    <row r="179" spans="1:15" s="18" customFormat="1" ht="15.75" customHeight="1">
      <c r="A179" s="84">
        <f t="shared" si="8"/>
        <v>5</v>
      </c>
      <c r="B179" s="84"/>
      <c r="C179" s="80">
        <v>1</v>
      </c>
      <c r="D179" s="58">
        <f>(2.75*4.1+2.3*3.8+2.9*3.35+1.85*1.2+1.85*1.28+3.4*0.9+0.9*0.3)*(10.764)</f>
        <v>405.24307199999998</v>
      </c>
      <c r="E179" s="79">
        <v>0</v>
      </c>
      <c r="F179" s="79">
        <f t="shared" si="7"/>
        <v>607.86460799999998</v>
      </c>
      <c r="G179" s="84"/>
      <c r="H179" s="84"/>
      <c r="I179" s="61"/>
      <c r="L179" s="85"/>
      <c r="M179" s="85"/>
      <c r="N179" s="61"/>
    </row>
    <row r="180" spans="1:15" s="18" customFormat="1" ht="15.75" customHeight="1">
      <c r="A180" s="84">
        <f t="shared" si="8"/>
        <v>6</v>
      </c>
      <c r="B180" s="84"/>
      <c r="C180" s="80">
        <v>1</v>
      </c>
      <c r="D180" s="58">
        <f>(2.75*4.33+2.3*3.8+2.9*3.35+1.85*1.2+1.85*1.28+3.4*0.9+0.9*0.3)*(10.764)</f>
        <v>412.05130200000008</v>
      </c>
      <c r="E180" s="79">
        <v>0</v>
      </c>
      <c r="F180" s="79">
        <f t="shared" si="7"/>
        <v>618.07695300000012</v>
      </c>
      <c r="G180" s="84"/>
      <c r="H180" s="84"/>
      <c r="I180" s="61"/>
      <c r="L180" s="85"/>
      <c r="M180" s="85"/>
      <c r="N180" s="61"/>
    </row>
    <row r="181" spans="1:15" s="18" customFormat="1">
      <c r="A181" s="83" t="s">
        <v>234</v>
      </c>
      <c r="B181" s="83"/>
      <c r="C181" s="83"/>
      <c r="D181" s="83"/>
      <c r="E181" s="83"/>
      <c r="F181" s="83"/>
      <c r="G181" s="83"/>
      <c r="H181" s="83"/>
      <c r="J181" s="61"/>
    </row>
    <row r="182" spans="1:15" s="18" customFormat="1" ht="15.75" customHeight="1">
      <c r="A182" s="84">
        <v>1</v>
      </c>
      <c r="B182" s="84"/>
      <c r="C182" s="80">
        <v>1</v>
      </c>
      <c r="D182" s="58">
        <f>(3.95*2.75+2.3*2.55+2.75*2.71+1.65*1.2+1.35*1.2+1.2*0.3+2.55*0.9)*(10.764)</f>
        <v>327.60234000000003</v>
      </c>
      <c r="E182" s="79">
        <v>0</v>
      </c>
      <c r="F182" s="79">
        <f t="shared" ref="F182:F186" si="9">D182*(($F$164)+1)+(IF(E182&lt;101,E182,IF(E182&lt;201,E182/2,IF(E182&lt;=301,E182/3,E182/4))))</f>
        <v>491.40351000000004</v>
      </c>
      <c r="G182" s="84" t="str">
        <f>A181</f>
        <v>8th, 13th &amp; 18th Floor (Part Refuge Area)</v>
      </c>
      <c r="H182" s="84"/>
      <c r="I182" s="61">
        <f>4000000/F182</f>
        <v>8139.9499975081571</v>
      </c>
      <c r="L182" s="85"/>
      <c r="M182" s="85"/>
      <c r="N182" s="61"/>
    </row>
    <row r="183" spans="1:15" s="18" customFormat="1" ht="15.75" customHeight="1">
      <c r="A183" s="84">
        <f t="shared" ref="A183:A187" si="10">A182+1</f>
        <v>2</v>
      </c>
      <c r="B183" s="84"/>
      <c r="C183" s="80">
        <v>2</v>
      </c>
      <c r="D183" s="58">
        <f>(4.25*2.9+1.2*1.3+2.17*0.83+2.9*2.75+2.83*2.3+3.35*2.75+1.2*2+1.2*2.3+1.7*0.9)*(10.764)</f>
        <v>495.92546639999989</v>
      </c>
      <c r="E183" s="79">
        <v>0</v>
      </c>
      <c r="F183" s="79">
        <f t="shared" si="9"/>
        <v>743.88819959999978</v>
      </c>
      <c r="G183" s="84"/>
      <c r="H183" s="84"/>
      <c r="I183" s="61"/>
      <c r="L183" s="85"/>
      <c r="M183" s="85"/>
      <c r="N183" s="61"/>
    </row>
    <row r="184" spans="1:15" s="18" customFormat="1" ht="15.75" customHeight="1">
      <c r="A184" s="84">
        <f t="shared" si="10"/>
        <v>3</v>
      </c>
      <c r="B184" s="84"/>
      <c r="C184" s="80">
        <v>2</v>
      </c>
      <c r="D184" s="58">
        <f>(2.9*2.75+4.25*2.9+2.75*2.3+3.8*2.75+2.15*1.2+1.2*2.3+2.3*0.9+1.3*1.2)*(10.764)</f>
        <v>495.62837999999994</v>
      </c>
      <c r="E184" s="79">
        <v>0</v>
      </c>
      <c r="F184" s="79">
        <f t="shared" si="9"/>
        <v>743.44256999999993</v>
      </c>
      <c r="G184" s="84"/>
      <c r="H184" s="84"/>
      <c r="I184" s="61"/>
      <c r="L184" s="85"/>
      <c r="M184" s="85"/>
      <c r="N184" s="61"/>
    </row>
    <row r="185" spans="1:15" s="18" customFormat="1" ht="15.75" customHeight="1">
      <c r="A185" s="84">
        <f t="shared" si="10"/>
        <v>4</v>
      </c>
      <c r="B185" s="84"/>
      <c r="C185" s="80">
        <v>1</v>
      </c>
      <c r="D185" s="58">
        <f>(2.9*4.1+0.83*2.25+2.3*3.8+2.75*3.35+2.3*1.2+2*1.2+1.7*0.9)*(10.764)</f>
        <v>413.3375999999999</v>
      </c>
      <c r="E185" s="79">
        <v>0</v>
      </c>
      <c r="F185" s="79">
        <f t="shared" si="9"/>
        <v>620.00639999999987</v>
      </c>
      <c r="G185" s="84"/>
      <c r="H185" s="84"/>
      <c r="I185" s="61"/>
      <c r="L185" s="85"/>
      <c r="M185" s="85"/>
      <c r="N185" s="61"/>
    </row>
    <row r="186" spans="1:15" s="18" customFormat="1" ht="15.75" customHeight="1">
      <c r="A186" s="84">
        <f t="shared" si="10"/>
        <v>5</v>
      </c>
      <c r="B186" s="84"/>
      <c r="C186" s="80">
        <v>1</v>
      </c>
      <c r="D186" s="58">
        <f>(2.75*4.1+2.3*3.8+2.9*3.35+1.85*1.2+1.85*1.28+3.4*0.9+0.9*0.3)*(10.764)</f>
        <v>405.24307199999998</v>
      </c>
      <c r="E186" s="79">
        <v>0</v>
      </c>
      <c r="F186" s="79">
        <f t="shared" si="9"/>
        <v>607.86460799999998</v>
      </c>
      <c r="G186" s="84"/>
      <c r="H186" s="84"/>
      <c r="I186" s="61"/>
      <c r="L186" s="85"/>
      <c r="M186" s="85"/>
      <c r="N186" s="61"/>
    </row>
    <row r="187" spans="1:15" s="18" customFormat="1" ht="15.75" customHeight="1">
      <c r="A187" s="84">
        <f t="shared" si="10"/>
        <v>6</v>
      </c>
      <c r="B187" s="84"/>
      <c r="C187" s="88" t="s">
        <v>186</v>
      </c>
      <c r="D187" s="88"/>
      <c r="E187" s="88"/>
      <c r="F187" s="88"/>
      <c r="G187" s="84"/>
      <c r="H187" s="84"/>
      <c r="I187" s="61"/>
      <c r="L187" s="85"/>
      <c r="M187" s="85"/>
      <c r="N187" s="61"/>
    </row>
    <row r="188" spans="1:15" s="70" customFormat="1">
      <c r="A188" s="83" t="s">
        <v>247</v>
      </c>
      <c r="B188" s="83"/>
      <c r="C188" s="83"/>
      <c r="D188" s="83"/>
      <c r="E188" s="83"/>
      <c r="F188" s="83"/>
      <c r="G188" s="83"/>
      <c r="H188" s="83"/>
      <c r="J188" s="61"/>
    </row>
    <row r="189" spans="1:15" s="70" customFormat="1" ht="15.75" customHeight="1">
      <c r="A189" s="84">
        <v>1</v>
      </c>
      <c r="B189" s="84"/>
      <c r="C189" s="59">
        <v>1</v>
      </c>
      <c r="D189" s="58">
        <f>(3.95*2.75+2.3*2.55+2.75*2.71+1.65*1.2+1.35*1.2+1.2*0.3+2.55*0.9)*(10.764)</f>
        <v>327.60234000000003</v>
      </c>
      <c r="E189" s="69">
        <v>0</v>
      </c>
      <c r="F189" s="69">
        <f>D189*1.65</f>
        <v>540.54386099999999</v>
      </c>
      <c r="G189" s="84" t="str">
        <f>A188</f>
        <v>17th Floor For Residential</v>
      </c>
      <c r="H189" s="84"/>
      <c r="I189" s="86" t="s">
        <v>249</v>
      </c>
      <c r="J189" s="87"/>
      <c r="K189" s="87"/>
      <c r="L189" s="87"/>
      <c r="M189" s="87"/>
      <c r="N189" s="87"/>
      <c r="O189" s="87"/>
    </row>
    <row r="190" spans="1:15" s="70" customFormat="1" ht="15.75" customHeight="1">
      <c r="A190" s="84">
        <f t="shared" ref="A190:A194" si="11">A189+1</f>
        <v>2</v>
      </c>
      <c r="B190" s="84"/>
      <c r="C190" s="59">
        <v>2</v>
      </c>
      <c r="D190" s="58">
        <f>(4.25*2.9+1.2*1.3+2.17*0.83+2.9*2.75+2.83*2.3+3.35*2.75+1.2*2+1.2*2.3+1.7*0.9)*(10.764)</f>
        <v>495.92546639999989</v>
      </c>
      <c r="E190" s="69">
        <v>0</v>
      </c>
      <c r="F190" s="69">
        <f t="shared" ref="F190:F194" si="12">D190*(($F$164)+1)+(IF(E190&lt;101,E190,IF(E190&lt;201,E190/2,IF(E190&lt;=301,E190/3,E190/4))))</f>
        <v>743.88819959999978</v>
      </c>
      <c r="G190" s="84"/>
      <c r="H190" s="84"/>
      <c r="I190" s="86"/>
      <c r="J190" s="87"/>
      <c r="K190" s="87"/>
      <c r="L190" s="87"/>
      <c r="M190" s="87"/>
      <c r="N190" s="87"/>
      <c r="O190" s="87"/>
    </row>
    <row r="191" spans="1:15" s="70" customFormat="1" ht="15.75" customHeight="1">
      <c r="A191" s="84">
        <f t="shared" si="11"/>
        <v>3</v>
      </c>
      <c r="B191" s="84"/>
      <c r="C191" s="59">
        <v>2</v>
      </c>
      <c r="D191" s="58">
        <f>(2.9*2.75+4.25*2.9+2.75*2.3+3.8*2.75+2.15*1.2+1.2*2.3+2.3*0.9+1.3*1.2)*(10.764)</f>
        <v>495.62837999999994</v>
      </c>
      <c r="E191" s="69">
        <v>0</v>
      </c>
      <c r="F191" s="69">
        <f t="shared" si="12"/>
        <v>743.44256999999993</v>
      </c>
      <c r="G191" s="84"/>
      <c r="H191" s="84"/>
      <c r="I191" s="61"/>
      <c r="L191" s="85"/>
      <c r="M191" s="85"/>
      <c r="N191" s="61"/>
    </row>
    <row r="192" spans="1:15" s="70" customFormat="1" ht="15.75" customHeight="1">
      <c r="A192" s="84">
        <f t="shared" si="11"/>
        <v>4</v>
      </c>
      <c r="B192" s="84"/>
      <c r="C192" s="59">
        <v>1</v>
      </c>
      <c r="D192" s="58">
        <f>(2.9*4.1+0.83*2.25+2.3*3.8+2.75*3.35+2.3*1.2+2*1.2+1.7*0.9)*(10.764)</f>
        <v>413.3375999999999</v>
      </c>
      <c r="E192" s="69">
        <v>0</v>
      </c>
      <c r="F192" s="69">
        <f t="shared" si="12"/>
        <v>620.00639999999987</v>
      </c>
      <c r="G192" s="84"/>
      <c r="H192" s="84"/>
      <c r="I192" s="61"/>
      <c r="L192" s="85"/>
      <c r="M192" s="85"/>
      <c r="N192" s="61"/>
    </row>
    <row r="193" spans="1:14" s="70" customFormat="1" ht="15.75" customHeight="1">
      <c r="A193" s="84">
        <f t="shared" si="11"/>
        <v>5</v>
      </c>
      <c r="B193" s="84"/>
      <c r="C193" s="59">
        <v>1</v>
      </c>
      <c r="D193" s="58">
        <f>(2.75*4.1+2.3*3.8+2.9*3.35+1.85*1.2+1.85*1.28+3.4*0.9+0.9*0.3)*(10.764)</f>
        <v>405.24307199999998</v>
      </c>
      <c r="E193" s="69">
        <v>0</v>
      </c>
      <c r="F193" s="69">
        <f t="shared" si="12"/>
        <v>607.86460799999998</v>
      </c>
      <c r="G193" s="84"/>
      <c r="H193" s="84"/>
      <c r="I193" s="61"/>
      <c r="L193" s="85"/>
      <c r="M193" s="85"/>
      <c r="N193" s="61"/>
    </row>
    <row r="194" spans="1:14" s="70" customFormat="1" ht="15.75" customHeight="1">
      <c r="A194" s="84">
        <f t="shared" si="11"/>
        <v>6</v>
      </c>
      <c r="B194" s="84"/>
      <c r="C194" s="59">
        <v>1</v>
      </c>
      <c r="D194" s="58">
        <f>(2.75*4.33+2.3*3.8+2.9*3.35+1.85*1.2+1.85*1.28+3.4*0.9+0.9*0.3)*(10.764)</f>
        <v>412.05130200000008</v>
      </c>
      <c r="E194" s="69">
        <v>0</v>
      </c>
      <c r="F194" s="69">
        <f t="shared" si="12"/>
        <v>618.07695300000012</v>
      </c>
      <c r="G194" s="84"/>
      <c r="H194" s="84"/>
      <c r="I194" s="61"/>
      <c r="L194" s="85"/>
      <c r="M194" s="85"/>
      <c r="N194" s="61"/>
    </row>
    <row r="195" spans="1:14" s="18" customFormat="1">
      <c r="A195" s="83" t="s">
        <v>235</v>
      </c>
      <c r="B195" s="83"/>
      <c r="C195" s="83"/>
      <c r="D195" s="83"/>
      <c r="E195" s="83"/>
      <c r="F195" s="83"/>
      <c r="G195" s="83"/>
      <c r="H195" s="83"/>
      <c r="J195" s="61"/>
    </row>
    <row r="196" spans="1:14" s="18" customFormat="1">
      <c r="A196" s="83" t="s">
        <v>187</v>
      </c>
      <c r="B196" s="83"/>
      <c r="C196" s="83"/>
      <c r="D196" s="83"/>
      <c r="E196" s="83"/>
      <c r="F196" s="83"/>
      <c r="G196" s="83"/>
      <c r="H196" s="83"/>
      <c r="J196" s="61"/>
    </row>
    <row r="197" spans="1:14" s="18" customFormat="1">
      <c r="A197" s="114" t="s">
        <v>188</v>
      </c>
      <c r="B197" s="115"/>
      <c r="C197" s="115"/>
      <c r="D197" s="115"/>
      <c r="E197" s="115"/>
      <c r="F197" s="115"/>
      <c r="G197" s="115"/>
      <c r="H197" s="116"/>
      <c r="J197" s="58">
        <f>10.764</f>
        <v>10.763999999999999</v>
      </c>
    </row>
    <row r="198" spans="1:14" s="18" customFormat="1" ht="15.75" customHeight="1">
      <c r="A198" s="83" t="s">
        <v>189</v>
      </c>
      <c r="B198" s="83"/>
      <c r="C198" s="83"/>
      <c r="D198" s="83"/>
      <c r="E198" s="83"/>
      <c r="F198" s="83"/>
      <c r="G198" s="83"/>
      <c r="H198" s="83"/>
      <c r="J198" s="61"/>
    </row>
    <row r="199" spans="1:14" s="18" customFormat="1" ht="15.75" customHeight="1">
      <c r="A199" s="84">
        <v>1</v>
      </c>
      <c r="B199" s="84"/>
      <c r="C199" s="59">
        <v>1</v>
      </c>
      <c r="D199" s="58">
        <f>(2.75*3.95+2.3*3.8+2.9*3.35+1.85*1.2+1.85*1.28+1.2*0.9+2.3*0.9)*(10.764)</f>
        <v>398.8654019999999</v>
      </c>
      <c r="E199" s="57">
        <v>0</v>
      </c>
      <c r="F199" s="57">
        <f>D199*(($F$164)+1)+(IF(E199&lt;101,E199,IF(E199&lt;201,E199/2,IF(E199&lt;=301,E199/3,E199/4))))</f>
        <v>598.29810299999986</v>
      </c>
      <c r="G199" s="117" t="str">
        <f>A198</f>
        <v>1st Floor For Residential (Part Terrace Area)</v>
      </c>
      <c r="H199" s="118"/>
      <c r="I199" s="61"/>
      <c r="L199" s="85"/>
      <c r="M199" s="85"/>
      <c r="N199" s="61"/>
    </row>
    <row r="200" spans="1:14" s="18" customFormat="1">
      <c r="A200" s="84">
        <f t="shared" ref="A200:A202" si="13">A199+1</f>
        <v>2</v>
      </c>
      <c r="B200" s="84"/>
      <c r="C200" s="59">
        <v>1</v>
      </c>
      <c r="D200" s="58">
        <f>(2.75*3.95+2.3*3.8+2.9*3.35+1.85*1.2+1.85*1.2+1.2*0.9+2.3*0.9)*(10.764)</f>
        <v>397.27232999999995</v>
      </c>
      <c r="E200" s="57">
        <v>0</v>
      </c>
      <c r="F200" s="57">
        <f>D200*(($F$164)+1)+(IF(E200&lt;101,E200,IF(E200&lt;201,E200/2,IF(E200&lt;=301,E200/3,E200/4))))</f>
        <v>595.9084949999999</v>
      </c>
      <c r="G200" s="119"/>
      <c r="H200" s="120"/>
      <c r="I200" s="61"/>
      <c r="L200" s="85"/>
      <c r="M200" s="85"/>
      <c r="N200" s="61"/>
    </row>
    <row r="201" spans="1:14" s="18" customFormat="1">
      <c r="A201" s="84">
        <f t="shared" si="13"/>
        <v>3</v>
      </c>
      <c r="B201" s="84"/>
      <c r="C201" s="59">
        <v>1</v>
      </c>
      <c r="D201" s="58">
        <f>(2.75*3.95+2.3*3.65+2.9*3.05+1.85*1.2+1.85*1.2+1.2*0.9+2.3*0.9)*(10.764)</f>
        <v>384.19406999999995</v>
      </c>
      <c r="E201" s="57">
        <v>0</v>
      </c>
      <c r="F201" s="57">
        <f>D201*(($F$164)+1)+(IF(E201&lt;101,E201,IF(E201&lt;201,E201/2,IF(E201&lt;=301,E201/3,E201/4))))</f>
        <v>576.2911049999999</v>
      </c>
      <c r="G201" s="119"/>
      <c r="H201" s="120"/>
      <c r="I201" s="61"/>
      <c r="L201" s="85"/>
      <c r="M201" s="85"/>
      <c r="N201" s="61"/>
    </row>
    <row r="202" spans="1:14" s="18" customFormat="1">
      <c r="A202" s="84">
        <f t="shared" si="13"/>
        <v>4</v>
      </c>
      <c r="B202" s="84"/>
      <c r="C202" s="59">
        <v>1</v>
      </c>
      <c r="D202" s="58">
        <f>(2.9*3.95+0.83*2.25+2.3*3.65+2.75*3.05+2*(2.15*1.2)+0.9*4.3)*(10.764)</f>
        <v>421.24913999999995</v>
      </c>
      <c r="E202" s="57">
        <v>0</v>
      </c>
      <c r="F202" s="57">
        <f>D202*(($F$164)+1)+(IF(E202&lt;101,E202,IF(E202&lt;201,E202/2,IF(E202&lt;=301,E202/3,E202/4))))</f>
        <v>631.87370999999996</v>
      </c>
      <c r="G202" s="121"/>
      <c r="H202" s="122"/>
      <c r="I202" s="61"/>
      <c r="L202" s="85"/>
      <c r="M202" s="85"/>
      <c r="N202" s="61"/>
    </row>
    <row r="203" spans="1:14" s="18" customFormat="1" ht="15.75" customHeight="1">
      <c r="A203" s="83" t="s">
        <v>233</v>
      </c>
      <c r="B203" s="83"/>
      <c r="C203" s="83"/>
      <c r="D203" s="83"/>
      <c r="E203" s="83"/>
      <c r="F203" s="83"/>
      <c r="G203" s="83"/>
      <c r="H203" s="83"/>
      <c r="J203" s="61"/>
    </row>
    <row r="204" spans="1:14" s="18" customFormat="1" ht="15.75" customHeight="1">
      <c r="A204" s="84">
        <v>1</v>
      </c>
      <c r="B204" s="84"/>
      <c r="C204" s="59">
        <v>1</v>
      </c>
      <c r="D204" s="58">
        <f>(2.75*3.95+2.3*3.8+2.9*3.35+1.85*1.2+1.85*1.28+1.2*0.9+2.3*0.9)*(10.764)</f>
        <v>398.8654019999999</v>
      </c>
      <c r="E204" s="57">
        <v>0</v>
      </c>
      <c r="F204" s="57">
        <f>D204*(($F$164)+1)+(IF(E204&lt;101,E204,IF(E204&lt;201,E204/2,IF(E204&lt;=301,E204/3,E204/4))))</f>
        <v>598.29810299999986</v>
      </c>
      <c r="G204" s="117" t="str">
        <f>A203</f>
        <v>2nd to 7th &amp; 9th to 12th, 14th to 17th Floor For Residential</v>
      </c>
      <c r="H204" s="118"/>
      <c r="I204" s="61"/>
      <c r="L204" s="85"/>
      <c r="M204" s="85"/>
      <c r="N204" s="61"/>
    </row>
    <row r="205" spans="1:14" s="18" customFormat="1" ht="15.75" customHeight="1">
      <c r="A205" s="84">
        <f t="shared" ref="A205:A207" si="14">A204+1</f>
        <v>2</v>
      </c>
      <c r="B205" s="84"/>
      <c r="C205" s="59">
        <v>1</v>
      </c>
      <c r="D205" s="58">
        <f>(2.75*3.95+2.3*3.8+2.9*3.35+1.85*1.2+1.85*1.2+1.2*0.9+2.3*0.9)*(10.764)</f>
        <v>397.27232999999995</v>
      </c>
      <c r="E205" s="57">
        <v>0</v>
      </c>
      <c r="F205" s="57">
        <f>D205*(($F$164)+1)+(IF(E205&lt;101,E205,IF(E205&lt;201,E205/2,IF(E205&lt;=301,E205/3,E205/4))))</f>
        <v>595.9084949999999</v>
      </c>
      <c r="G205" s="119"/>
      <c r="H205" s="120"/>
      <c r="I205" s="61"/>
      <c r="L205" s="85"/>
      <c r="M205" s="85"/>
      <c r="N205" s="61"/>
    </row>
    <row r="206" spans="1:14" s="18" customFormat="1" ht="15.75" customHeight="1">
      <c r="A206" s="84">
        <f t="shared" si="14"/>
        <v>3</v>
      </c>
      <c r="B206" s="84"/>
      <c r="C206" s="59">
        <v>1</v>
      </c>
      <c r="D206" s="58">
        <f>(2.75*3.95+2.3*3.65+2.9*3.05+1.85*1.2+1.85*1.2+1.2*0.9+2.3*0.9)*(10.764)</f>
        <v>384.19406999999995</v>
      </c>
      <c r="E206" s="57">
        <v>0</v>
      </c>
      <c r="F206" s="57">
        <f>D206*(($F$164)+1)+(IF(E206&lt;101,E206,IF(E206&lt;201,E206/2,IF(E206&lt;=301,E206/3,E206/4))))</f>
        <v>576.2911049999999</v>
      </c>
      <c r="G206" s="119"/>
      <c r="H206" s="120"/>
      <c r="I206" s="61"/>
      <c r="L206" s="85"/>
      <c r="M206" s="85"/>
      <c r="N206" s="61"/>
    </row>
    <row r="207" spans="1:14" s="18" customFormat="1" ht="15.75" customHeight="1">
      <c r="A207" s="84">
        <f t="shared" si="14"/>
        <v>4</v>
      </c>
      <c r="B207" s="84"/>
      <c r="C207" s="59">
        <v>1</v>
      </c>
      <c r="D207" s="58">
        <f>(2.9*3.95+0.83*2.25+2.3*3.65+2.75*3.05+2*(2.15*1.2)+0.9*4.3)*(10.764)</f>
        <v>421.24913999999995</v>
      </c>
      <c r="E207" s="57">
        <v>0</v>
      </c>
      <c r="F207" s="57">
        <f>D207*(($F$164)+1)+(IF(E207&lt;101,E207,IF(E207&lt;201,E207/2,IF(E207&lt;=301,E207/3,E207/4))))</f>
        <v>631.87370999999996</v>
      </c>
      <c r="G207" s="121"/>
      <c r="H207" s="122"/>
      <c r="I207" s="61"/>
      <c r="L207" s="85"/>
      <c r="M207" s="85"/>
      <c r="N207" s="61"/>
    </row>
    <row r="208" spans="1:14" s="18" customFormat="1" ht="15.75" customHeight="1">
      <c r="A208" s="83" t="s">
        <v>234</v>
      </c>
      <c r="B208" s="83"/>
      <c r="C208" s="83"/>
      <c r="D208" s="83"/>
      <c r="E208" s="83"/>
      <c r="F208" s="83"/>
      <c r="G208" s="83"/>
      <c r="H208" s="83"/>
      <c r="J208" s="61"/>
    </row>
    <row r="209" spans="1:14" s="18" customFormat="1" ht="15.75" customHeight="1">
      <c r="A209" s="84">
        <v>1</v>
      </c>
      <c r="B209" s="84"/>
      <c r="C209" s="123" t="s">
        <v>186</v>
      </c>
      <c r="D209" s="124"/>
      <c r="E209" s="124"/>
      <c r="F209" s="125"/>
      <c r="G209" s="117" t="str">
        <f>A208</f>
        <v>8th, 13th &amp; 18th Floor (Part Refuge Area)</v>
      </c>
      <c r="H209" s="118"/>
      <c r="I209" s="61"/>
      <c r="L209" s="85"/>
      <c r="M209" s="85"/>
      <c r="N209" s="61"/>
    </row>
    <row r="210" spans="1:14" s="18" customFormat="1" ht="15.75" customHeight="1">
      <c r="A210" s="84">
        <f t="shared" ref="A210:A212" si="15">A209+1</f>
        <v>2</v>
      </c>
      <c r="B210" s="84"/>
      <c r="C210" s="59">
        <v>1</v>
      </c>
      <c r="D210" s="58">
        <f>(2.75*3.95+2.3*3.8+2.9*3.35+1.85*1.2+1.85*1.2+1.2*0.9+2.3*0.9)*(10.764)</f>
        <v>397.27232999999995</v>
      </c>
      <c r="E210" s="57">
        <v>0</v>
      </c>
      <c r="F210" s="57">
        <f>D210*(($F$164)+1)+(IF(E210&lt;101,E210,IF(E210&lt;201,E210/2,IF(E210&lt;=301,E210/3,E210/4))))</f>
        <v>595.9084949999999</v>
      </c>
      <c r="G210" s="119"/>
      <c r="H210" s="120"/>
      <c r="I210" s="61"/>
      <c r="L210" s="85"/>
      <c r="M210" s="85"/>
      <c r="N210" s="61"/>
    </row>
    <row r="211" spans="1:14" s="18" customFormat="1" ht="15.75" customHeight="1">
      <c r="A211" s="84">
        <f t="shared" si="15"/>
        <v>3</v>
      </c>
      <c r="B211" s="84"/>
      <c r="C211" s="59">
        <v>1</v>
      </c>
      <c r="D211" s="58">
        <f>(2.75*3.95+2.3*3.65+2.9*3.05+1.85*1.2+1.85*1.2+1.2*0.9+2.3*0.9)*(10.764)</f>
        <v>384.19406999999995</v>
      </c>
      <c r="E211" s="57">
        <v>0</v>
      </c>
      <c r="F211" s="57">
        <f>D211*(($F$164)+1)+(IF(E211&lt;101,E211,IF(E211&lt;201,E211/2,IF(E211&lt;=301,E211/3,E211/4))))</f>
        <v>576.2911049999999</v>
      </c>
      <c r="G211" s="119"/>
      <c r="H211" s="120"/>
      <c r="I211" s="61"/>
      <c r="L211" s="85"/>
      <c r="M211" s="85"/>
      <c r="N211" s="61"/>
    </row>
    <row r="212" spans="1:14" s="18" customFormat="1" ht="15.75" customHeight="1">
      <c r="A212" s="84">
        <f t="shared" si="15"/>
        <v>4</v>
      </c>
      <c r="B212" s="84"/>
      <c r="C212" s="59">
        <v>1</v>
      </c>
      <c r="D212" s="58">
        <f>(2.9*3.95+0.83*2.25+2.3*3.65+2.75*3.05+2*(2.15*1.2)+0.9*4.3)*(10.764)</f>
        <v>421.24913999999995</v>
      </c>
      <c r="E212" s="57">
        <v>0</v>
      </c>
      <c r="F212" s="57">
        <f>D212*(($F$164)+1)+(IF(E212&lt;101,E212,IF(E212&lt;201,E212/2,IF(E212&lt;=301,E212/3,E212/4))))</f>
        <v>631.87370999999996</v>
      </c>
      <c r="G212" s="121"/>
      <c r="H212" s="122"/>
      <c r="I212" s="61"/>
      <c r="L212" s="85"/>
      <c r="M212" s="85"/>
      <c r="N212" s="61"/>
    </row>
    <row r="213" spans="1:14" s="18" customFormat="1" ht="15.75" customHeight="1">
      <c r="A213" s="83" t="s">
        <v>236</v>
      </c>
      <c r="B213" s="83"/>
      <c r="C213" s="83"/>
      <c r="D213" s="83"/>
      <c r="E213" s="83"/>
      <c r="F213" s="83"/>
      <c r="G213" s="83"/>
      <c r="H213" s="83"/>
      <c r="J213" s="61"/>
    </row>
    <row r="214" spans="1:14" s="18" customFormat="1">
      <c r="A214" s="84">
        <v>1</v>
      </c>
      <c r="B214" s="84"/>
      <c r="C214" s="59" t="s">
        <v>190</v>
      </c>
      <c r="D214" s="58">
        <f>(2.75*3.95+2.3*3.8+2.9*3.35+1.85*1.2+1.85*1.28+1.2*0.9+2.3*0.9)*(10.764)</f>
        <v>398.8654019999999</v>
      </c>
      <c r="E214" s="57">
        <v>0</v>
      </c>
      <c r="F214" s="57">
        <f>D214*(($F$164)+1)+(IF(E214&lt;101,E214,IF(E214&lt;201,E214/2,IF(E214&lt;=301,E214/3,E214/4))))</f>
        <v>598.29810299999986</v>
      </c>
      <c r="G214" s="117" t="str">
        <f>A213</f>
        <v>19th Floor</v>
      </c>
      <c r="H214" s="118"/>
      <c r="I214" s="61"/>
      <c r="L214" s="85"/>
      <c r="M214" s="85"/>
      <c r="N214" s="61"/>
    </row>
    <row r="215" spans="1:14" s="18" customFormat="1">
      <c r="A215" s="84">
        <f t="shared" ref="A215:A217" si="16">A214+1</f>
        <v>2</v>
      </c>
      <c r="B215" s="84"/>
      <c r="C215" s="59">
        <v>1</v>
      </c>
      <c r="D215" s="58">
        <f>(2.75*3.95+2.3*3.8+2.9*3.35+1.85*1.2+1.85*1.2+1.2*0.9+2.3*0.9)*(10.764)</f>
        <v>397.27232999999995</v>
      </c>
      <c r="E215" s="57">
        <v>0</v>
      </c>
      <c r="F215" s="57">
        <f>D215*(($F$164)+1)+(IF(E215&lt;101,E215,IF(E215&lt;201,E215/2,IF(E215&lt;=301,E215/3,E215/4))))</f>
        <v>595.9084949999999</v>
      </c>
      <c r="G215" s="119"/>
      <c r="H215" s="120"/>
      <c r="I215" s="61"/>
      <c r="L215" s="85"/>
      <c r="M215" s="85"/>
      <c r="N215" s="61"/>
    </row>
    <row r="216" spans="1:14" s="18" customFormat="1">
      <c r="A216" s="84">
        <f t="shared" si="16"/>
        <v>3</v>
      </c>
      <c r="B216" s="84"/>
      <c r="C216" s="59">
        <v>1</v>
      </c>
      <c r="D216" s="58">
        <f>(2.75*3.95+2.3*3.65+2.9*3.05+1.85*1.2+1.85*1.2+1.2*0.9+2.3*0.9)*(10.764)</f>
        <v>384.19406999999995</v>
      </c>
      <c r="E216" s="57">
        <v>0</v>
      </c>
      <c r="F216" s="57">
        <f>D216*(($F$164)+1)+(IF(E216&lt;101,E216,IF(E216&lt;201,E216/2,IF(E216&lt;=301,E216/3,E216/4))))</f>
        <v>576.2911049999999</v>
      </c>
      <c r="G216" s="119"/>
      <c r="H216" s="120"/>
      <c r="I216" s="61"/>
      <c r="L216" s="85"/>
      <c r="M216" s="85"/>
      <c r="N216" s="61"/>
    </row>
    <row r="217" spans="1:14" s="18" customFormat="1">
      <c r="A217" s="84">
        <f t="shared" si="16"/>
        <v>4</v>
      </c>
      <c r="B217" s="84"/>
      <c r="C217" s="59">
        <v>1</v>
      </c>
      <c r="D217" s="58">
        <f>(2.9*3.95+0.83*2.25+2.3*3.65+2.75*3.05+2*(2.15*1.2)+0.9*4.3)*(10.764)</f>
        <v>421.24913999999995</v>
      </c>
      <c r="E217" s="57">
        <v>0</v>
      </c>
      <c r="F217" s="57">
        <f>D217*(($F$164)+1)+(IF(E217&lt;101,E217,IF(E217&lt;201,E217/2,IF(E217&lt;=301,E217/3,E217/4))))</f>
        <v>631.87370999999996</v>
      </c>
      <c r="G217" s="121"/>
      <c r="H217" s="122"/>
      <c r="I217" s="61"/>
      <c r="L217" s="85"/>
      <c r="M217" s="85"/>
      <c r="N217" s="61"/>
    </row>
    <row r="218" spans="1:14" s="18" customFormat="1">
      <c r="A218" s="83" t="s">
        <v>180</v>
      </c>
      <c r="B218" s="83"/>
      <c r="C218" s="83"/>
      <c r="D218" s="83"/>
      <c r="E218" s="83"/>
      <c r="F218" s="83"/>
      <c r="G218" s="83"/>
      <c r="H218" s="83"/>
      <c r="J218" s="61"/>
    </row>
    <row r="219" spans="1:14" s="18" customFormat="1" ht="15.75" customHeight="1">
      <c r="A219" s="114" t="s">
        <v>188</v>
      </c>
      <c r="B219" s="115"/>
      <c r="C219" s="115"/>
      <c r="D219" s="115"/>
      <c r="E219" s="115"/>
      <c r="F219" s="115"/>
      <c r="G219" s="115"/>
      <c r="H219" s="116"/>
      <c r="J219" s="61"/>
    </row>
    <row r="220" spans="1:14" s="18" customFormat="1">
      <c r="A220" s="83" t="s">
        <v>185</v>
      </c>
      <c r="B220" s="83"/>
      <c r="C220" s="83"/>
      <c r="D220" s="83"/>
      <c r="E220" s="83"/>
      <c r="F220" s="83"/>
      <c r="G220" s="83"/>
      <c r="H220" s="83"/>
      <c r="J220" s="61"/>
    </row>
    <row r="221" spans="1:14" s="18" customFormat="1">
      <c r="A221" s="84">
        <v>1</v>
      </c>
      <c r="B221" s="84"/>
      <c r="C221" s="59">
        <v>4</v>
      </c>
      <c r="D221" s="58">
        <f>(4.45*6.25+2.75*2.9+2.3*3.06+3.35*2.75+1.8*1.35+1.2*2.14+1.2*1.8+2.75*2.91+2.3*2.91+1.2*2.91+3.35*2.75+1.2*0.9+1.2*6.25)*(10.764)</f>
        <v>1024.4744639999999</v>
      </c>
      <c r="E221" s="57">
        <v>0</v>
      </c>
      <c r="F221" s="57">
        <f>D221*(($F$164)+1)+(IF(E221&lt;101,E221,IF(E221&lt;201,E221/2,IF(E221&lt;=301,E221/3,E221/4))))</f>
        <v>1536.7116959999998</v>
      </c>
      <c r="G221" s="84" t="str">
        <f>A220</f>
        <v>1st Floor For Residential</v>
      </c>
      <c r="H221" s="84"/>
      <c r="I221" s="56"/>
      <c r="L221" s="85"/>
      <c r="M221" s="85"/>
      <c r="N221" s="61"/>
    </row>
    <row r="222" spans="1:14" s="67" customFormat="1">
      <c r="A222" s="83" t="s">
        <v>238</v>
      </c>
      <c r="B222" s="83"/>
      <c r="C222" s="83"/>
      <c r="D222" s="83"/>
      <c r="E222" s="83"/>
      <c r="F222" s="83"/>
      <c r="G222" s="83"/>
      <c r="H222" s="83"/>
      <c r="J222" s="61"/>
    </row>
    <row r="223" spans="1:14" s="67" customFormat="1">
      <c r="A223" s="84">
        <v>1</v>
      </c>
      <c r="B223" s="84"/>
      <c r="C223" s="59">
        <v>2</v>
      </c>
      <c r="D223" s="58">
        <f>(4.45*3.05+2.75*2.91+2.3*2.91+1.2*2.91+3.35*2.75+1.8*1.2+1.2*0.9+1.2*3.05)*(10.764)</f>
        <v>515.29958999999997</v>
      </c>
      <c r="E223" s="73">
        <v>0</v>
      </c>
      <c r="F223" s="73">
        <f>D223*(($F$164)+1)+(IF(E223&lt;101,E223,IF(E223&lt;201,E223/2,IF(E223&lt;=301,E223/3,E223/4))))</f>
        <v>772.94938499999989</v>
      </c>
      <c r="G223" s="84" t="str">
        <f>A222</f>
        <v>2nd, 4th to 6th Floor</v>
      </c>
      <c r="H223" s="84"/>
      <c r="I223" s="68"/>
      <c r="L223" s="85"/>
      <c r="M223" s="85"/>
      <c r="N223" s="61"/>
    </row>
    <row r="224" spans="1:14" s="67" customFormat="1">
      <c r="A224" s="84">
        <f t="shared" ref="A224" si="17">A223+1</f>
        <v>2</v>
      </c>
      <c r="B224" s="84"/>
      <c r="C224" s="59">
        <v>2</v>
      </c>
      <c r="D224" s="58">
        <f>(4.45*3.05+2.75*2.91+2.3*2.91+1.2*2.91+3.35*2.75+1.8*1.2+1.2*0.9+1.2*3.05)*(10.764)</f>
        <v>515.29958999999997</v>
      </c>
      <c r="E224" s="73">
        <v>0</v>
      </c>
      <c r="F224" s="73">
        <f>D224*(($F$164)+1)+(IF(E224&lt;101,E224,IF(E224&lt;201,E224/2,IF(E224&lt;=301,E224/3,E224/4))))</f>
        <v>772.94938499999989</v>
      </c>
      <c r="G224" s="84" t="str">
        <f t="shared" ref="G224" si="18">G223</f>
        <v>2nd, 4th to 6th Floor</v>
      </c>
      <c r="H224" s="84"/>
      <c r="I224" s="61"/>
      <c r="L224" s="85"/>
      <c r="M224" s="85"/>
      <c r="N224" s="61"/>
    </row>
    <row r="225" spans="1:14" s="67" customFormat="1">
      <c r="A225" s="83" t="s">
        <v>237</v>
      </c>
      <c r="B225" s="83"/>
      <c r="C225" s="83"/>
      <c r="D225" s="83"/>
      <c r="E225" s="83"/>
      <c r="F225" s="83"/>
      <c r="G225" s="83"/>
      <c r="H225" s="83"/>
      <c r="J225" s="61"/>
    </row>
    <row r="226" spans="1:14" s="67" customFormat="1">
      <c r="A226" s="84">
        <v>1</v>
      </c>
      <c r="B226" s="84"/>
      <c r="C226" s="59">
        <v>4</v>
      </c>
      <c r="D226" s="58">
        <f>(4.45*6.25+2.75*2.9+2.3*3.06+3.35*2.75+1.8*1.35+1.2*2.14+1.2*1.8+2.75*2.91+2.3*2.91+1.2*2.91+3.35*2.75+1.2*0.9+1.2*6.25)*(10.764)</f>
        <v>1024.4744639999999</v>
      </c>
      <c r="E226" s="73">
        <v>0</v>
      </c>
      <c r="F226" s="73">
        <f>D226*(($F$164)+1)+(IF(E226&lt;101,E226,IF(E226&lt;201,E226/2,IF(E226&lt;=301,E226/3,E226/4))))</f>
        <v>1536.7116959999998</v>
      </c>
      <c r="G226" s="84" t="str">
        <f>A225</f>
        <v>3rd Floor</v>
      </c>
      <c r="H226" s="84"/>
      <c r="I226" s="68"/>
      <c r="L226" s="85"/>
      <c r="M226" s="85"/>
      <c r="N226" s="61"/>
    </row>
    <row r="227" spans="1:14" s="18" customFormat="1">
      <c r="A227" s="83" t="s">
        <v>191</v>
      </c>
      <c r="B227" s="83"/>
      <c r="C227" s="83"/>
      <c r="D227" s="83"/>
      <c r="E227" s="83"/>
      <c r="F227" s="83"/>
      <c r="G227" s="83"/>
      <c r="H227" s="83"/>
      <c r="J227" s="61"/>
    </row>
    <row r="228" spans="1:14" s="18" customFormat="1">
      <c r="A228" s="84">
        <v>1</v>
      </c>
      <c r="B228" s="84"/>
      <c r="C228" s="59">
        <v>2</v>
      </c>
      <c r="D228" s="58">
        <f>(4.45*3.05+2.75*2.91+2.3*2.91+1.2*2.91+3.35*2.75+1.8*1.2+1.2*0.9+1.2*3.05)*(10.764)</f>
        <v>515.29958999999997</v>
      </c>
      <c r="E228" s="73">
        <v>0</v>
      </c>
      <c r="F228" s="73">
        <f>D228*(($F$164)+1)+(IF(E228&lt;101,E228,IF(E228&lt;201,E228/2,IF(E228&lt;=301,E228/3,E228/4))))</f>
        <v>772.94938499999989</v>
      </c>
      <c r="G228" s="84" t="str">
        <f>A227</f>
        <v>7th Floor (Part Terrace Area)</v>
      </c>
      <c r="H228" s="84"/>
      <c r="I228" s="62"/>
      <c r="L228" s="85"/>
      <c r="M228" s="85"/>
      <c r="N228" s="61"/>
    </row>
    <row r="229" spans="1:14" s="18" customFormat="1">
      <c r="A229" s="83" t="s">
        <v>192</v>
      </c>
      <c r="B229" s="83"/>
      <c r="C229" s="83"/>
      <c r="D229" s="83"/>
      <c r="E229" s="83"/>
      <c r="F229" s="83"/>
      <c r="G229" s="83"/>
      <c r="H229" s="83"/>
      <c r="J229" s="61"/>
    </row>
    <row r="230" spans="1:14" s="18" customFormat="1">
      <c r="A230" s="83" t="s">
        <v>193</v>
      </c>
      <c r="B230" s="83"/>
      <c r="C230" s="83"/>
      <c r="D230" s="83"/>
      <c r="E230" s="83"/>
      <c r="F230" s="83"/>
      <c r="G230" s="83"/>
      <c r="H230" s="83"/>
      <c r="J230" s="61"/>
    </row>
    <row r="231" spans="1:14" s="18" customFormat="1">
      <c r="A231" s="84">
        <v>1</v>
      </c>
      <c r="B231" s="84"/>
      <c r="C231" s="59">
        <v>0</v>
      </c>
      <c r="D231" s="58">
        <f>(3.5*2.75+1.5*1.2+0.9*1.2+3.7*2.3+0.9*1.2+1.2*0.45)*(10.764)</f>
        <v>243.64313999999996</v>
      </c>
      <c r="E231" s="73">
        <v>0</v>
      </c>
      <c r="F231" s="73">
        <f>D231*(($F$164)+1)+(IF(E231&lt;101,E231,IF(E231&lt;201,E231/2,IF(E231&lt;=301,E231/3,E231/4))))</f>
        <v>365.46470999999997</v>
      </c>
      <c r="G231" s="84" t="str">
        <f>A230</f>
        <v>Ground Floor For Residential (Part Parking Area)</v>
      </c>
      <c r="H231" s="84"/>
      <c r="I231" s="62"/>
      <c r="L231" s="85"/>
      <c r="M231" s="85"/>
      <c r="N231" s="61"/>
    </row>
    <row r="232" spans="1:14" s="18" customFormat="1">
      <c r="A232" s="83" t="s">
        <v>194</v>
      </c>
      <c r="B232" s="83"/>
      <c r="C232" s="83"/>
      <c r="D232" s="83"/>
      <c r="E232" s="83"/>
      <c r="F232" s="83"/>
      <c r="G232" s="83"/>
      <c r="H232" s="83"/>
      <c r="J232" s="61"/>
    </row>
    <row r="233" spans="1:14" s="18" customFormat="1">
      <c r="A233" s="84">
        <v>1</v>
      </c>
      <c r="B233" s="84"/>
      <c r="C233" s="59">
        <v>0</v>
      </c>
      <c r="D233" s="58">
        <f>(23.41)*(10.764)</f>
        <v>251.98523999999998</v>
      </c>
      <c r="E233" s="73">
        <v>0</v>
      </c>
      <c r="F233" s="73">
        <f>D233*(($F$164)+1)+(IF(E233&lt;101,E233,IF(E233&lt;201,E233/2,IF(E233&lt;=301,E233/3,E233/4))))</f>
        <v>377.97785999999996</v>
      </c>
      <c r="G233" s="84" t="str">
        <f>A232</f>
        <v>1st, 2nd &amp; 3rd Floor</v>
      </c>
      <c r="H233" s="84"/>
      <c r="I233" s="62">
        <f>23.41*10.764</f>
        <v>251.98523999999998</v>
      </c>
      <c r="L233" s="85"/>
      <c r="M233" s="85"/>
      <c r="N233" s="61"/>
    </row>
    <row r="234" spans="1:14" s="18" customFormat="1">
      <c r="A234" s="84">
        <f>A233+1</f>
        <v>2</v>
      </c>
      <c r="B234" s="84"/>
      <c r="C234" s="59">
        <v>0</v>
      </c>
      <c r="D234" s="58">
        <f>(19.99)*(10.764)</f>
        <v>215.17235999999997</v>
      </c>
      <c r="E234" s="57">
        <v>0</v>
      </c>
      <c r="F234" s="57">
        <f>D234*(($F$164)+1)+(IF(E234&lt;101,E234,IF(E234&lt;201,E234/2,IF(E234&lt;=301,E234/3,E234/4))))</f>
        <v>322.75853999999993</v>
      </c>
      <c r="G234" s="84" t="str">
        <f>G233</f>
        <v>1st, 2nd &amp; 3rd Floor</v>
      </c>
      <c r="H234" s="84"/>
      <c r="I234" s="61"/>
      <c r="L234" s="85"/>
      <c r="M234" s="85"/>
      <c r="N234" s="61"/>
    </row>
    <row r="235" spans="1:14" s="18" customFormat="1">
      <c r="A235" s="84">
        <f>A234+1</f>
        <v>3</v>
      </c>
      <c r="B235" s="84"/>
      <c r="C235" s="59">
        <v>0</v>
      </c>
      <c r="D235" s="58">
        <f>(19.99)*(10.764)</f>
        <v>215.17235999999997</v>
      </c>
      <c r="E235" s="57">
        <v>0</v>
      </c>
      <c r="F235" s="57">
        <f>D235*(($F$164)+1)+(IF(E235&lt;101,E235,IF(E235&lt;201,E235/2,IF(E235&lt;=301,E235/3,E235/4))))</f>
        <v>322.75853999999993</v>
      </c>
      <c r="G235" s="84" t="str">
        <f>G234</f>
        <v>1st, 2nd &amp; 3rd Floor</v>
      </c>
      <c r="H235" s="84"/>
      <c r="I235" s="61"/>
      <c r="L235" s="85"/>
      <c r="M235" s="85"/>
      <c r="N235" s="61"/>
    </row>
    <row r="236" spans="1:14" s="18" customFormat="1">
      <c r="A236" s="84">
        <f>A235+1</f>
        <v>4</v>
      </c>
      <c r="B236" s="84"/>
      <c r="C236" s="59">
        <v>0</v>
      </c>
      <c r="D236" s="58">
        <f>(23.41)*(10.764)</f>
        <v>251.98523999999998</v>
      </c>
      <c r="E236" s="57">
        <v>0</v>
      </c>
      <c r="F236" s="57">
        <f>D236*(($F$164)+1)+(IF(E236&lt;101,E236,IF(E236&lt;201,E236/2,IF(E236&lt;=301,E236/3,E236/4))))</f>
        <v>377.97785999999996</v>
      </c>
      <c r="G236" s="84" t="str">
        <f>G235</f>
        <v>1st, 2nd &amp; 3rd Floor</v>
      </c>
      <c r="H236" s="84"/>
      <c r="I236" s="61"/>
      <c r="L236" s="85"/>
      <c r="M236" s="85"/>
      <c r="N236" s="61"/>
    </row>
    <row r="237" spans="1:14" s="18" customFormat="1">
      <c r="A237" s="84">
        <f>A236+1</f>
        <v>5</v>
      </c>
      <c r="B237" s="84"/>
      <c r="C237" s="59">
        <v>0</v>
      </c>
      <c r="D237" s="58">
        <f>(23.41)*(10.764)</f>
        <v>251.98523999999998</v>
      </c>
      <c r="E237" s="57">
        <v>0</v>
      </c>
      <c r="F237" s="57">
        <f>D237*(($F$164)+1)+(IF(E237&lt;101,E237,IF(E237&lt;201,E237/2,IF(E237&lt;=301,E237/3,E237/4))))</f>
        <v>377.97785999999996</v>
      </c>
      <c r="G237" s="84" t="str">
        <f>G236</f>
        <v>1st, 2nd &amp; 3rd Floor</v>
      </c>
      <c r="H237" s="84"/>
      <c r="I237" s="61"/>
      <c r="L237" s="85"/>
      <c r="M237" s="85"/>
      <c r="N237" s="61"/>
    </row>
    <row r="238" spans="1:14" s="18" customFormat="1">
      <c r="A238" s="83" t="s">
        <v>239</v>
      </c>
      <c r="B238" s="83"/>
      <c r="C238" s="83"/>
      <c r="D238" s="83"/>
      <c r="E238" s="83"/>
      <c r="F238" s="83"/>
      <c r="G238" s="83"/>
      <c r="H238" s="83"/>
      <c r="J238" s="61"/>
    </row>
    <row r="239" spans="1:14" s="18" customFormat="1">
      <c r="A239" s="84">
        <v>1</v>
      </c>
      <c r="B239" s="84"/>
      <c r="C239" s="59">
        <v>0</v>
      </c>
      <c r="D239" s="58">
        <f>(23.41)*(10.764)</f>
        <v>251.98523999999998</v>
      </c>
      <c r="E239" s="57">
        <v>0</v>
      </c>
      <c r="F239" s="57">
        <f>D239*(($F$164)+1)+(IF(E239&lt;101,E239,IF(E239&lt;201,E239/2,IF(E239&lt;=301,E239/3,E239/4))))</f>
        <v>377.97785999999996</v>
      </c>
      <c r="G239" s="84" t="str">
        <f>A238</f>
        <v>4th, 5th &amp; 6th Floor</v>
      </c>
      <c r="H239" s="84"/>
      <c r="I239" s="62"/>
      <c r="L239" s="85"/>
      <c r="M239" s="85"/>
      <c r="N239" s="61"/>
    </row>
    <row r="240" spans="1:14" s="18" customFormat="1">
      <c r="A240" s="84">
        <f>A239+1</f>
        <v>2</v>
      </c>
      <c r="B240" s="84"/>
      <c r="C240" s="59">
        <v>0</v>
      </c>
      <c r="D240" s="58">
        <f t="shared" ref="D240:D241" si="19">(19.99)*(10.764)</f>
        <v>215.17235999999997</v>
      </c>
      <c r="E240" s="57">
        <v>0</v>
      </c>
      <c r="F240" s="57">
        <f>D240*(($F$164)+1)+(IF(E240&lt;101,E240,IF(E240&lt;201,E240/2,IF(E240&lt;=301,E240/3,E240/4))))</f>
        <v>322.75853999999993</v>
      </c>
      <c r="G240" s="84" t="str">
        <f>G239</f>
        <v>4th, 5th &amp; 6th Floor</v>
      </c>
      <c r="H240" s="84"/>
      <c r="I240" s="61"/>
      <c r="L240" s="85"/>
      <c r="M240" s="85"/>
      <c r="N240" s="61"/>
    </row>
    <row r="241" spans="1:14" s="18" customFormat="1">
      <c r="A241" s="84">
        <f>A240+1</f>
        <v>3</v>
      </c>
      <c r="B241" s="84"/>
      <c r="C241" s="59">
        <v>0</v>
      </c>
      <c r="D241" s="58">
        <f t="shared" si="19"/>
        <v>215.17235999999997</v>
      </c>
      <c r="E241" s="57">
        <v>0</v>
      </c>
      <c r="F241" s="57">
        <f>D241*(($F$164)+1)+(IF(E241&lt;101,E241,IF(E241&lt;201,E241/2,IF(E241&lt;=301,E241/3,E241/4))))</f>
        <v>322.75853999999993</v>
      </c>
      <c r="G241" s="84" t="str">
        <f>G240</f>
        <v>4th, 5th &amp; 6th Floor</v>
      </c>
      <c r="H241" s="84"/>
      <c r="I241" s="61"/>
      <c r="L241" s="85"/>
      <c r="M241" s="85"/>
      <c r="N241" s="61"/>
    </row>
    <row r="242" spans="1:14" s="18" customFormat="1">
      <c r="A242" s="84">
        <f>A241+1</f>
        <v>4</v>
      </c>
      <c r="B242" s="84"/>
      <c r="C242" s="59">
        <v>0</v>
      </c>
      <c r="D242" s="58">
        <f>(20.25)*(10.764)</f>
        <v>217.97099999999998</v>
      </c>
      <c r="E242" s="57">
        <v>0</v>
      </c>
      <c r="F242" s="57">
        <f>D242*(($F$164)+1)+(IF(E242&lt;101,E242,IF(E242&lt;201,E242/2,IF(E242&lt;=301,E242/3,E242/4))))</f>
        <v>326.95649999999995</v>
      </c>
      <c r="G242" s="84" t="str">
        <f>G241</f>
        <v>4th, 5th &amp; 6th Floor</v>
      </c>
      <c r="H242" s="84"/>
      <c r="I242" s="61"/>
      <c r="L242" s="85"/>
      <c r="M242" s="85"/>
      <c r="N242" s="61"/>
    </row>
    <row r="243" spans="1:14" s="18" customFormat="1">
      <c r="A243" s="84">
        <f>A242+1</f>
        <v>5</v>
      </c>
      <c r="B243" s="84"/>
      <c r="C243" s="59">
        <v>0</v>
      </c>
      <c r="D243" s="58">
        <f>(23.41)*(10.764)</f>
        <v>251.98523999999998</v>
      </c>
      <c r="E243" s="57">
        <v>0</v>
      </c>
      <c r="F243" s="57">
        <f>D243*(($F$164)+1)+(IF(E243&lt;101,E243,IF(E243&lt;201,E243/2,IF(E243&lt;=301,E243/3,E243/4))))</f>
        <v>377.97785999999996</v>
      </c>
      <c r="G243" s="84" t="str">
        <f>G242</f>
        <v>4th, 5th &amp; 6th Floor</v>
      </c>
      <c r="H243" s="84"/>
      <c r="I243" s="61"/>
      <c r="L243" s="85"/>
      <c r="M243" s="85"/>
      <c r="N243" s="61"/>
    </row>
    <row r="244" spans="1:14" s="17" customFormat="1">
      <c r="A244" s="113" t="s">
        <v>195</v>
      </c>
      <c r="B244" s="113"/>
      <c r="C244" s="113"/>
      <c r="D244" s="113"/>
      <c r="E244" s="113"/>
      <c r="F244" s="113"/>
      <c r="G244" s="113"/>
      <c r="H244" s="113"/>
    </row>
    <row r="245" spans="1:14" s="17" customFormat="1">
      <c r="A245" s="53" t="s">
        <v>196</v>
      </c>
      <c r="B245" s="103" t="s">
        <v>197</v>
      </c>
      <c r="C245" s="104"/>
      <c r="D245" s="104"/>
      <c r="E245" s="104"/>
      <c r="F245" s="104"/>
      <c r="G245" s="104"/>
      <c r="H245" s="105"/>
    </row>
    <row r="246" spans="1:14" s="17" customFormat="1">
      <c r="A246" s="53" t="s">
        <v>196</v>
      </c>
      <c r="B246" s="103" t="str">
        <f>(IF(F163="Saleable area Loading :","We have considered Saleable area of Flats as per our Calculation.","We considered Saleable area of Flat as per Builder area Sheet."))</f>
        <v>We have considered Saleable area of Flats as per our Calculation.</v>
      </c>
      <c r="C246" s="104"/>
      <c r="D246" s="104"/>
      <c r="E246" s="104"/>
      <c r="F246" s="104"/>
      <c r="G246" s="104"/>
      <c r="H246" s="105"/>
    </row>
    <row r="247" spans="1:14" s="17" customFormat="1">
      <c r="A247" s="53" t="s">
        <v>196</v>
      </c>
      <c r="B247" s="103" t="str">
        <f>(IF(F152="Saleable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47" s="104"/>
      <c r="D247" s="104"/>
      <c r="E247" s="104"/>
      <c r="F247" s="104"/>
      <c r="G247" s="104"/>
      <c r="H247" s="105"/>
    </row>
    <row r="248" spans="1:14" s="17" customFormat="1">
      <c r="A248" s="53" t="s">
        <v>196</v>
      </c>
      <c r="B248" s="106" t="s">
        <v>198</v>
      </c>
      <c r="C248" s="107"/>
      <c r="D248" s="107"/>
      <c r="E248" s="107"/>
      <c r="F248" s="107"/>
      <c r="G248" s="107"/>
      <c r="H248" s="108"/>
    </row>
    <row r="249" spans="1:14" s="17" customFormat="1">
      <c r="A249" s="53" t="s">
        <v>196</v>
      </c>
      <c r="B249" s="106" t="s">
        <v>241</v>
      </c>
      <c r="C249" s="107"/>
      <c r="D249" s="107"/>
      <c r="E249" s="107"/>
      <c r="F249" s="107"/>
      <c r="G249" s="107"/>
      <c r="H249" s="108"/>
    </row>
    <row r="250" spans="1:14" s="17" customFormat="1">
      <c r="A250" s="53" t="s">
        <v>196</v>
      </c>
      <c r="B250" s="106" t="s">
        <v>199</v>
      </c>
      <c r="C250" s="107"/>
      <c r="D250" s="107"/>
      <c r="E250" s="107"/>
      <c r="F250" s="107"/>
      <c r="G250" s="107"/>
      <c r="H250" s="108"/>
    </row>
    <row r="251" spans="1:14" s="17" customFormat="1">
      <c r="A251" s="53" t="s">
        <v>196</v>
      </c>
      <c r="B251" s="106" t="s">
        <v>200</v>
      </c>
      <c r="C251" s="107"/>
      <c r="D251" s="107"/>
      <c r="E251" s="107"/>
      <c r="F251" s="107"/>
      <c r="G251" s="107"/>
      <c r="H251" s="108"/>
    </row>
    <row r="252" spans="1:14" s="17" customFormat="1" ht="32.25" customHeight="1">
      <c r="A252" s="53" t="s">
        <v>196</v>
      </c>
      <c r="B252" s="106" t="s">
        <v>201</v>
      </c>
      <c r="C252" s="107"/>
      <c r="D252" s="107"/>
      <c r="E252" s="107"/>
      <c r="F252" s="107"/>
      <c r="G252" s="107"/>
      <c r="H252" s="108"/>
    </row>
    <row r="253" spans="1:14" s="17" customFormat="1">
      <c r="A253" s="53" t="s">
        <v>196</v>
      </c>
      <c r="B253" s="106" t="s">
        <v>202</v>
      </c>
      <c r="C253" s="107"/>
      <c r="D253" s="107"/>
      <c r="E253" s="107"/>
      <c r="F253" s="107"/>
      <c r="G253" s="107"/>
      <c r="H253" s="108"/>
    </row>
    <row r="254" spans="1:14" s="17" customFormat="1">
      <c r="A254" s="53" t="s">
        <v>196</v>
      </c>
      <c r="B254" s="106" t="s">
        <v>240</v>
      </c>
      <c r="C254" s="107"/>
      <c r="D254" s="107"/>
      <c r="E254" s="107"/>
      <c r="F254" s="107"/>
      <c r="G254" s="107"/>
      <c r="H254" s="108"/>
    </row>
    <row r="255" spans="1:14" s="72" customFormat="1" ht="32" customHeight="1">
      <c r="A255" s="71" t="s">
        <v>196</v>
      </c>
      <c r="B255" s="110" t="s">
        <v>254</v>
      </c>
      <c r="C255" s="111"/>
      <c r="D255" s="111"/>
      <c r="E255" s="111"/>
      <c r="F255" s="111"/>
      <c r="G255" s="111"/>
      <c r="H255" s="112"/>
    </row>
    <row r="256" spans="1:14">
      <c r="A256" s="109" t="s">
        <v>203</v>
      </c>
      <c r="B256" s="109"/>
      <c r="C256" s="109"/>
      <c r="D256" s="109"/>
      <c r="E256" s="109"/>
      <c r="F256" s="109"/>
      <c r="G256" s="109"/>
      <c r="H256" s="109"/>
    </row>
    <row r="257" spans="1:8">
      <c r="A257" s="100" t="s">
        <v>204</v>
      </c>
      <c r="B257" s="100"/>
      <c r="C257" s="100"/>
      <c r="D257" s="100"/>
      <c r="E257" s="100"/>
      <c r="F257" s="100"/>
      <c r="G257" s="100"/>
      <c r="H257" s="100"/>
    </row>
    <row r="258" spans="1:8" ht="15.75" customHeight="1">
      <c r="A258" s="99" t="s">
        <v>205</v>
      </c>
      <c r="B258" s="99"/>
      <c r="C258" s="99"/>
      <c r="D258" s="99"/>
      <c r="E258" s="99"/>
      <c r="F258" s="99"/>
      <c r="G258" s="99"/>
      <c r="H258" s="99"/>
    </row>
    <row r="259" spans="1:8">
      <c r="A259" s="100" t="s">
        <v>206</v>
      </c>
      <c r="B259" s="100"/>
      <c r="C259" s="100"/>
      <c r="D259" s="100"/>
      <c r="E259" s="100"/>
      <c r="F259" s="100"/>
      <c r="G259" s="100"/>
      <c r="H259" s="100"/>
    </row>
    <row r="260" spans="1:8">
      <c r="A260" s="100" t="s">
        <v>207</v>
      </c>
      <c r="B260" s="100"/>
      <c r="C260" s="100"/>
      <c r="D260" s="100"/>
      <c r="E260" s="100"/>
      <c r="F260" s="100"/>
      <c r="G260" s="100"/>
      <c r="H260" s="100"/>
    </row>
    <row r="261" spans="1:8">
      <c r="A261" s="100" t="s">
        <v>208</v>
      </c>
      <c r="B261" s="100"/>
      <c r="C261" s="100"/>
      <c r="D261" s="100"/>
      <c r="E261" s="100"/>
      <c r="F261" s="100"/>
      <c r="G261" s="100"/>
      <c r="H261" s="100"/>
    </row>
    <row r="262" spans="1:8" ht="35.25" customHeight="1">
      <c r="A262" s="101" t="s">
        <v>209</v>
      </c>
      <c r="B262" s="101"/>
      <c r="C262" s="101"/>
      <c r="D262" s="101"/>
      <c r="E262" s="101"/>
      <c r="F262" s="101"/>
      <c r="G262" s="101"/>
      <c r="H262" s="101"/>
    </row>
    <row r="263" spans="1:8">
      <c r="A263" s="102" t="s">
        <v>210</v>
      </c>
      <c r="B263" s="102"/>
      <c r="C263" s="102" t="s">
        <v>255</v>
      </c>
      <c r="D263" s="102"/>
      <c r="E263" s="102" t="s">
        <v>211</v>
      </c>
      <c r="F263" s="102"/>
      <c r="G263" s="102" t="s">
        <v>252</v>
      </c>
      <c r="H263" s="102"/>
    </row>
    <row r="264" spans="1:8">
      <c r="A264" s="96" t="s">
        <v>212</v>
      </c>
      <c r="B264" s="96"/>
      <c r="C264" s="96"/>
      <c r="D264" s="96"/>
      <c r="E264" s="96"/>
      <c r="F264" s="96"/>
      <c r="G264" s="96"/>
      <c r="H264" s="96"/>
    </row>
    <row r="265" spans="1:8">
      <c r="A265" s="96"/>
      <c r="B265" s="96"/>
      <c r="C265" s="96"/>
      <c r="D265" s="96"/>
      <c r="E265" s="96"/>
      <c r="F265" s="96"/>
      <c r="G265" s="96"/>
      <c r="H265" s="96"/>
    </row>
    <row r="266" spans="1:8">
      <c r="A266" s="96"/>
      <c r="B266" s="96"/>
      <c r="C266" s="96"/>
      <c r="D266" s="96"/>
      <c r="E266" s="96"/>
      <c r="F266" s="96"/>
      <c r="G266" s="96"/>
      <c r="H266" s="96"/>
    </row>
    <row r="267" spans="1:8">
      <c r="A267" s="96"/>
      <c r="B267" s="96"/>
      <c r="C267" s="96"/>
      <c r="D267" s="96"/>
      <c r="E267" s="96"/>
      <c r="F267" s="96"/>
      <c r="G267" s="96"/>
      <c r="H267" s="96"/>
    </row>
    <row r="268" spans="1:8">
      <c r="A268" s="63" t="s">
        <v>213</v>
      </c>
      <c r="B268" s="64"/>
      <c r="C268" s="64"/>
      <c r="D268" s="63" t="str">
        <f>E8</f>
        <v>Bhagwati Celeste</v>
      </c>
      <c r="F268" s="64"/>
      <c r="G268" s="64"/>
      <c r="H268" s="64"/>
    </row>
    <row r="269" spans="1:8">
      <c r="A269" s="64"/>
      <c r="B269" s="64"/>
      <c r="C269" s="64"/>
      <c r="D269" s="64"/>
      <c r="E269" s="64"/>
      <c r="F269" s="64"/>
      <c r="G269" s="64"/>
      <c r="H269" s="64"/>
    </row>
    <row r="270" spans="1:8">
      <c r="A270" s="64"/>
      <c r="B270" s="65"/>
      <c r="C270" s="64"/>
      <c r="D270" s="64"/>
      <c r="E270" s="64"/>
      <c r="F270" s="64"/>
      <c r="G270" s="64"/>
      <c r="H270" s="64"/>
    </row>
    <row r="271" spans="1:8" ht="15" customHeight="1"/>
    <row r="286" spans="14:18">
      <c r="R286"/>
    </row>
    <row r="288" spans="14:18">
      <c r="N288"/>
    </row>
    <row r="310" spans="1:1">
      <c r="A310" s="66" t="s">
        <v>214</v>
      </c>
    </row>
    <row r="352" spans="1:2">
      <c r="A352" s="89" t="s">
        <v>215</v>
      </c>
      <c r="B352" s="90"/>
    </row>
  </sheetData>
  <mergeCells count="499">
    <mergeCell ref="A7:D7"/>
    <mergeCell ref="E7:H7"/>
    <mergeCell ref="A8:D8"/>
    <mergeCell ref="E8:H8"/>
    <mergeCell ref="A9:D9"/>
    <mergeCell ref="E9:H9"/>
    <mergeCell ref="A10:D10"/>
    <mergeCell ref="E10:H10"/>
    <mergeCell ref="A11:D11"/>
    <mergeCell ref="E11:H11"/>
    <mergeCell ref="A1:H1"/>
    <mergeCell ref="A2:H2"/>
    <mergeCell ref="A3:D3"/>
    <mergeCell ref="E3:H3"/>
    <mergeCell ref="A4:D4"/>
    <mergeCell ref="E4:H4"/>
    <mergeCell ref="A5:D5"/>
    <mergeCell ref="E5:H5"/>
    <mergeCell ref="A6:D6"/>
    <mergeCell ref="E6:H6"/>
    <mergeCell ref="A12:D12"/>
    <mergeCell ref="E12:H12"/>
    <mergeCell ref="A13:D13"/>
    <mergeCell ref="E13:H13"/>
    <mergeCell ref="A14:B14"/>
    <mergeCell ref="C14:H14"/>
    <mergeCell ref="A15:B15"/>
    <mergeCell ref="C15:H15"/>
    <mergeCell ref="A16:B16"/>
    <mergeCell ref="C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3:D23"/>
    <mergeCell ref="E23:H23"/>
    <mergeCell ref="A24:D24"/>
    <mergeCell ref="E24:H24"/>
    <mergeCell ref="A25:D25"/>
    <mergeCell ref="E25:H25"/>
    <mergeCell ref="A21:D22"/>
    <mergeCell ref="E21:H22"/>
    <mergeCell ref="A26:D26"/>
    <mergeCell ref="E26:H26"/>
    <mergeCell ref="A27:D27"/>
    <mergeCell ref="E27:H27"/>
    <mergeCell ref="A28:D28"/>
    <mergeCell ref="E28:H28"/>
    <mergeCell ref="A29:D29"/>
    <mergeCell ref="E29:H29"/>
    <mergeCell ref="A30:D30"/>
    <mergeCell ref="E30:H30"/>
    <mergeCell ref="A31:B31"/>
    <mergeCell ref="C31:E31"/>
    <mergeCell ref="F31:H31"/>
    <mergeCell ref="A32:B32"/>
    <mergeCell ref="C32:E32"/>
    <mergeCell ref="F32:H32"/>
    <mergeCell ref="A33:B33"/>
    <mergeCell ref="C33:E33"/>
    <mergeCell ref="F33:H33"/>
    <mergeCell ref="A34:B34"/>
    <mergeCell ref="C34:E34"/>
    <mergeCell ref="F34:H34"/>
    <mergeCell ref="A35:B35"/>
    <mergeCell ref="C35:E35"/>
    <mergeCell ref="F35:H35"/>
    <mergeCell ref="A36:H36"/>
    <mergeCell ref="A37:B37"/>
    <mergeCell ref="C37:D37"/>
    <mergeCell ref="E37:F37"/>
    <mergeCell ref="G37:H37"/>
    <mergeCell ref="A38:B38"/>
    <mergeCell ref="C38:H38"/>
    <mergeCell ref="A39:H39"/>
    <mergeCell ref="A40:D40"/>
    <mergeCell ref="E40:H40"/>
    <mergeCell ref="A41:D41"/>
    <mergeCell ref="E41:H41"/>
    <mergeCell ref="A42:D42"/>
    <mergeCell ref="E42:H42"/>
    <mergeCell ref="A43:D43"/>
    <mergeCell ref="E43:H43"/>
    <mergeCell ref="A44:D44"/>
    <mergeCell ref="E44:H44"/>
    <mergeCell ref="A45:D45"/>
    <mergeCell ref="E45:H45"/>
    <mergeCell ref="A46:H46"/>
    <mergeCell ref="A47:B47"/>
    <mergeCell ref="C47:H47"/>
    <mergeCell ref="A48:B48"/>
    <mergeCell ref="C48:E48"/>
    <mergeCell ref="G48:H48"/>
    <mergeCell ref="A49:B49"/>
    <mergeCell ref="C49:E49"/>
    <mergeCell ref="G49:H49"/>
    <mergeCell ref="C50:E50"/>
    <mergeCell ref="G50:H50"/>
    <mergeCell ref="C51:H51"/>
    <mergeCell ref="A50:B51"/>
    <mergeCell ref="A56:C56"/>
    <mergeCell ref="D56:H56"/>
    <mergeCell ref="A57:C57"/>
    <mergeCell ref="D57:H57"/>
    <mergeCell ref="A52:B53"/>
    <mergeCell ref="D58:H58"/>
    <mergeCell ref="D59:H59"/>
    <mergeCell ref="D60:H60"/>
    <mergeCell ref="D61:H61"/>
    <mergeCell ref="C52:E52"/>
    <mergeCell ref="G52:H52"/>
    <mergeCell ref="C53:H53"/>
    <mergeCell ref="A54:H54"/>
    <mergeCell ref="A55:C55"/>
    <mergeCell ref="D55:H55"/>
    <mergeCell ref="A62:C62"/>
    <mergeCell ref="D62:H62"/>
    <mergeCell ref="A63:C63"/>
    <mergeCell ref="D63:H63"/>
    <mergeCell ref="A64:C64"/>
    <mergeCell ref="D64:H64"/>
    <mergeCell ref="A58:C61"/>
    <mergeCell ref="A65:C65"/>
    <mergeCell ref="D65:H65"/>
    <mergeCell ref="A66:C66"/>
    <mergeCell ref="D66:H66"/>
    <mergeCell ref="A67:C67"/>
    <mergeCell ref="D67:H67"/>
    <mergeCell ref="A68:C68"/>
    <mergeCell ref="D68:H68"/>
    <mergeCell ref="A69:B69"/>
    <mergeCell ref="C69:H69"/>
    <mergeCell ref="A71:B71"/>
    <mergeCell ref="C71:H71"/>
    <mergeCell ref="A72:B72"/>
    <mergeCell ref="E72:F72"/>
    <mergeCell ref="G72:H72"/>
    <mergeCell ref="A73:B73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C83:H83"/>
    <mergeCell ref="A85:B85"/>
    <mergeCell ref="C85:H85"/>
    <mergeCell ref="E73:F82"/>
    <mergeCell ref="G73:H82"/>
    <mergeCell ref="A86:B86"/>
    <mergeCell ref="E86:F86"/>
    <mergeCell ref="G86:H86"/>
    <mergeCell ref="A87:B87"/>
    <mergeCell ref="A88:B88"/>
    <mergeCell ref="A89:B89"/>
    <mergeCell ref="A90:B90"/>
    <mergeCell ref="A91:B91"/>
    <mergeCell ref="A92:B92"/>
    <mergeCell ref="A93:B93"/>
    <mergeCell ref="A94:B94"/>
    <mergeCell ref="A95:B95"/>
    <mergeCell ref="A96:B96"/>
    <mergeCell ref="A97:B97"/>
    <mergeCell ref="C97:H97"/>
    <mergeCell ref="A99:B99"/>
    <mergeCell ref="C99:H99"/>
    <mergeCell ref="A100:B100"/>
    <mergeCell ref="E100:F100"/>
    <mergeCell ref="G100:H100"/>
    <mergeCell ref="E87:F96"/>
    <mergeCell ref="G87:H96"/>
    <mergeCell ref="A110:B110"/>
    <mergeCell ref="A111:B111"/>
    <mergeCell ref="C111:H111"/>
    <mergeCell ref="A113:B113"/>
    <mergeCell ref="C113:H113"/>
    <mergeCell ref="A114:B114"/>
    <mergeCell ref="E114:F114"/>
    <mergeCell ref="G114:H114"/>
    <mergeCell ref="A115:B115"/>
    <mergeCell ref="E101:F110"/>
    <mergeCell ref="G101:H110"/>
    <mergeCell ref="E115:F124"/>
    <mergeCell ref="G115:H124"/>
    <mergeCell ref="A101:B101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116:B116"/>
    <mergeCell ref="A117:B117"/>
    <mergeCell ref="A118:B118"/>
    <mergeCell ref="A119:B119"/>
    <mergeCell ref="A120:B120"/>
    <mergeCell ref="A121:B121"/>
    <mergeCell ref="A122:B122"/>
    <mergeCell ref="A123:B123"/>
    <mergeCell ref="A124:B124"/>
    <mergeCell ref="A125:E125"/>
    <mergeCell ref="F125:H125"/>
    <mergeCell ref="A126:E126"/>
    <mergeCell ref="F126:H126"/>
    <mergeCell ref="A127:E127"/>
    <mergeCell ref="F127:H127"/>
    <mergeCell ref="A128:E128"/>
    <mergeCell ref="F128:H128"/>
    <mergeCell ref="A129:E129"/>
    <mergeCell ref="F129:H129"/>
    <mergeCell ref="A130:E130"/>
    <mergeCell ref="F130:H130"/>
    <mergeCell ref="A131:E131"/>
    <mergeCell ref="F131:H131"/>
    <mergeCell ref="A132:E132"/>
    <mergeCell ref="F132:H132"/>
    <mergeCell ref="A133:E133"/>
    <mergeCell ref="F133:H133"/>
    <mergeCell ref="A134:E134"/>
    <mergeCell ref="F134:H134"/>
    <mergeCell ref="A135:E135"/>
    <mergeCell ref="F135:H135"/>
    <mergeCell ref="A141:B141"/>
    <mergeCell ref="C141:D141"/>
    <mergeCell ref="E141:F141"/>
    <mergeCell ref="G141:H141"/>
    <mergeCell ref="A142:B142"/>
    <mergeCell ref="C142:D142"/>
    <mergeCell ref="E142:F142"/>
    <mergeCell ref="G142:H142"/>
    <mergeCell ref="A136:E136"/>
    <mergeCell ref="F136:H136"/>
    <mergeCell ref="A137:E137"/>
    <mergeCell ref="F137:H137"/>
    <mergeCell ref="A138:E138"/>
    <mergeCell ref="F138:H138"/>
    <mergeCell ref="A139:H139"/>
    <mergeCell ref="A140:B140"/>
    <mergeCell ref="C140:D140"/>
    <mergeCell ref="E140:F140"/>
    <mergeCell ref="G140:H140"/>
    <mergeCell ref="A143:H143"/>
    <mergeCell ref="A144:B144"/>
    <mergeCell ref="C144:D144"/>
    <mergeCell ref="E144:F144"/>
    <mergeCell ref="G144:H144"/>
    <mergeCell ref="C145:D145"/>
    <mergeCell ref="E145:F145"/>
    <mergeCell ref="G145:H145"/>
    <mergeCell ref="C146:D146"/>
    <mergeCell ref="E146:F146"/>
    <mergeCell ref="G146:H146"/>
    <mergeCell ref="A147:B147"/>
    <mergeCell ref="C147:D147"/>
    <mergeCell ref="E147:F147"/>
    <mergeCell ref="G147:H147"/>
    <mergeCell ref="A148:B148"/>
    <mergeCell ref="C148:D148"/>
    <mergeCell ref="E148:F148"/>
    <mergeCell ref="G148:H148"/>
    <mergeCell ref="A149:B149"/>
    <mergeCell ref="C149:D149"/>
    <mergeCell ref="E149:F149"/>
    <mergeCell ref="G149:H149"/>
    <mergeCell ref="A158:B158"/>
    <mergeCell ref="L158:M158"/>
    <mergeCell ref="A159:B159"/>
    <mergeCell ref="L159:M159"/>
    <mergeCell ref="A160:B160"/>
    <mergeCell ref="L160:M160"/>
    <mergeCell ref="G156:H161"/>
    <mergeCell ref="A150:H150"/>
    <mergeCell ref="A151:H151"/>
    <mergeCell ref="A154:H154"/>
    <mergeCell ref="A155:H155"/>
    <mergeCell ref="A156:B156"/>
    <mergeCell ref="L156:M156"/>
    <mergeCell ref="A157:B157"/>
    <mergeCell ref="L157:M157"/>
    <mergeCell ref="E152:E153"/>
    <mergeCell ref="A162:H162"/>
    <mergeCell ref="A165:H165"/>
    <mergeCell ref="A166:H166"/>
    <mergeCell ref="A167:H167"/>
    <mergeCell ref="A168:B168"/>
    <mergeCell ref="L168:M168"/>
    <mergeCell ref="E163:E164"/>
    <mergeCell ref="A161:B161"/>
    <mergeCell ref="L161:M161"/>
    <mergeCell ref="A169:B169"/>
    <mergeCell ref="L169:M169"/>
    <mergeCell ref="A170:B170"/>
    <mergeCell ref="L170:M170"/>
    <mergeCell ref="A171:B171"/>
    <mergeCell ref="L171:M171"/>
    <mergeCell ref="A172:B172"/>
    <mergeCell ref="L172:M172"/>
    <mergeCell ref="A173:B173"/>
    <mergeCell ref="L173:M173"/>
    <mergeCell ref="G168:H173"/>
    <mergeCell ref="L179:M179"/>
    <mergeCell ref="A180:B180"/>
    <mergeCell ref="L180:M180"/>
    <mergeCell ref="A181:H181"/>
    <mergeCell ref="A182:B182"/>
    <mergeCell ref="L182:M182"/>
    <mergeCell ref="A183:B183"/>
    <mergeCell ref="L183:M183"/>
    <mergeCell ref="A174:H174"/>
    <mergeCell ref="A175:B175"/>
    <mergeCell ref="L175:M175"/>
    <mergeCell ref="A176:B176"/>
    <mergeCell ref="L176:M176"/>
    <mergeCell ref="A177:B177"/>
    <mergeCell ref="L177:M177"/>
    <mergeCell ref="A178:B178"/>
    <mergeCell ref="L178:M178"/>
    <mergeCell ref="A201:B201"/>
    <mergeCell ref="L201:M201"/>
    <mergeCell ref="A202:B202"/>
    <mergeCell ref="L202:M202"/>
    <mergeCell ref="A203:H203"/>
    <mergeCell ref="A204:B204"/>
    <mergeCell ref="L204:M204"/>
    <mergeCell ref="G199:H202"/>
    <mergeCell ref="A195:H195"/>
    <mergeCell ref="A196:H196"/>
    <mergeCell ref="A197:H197"/>
    <mergeCell ref="A198:H198"/>
    <mergeCell ref="A199:B199"/>
    <mergeCell ref="L199:M199"/>
    <mergeCell ref="A200:B200"/>
    <mergeCell ref="L200:M200"/>
    <mergeCell ref="A208:H208"/>
    <mergeCell ref="A209:B209"/>
    <mergeCell ref="C209:F209"/>
    <mergeCell ref="L209:M209"/>
    <mergeCell ref="A210:B210"/>
    <mergeCell ref="L210:M210"/>
    <mergeCell ref="A211:B211"/>
    <mergeCell ref="L211:M211"/>
    <mergeCell ref="A205:B205"/>
    <mergeCell ref="L205:M205"/>
    <mergeCell ref="A206:B206"/>
    <mergeCell ref="L206:M206"/>
    <mergeCell ref="A207:B207"/>
    <mergeCell ref="L207:M207"/>
    <mergeCell ref="G204:H207"/>
    <mergeCell ref="A216:B216"/>
    <mergeCell ref="L216:M216"/>
    <mergeCell ref="A217:B217"/>
    <mergeCell ref="L217:M217"/>
    <mergeCell ref="A218:H218"/>
    <mergeCell ref="A219:H219"/>
    <mergeCell ref="A220:H220"/>
    <mergeCell ref="G214:H217"/>
    <mergeCell ref="A212:B212"/>
    <mergeCell ref="L212:M212"/>
    <mergeCell ref="A213:H213"/>
    <mergeCell ref="A214:B214"/>
    <mergeCell ref="L214:M214"/>
    <mergeCell ref="A215:B215"/>
    <mergeCell ref="L215:M215"/>
    <mergeCell ref="G209:H212"/>
    <mergeCell ref="A221:B221"/>
    <mergeCell ref="G221:H221"/>
    <mergeCell ref="L221:M221"/>
    <mergeCell ref="A227:H227"/>
    <mergeCell ref="A228:B228"/>
    <mergeCell ref="G228:H228"/>
    <mergeCell ref="L228:M228"/>
    <mergeCell ref="A222:H222"/>
    <mergeCell ref="A223:B223"/>
    <mergeCell ref="G223:H223"/>
    <mergeCell ref="L223:M223"/>
    <mergeCell ref="A224:B224"/>
    <mergeCell ref="G224:H224"/>
    <mergeCell ref="L224:M224"/>
    <mergeCell ref="A225:H225"/>
    <mergeCell ref="A226:B226"/>
    <mergeCell ref="G226:H226"/>
    <mergeCell ref="L226:M226"/>
    <mergeCell ref="A229:H229"/>
    <mergeCell ref="A230:H230"/>
    <mergeCell ref="A231:B231"/>
    <mergeCell ref="G231:H231"/>
    <mergeCell ref="L231:M231"/>
    <mergeCell ref="A232:H232"/>
    <mergeCell ref="A233:B233"/>
    <mergeCell ref="G233:H233"/>
    <mergeCell ref="L233:M233"/>
    <mergeCell ref="A234:B234"/>
    <mergeCell ref="G234:H234"/>
    <mergeCell ref="L234:M234"/>
    <mergeCell ref="A235:B235"/>
    <mergeCell ref="G235:H235"/>
    <mergeCell ref="L235:M235"/>
    <mergeCell ref="A236:B236"/>
    <mergeCell ref="G236:H236"/>
    <mergeCell ref="L236:M236"/>
    <mergeCell ref="A237:B237"/>
    <mergeCell ref="G237:H237"/>
    <mergeCell ref="L237:M237"/>
    <mergeCell ref="A238:H238"/>
    <mergeCell ref="A239:B239"/>
    <mergeCell ref="G239:H239"/>
    <mergeCell ref="L239:M239"/>
    <mergeCell ref="A240:B240"/>
    <mergeCell ref="G240:H240"/>
    <mergeCell ref="L240:M240"/>
    <mergeCell ref="A244:H244"/>
    <mergeCell ref="B245:H245"/>
    <mergeCell ref="B246:H246"/>
    <mergeCell ref="A241:B241"/>
    <mergeCell ref="G241:H241"/>
    <mergeCell ref="L241:M241"/>
    <mergeCell ref="A242:B242"/>
    <mergeCell ref="G242:H242"/>
    <mergeCell ref="L242:M242"/>
    <mergeCell ref="A243:B243"/>
    <mergeCell ref="G243:H243"/>
    <mergeCell ref="L243:M243"/>
    <mergeCell ref="B247:H247"/>
    <mergeCell ref="B248:H248"/>
    <mergeCell ref="B249:H249"/>
    <mergeCell ref="B250:H250"/>
    <mergeCell ref="B251:H251"/>
    <mergeCell ref="B252:H252"/>
    <mergeCell ref="B254:H254"/>
    <mergeCell ref="A256:H256"/>
    <mergeCell ref="A257:H257"/>
    <mergeCell ref="B253:H253"/>
    <mergeCell ref="B255:H255"/>
    <mergeCell ref="A352:B352"/>
    <mergeCell ref="A145:A146"/>
    <mergeCell ref="A152:A153"/>
    <mergeCell ref="A163:A164"/>
    <mergeCell ref="B152:B153"/>
    <mergeCell ref="B163:B164"/>
    <mergeCell ref="C152:C153"/>
    <mergeCell ref="C163:C164"/>
    <mergeCell ref="D152:D153"/>
    <mergeCell ref="D163:D164"/>
    <mergeCell ref="A264:H267"/>
    <mergeCell ref="G163:H164"/>
    <mergeCell ref="G152:H153"/>
    <mergeCell ref="G175:H180"/>
    <mergeCell ref="G182:H187"/>
    <mergeCell ref="A258:H258"/>
    <mergeCell ref="A259:H259"/>
    <mergeCell ref="A260:H260"/>
    <mergeCell ref="A261:H261"/>
    <mergeCell ref="A262:H262"/>
    <mergeCell ref="A263:B263"/>
    <mergeCell ref="C263:D263"/>
    <mergeCell ref="E263:F263"/>
    <mergeCell ref="G263:H263"/>
    <mergeCell ref="I130:O137"/>
    <mergeCell ref="A188:H188"/>
    <mergeCell ref="A189:B189"/>
    <mergeCell ref="G189:H194"/>
    <mergeCell ref="A190:B190"/>
    <mergeCell ref="A191:B191"/>
    <mergeCell ref="L191:M191"/>
    <mergeCell ref="A192:B192"/>
    <mergeCell ref="L192:M192"/>
    <mergeCell ref="A193:B193"/>
    <mergeCell ref="L193:M193"/>
    <mergeCell ref="A194:B194"/>
    <mergeCell ref="L194:M194"/>
    <mergeCell ref="I189:O190"/>
    <mergeCell ref="A184:B184"/>
    <mergeCell ref="L184:M184"/>
    <mergeCell ref="A185:B185"/>
    <mergeCell ref="L185:M185"/>
    <mergeCell ref="A186:B186"/>
    <mergeCell ref="L186:M186"/>
    <mergeCell ref="A187:B187"/>
    <mergeCell ref="C187:F187"/>
    <mergeCell ref="L187:M187"/>
    <mergeCell ref="A179:B179"/>
  </mergeCells>
  <hyperlinks>
    <hyperlink ref="C38" r:id="rId1"/>
  </hyperlinks>
  <printOptions horizontalCentered="1"/>
  <pageMargins left="0.39370078740157499" right="0.39370078740157499" top="0.82677165354330695" bottom="0.78740157480314998" header="0.15748031496063" footer="0.196850393700787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96" max="16383" man="1"/>
    <brk id="267" max="16383" man="1"/>
    <brk id="309" max="16383" man="1"/>
    <brk id="351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265625" defaultRowHeight="14.5"/>
  <cols>
    <col min="1" max="1" width="8.7265625" style="1"/>
    <col min="2" max="2" width="22.179687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7265625" style="1"/>
  </cols>
  <sheetData>
    <row r="1" spans="1:9" ht="15" customHeight="1"/>
    <row r="2" spans="1:9" ht="15" customHeight="1">
      <c r="A2" s="2"/>
      <c r="B2" s="2"/>
      <c r="C2" s="2"/>
      <c r="D2" s="2"/>
      <c r="E2" s="2"/>
      <c r="F2" s="2"/>
      <c r="G2" s="2"/>
      <c r="H2" s="2"/>
    </row>
    <row r="3" spans="1:9" ht="15.75" customHeight="1">
      <c r="A3" s="2"/>
      <c r="B3" s="233" t="s">
        <v>216</v>
      </c>
      <c r="C3" s="233"/>
      <c r="D3" s="233"/>
      <c r="E3" s="233"/>
      <c r="F3" s="233"/>
      <c r="G3" s="233"/>
      <c r="H3" s="233"/>
    </row>
    <row r="4" spans="1:9">
      <c r="A4" s="2"/>
      <c r="B4" s="3" t="s">
        <v>217</v>
      </c>
      <c r="C4" s="3" t="s">
        <v>218</v>
      </c>
      <c r="D4" s="3" t="s">
        <v>219</v>
      </c>
      <c r="E4" s="3" t="s">
        <v>220</v>
      </c>
      <c r="F4" s="3" t="s">
        <v>221</v>
      </c>
      <c r="G4" s="3" t="s">
        <v>222</v>
      </c>
      <c r="H4" s="3" t="s">
        <v>223</v>
      </c>
    </row>
    <row r="5" spans="1:9" ht="15" customHeight="1">
      <c r="A5" s="2"/>
      <c r="B5" s="4" t="s">
        <v>224</v>
      </c>
      <c r="C5" s="5"/>
      <c r="D5" s="4"/>
      <c r="E5" s="4"/>
      <c r="F5" s="6">
        <f>E5*1.6</f>
        <v>0</v>
      </c>
      <c r="G5" s="6" t="e">
        <f>H5/F5</f>
        <v>#DIV/0!</v>
      </c>
      <c r="H5" s="7"/>
    </row>
    <row r="6" spans="1:9">
      <c r="A6" s="2"/>
      <c r="B6" s="4" t="s">
        <v>224</v>
      </c>
      <c r="C6" s="8"/>
      <c r="D6" s="4"/>
      <c r="E6" s="4"/>
      <c r="F6" s="6">
        <f t="shared" ref="F6:F11" si="0">E6*1.6</f>
        <v>0</v>
      </c>
      <c r="G6" s="6" t="e">
        <f t="shared" ref="G6:G11" si="1">H6/F6</f>
        <v>#DIV/0!</v>
      </c>
      <c r="H6" s="7"/>
    </row>
    <row r="7" spans="1:9" ht="15" customHeight="1">
      <c r="A7" s="2"/>
      <c r="B7" s="4" t="s">
        <v>224</v>
      </c>
      <c r="C7" s="5"/>
      <c r="D7" s="4"/>
      <c r="E7" s="4"/>
      <c r="F7" s="6">
        <f t="shared" si="0"/>
        <v>0</v>
      </c>
      <c r="G7" s="6" t="e">
        <f t="shared" si="1"/>
        <v>#DIV/0!</v>
      </c>
      <c r="H7" s="7"/>
    </row>
    <row r="8" spans="1:9">
      <c r="A8" s="2"/>
      <c r="B8" s="4" t="s">
        <v>224</v>
      </c>
      <c r="C8" s="8"/>
      <c r="D8" s="4"/>
      <c r="E8" s="4"/>
      <c r="F8" s="6">
        <f t="shared" si="0"/>
        <v>0</v>
      </c>
      <c r="G8" s="6" t="e">
        <f t="shared" si="1"/>
        <v>#DIV/0!</v>
      </c>
      <c r="H8" s="7"/>
    </row>
    <row r="9" spans="1:9" ht="15" customHeight="1">
      <c r="A9" s="2"/>
      <c r="B9" s="4" t="s">
        <v>224</v>
      </c>
      <c r="C9" s="8"/>
      <c r="D9" s="4"/>
      <c r="E9" s="4"/>
      <c r="F9" s="6">
        <f t="shared" si="0"/>
        <v>0</v>
      </c>
      <c r="G9" s="6" t="e">
        <f t="shared" si="1"/>
        <v>#DIV/0!</v>
      </c>
      <c r="H9" s="7"/>
    </row>
    <row r="10" spans="1:9" ht="15" customHeight="1">
      <c r="A10" s="2"/>
      <c r="B10" s="4" t="s">
        <v>225</v>
      </c>
      <c r="C10" s="5"/>
      <c r="D10" s="4"/>
      <c r="E10" s="4"/>
      <c r="F10" s="6">
        <f t="shared" si="0"/>
        <v>0</v>
      </c>
      <c r="G10" s="6" t="e">
        <f t="shared" si="1"/>
        <v>#DIV/0!</v>
      </c>
      <c r="H10" s="7"/>
    </row>
    <row r="11" spans="1:9" ht="15" customHeight="1">
      <c r="A11" s="2"/>
      <c r="B11" s="4" t="s">
        <v>225</v>
      </c>
      <c r="C11" s="5"/>
      <c r="D11" s="4"/>
      <c r="E11" s="4"/>
      <c r="F11" s="6">
        <f t="shared" si="0"/>
        <v>0</v>
      </c>
      <c r="G11" s="6" t="e">
        <f t="shared" si="1"/>
        <v>#DIV/0!</v>
      </c>
      <c r="H11" s="7"/>
    </row>
    <row r="12" spans="1:9" ht="15" customHeight="1">
      <c r="A12" s="2"/>
      <c r="B12" s="9" t="s">
        <v>226</v>
      </c>
      <c r="C12" s="4"/>
      <c r="D12" s="4"/>
      <c r="E12" s="4"/>
      <c r="F12" s="4"/>
      <c r="G12" s="10" t="e">
        <f>AVERAGE(G5:G11)</f>
        <v>#DIV/0!</v>
      </c>
      <c r="H12" s="4"/>
    </row>
    <row r="13" spans="1:9" ht="15" customHeight="1">
      <c r="B13" s="9" t="s">
        <v>227</v>
      </c>
      <c r="C13" s="4"/>
      <c r="D13" s="4"/>
      <c r="E13" s="4"/>
      <c r="F13" s="11"/>
      <c r="G13" s="9"/>
      <c r="H13" s="9"/>
      <c r="I13" s="12"/>
    </row>
    <row r="14" spans="1:9" ht="15" customHeight="1"/>
    <row r="15" spans="1:9" ht="15" customHeight="1"/>
    <row r="16" spans="1:9" ht="15" customHeight="1"/>
  </sheetData>
  <mergeCells count="1">
    <mergeCell ref="B3:H3"/>
  </mergeCells>
  <pageMargins left="0.7" right="0.7" top="0.75" bottom="0.75" header="0.3" footer="0.3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ColWidth="9"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2025-06-05T17:43:26Z</cp:lastPrinted>
  <dcterms:created xsi:type="dcterms:W3CDTF">2019-07-16T09:29:00Z</dcterms:created>
  <dcterms:modified xsi:type="dcterms:W3CDTF">2025-09-09T06:14:19Z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12B119055AE14C18B40320315392B526_12</vt:lpwstr>
  </property>
  <property fmtid="{D5CDD505-2E9C-101B-9397-08002B2CF9AE}" pid="3" name="KSOProductBuildVer">
    <vt:lpwstr>1033-12.2.0.17562</vt:lpwstr>
  </property>
</Properties>
</file>