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4" i="1" l="1"/>
  <c r="A315" i="1" s="1"/>
  <c r="A316" i="1" s="1"/>
  <c r="A317" i="1" s="1"/>
  <c r="A318" i="1" s="1"/>
  <c r="A319" i="1" s="1"/>
  <c r="A320" i="1" s="1"/>
  <c r="A321" i="1" s="1"/>
  <c r="A322" i="1" s="1"/>
  <c r="A323" i="1" l="1"/>
  <c r="A324" i="1" s="1"/>
  <c r="A325" i="1" s="1"/>
  <c r="D310" i="1"/>
  <c r="D309" i="1"/>
  <c r="D308" i="1"/>
  <c r="D301" i="1"/>
  <c r="D300" i="1"/>
  <c r="D298" i="1"/>
  <c r="D297" i="1"/>
  <c r="D296" i="1"/>
  <c r="D295" i="1"/>
  <c r="D294" i="1"/>
  <c r="D292" i="1"/>
  <c r="D291" i="1"/>
  <c r="D290" i="1"/>
  <c r="D289" i="1"/>
  <c r="D288" i="1"/>
  <c r="D287" i="1"/>
  <c r="D286" i="1"/>
  <c r="D285" i="1"/>
  <c r="D197" i="1"/>
  <c r="E41" i="1"/>
  <c r="F310" i="1" l="1"/>
  <c r="F309" i="1"/>
  <c r="F308" i="1"/>
  <c r="D307" i="1"/>
  <c r="F307" i="1" s="1"/>
  <c r="A304" i="1"/>
  <c r="A305" i="1" s="1"/>
  <c r="A306" i="1" s="1"/>
  <c r="A307" i="1" s="1"/>
  <c r="A308" i="1" s="1"/>
  <c r="A309" i="1" s="1"/>
  <c r="A310" i="1" s="1"/>
  <c r="G303" i="1"/>
  <c r="F301" i="1"/>
  <c r="F300" i="1"/>
  <c r="F298" i="1"/>
  <c r="F297" i="1"/>
  <c r="F296" i="1"/>
  <c r="F295" i="1"/>
  <c r="A295" i="1"/>
  <c r="A296" i="1" s="1"/>
  <c r="A297" i="1" s="1"/>
  <c r="A298" i="1" s="1"/>
  <c r="A299" i="1" s="1"/>
  <c r="A300" i="1" s="1"/>
  <c r="A301" i="1" s="1"/>
  <c r="G294" i="1"/>
  <c r="F294" i="1"/>
  <c r="F292" i="1"/>
  <c r="F285" i="1"/>
  <c r="F291" i="1"/>
  <c r="F290" i="1"/>
  <c r="F286" i="1"/>
  <c r="D277" i="1"/>
  <c r="F277" i="1" s="1"/>
  <c r="D268" i="1"/>
  <c r="F289" i="1"/>
  <c r="F288" i="1"/>
  <c r="F287" i="1"/>
  <c r="A287" i="1"/>
  <c r="A288" i="1" s="1"/>
  <c r="A289" i="1" s="1"/>
  <c r="A290" i="1" s="1"/>
  <c r="A291" i="1" s="1"/>
  <c r="A292" i="1" s="1"/>
  <c r="A286" i="1"/>
  <c r="G285" i="1"/>
  <c r="D283" i="1"/>
  <c r="F283" i="1" s="1"/>
  <c r="D282" i="1"/>
  <c r="F282" i="1" s="1"/>
  <c r="D280" i="1"/>
  <c r="F280" i="1" s="1"/>
  <c r="D279" i="1"/>
  <c r="F279" i="1" s="1"/>
  <c r="D278" i="1"/>
  <c r="F278" i="1" s="1"/>
  <c r="D276" i="1"/>
  <c r="A277" i="1"/>
  <c r="A278" i="1" s="1"/>
  <c r="A279" i="1" s="1"/>
  <c r="A280" i="1" s="1"/>
  <c r="A281" i="1" s="1"/>
  <c r="A282" i="1" s="1"/>
  <c r="A283" i="1" s="1"/>
  <c r="G276" i="1"/>
  <c r="F276" i="1"/>
  <c r="D274" i="1"/>
  <c r="D273" i="1"/>
  <c r="D272" i="1"/>
  <c r="D271" i="1"/>
  <c r="D270" i="1"/>
  <c r="D269" i="1"/>
  <c r="D267" i="1"/>
  <c r="D213" i="1"/>
  <c r="F213" i="1" s="1"/>
  <c r="D212" i="1"/>
  <c r="F212" i="1" s="1"/>
  <c r="D211" i="1"/>
  <c r="F211" i="1" s="1"/>
  <c r="D210" i="1"/>
  <c r="F210" i="1" s="1"/>
  <c r="D208" i="1"/>
  <c r="F208" i="1" s="1"/>
  <c r="D207" i="1"/>
  <c r="F207" i="1" s="1"/>
  <c r="D206" i="1"/>
  <c r="F206" i="1" s="1"/>
  <c r="D204" i="1"/>
  <c r="D203" i="1"/>
  <c r="D202" i="1"/>
  <c r="D201" i="1"/>
  <c r="D200" i="1"/>
  <c r="D199" i="1"/>
  <c r="D198" i="1"/>
  <c r="D192" i="1"/>
  <c r="D259" i="1"/>
  <c r="F259" i="1" s="1"/>
  <c r="D258" i="1"/>
  <c r="F258" i="1" s="1"/>
  <c r="D257" i="1"/>
  <c r="F257" i="1" s="1"/>
  <c r="D256" i="1"/>
  <c r="F256" i="1" s="1"/>
  <c r="A255" i="1"/>
  <c r="A256" i="1" s="1"/>
  <c r="A257" i="1" s="1"/>
  <c r="A258" i="1" s="1"/>
  <c r="A259" i="1" s="1"/>
  <c r="A260" i="1" s="1"/>
  <c r="A261" i="1" s="1"/>
  <c r="G254" i="1"/>
  <c r="D252" i="1"/>
  <c r="F252" i="1" s="1"/>
  <c r="D251" i="1"/>
  <c r="F251" i="1" s="1"/>
  <c r="D250" i="1"/>
  <c r="F250" i="1" s="1"/>
  <c r="D249" i="1"/>
  <c r="F249" i="1" s="1"/>
  <c r="F248" i="1"/>
  <c r="D248" i="1"/>
  <c r="D247" i="1"/>
  <c r="F247" i="1" s="1"/>
  <c r="D246" i="1"/>
  <c r="F246" i="1" s="1"/>
  <c r="A246" i="1"/>
  <c r="A247" i="1" s="1"/>
  <c r="A248" i="1" s="1"/>
  <c r="A249" i="1" s="1"/>
  <c r="A250" i="1" s="1"/>
  <c r="A251" i="1" s="1"/>
  <c r="A252" i="1" s="1"/>
  <c r="G245" i="1"/>
  <c r="D243" i="1"/>
  <c r="D242" i="1"/>
  <c r="F242" i="1" s="1"/>
  <c r="D241" i="1"/>
  <c r="F241" i="1" s="1"/>
  <c r="D240" i="1"/>
  <c r="F240" i="1" s="1"/>
  <c r="D237" i="1"/>
  <c r="F237" i="1" s="1"/>
  <c r="D239" i="1"/>
  <c r="F239" i="1" s="1"/>
  <c r="D238" i="1"/>
  <c r="F238" i="1" s="1"/>
  <c r="D236" i="1"/>
  <c r="F236" i="1" s="1"/>
  <c r="F243" i="1"/>
  <c r="A237" i="1"/>
  <c r="A238" i="1" s="1"/>
  <c r="A239" i="1" s="1"/>
  <c r="A240" i="1" s="1"/>
  <c r="A241" i="1" s="1"/>
  <c r="A242" i="1" s="1"/>
  <c r="A243" i="1" s="1"/>
  <c r="G236" i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A228" i="1"/>
  <c r="A229" i="1" s="1"/>
  <c r="A230" i="1" s="1"/>
  <c r="A231" i="1" s="1"/>
  <c r="A232" i="1" s="1"/>
  <c r="A233" i="1" s="1"/>
  <c r="A234" i="1" s="1"/>
  <c r="G227" i="1"/>
  <c r="D225" i="1"/>
  <c r="D224" i="1"/>
  <c r="D223" i="1"/>
  <c r="D222" i="1"/>
  <c r="D221" i="1"/>
  <c r="D220" i="1"/>
  <c r="D219" i="1"/>
  <c r="D218" i="1"/>
  <c r="E171" i="1"/>
  <c r="E170" i="1"/>
  <c r="E169" i="1"/>
  <c r="E168" i="1"/>
  <c r="E167" i="1"/>
  <c r="E166" i="1"/>
  <c r="E165" i="1"/>
  <c r="E164" i="1"/>
  <c r="E163" i="1"/>
  <c r="E162" i="1"/>
  <c r="A207" i="1"/>
  <c r="A208" i="1" s="1"/>
  <c r="A209" i="1" s="1"/>
  <c r="A210" i="1" s="1"/>
  <c r="A211" i="1" s="1"/>
  <c r="A212" i="1" s="1"/>
  <c r="A213" i="1" s="1"/>
  <c r="G206" i="1"/>
  <c r="D194" i="1"/>
  <c r="D193" i="1"/>
  <c r="D182" i="1"/>
  <c r="I178" i="1"/>
  <c r="D184" i="1"/>
  <c r="D183" i="1"/>
  <c r="C132" i="1" l="1"/>
  <c r="E133" i="1"/>
  <c r="E132" i="1"/>
  <c r="C133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I153" i="1"/>
  <c r="D157" i="1"/>
  <c r="D156" i="1"/>
  <c r="D154" i="1"/>
  <c r="D153" i="1"/>
  <c r="D146" i="1"/>
  <c r="G49" i="1"/>
  <c r="C95" i="1" l="1"/>
  <c r="F274" i="1" l="1"/>
  <c r="F273" i="1"/>
  <c r="F272" i="1"/>
  <c r="F271" i="1"/>
  <c r="F269" i="1"/>
  <c r="F268" i="1"/>
  <c r="F267" i="1"/>
  <c r="F270" i="1"/>
  <c r="A268" i="1"/>
  <c r="A269" i="1" s="1"/>
  <c r="A270" i="1" s="1"/>
  <c r="A271" i="1" s="1"/>
  <c r="A272" i="1" s="1"/>
  <c r="A273" i="1" s="1"/>
  <c r="A274" i="1" s="1"/>
  <c r="G267" i="1"/>
  <c r="G133" i="1" l="1"/>
  <c r="F204" i="1"/>
  <c r="F203" i="1"/>
  <c r="D195" i="1"/>
  <c r="F195" i="1" s="1"/>
  <c r="F194" i="1"/>
  <c r="F193" i="1"/>
  <c r="D190" i="1"/>
  <c r="D189" i="1"/>
  <c r="D188" i="1"/>
  <c r="D186" i="1"/>
  <c r="F186" i="1" s="1"/>
  <c r="J182" i="1" s="1"/>
  <c r="D185" i="1"/>
  <c r="F184" i="1"/>
  <c r="D181" i="1"/>
  <c r="D180" i="1"/>
  <c r="D179" i="1"/>
  <c r="D178" i="1"/>
  <c r="D159" i="1"/>
  <c r="F159" i="1" s="1"/>
  <c r="D158" i="1"/>
  <c r="F158" i="1" s="1"/>
  <c r="F157" i="1"/>
  <c r="F156" i="1"/>
  <c r="D155" i="1"/>
  <c r="F155" i="1" s="1"/>
  <c r="F154" i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D145" i="1"/>
  <c r="D144" i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225" i="1"/>
  <c r="F224" i="1"/>
  <c r="F223" i="1"/>
  <c r="F222" i="1"/>
  <c r="F221" i="1"/>
  <c r="F220" i="1"/>
  <c r="F219" i="1"/>
  <c r="A219" i="1"/>
  <c r="A220" i="1" s="1"/>
  <c r="A221" i="1" s="1"/>
  <c r="A222" i="1" s="1"/>
  <c r="A223" i="1" s="1"/>
  <c r="A224" i="1" s="1"/>
  <c r="A225" i="1" s="1"/>
  <c r="G218" i="1"/>
  <c r="F218" i="1"/>
  <c r="I197" i="1"/>
  <c r="F202" i="1"/>
  <c r="A198" i="1"/>
  <c r="A199" i="1" s="1"/>
  <c r="A200" i="1" s="1"/>
  <c r="A201" i="1" s="1"/>
  <c r="A202" i="1" s="1"/>
  <c r="A203" i="1" s="1"/>
  <c r="A204" i="1" s="1"/>
  <c r="A189" i="1"/>
  <c r="A190" i="1" s="1"/>
  <c r="A191" i="1" s="1"/>
  <c r="A192" i="1" s="1"/>
  <c r="A193" i="1" s="1"/>
  <c r="A194" i="1" s="1"/>
  <c r="A195" i="1" s="1"/>
  <c r="I186" i="1"/>
  <c r="I156" i="1"/>
  <c r="I158" i="1"/>
  <c r="I159" i="1"/>
  <c r="F153" i="1"/>
  <c r="C14" i="1"/>
  <c r="A163" i="1"/>
  <c r="A164" i="1" s="1"/>
  <c r="A165" i="1" s="1"/>
  <c r="A166" i="1" s="1"/>
  <c r="A167" i="1" s="1"/>
  <c r="A168" i="1" s="1"/>
  <c r="A169" i="1" s="1"/>
  <c r="A170" i="1" s="1"/>
  <c r="A171" i="1" s="1"/>
  <c r="G162" i="1"/>
  <c r="C126" i="1" l="1"/>
  <c r="E131" i="1"/>
  <c r="E135" i="1" s="1"/>
  <c r="C131" i="1"/>
  <c r="C135" i="1" s="1"/>
  <c r="E125" i="1"/>
  <c r="C125" i="1"/>
  <c r="F185" i="1"/>
  <c r="E130" i="1"/>
  <c r="C130" i="1"/>
  <c r="J185" i="1"/>
  <c r="G132" i="1"/>
  <c r="F183" i="1"/>
  <c r="J183" i="1" s="1"/>
  <c r="F162" i="1"/>
  <c r="G126" i="1" s="1"/>
  <c r="E126" i="1"/>
  <c r="D61" i="1"/>
  <c r="E29" i="1"/>
  <c r="B314" i="1"/>
  <c r="C67" i="1"/>
  <c r="B68" i="1" s="1"/>
  <c r="E24" i="1"/>
  <c r="C136" i="1" l="1"/>
  <c r="C134" i="1"/>
  <c r="E134" i="1"/>
  <c r="E136" i="1"/>
  <c r="C127" i="1"/>
  <c r="E127" i="1"/>
  <c r="E26" i="1"/>
  <c r="E137" i="1" l="1"/>
  <c r="C137" i="1"/>
  <c r="E42" i="1"/>
  <c r="E43" i="1" s="1"/>
  <c r="F122" i="1" l="1"/>
  <c r="F145" i="1" l="1"/>
  <c r="F146" i="1"/>
  <c r="F147" i="1"/>
  <c r="F144" i="1"/>
  <c r="G125" i="1" l="1"/>
  <c r="G127" i="1" s="1"/>
  <c r="F201" i="1"/>
  <c r="F200" i="1"/>
  <c r="F199" i="1"/>
  <c r="F198" i="1"/>
  <c r="F197" i="1"/>
  <c r="G130" i="1" s="1"/>
  <c r="F192" i="1"/>
  <c r="F190" i="1"/>
  <c r="F189" i="1"/>
  <c r="F188" i="1"/>
  <c r="F182" i="1"/>
  <c r="F181" i="1"/>
  <c r="K182" i="1" s="1"/>
  <c r="F179" i="1"/>
  <c r="K183" i="1" s="1"/>
  <c r="F178" i="1"/>
  <c r="F180" i="1"/>
  <c r="J184" i="1" s="1"/>
  <c r="J186" i="1" l="1"/>
  <c r="J187" i="1" s="1"/>
  <c r="G131" i="1"/>
  <c r="G135" i="1" s="1"/>
  <c r="G134" i="1"/>
  <c r="B315" i="1"/>
  <c r="G136" i="1" l="1"/>
  <c r="G137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38" i="1"/>
  <c r="G197" i="1"/>
  <c r="G188" i="1"/>
  <c r="G178" i="1"/>
  <c r="A179" i="1"/>
  <c r="A180" i="1" s="1"/>
  <c r="A181" i="1" s="1"/>
  <c r="A182" i="1" s="1"/>
  <c r="A183" i="1" s="1"/>
  <c r="A184" i="1" s="1"/>
  <c r="A185" i="1" s="1"/>
  <c r="A186" i="1" s="1"/>
  <c r="A145" i="1"/>
  <c r="A146" i="1" s="1"/>
  <c r="A147" i="1" s="1"/>
  <c r="G144" i="1"/>
  <c r="C81" i="1"/>
  <c r="B82" i="1" s="1"/>
  <c r="D54" i="1"/>
  <c r="C49" i="1"/>
  <c r="E7" i="1"/>
  <c r="E3" i="1"/>
  <c r="H68" i="1"/>
  <c r="A148" i="1" l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H82" i="1"/>
  <c r="D94" i="1" l="1"/>
  <c r="D90" i="1"/>
  <c r="D88" i="1"/>
  <c r="J86" i="1"/>
  <c r="C85" i="1" s="1"/>
  <c r="D85" i="1" s="1"/>
  <c r="J84" i="1"/>
  <c r="J85" i="1"/>
  <c r="D93" i="1"/>
  <c r="D91" i="1"/>
  <c r="D92" i="1"/>
  <c r="J81" i="1"/>
  <c r="J83" i="1" s="1"/>
  <c r="J87" i="1"/>
  <c r="J88" i="1" s="1"/>
  <c r="J93" i="1" s="1"/>
  <c r="D89" i="1"/>
  <c r="J74" i="1"/>
  <c r="J79" i="1" s="1"/>
  <c r="J89" i="1"/>
  <c r="J90" i="1" s="1"/>
  <c r="J91" i="1" s="1"/>
  <c r="J92" i="1" s="1"/>
  <c r="J75" i="1"/>
  <c r="J76" i="1" s="1"/>
  <c r="J77" i="1" s="1"/>
  <c r="J78" i="1" s="1"/>
  <c r="D87" i="1"/>
  <c r="D73" i="1"/>
  <c r="J69" i="1"/>
  <c r="D71" i="1"/>
  <c r="B96" i="1" l="1"/>
  <c r="J94" i="1"/>
  <c r="C86" i="1" s="1"/>
  <c r="G85" i="1" s="1"/>
  <c r="J80" i="1"/>
  <c r="G71" i="1" s="1"/>
  <c r="H96" i="1"/>
  <c r="J82" i="1" l="1"/>
  <c r="E85" i="1"/>
  <c r="D86" i="1"/>
  <c r="I82" i="1" s="1"/>
  <c r="I83" i="1" s="1"/>
  <c r="J99" i="1"/>
  <c r="D106" i="1"/>
  <c r="D102" i="1"/>
  <c r="J100" i="1"/>
  <c r="C99" i="1" s="1"/>
  <c r="J98" i="1"/>
  <c r="J95" i="1"/>
  <c r="J97" i="1" s="1"/>
  <c r="D105" i="1"/>
  <c r="D101" i="1"/>
  <c r="D108" i="1"/>
  <c r="D104" i="1"/>
  <c r="D107" i="1"/>
  <c r="D103" i="1"/>
  <c r="J103" i="1"/>
  <c r="J105" i="1"/>
  <c r="J101" i="1"/>
  <c r="J102" i="1" s="1"/>
  <c r="J107" i="1" s="1"/>
  <c r="J104" i="1"/>
  <c r="J106" i="1"/>
  <c r="D65" i="1"/>
  <c r="D66" i="1" s="1"/>
  <c r="J68" i="1"/>
  <c r="D72" i="1"/>
  <c r="I68" i="1" s="1"/>
  <c r="E71" i="1"/>
  <c r="I81" i="1" l="1"/>
  <c r="C83" i="1" s="1"/>
  <c r="J108" i="1"/>
  <c r="C100" i="1" s="1"/>
  <c r="D99" i="1"/>
  <c r="F66" i="1"/>
  <c r="I69" i="1"/>
  <c r="I67" i="1" s="1"/>
  <c r="C69" i="1" s="1"/>
  <c r="J96" i="1" l="1"/>
  <c r="D100" i="1"/>
  <c r="I96" i="1" s="1"/>
  <c r="I97" i="1" s="1"/>
  <c r="G99" i="1"/>
  <c r="E99" i="1"/>
  <c r="I95" i="1" l="1"/>
  <c r="C97" i="1" s="1"/>
</calcChain>
</file>

<file path=xl/sharedStrings.xml><?xml version="1.0" encoding="utf-8"?>
<sst xmlns="http://schemas.openxmlformats.org/spreadsheetml/2006/main" count="647" uniqueCount="249">
  <si>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</si>
  <si>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</si>
  <si>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</si>
  <si>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</si>
  <si>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</si>
  <si>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</si>
  <si>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</si>
  <si>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</si>
  <si>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</si>
  <si>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</si>
  <si>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</si>
  <si>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</si>
  <si>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</si>
  <si>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</si>
  <si>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</si>
  <si>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</si>
  <si>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</si>
  <si>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</si>
  <si>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</si>
  <si>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</si>
  <si>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</si>
  <si>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</si>
  <si>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</si>
  <si>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</si>
  <si>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</si>
  <si>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</si>
  <si>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</si>
  <si>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</si>
  <si>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</si>
  <si>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</si>
  <si>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</si>
  <si>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</si>
  <si>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</si>
  <si>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</si>
  <si>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</si>
  <si>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</si>
  <si>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</si>
  <si>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</si>
  <si>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</si>
  <si>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</si>
  <si>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</si>
  <si>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</si>
  <si>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</si>
  <si>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</si>
  <si>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</si>
  <si>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</si>
  <si>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</si>
  <si>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</si>
  <si>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</si>
  <si>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</si>
  <si>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</si>
  <si>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</si>
  <si>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</si>
  <si>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</si>
  <si>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</si>
  <si>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</si>
  <si>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</si>
  <si>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</si>
  <si>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</si>
  <si>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</si>
  <si>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</si>
  <si>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</si>
  <si>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</si>
  <si>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</si>
  <si>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</si>
  <si>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</si>
  <si>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</si>
  <si>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</si>
  <si>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</si>
  <si>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</si>
  <si>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</si>
  <si>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</si>
  <si>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</si>
  <si>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</si>
  <si>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</si>
  <si>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</si>
  <si>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</si>
  <si>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</si>
  <si>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</si>
  <si>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</si>
  <si>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</si>
  <si>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</si>
  <si>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</si>
  <si>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</si>
  <si>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</si>
  <si>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</si>
  <si>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</si>
  <si>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</si>
  <si>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</si>
  <si>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</si>
  <si>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</si>
  <si>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</si>
  <si>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</si>
  <si>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</si>
  <si>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</si>
  <si>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</si>
  <si>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</si>
  <si>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</si>
  <si>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</si>
  <si>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</si>
  <si>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</si>
  <si>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</si>
  <si>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</si>
  <si>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</si>
  <si>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</si>
  <si>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</si>
  <si>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</si>
  <si>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</si>
  <si>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</si>
  <si>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</si>
  <si>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</si>
  <si>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</si>
  <si>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</si>
  <si>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</si>
  <si>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</si>
  <si>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</si>
  <si>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</si>
  <si>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</si>
  <si>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</si>
  <si>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</si>
  <si>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</si>
  <si>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</si>
  <si>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</si>
  <si>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</si>
  <si>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</si>
  <si>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</si>
  <si>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</si>
  <si>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</si>
  <si>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</si>
  <si>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</si>
  <si>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</si>
  <si>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</si>
  <si>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</si>
  <si>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</si>
  <si>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</si>
  <si>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</si>
  <si>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</si>
  <si>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</si>
  <si>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</si>
  <si>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</si>
  <si>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</si>
  <si>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</si>
  <si>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</si>
  <si>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</si>
  <si>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</si>
  <si>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</si>
  <si>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</si>
  <si>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</si>
  <si>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</si>
  <si>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</si>
  <si>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</si>
  <si>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</si>
  <si>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</si>
  <si>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</si>
  <si>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</si>
  <si>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</si>
  <si>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</si>
  <si>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</si>
  <si>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</si>
  <si>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</si>
  <si>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</si>
  <si>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</si>
  <si>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</si>
  <si>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</si>
  <si>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</si>
  <si>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</si>
  <si>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</si>
  <si>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</si>
  <si>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</si>
  <si>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</si>
  <si>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</si>
  <si>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</si>
  <si>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</si>
  <si>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</si>
  <si>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</si>
  <si>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Kapleshwara Residency</t>
  </si>
  <si>
    <t>Kapleshwara Homes Llp</t>
  </si>
  <si>
    <t>Approved Plans, CC, Sale Plans</t>
  </si>
  <si>
    <t>P51700049543</t>
  </si>
  <si>
    <t>Thane</t>
  </si>
  <si>
    <t>Kalyan</t>
  </si>
  <si>
    <t>Survey No</t>
  </si>
  <si>
    <t>19.206496, 73.111144</t>
  </si>
  <si>
    <t>https://goo.gl/maps/Tj3U4HmbUgBJfwW38</t>
  </si>
  <si>
    <t>Shree Empire</t>
  </si>
  <si>
    <t>3.5 KM from Dombivli Railway Station</t>
  </si>
  <si>
    <t>Dawadi Gaon Road</t>
  </si>
  <si>
    <t>Sonar Pada</t>
  </si>
  <si>
    <t>84(New) 119 (Old), H.No.6C</t>
  </si>
  <si>
    <t>Internal Road</t>
  </si>
  <si>
    <t>Pragron Engineering Company</t>
  </si>
  <si>
    <t>Regency Anantam Sales office</t>
  </si>
  <si>
    <t>Kalyan Dombivli Municipal Corporation (KDMC)</t>
  </si>
  <si>
    <t>As per RERA - 31/12/2029</t>
  </si>
  <si>
    <t>Ground Floor For Entrance Looby, Society Office, Meter Room, Commercial &amp; Parking</t>
  </si>
  <si>
    <t>Shop</t>
  </si>
  <si>
    <t>1st to 4th Podium Floor For Parking</t>
  </si>
  <si>
    <t>5th to 7th &amp; 9th Floor For Residential</t>
  </si>
  <si>
    <t>Sale</t>
  </si>
  <si>
    <t>Mhada</t>
  </si>
  <si>
    <t>2BHK</t>
  </si>
  <si>
    <t>1BHK</t>
  </si>
  <si>
    <t>1RK</t>
  </si>
  <si>
    <t>8th Floor (Part Refuge Area)</t>
  </si>
  <si>
    <t>10th, 11th, 12th, 14th, 16th, 17th, 19th, 20th, 21st, 22nd &amp; 24th, 25th Floor</t>
  </si>
  <si>
    <t>13th, 18th &amp; 23rd Floor (Part Refuge Area)</t>
  </si>
  <si>
    <t>15th Floor For Recreational Area</t>
  </si>
  <si>
    <t>Ground Floor For Entrance Lobby, Gym, Driver Room, Meter Room, Creche, Society Office &amp; Parking</t>
  </si>
  <si>
    <t>Swimming pool, Temple, Sit-outs, Star gazing, Indoor games, Toddler play area, Music room, Gymnasium, Jogging track, Mini party lawn, Amphiltheatre, Cafeteria etc</t>
  </si>
  <si>
    <t>Commercial Area Details : Shop</t>
  </si>
  <si>
    <t>Residential Area Details : Flats</t>
  </si>
  <si>
    <t>Dombivli (East)</t>
  </si>
  <si>
    <t>Golivali</t>
  </si>
  <si>
    <t xml:space="preserve">https://housing.com/in/buy/projects/page/293834-kapleshwara-residency-by-kapleshwara-homes-llp-in-dombivli-east </t>
  </si>
  <si>
    <t>Housing</t>
  </si>
  <si>
    <t>47L (1BHK)</t>
  </si>
  <si>
    <t>68L (2BHK)</t>
  </si>
  <si>
    <t>Sheet</t>
  </si>
  <si>
    <t>Regency Anantam</t>
  </si>
  <si>
    <t>KDMC/TPD/BP/27Village/2018-19/29/215</t>
  </si>
  <si>
    <t>Type A = Gr/Stilt + 4P + 5th floor (Pt) to 9th Floor (Pt) + 10th to 25th Floor
15th Recreational Floor
Type A (For Mhada) = 5th Floor (Pt) to 9th Floor (Pt)
Type B = Gr/Stilt + 4P + 5th to 26th Floor
Type C = Gr/Stilt + 4P + 5th to 26th Floor</t>
  </si>
  <si>
    <t>We have updated latest CC from Rera (On 04/12/2024).</t>
  </si>
  <si>
    <t>-</t>
  </si>
  <si>
    <t>Refuge Area</t>
  </si>
  <si>
    <t>26th Floor (Part Terrace Area)</t>
  </si>
  <si>
    <t>Terrace Area</t>
  </si>
  <si>
    <t>Sale Flats</t>
  </si>
  <si>
    <t>Mhada Flats</t>
  </si>
  <si>
    <t>Sale Flats - 455, Mhada Flats - 25, Shops - 26</t>
  </si>
  <si>
    <t>We have updated latest approved floor plans (On 27/12/2024).</t>
  </si>
  <si>
    <t>We considered Gross carpet area = Net carpet + Balcony.</t>
  </si>
  <si>
    <t>Building B (Kaira) = Gr/Stilt + 4P + 5th to 30th Floor</t>
  </si>
  <si>
    <t>Building C (Shivansh) = Gr/Stilt + 4P + 5th to 30th Floor</t>
  </si>
  <si>
    <t>Building C (Shivansh)</t>
  </si>
  <si>
    <t>Building B (Kaira)</t>
  </si>
  <si>
    <t>Remark No. 12 :</t>
  </si>
  <si>
    <t>Building A (Dhruhi) = Gr/Stilt + 4P + 5th to 30th Floor</t>
  </si>
  <si>
    <t>Building A (Dhruhi)</t>
  </si>
  <si>
    <t>Building A (Dhruhi)
Building B (Kaira)
Building C (Shivansh)</t>
  </si>
  <si>
    <t>Building A (Dhruhi) = Gr/Stilt + 4P + 5th to 25th Floor
Building B (Kaira) = Gr/Stilt + 4P + 5th to 26th Floor
Building C (Shivansh)= Gr/Stilt + 4P + 5th to 26th Floor</t>
  </si>
  <si>
    <t>We have updated Building nomenclature as per the letter provided by the bank officials on mail on 28/03/2025. Document attached Below.</t>
  </si>
  <si>
    <t>Mr. Niraj Sharma 8425899000</t>
  </si>
  <si>
    <t>03 Buildings</t>
  </si>
  <si>
    <t>7500 to 7800</t>
  </si>
  <si>
    <t>akash mote verbal</t>
  </si>
  <si>
    <t>Recommended Rates / Other charges of the Property have been revised on 28/07/2025.</t>
  </si>
  <si>
    <t>Building A, B &amp; C = Construction work is in process at the time of Visit. Internal visit was not allowed.</t>
  </si>
  <si>
    <t>Pooja Kawale</t>
  </si>
  <si>
    <t>Gangaram parshuram Lambore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</si>
</sst>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67" fontId="7" fillId="0" borderId="0" xfId="9" applyNumberFormat="1" applyFont="1" applyAlignment="1">
      <alignment horizontal="center" vertical="center"/>
    </xf>
    <xf numFmtId="1" fontId="26" fillId="0" borderId="0" xfId="10" applyNumberFormat="1" applyAlignment="1">
      <alignment horizontal="center" vertical="center"/>
    </xf>
    <xf numFmtId="0" fontId="10" fillId="0" borderId="0" xfId="1" applyFont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34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8" xfId="0" applyNumberFormat="1" applyFont="1" applyFill="1" applyBorder="1" applyAlignment="1" applyProtection="1">
      <alignment vertical="top" wrapText="1"/>
      <protection locked="0"/>
    </xf>
    <xf numFmtId="1" fontId="8" fillId="4" borderId="21" xfId="0" applyNumberFormat="1" applyFont="1" applyFill="1" applyBorder="1" applyAlignment="1" applyProtection="1">
      <alignment vertical="top" wrapText="1"/>
      <protection locked="0"/>
    </xf>
    <xf numFmtId="1" fontId="8" fillId="4" borderId="9" xfId="0" applyNumberFormat="1" applyFont="1" applyFill="1" applyBorder="1" applyAlignment="1" applyProtection="1">
      <alignment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microsoft.com/office/2007/relationships/hdphoto" Target="../media/hdphoto3.wdp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4.png"/><Relationship Id="rId2" Type="http://schemas.microsoft.com/office/2007/relationships/hdphoto" Target="../media/hdphoto1.wdp"/><Relationship Id="rId16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2.png"/><Relationship Id="rId10" Type="http://schemas.openxmlformats.org/officeDocument/2006/relationships/image" Target="../media/image8.png"/><Relationship Id="rId4" Type="http://schemas.microsoft.com/office/2007/relationships/hdphoto" Target="../media/hdphoto2.wdp"/><Relationship Id="rId9" Type="http://schemas.openxmlformats.org/officeDocument/2006/relationships/image" Target="../media/image7.png"/><Relationship Id="rId1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512003</xdr:colOff>
      <xdr:row>401</xdr:row>
      <xdr:rowOff>21911</xdr:rowOff>
    </xdr:from>
    <xdr:to>
      <xdr:col>6</xdr:col>
      <xdr:colOff>229947</xdr:colOff>
      <xdr:row>419</xdr:row>
      <xdr:rowOff>37048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74003" y="53664979"/>
          <a:ext cx="3865649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77932</xdr:colOff>
      <xdr:row>382</xdr:row>
      <xdr:rowOff>17319</xdr:rowOff>
    </xdr:from>
    <xdr:to>
      <xdr:col>6</xdr:col>
      <xdr:colOff>664020</xdr:colOff>
      <xdr:row>400</xdr:row>
      <xdr:rowOff>32455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39932" y="49876364"/>
          <a:ext cx="4733793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34637</xdr:colOff>
      <xdr:row>388</xdr:row>
      <xdr:rowOff>173182</xdr:rowOff>
    </xdr:from>
    <xdr:to>
      <xdr:col>4</xdr:col>
      <xdr:colOff>121227</xdr:colOff>
      <xdr:row>391</xdr:row>
      <xdr:rowOff>25977</xdr:rowOff>
    </xdr:to>
    <xdr:sp macro="" textlink="">
      <xdr:nvSpPr>
        <xdr:cNvPr id="19" name="Rectangle 18"/>
        <xdr:cNvSpPr/>
      </xdr:nvSpPr>
      <xdr:spPr>
        <a:xfrm>
          <a:off x="2441864" y="51227182"/>
          <a:ext cx="1030431" cy="450272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147206</xdr:colOff>
      <xdr:row>388</xdr:row>
      <xdr:rowOff>173183</xdr:rowOff>
    </xdr:from>
    <xdr:to>
      <xdr:col>5</xdr:col>
      <xdr:colOff>294410</xdr:colOff>
      <xdr:row>391</xdr:row>
      <xdr:rowOff>25978</xdr:rowOff>
    </xdr:to>
    <xdr:sp macro="" textlink="">
      <xdr:nvSpPr>
        <xdr:cNvPr id="20" name="Rectangle 19"/>
        <xdr:cNvSpPr/>
      </xdr:nvSpPr>
      <xdr:spPr>
        <a:xfrm>
          <a:off x="3498274" y="51227183"/>
          <a:ext cx="926522" cy="450272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645103</xdr:colOff>
      <xdr:row>391</xdr:row>
      <xdr:rowOff>47627</xdr:rowOff>
    </xdr:from>
    <xdr:to>
      <xdr:col>5</xdr:col>
      <xdr:colOff>316057</xdr:colOff>
      <xdr:row>396</xdr:row>
      <xdr:rowOff>25981</xdr:rowOff>
    </xdr:to>
    <xdr:sp macro="" textlink="">
      <xdr:nvSpPr>
        <xdr:cNvPr id="21" name="Rectangle 20"/>
        <xdr:cNvSpPr/>
      </xdr:nvSpPr>
      <xdr:spPr>
        <a:xfrm rot="5400000">
          <a:off x="3734232" y="51961043"/>
          <a:ext cx="974150" cy="450272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822614</xdr:colOff>
      <xdr:row>391</xdr:row>
      <xdr:rowOff>1</xdr:rowOff>
    </xdr:from>
    <xdr:to>
      <xdr:col>4</xdr:col>
      <xdr:colOff>200025</xdr:colOff>
      <xdr:row>392</xdr:row>
      <xdr:rowOff>51955</xdr:rowOff>
    </xdr:to>
    <xdr:sp macro="" textlink="">
      <xdr:nvSpPr>
        <xdr:cNvPr id="22" name="TextBox 21"/>
        <xdr:cNvSpPr txBox="1"/>
      </xdr:nvSpPr>
      <xdr:spPr>
        <a:xfrm>
          <a:off x="2384714" y="82838926"/>
          <a:ext cx="1168111" cy="251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ysClr val="windowText" lastClr="000000"/>
              </a:solidFill>
            </a:rPr>
            <a:t>Building A </a:t>
          </a:r>
        </a:p>
      </xdr:txBody>
    </xdr:sp>
    <xdr:clientData/>
  </xdr:twoCellAnchor>
  <xdr:twoCellAnchor>
    <xdr:from>
      <xdr:col>4</xdr:col>
      <xdr:colOff>177699</xdr:colOff>
      <xdr:row>388</xdr:row>
      <xdr:rowOff>102403</xdr:rowOff>
    </xdr:from>
    <xdr:to>
      <xdr:col>6</xdr:col>
      <xdr:colOff>38100</xdr:colOff>
      <xdr:row>389</xdr:row>
      <xdr:rowOff>154357</xdr:rowOff>
    </xdr:to>
    <xdr:sp macro="" textlink="">
      <xdr:nvSpPr>
        <xdr:cNvPr id="23" name="TextBox 22"/>
        <xdr:cNvSpPr txBox="1"/>
      </xdr:nvSpPr>
      <xdr:spPr>
        <a:xfrm>
          <a:off x="3530499" y="82341253"/>
          <a:ext cx="1422501" cy="251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ysClr val="windowText" lastClr="000000"/>
              </a:solidFill>
            </a:rPr>
            <a:t>Building B </a:t>
          </a:r>
        </a:p>
      </xdr:txBody>
    </xdr:sp>
    <xdr:clientData/>
  </xdr:twoCellAnchor>
  <xdr:twoCellAnchor>
    <xdr:from>
      <xdr:col>5</xdr:col>
      <xdr:colOff>363683</xdr:colOff>
      <xdr:row>391</xdr:row>
      <xdr:rowOff>51955</xdr:rowOff>
    </xdr:from>
    <xdr:to>
      <xdr:col>5</xdr:col>
      <xdr:colOff>614796</xdr:colOff>
      <xdr:row>397</xdr:row>
      <xdr:rowOff>133353</xdr:rowOff>
    </xdr:to>
    <xdr:sp macro="" textlink="">
      <xdr:nvSpPr>
        <xdr:cNvPr id="24" name="TextBox 23"/>
        <xdr:cNvSpPr txBox="1"/>
      </xdr:nvSpPr>
      <xdr:spPr>
        <a:xfrm rot="5400000">
          <a:off x="3982316" y="83406097"/>
          <a:ext cx="1281548" cy="251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ysClr val="windowText" lastClr="000000"/>
              </a:solidFill>
            </a:rPr>
            <a:t>Building C </a:t>
          </a:r>
        </a:p>
      </xdr:txBody>
    </xdr:sp>
    <xdr:clientData/>
  </xdr:twoCellAnchor>
  <xdr:twoCellAnchor>
    <xdr:from>
      <xdr:col>1</xdr:col>
      <xdr:colOff>346363</xdr:colOff>
      <xdr:row>458</xdr:row>
      <xdr:rowOff>181841</xdr:rowOff>
    </xdr:from>
    <xdr:to>
      <xdr:col>6</xdr:col>
      <xdr:colOff>466765</xdr:colOff>
      <xdr:row>488</xdr:row>
      <xdr:rowOff>56890</xdr:rowOff>
    </xdr:to>
    <xdr:grpSp>
      <xdr:nvGrpSpPr>
        <xdr:cNvPr id="4" name="Group 3"/>
        <xdr:cNvGrpSpPr/>
      </xdr:nvGrpSpPr>
      <xdr:grpSpPr>
        <a:xfrm>
          <a:off x="1146463" y="95254041"/>
          <a:ext cx="4476502" cy="5780549"/>
          <a:chOff x="1108363" y="96822491"/>
          <a:chExt cx="4273302" cy="5875799"/>
        </a:xfrm>
      </xdr:grpSpPr>
      <xdr:pic>
        <xdr:nvPicPr>
          <xdr:cNvPr id="6" name="Picture 5"/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08363" y="99806167"/>
            <a:ext cx="4273302" cy="2892123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7" name="Picture 6"/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14586" y="96822491"/>
            <a:ext cx="4267079" cy="2892989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2" name="Rectangle 1"/>
          <xdr:cNvSpPr/>
        </xdr:nvSpPr>
        <xdr:spPr>
          <a:xfrm>
            <a:off x="3014456" y="100907022"/>
            <a:ext cx="487430" cy="508966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374650</xdr:colOff>
      <xdr:row>45</xdr:row>
      <xdr:rowOff>95251</xdr:rowOff>
    </xdr:from>
    <xdr:to>
      <xdr:col>11</xdr:col>
      <xdr:colOff>138750</xdr:colOff>
      <xdr:row>49</xdr:row>
      <xdr:rowOff>301801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19950" y="10007601"/>
          <a:ext cx="2520000" cy="1616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339</xdr:row>
      <xdr:rowOff>0</xdr:rowOff>
    </xdr:from>
    <xdr:to>
      <xdr:col>10</xdr:col>
      <xdr:colOff>198581</xdr:colOff>
      <xdr:row>340</xdr:row>
      <xdr:rowOff>141432</xdr:rowOff>
    </xdr:to>
    <xdr:sp macro="" textlink="">
      <xdr:nvSpPr>
        <xdr:cNvPr id="36" name="TextBox 35"/>
        <xdr:cNvSpPr txBox="1"/>
      </xdr:nvSpPr>
      <xdr:spPr>
        <a:xfrm>
          <a:off x="8064500" y="69811900"/>
          <a:ext cx="998681" cy="338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ysClr val="windowText" lastClr="000000"/>
              </a:solidFill>
            </a:rPr>
            <a:t>Building A</a:t>
          </a:r>
        </a:p>
      </xdr:txBody>
    </xdr:sp>
    <xdr:clientData/>
  </xdr:twoCellAnchor>
  <xdr:twoCellAnchor>
    <xdr:from>
      <xdr:col>12</xdr:col>
      <xdr:colOff>516118</xdr:colOff>
      <xdr:row>340</xdr:row>
      <xdr:rowOff>133350</xdr:rowOff>
    </xdr:from>
    <xdr:to>
      <xdr:col>13</xdr:col>
      <xdr:colOff>689299</xdr:colOff>
      <xdr:row>342</xdr:row>
      <xdr:rowOff>84282</xdr:rowOff>
    </xdr:to>
    <xdr:sp macro="" textlink="">
      <xdr:nvSpPr>
        <xdr:cNvPr id="37" name="TextBox 36"/>
        <xdr:cNvSpPr txBox="1"/>
      </xdr:nvSpPr>
      <xdr:spPr>
        <a:xfrm>
          <a:off x="11038068" y="70142100"/>
          <a:ext cx="998681" cy="338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ysClr val="windowText" lastClr="000000"/>
              </a:solidFill>
            </a:rPr>
            <a:t>Building B</a:t>
          </a:r>
        </a:p>
      </xdr:txBody>
    </xdr:sp>
    <xdr:clientData/>
  </xdr:twoCellAnchor>
  <xdr:twoCellAnchor>
    <xdr:from>
      <xdr:col>12</xdr:col>
      <xdr:colOff>363718</xdr:colOff>
      <xdr:row>357</xdr:row>
      <xdr:rowOff>185822</xdr:rowOff>
    </xdr:from>
    <xdr:to>
      <xdr:col>13</xdr:col>
      <xdr:colOff>536899</xdr:colOff>
      <xdr:row>359</xdr:row>
      <xdr:rowOff>130404</xdr:rowOff>
    </xdr:to>
    <xdr:sp macro="" textlink="">
      <xdr:nvSpPr>
        <xdr:cNvPr id="38" name="TextBox 37"/>
        <xdr:cNvSpPr txBox="1"/>
      </xdr:nvSpPr>
      <xdr:spPr>
        <a:xfrm>
          <a:off x="10885668" y="73534672"/>
          <a:ext cx="998681" cy="338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ysClr val="windowText" lastClr="000000"/>
              </a:solidFill>
            </a:rPr>
            <a:t>Building C</a:t>
          </a:r>
        </a:p>
      </xdr:txBody>
    </xdr:sp>
    <xdr:clientData/>
  </xdr:twoCellAnchor>
  <xdr:twoCellAnchor editAs="oneCell">
    <xdr:from>
      <xdr:col>0</xdr:col>
      <xdr:colOff>425450</xdr:colOff>
      <xdr:row>424</xdr:row>
      <xdr:rowOff>69850</xdr:rowOff>
    </xdr:from>
    <xdr:to>
      <xdr:col>7</xdr:col>
      <xdr:colOff>210100</xdr:colOff>
      <xdr:row>454</xdr:row>
      <xdr:rowOff>136318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5450" y="87388700"/>
          <a:ext cx="5760000" cy="59719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190500</xdr:colOff>
      <xdr:row>338</xdr:row>
      <xdr:rowOff>133350</xdr:rowOff>
    </xdr:from>
    <xdr:to>
      <xdr:col>7</xdr:col>
      <xdr:colOff>685757</xdr:colOff>
      <xdr:row>375</xdr:row>
      <xdr:rowOff>93100</xdr:rowOff>
    </xdr:to>
    <xdr:grpSp>
      <xdr:nvGrpSpPr>
        <xdr:cNvPr id="5" name="Group 4"/>
        <xdr:cNvGrpSpPr/>
      </xdr:nvGrpSpPr>
      <xdr:grpSpPr>
        <a:xfrm>
          <a:off x="190500" y="71589900"/>
          <a:ext cx="6470607" cy="7236850"/>
          <a:chOff x="190500" y="71589900"/>
          <a:chExt cx="6470607" cy="7236850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1185" y="766667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1244" y="71589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91429" y="7441632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rightnessContrast bright="2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0872" y="71589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3191" y="7441632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552" y="74416325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71589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06198" y="7666675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2</xdr:row>
      <xdr:rowOff>40822</xdr:rowOff>
    </xdr:from>
    <xdr:to>
      <xdr:col>8</xdr:col>
      <xdr:colOff>532738</xdr:colOff>
      <xdr:row>13</xdr:row>
      <xdr:rowOff>11989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421822"/>
          <a:ext cx="5295238" cy="2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93834-kapleshwara-residency-by-kapleshwara-homes-llp-in-dombivli-east" TargetMode="External"/><Relationship Id="rId1" Type="http://schemas.openxmlformats.org/officeDocument/2006/relationships/hyperlink" Target="https://goo.gl/maps/Tj3U4HmbUgBJfwW38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5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3.17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86" t="s">
        <v>169</v>
      </c>
      <c r="B1" s="186"/>
      <c r="C1" s="186"/>
      <c r="D1" s="186"/>
      <c r="E1" s="186"/>
      <c r="F1" s="186"/>
      <c r="G1" s="186"/>
      <c r="H1" s="186"/>
    </row>
    <row r="2" spans="1:8" ht="16.5" customHeight="1" x14ac:dyDescent="0.35">
      <c r="A2" s="144" t="s">
        <v>0</v>
      </c>
      <c r="B2" s="144"/>
      <c r="C2" s="144"/>
      <c r="D2" s="144"/>
      <c r="E2" s="144"/>
      <c r="F2" s="144"/>
      <c r="G2" s="144"/>
      <c r="H2" s="144"/>
    </row>
    <row r="3" spans="1:8" x14ac:dyDescent="0.35">
      <c r="A3" s="110" t="s">
        <v>1</v>
      </c>
      <c r="B3" s="110"/>
      <c r="C3" s="110"/>
      <c r="D3" s="110"/>
      <c r="E3" s="110" t="str">
        <f ca="1">TEXT(TODAY(),"DD/MM/YYYY")</f>
        <v>10/09/2025</v>
      </c>
      <c r="F3" s="110"/>
      <c r="G3" s="110"/>
      <c r="H3" s="110"/>
    </row>
    <row r="4" spans="1:8" x14ac:dyDescent="0.35">
      <c r="A4" s="110" t="s">
        <v>2</v>
      </c>
      <c r="B4" s="110"/>
      <c r="C4" s="110"/>
      <c r="D4" s="110"/>
      <c r="E4" s="110" t="s">
        <v>174</v>
      </c>
      <c r="F4" s="110"/>
      <c r="G4" s="110"/>
      <c r="H4" s="110"/>
    </row>
    <row r="5" spans="1:8" x14ac:dyDescent="0.35">
      <c r="A5" s="110" t="s">
        <v>3</v>
      </c>
      <c r="B5" s="110"/>
      <c r="C5" s="110"/>
      <c r="D5" s="110"/>
      <c r="E5" s="182">
        <v>45907</v>
      </c>
      <c r="F5" s="110"/>
      <c r="G5" s="110"/>
      <c r="H5" s="110"/>
    </row>
    <row r="6" spans="1:8" ht="16.5" customHeight="1" x14ac:dyDescent="0.35">
      <c r="A6" s="110" t="s">
        <v>4</v>
      </c>
      <c r="B6" s="110"/>
      <c r="C6" s="110"/>
      <c r="D6" s="110"/>
      <c r="E6" s="110" t="s">
        <v>176</v>
      </c>
      <c r="F6" s="110"/>
      <c r="G6" s="110"/>
      <c r="H6" s="110"/>
    </row>
    <row r="7" spans="1:8" ht="15" customHeight="1" x14ac:dyDescent="0.35">
      <c r="A7" s="110" t="s">
        <v>5</v>
      </c>
      <c r="B7" s="110"/>
      <c r="C7" s="110"/>
      <c r="D7" s="110"/>
      <c r="E7" s="110" t="str">
        <f>E6</f>
        <v>Kapleshwara Homes Llp</v>
      </c>
      <c r="F7" s="110"/>
      <c r="G7" s="110"/>
      <c r="H7" s="110"/>
    </row>
    <row r="8" spans="1:8" x14ac:dyDescent="0.35">
      <c r="A8" s="110" t="s">
        <v>6</v>
      </c>
      <c r="B8" s="110"/>
      <c r="C8" s="110"/>
      <c r="D8" s="110"/>
      <c r="E8" s="187" t="s">
        <v>175</v>
      </c>
      <c r="F8" s="188"/>
      <c r="G8" s="188"/>
      <c r="H8" s="189"/>
    </row>
    <row r="9" spans="1:8" x14ac:dyDescent="0.35">
      <c r="A9" s="110" t="s">
        <v>172</v>
      </c>
      <c r="B9" s="110"/>
      <c r="C9" s="110"/>
      <c r="D9" s="110"/>
      <c r="E9" s="110" t="s">
        <v>241</v>
      </c>
      <c r="F9" s="110"/>
      <c r="G9" s="110"/>
      <c r="H9" s="110"/>
    </row>
    <row r="10" spans="1:8" x14ac:dyDescent="0.35">
      <c r="A10" s="110" t="s">
        <v>173</v>
      </c>
      <c r="B10" s="110"/>
      <c r="C10" s="110"/>
      <c r="D10" s="110"/>
      <c r="E10" s="110" t="s">
        <v>241</v>
      </c>
      <c r="F10" s="110"/>
      <c r="G10" s="110"/>
      <c r="H10" s="110"/>
    </row>
    <row r="11" spans="1:8" ht="48.75" customHeight="1" x14ac:dyDescent="0.35">
      <c r="A11" s="110" t="s">
        <v>7</v>
      </c>
      <c r="B11" s="110"/>
      <c r="C11" s="110"/>
      <c r="D11" s="110"/>
      <c r="E11" s="109" t="s">
        <v>238</v>
      </c>
      <c r="F11" s="110"/>
      <c r="G11" s="110"/>
      <c r="H11" s="110"/>
    </row>
    <row r="12" spans="1:8" ht="16" customHeight="1" x14ac:dyDescent="0.35">
      <c r="A12" s="94" t="s">
        <v>8</v>
      </c>
      <c r="B12" s="94"/>
      <c r="C12" s="94"/>
      <c r="D12" s="94"/>
      <c r="E12" s="109" t="s">
        <v>177</v>
      </c>
      <c r="F12" s="109"/>
      <c r="G12" s="109"/>
      <c r="H12" s="109"/>
    </row>
    <row r="13" spans="1:8" x14ac:dyDescent="0.35">
      <c r="A13" s="94" t="s">
        <v>9</v>
      </c>
      <c r="B13" s="94"/>
      <c r="C13" s="94"/>
      <c r="D13" s="94"/>
      <c r="E13" s="109" t="s">
        <v>178</v>
      </c>
      <c r="F13" s="110"/>
      <c r="G13" s="110"/>
      <c r="H13" s="110"/>
    </row>
    <row r="14" spans="1:8" ht="33" customHeight="1" x14ac:dyDescent="0.35">
      <c r="A14" s="118" t="s">
        <v>10</v>
      </c>
      <c r="B14" s="118"/>
      <c r="C14" s="11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Kapleshwara Residency, Survey No.84(New) 119 (Old), H.No.6C, near Shree Empire, Dawadi Gaon Road, Sonar Pada, Golivali, Dombivli (East), Kalyan, Thane - 421201.</v>
      </c>
      <c r="D14" s="118"/>
      <c r="E14" s="118"/>
      <c r="F14" s="118"/>
      <c r="G14" s="118"/>
      <c r="H14" s="118"/>
    </row>
    <row r="15" spans="1:8" x14ac:dyDescent="0.35">
      <c r="A15" s="109" t="s">
        <v>181</v>
      </c>
      <c r="B15" s="109"/>
      <c r="C15" s="109" t="s">
        <v>188</v>
      </c>
      <c r="D15" s="109"/>
      <c r="E15" s="109"/>
      <c r="F15" s="109"/>
      <c r="G15" s="109"/>
      <c r="H15" s="109"/>
    </row>
    <row r="16" spans="1:8" ht="15.75" customHeight="1" x14ac:dyDescent="0.35">
      <c r="A16" s="109" t="s">
        <v>167</v>
      </c>
      <c r="B16" s="109"/>
      <c r="C16" s="109" t="s">
        <v>187</v>
      </c>
      <c r="D16" s="109"/>
      <c r="E16" s="109"/>
      <c r="F16" s="109"/>
      <c r="G16" s="109"/>
      <c r="H16" s="109"/>
    </row>
    <row r="17" spans="1:8" ht="15.75" customHeight="1" x14ac:dyDescent="0.35">
      <c r="A17" s="118" t="s">
        <v>11</v>
      </c>
      <c r="B17" s="118"/>
      <c r="C17" s="109" t="s">
        <v>186</v>
      </c>
      <c r="D17" s="109"/>
      <c r="E17" s="118" t="s">
        <v>74</v>
      </c>
      <c r="F17" s="118"/>
      <c r="G17" s="109" t="s">
        <v>212</v>
      </c>
      <c r="H17" s="109"/>
    </row>
    <row r="18" spans="1:8" x14ac:dyDescent="0.35">
      <c r="A18" s="94" t="s">
        <v>13</v>
      </c>
      <c r="B18" s="94"/>
      <c r="C18" s="109" t="s">
        <v>211</v>
      </c>
      <c r="D18" s="109"/>
      <c r="E18" s="118" t="s">
        <v>12</v>
      </c>
      <c r="F18" s="118"/>
      <c r="G18" s="183" t="s">
        <v>179</v>
      </c>
      <c r="H18" s="183"/>
    </row>
    <row r="19" spans="1:8" x14ac:dyDescent="0.35">
      <c r="A19" s="94" t="s">
        <v>75</v>
      </c>
      <c r="B19" s="94"/>
      <c r="C19" s="109" t="s">
        <v>180</v>
      </c>
      <c r="D19" s="109"/>
      <c r="E19" s="118" t="s">
        <v>14</v>
      </c>
      <c r="F19" s="118"/>
      <c r="G19" s="109">
        <v>421201</v>
      </c>
      <c r="H19" s="109"/>
    </row>
    <row r="20" spans="1:8" ht="32.25" customHeight="1" x14ac:dyDescent="0.35">
      <c r="A20" s="94" t="s">
        <v>125</v>
      </c>
      <c r="B20" s="94"/>
      <c r="C20" s="109" t="s">
        <v>184</v>
      </c>
      <c r="D20" s="109"/>
      <c r="E20" s="118" t="s">
        <v>15</v>
      </c>
      <c r="F20" s="118"/>
      <c r="G20" s="109" t="s">
        <v>185</v>
      </c>
      <c r="H20" s="109"/>
    </row>
    <row r="21" spans="1:8" ht="15" customHeight="1" x14ac:dyDescent="0.35">
      <c r="A21" s="118" t="s">
        <v>77</v>
      </c>
      <c r="B21" s="118"/>
      <c r="C21" s="118"/>
      <c r="D21" s="118"/>
      <c r="E21" s="110" t="s">
        <v>16</v>
      </c>
      <c r="F21" s="110"/>
      <c r="G21" s="110"/>
      <c r="H21" s="110"/>
    </row>
    <row r="22" spans="1:8" ht="18.75" customHeight="1" x14ac:dyDescent="0.35">
      <c r="A22" s="118"/>
      <c r="B22" s="118"/>
      <c r="C22" s="118"/>
      <c r="D22" s="118"/>
      <c r="E22" s="110"/>
      <c r="F22" s="110"/>
      <c r="G22" s="110"/>
      <c r="H22" s="110"/>
    </row>
    <row r="23" spans="1:8" ht="15" customHeight="1" x14ac:dyDescent="0.35">
      <c r="A23" s="118" t="s">
        <v>17</v>
      </c>
      <c r="B23" s="118"/>
      <c r="C23" s="118"/>
      <c r="D23" s="118"/>
      <c r="E23" s="109" t="s">
        <v>18</v>
      </c>
      <c r="F23" s="109"/>
      <c r="G23" s="109"/>
      <c r="H23" s="109"/>
    </row>
    <row r="24" spans="1:8" ht="15" customHeight="1" x14ac:dyDescent="0.35">
      <c r="A24" s="94" t="s">
        <v>19</v>
      </c>
      <c r="B24" s="94"/>
      <c r="C24" s="94"/>
      <c r="D24" s="94"/>
      <c r="E24" s="190" t="str">
        <f>IF(AND(G18="Mumbai"),"Upper Class","Middle Class")</f>
        <v>Middle Class</v>
      </c>
      <c r="F24" s="190"/>
      <c r="G24" s="190"/>
      <c r="H24" s="190"/>
    </row>
    <row r="25" spans="1:8" x14ac:dyDescent="0.35">
      <c r="A25" s="94" t="s">
        <v>20</v>
      </c>
      <c r="B25" s="94"/>
      <c r="C25" s="94"/>
      <c r="D25" s="94"/>
      <c r="E25" s="109" t="s">
        <v>21</v>
      </c>
      <c r="F25" s="109"/>
      <c r="G25" s="109"/>
      <c r="H25" s="109"/>
    </row>
    <row r="26" spans="1:8" ht="15.75" customHeight="1" x14ac:dyDescent="0.35">
      <c r="A26" s="94" t="s">
        <v>22</v>
      </c>
      <c r="B26" s="94"/>
      <c r="C26" s="94"/>
      <c r="D26" s="94"/>
      <c r="E26" s="190" t="str">
        <f>IF(AND(G18="Mumbai"),"Developed","Developing")</f>
        <v>Developing</v>
      </c>
      <c r="F26" s="190"/>
      <c r="G26" s="190"/>
      <c r="H26" s="190"/>
    </row>
    <row r="27" spans="1:8" x14ac:dyDescent="0.35">
      <c r="A27" s="94" t="s">
        <v>23</v>
      </c>
      <c r="B27" s="94"/>
      <c r="C27" s="94"/>
      <c r="D27" s="94"/>
      <c r="E27" s="109" t="s">
        <v>24</v>
      </c>
      <c r="F27" s="109"/>
      <c r="G27" s="109"/>
      <c r="H27" s="109"/>
    </row>
    <row r="28" spans="1:8" ht="15.75" customHeight="1" x14ac:dyDescent="0.35">
      <c r="A28" s="94" t="s">
        <v>82</v>
      </c>
      <c r="B28" s="94"/>
      <c r="C28" s="94"/>
      <c r="D28" s="94"/>
      <c r="E28" s="109" t="s">
        <v>83</v>
      </c>
      <c r="F28" s="109"/>
      <c r="G28" s="109"/>
      <c r="H28" s="109"/>
    </row>
    <row r="29" spans="1:8" ht="15" customHeight="1" x14ac:dyDescent="0.35">
      <c r="A29" s="94" t="s">
        <v>33</v>
      </c>
      <c r="B29" s="94"/>
      <c r="C29" s="94"/>
      <c r="D29" s="94"/>
      <c r="E29" s="19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90"/>
      <c r="G29" s="190"/>
      <c r="H29" s="190"/>
    </row>
    <row r="30" spans="1:8" ht="15.75" customHeight="1" x14ac:dyDescent="0.35">
      <c r="A30" s="94" t="s">
        <v>94</v>
      </c>
      <c r="B30" s="94"/>
      <c r="C30" s="94"/>
      <c r="D30" s="94"/>
      <c r="E30" s="109" t="s">
        <v>34</v>
      </c>
      <c r="F30" s="109"/>
      <c r="G30" s="109"/>
      <c r="H30" s="109"/>
    </row>
    <row r="31" spans="1:8" s="22" customFormat="1" x14ac:dyDescent="0.35">
      <c r="A31" s="193" t="s">
        <v>95</v>
      </c>
      <c r="B31" s="193"/>
      <c r="C31" s="192" t="s">
        <v>29</v>
      </c>
      <c r="D31" s="192"/>
      <c r="E31" s="192"/>
      <c r="F31" s="192" t="s">
        <v>31</v>
      </c>
      <c r="G31" s="192"/>
      <c r="H31" s="192"/>
    </row>
    <row r="32" spans="1:8" s="22" customFormat="1" x14ac:dyDescent="0.35">
      <c r="A32" s="191" t="s">
        <v>25</v>
      </c>
      <c r="B32" s="191" t="s">
        <v>30</v>
      </c>
      <c r="C32" s="184" t="s">
        <v>30</v>
      </c>
      <c r="D32" s="184"/>
      <c r="E32" s="184"/>
      <c r="F32" s="184" t="s">
        <v>189</v>
      </c>
      <c r="G32" s="184"/>
      <c r="H32" s="184"/>
    </row>
    <row r="33" spans="1:8" x14ac:dyDescent="0.35">
      <c r="A33" s="191" t="s">
        <v>26</v>
      </c>
      <c r="B33" s="191" t="s">
        <v>30</v>
      </c>
      <c r="C33" s="184" t="s">
        <v>30</v>
      </c>
      <c r="D33" s="184"/>
      <c r="E33" s="184"/>
      <c r="F33" s="184" t="s">
        <v>190</v>
      </c>
      <c r="G33" s="184"/>
      <c r="H33" s="184"/>
    </row>
    <row r="34" spans="1:8" s="22" customFormat="1" x14ac:dyDescent="0.35">
      <c r="A34" s="191" t="s">
        <v>28</v>
      </c>
      <c r="B34" s="191" t="s">
        <v>30</v>
      </c>
      <c r="C34" s="184" t="s">
        <v>30</v>
      </c>
      <c r="D34" s="184"/>
      <c r="E34" s="184"/>
      <c r="F34" s="184" t="s">
        <v>191</v>
      </c>
      <c r="G34" s="184"/>
      <c r="H34" s="184"/>
    </row>
    <row r="35" spans="1:8" x14ac:dyDescent="0.35">
      <c r="A35" s="191" t="s">
        <v>27</v>
      </c>
      <c r="B35" s="191" t="s">
        <v>30</v>
      </c>
      <c r="C35" s="184" t="s">
        <v>30</v>
      </c>
      <c r="D35" s="184"/>
      <c r="E35" s="184"/>
      <c r="F35" s="184" t="s">
        <v>184</v>
      </c>
      <c r="G35" s="184"/>
      <c r="H35" s="184"/>
    </row>
    <row r="36" spans="1:8" x14ac:dyDescent="0.35">
      <c r="A36" s="94" t="s">
        <v>32</v>
      </c>
      <c r="B36" s="94"/>
      <c r="C36" s="94"/>
      <c r="D36" s="94"/>
      <c r="E36" s="94"/>
      <c r="F36" s="94"/>
      <c r="G36" s="94"/>
      <c r="H36" s="94"/>
    </row>
    <row r="37" spans="1:8" ht="15.75" customHeight="1" x14ac:dyDescent="0.35">
      <c r="A37" s="94" t="s">
        <v>170</v>
      </c>
      <c r="B37" s="94"/>
      <c r="C37" s="169" t="s">
        <v>182</v>
      </c>
      <c r="D37" s="169"/>
      <c r="E37" s="169"/>
      <c r="F37" s="169"/>
      <c r="G37" s="169"/>
      <c r="H37" s="169"/>
    </row>
    <row r="38" spans="1:8" x14ac:dyDescent="0.35">
      <c r="A38" s="94" t="s">
        <v>166</v>
      </c>
      <c r="B38" s="94"/>
      <c r="C38" s="204" t="s">
        <v>183</v>
      </c>
      <c r="D38" s="109"/>
      <c r="E38" s="109"/>
      <c r="F38" s="109"/>
      <c r="G38" s="109"/>
      <c r="H38" s="109"/>
    </row>
    <row r="39" spans="1:8" x14ac:dyDescent="0.35">
      <c r="A39" s="169" t="s">
        <v>35</v>
      </c>
      <c r="B39" s="169"/>
      <c r="C39" s="169"/>
      <c r="D39" s="169"/>
      <c r="E39" s="169"/>
      <c r="F39" s="169"/>
      <c r="G39" s="169"/>
      <c r="H39" s="169"/>
    </row>
    <row r="40" spans="1:8" x14ac:dyDescent="0.35">
      <c r="A40" s="94" t="s">
        <v>36</v>
      </c>
      <c r="B40" s="94"/>
      <c r="C40" s="94"/>
      <c r="D40" s="94"/>
      <c r="E40" s="196">
        <v>6338.01</v>
      </c>
      <c r="F40" s="196"/>
      <c r="G40" s="196"/>
      <c r="H40" s="196"/>
    </row>
    <row r="41" spans="1:8" x14ac:dyDescent="0.35">
      <c r="A41" s="94" t="s">
        <v>37</v>
      </c>
      <c r="B41" s="94"/>
      <c r="C41" s="94"/>
      <c r="D41" s="94"/>
      <c r="E41" s="185">
        <f>6971.81/E40</f>
        <v>1.0999998422217701</v>
      </c>
      <c r="F41" s="185"/>
      <c r="G41" s="185"/>
      <c r="H41" s="185"/>
    </row>
    <row r="42" spans="1:8" x14ac:dyDescent="0.35">
      <c r="A42" s="94" t="s">
        <v>38</v>
      </c>
      <c r="B42" s="94"/>
      <c r="C42" s="94"/>
      <c r="D42" s="94"/>
      <c r="E42" s="185">
        <f>E44/E40-E41</f>
        <v>3.4233300357683243</v>
      </c>
      <c r="F42" s="185"/>
      <c r="G42" s="185"/>
      <c r="H42" s="185"/>
    </row>
    <row r="43" spans="1:8" x14ac:dyDescent="0.35">
      <c r="A43" s="94" t="s">
        <v>39</v>
      </c>
      <c r="B43" s="94"/>
      <c r="C43" s="94"/>
      <c r="D43" s="94"/>
      <c r="E43" s="185">
        <f>E41+E42</f>
        <v>4.5233298779900943</v>
      </c>
      <c r="F43" s="185"/>
      <c r="G43" s="185"/>
      <c r="H43" s="185"/>
    </row>
    <row r="44" spans="1:8" x14ac:dyDescent="0.35">
      <c r="A44" s="94" t="s">
        <v>93</v>
      </c>
      <c r="B44" s="94"/>
      <c r="C44" s="94"/>
      <c r="D44" s="94"/>
      <c r="E44" s="211">
        <v>28668.91</v>
      </c>
      <c r="F44" s="211"/>
      <c r="G44" s="211"/>
      <c r="H44" s="211"/>
    </row>
    <row r="45" spans="1:8" x14ac:dyDescent="0.35">
      <c r="A45" s="110" t="s">
        <v>40</v>
      </c>
      <c r="B45" s="110"/>
      <c r="C45" s="110"/>
      <c r="D45" s="110"/>
      <c r="E45" s="110" t="s">
        <v>242</v>
      </c>
      <c r="F45" s="110"/>
      <c r="G45" s="110"/>
      <c r="H45" s="110"/>
    </row>
    <row r="46" spans="1:8" x14ac:dyDescent="0.35">
      <c r="A46" s="169" t="s">
        <v>41</v>
      </c>
      <c r="B46" s="169"/>
      <c r="C46" s="169"/>
      <c r="D46" s="169"/>
      <c r="E46" s="169"/>
      <c r="F46" s="169"/>
      <c r="G46" s="169"/>
      <c r="H46" s="169"/>
    </row>
    <row r="47" spans="1:8" ht="33.75" customHeight="1" x14ac:dyDescent="0.35">
      <c r="A47" s="136" t="s">
        <v>154</v>
      </c>
      <c r="B47" s="137"/>
      <c r="C47" s="187" t="s">
        <v>192</v>
      </c>
      <c r="D47" s="188"/>
      <c r="E47" s="188"/>
      <c r="F47" s="188"/>
      <c r="G47" s="188"/>
      <c r="H47" s="189"/>
    </row>
    <row r="48" spans="1:8" ht="31.5" customHeight="1" x14ac:dyDescent="0.35">
      <c r="A48" s="136" t="s">
        <v>42</v>
      </c>
      <c r="B48" s="137"/>
      <c r="C48" s="136" t="s">
        <v>219</v>
      </c>
      <c r="D48" s="138"/>
      <c r="E48" s="137"/>
      <c r="F48" s="18" t="s">
        <v>43</v>
      </c>
      <c r="G48" s="139">
        <v>45202</v>
      </c>
      <c r="H48" s="137"/>
    </row>
    <row r="49" spans="1:14" ht="30.75" customHeight="1" x14ac:dyDescent="0.35">
      <c r="A49" s="136" t="s">
        <v>44</v>
      </c>
      <c r="B49" s="137"/>
      <c r="C49" s="136" t="str">
        <f>C48</f>
        <v>KDMC/TPD/BP/27Village/2018-19/29/215</v>
      </c>
      <c r="D49" s="138"/>
      <c r="E49" s="137"/>
      <c r="F49" s="18" t="s">
        <v>43</v>
      </c>
      <c r="G49" s="139">
        <f>G48</f>
        <v>45202</v>
      </c>
      <c r="H49" s="137"/>
    </row>
    <row r="50" spans="1:14" s="23" customFormat="1" ht="31.5" customHeight="1" x14ac:dyDescent="0.35">
      <c r="A50" s="111" t="s">
        <v>157</v>
      </c>
      <c r="B50" s="112"/>
      <c r="C50" s="136" t="s">
        <v>219</v>
      </c>
      <c r="D50" s="138"/>
      <c r="E50" s="137"/>
      <c r="F50" s="18" t="s">
        <v>43</v>
      </c>
      <c r="G50" s="139">
        <v>45202</v>
      </c>
      <c r="H50" s="137"/>
    </row>
    <row r="51" spans="1:14" s="23" customFormat="1" ht="82" customHeight="1" x14ac:dyDescent="0.35">
      <c r="A51" s="113"/>
      <c r="B51" s="114"/>
      <c r="C51" s="106" t="s">
        <v>220</v>
      </c>
      <c r="D51" s="107"/>
      <c r="E51" s="107"/>
      <c r="F51" s="107"/>
      <c r="G51" s="107"/>
      <c r="H51" s="108"/>
    </row>
    <row r="52" spans="1:14" x14ac:dyDescent="0.35">
      <c r="A52" s="221" t="s">
        <v>45</v>
      </c>
      <c r="B52" s="222"/>
      <c r="C52" s="221" t="s">
        <v>107</v>
      </c>
      <c r="D52" s="223"/>
      <c r="E52" s="222"/>
      <c r="F52" s="45" t="s">
        <v>43</v>
      </c>
      <c r="G52" s="101" t="s">
        <v>30</v>
      </c>
      <c r="H52" s="102"/>
    </row>
    <row r="53" spans="1:14" x14ac:dyDescent="0.35">
      <c r="A53" s="170" t="s">
        <v>47</v>
      </c>
      <c r="B53" s="170"/>
      <c r="C53" s="170"/>
      <c r="D53" s="170"/>
      <c r="E53" s="170"/>
      <c r="F53" s="170"/>
      <c r="G53" s="170"/>
      <c r="H53" s="170"/>
    </row>
    <row r="54" spans="1:14" x14ac:dyDescent="0.35">
      <c r="A54" s="118" t="s">
        <v>92</v>
      </c>
      <c r="B54" s="118"/>
      <c r="C54" s="118"/>
      <c r="D54" s="94">
        <f>E44</f>
        <v>28668.91</v>
      </c>
      <c r="E54" s="94"/>
      <c r="F54" s="94"/>
      <c r="G54" s="94"/>
      <c r="H54" s="94"/>
    </row>
    <row r="55" spans="1:14" x14ac:dyDescent="0.35">
      <c r="A55" s="109" t="s">
        <v>48</v>
      </c>
      <c r="B55" s="110"/>
      <c r="C55" s="110"/>
      <c r="D55" s="110" t="s">
        <v>228</v>
      </c>
      <c r="E55" s="110"/>
      <c r="F55" s="110"/>
      <c r="G55" s="110"/>
      <c r="H55" s="110"/>
      <c r="I55" s="24"/>
    </row>
    <row r="56" spans="1:14" ht="48.75" customHeight="1" x14ac:dyDescent="0.35">
      <c r="A56" s="212" t="s">
        <v>49</v>
      </c>
      <c r="B56" s="213"/>
      <c r="C56" s="214"/>
      <c r="D56" s="224" t="s">
        <v>239</v>
      </c>
      <c r="E56" s="225"/>
      <c r="F56" s="225"/>
      <c r="G56" s="225"/>
      <c r="H56" s="225"/>
    </row>
    <row r="57" spans="1:14" ht="15.75" customHeight="1" x14ac:dyDescent="0.35">
      <c r="A57" s="212" t="s">
        <v>90</v>
      </c>
      <c r="B57" s="213"/>
      <c r="C57" s="214"/>
      <c r="D57" s="140" t="s">
        <v>236</v>
      </c>
      <c r="E57" s="141"/>
      <c r="F57" s="141"/>
      <c r="G57" s="141"/>
      <c r="H57" s="142"/>
    </row>
    <row r="58" spans="1:14" ht="15.75" customHeight="1" x14ac:dyDescent="0.35">
      <c r="A58" s="215"/>
      <c r="B58" s="216"/>
      <c r="C58" s="217"/>
      <c r="D58" s="103" t="s">
        <v>231</v>
      </c>
      <c r="E58" s="104"/>
      <c r="F58" s="104"/>
      <c r="G58" s="104"/>
      <c r="H58" s="105"/>
    </row>
    <row r="59" spans="1:14" ht="15.75" customHeight="1" x14ac:dyDescent="0.35">
      <c r="A59" s="218"/>
      <c r="B59" s="219"/>
      <c r="C59" s="220"/>
      <c r="D59" s="103" t="s">
        <v>232</v>
      </c>
      <c r="E59" s="104"/>
      <c r="F59" s="104"/>
      <c r="G59" s="104"/>
      <c r="H59" s="105"/>
    </row>
    <row r="60" spans="1:14" ht="15.75" customHeight="1" x14ac:dyDescent="0.35">
      <c r="A60" s="94" t="s">
        <v>46</v>
      </c>
      <c r="B60" s="94"/>
      <c r="C60" s="94"/>
      <c r="D60" s="197" t="s">
        <v>193</v>
      </c>
      <c r="E60" s="197"/>
      <c r="F60" s="197"/>
      <c r="G60" s="197"/>
      <c r="H60" s="197"/>
      <c r="J60" s="25"/>
      <c r="K60" s="24"/>
      <c r="N60" s="24"/>
    </row>
    <row r="61" spans="1:14" ht="15.75" customHeight="1" x14ac:dyDescent="0.35">
      <c r="A61" s="94" t="s">
        <v>88</v>
      </c>
      <c r="B61" s="94"/>
      <c r="C61" s="94"/>
      <c r="D61" s="203" t="str">
        <f>(IF(G52="NA","60 Years After Completion",IF(G52&lt;&gt;"NA",""&amp;60-ROUNDDOWN((E3-G52)/360,0)&amp;" Years"," ")))</f>
        <v>60 Years After Completion</v>
      </c>
      <c r="E61" s="203"/>
      <c r="F61" s="203"/>
      <c r="G61" s="203"/>
      <c r="H61" s="203"/>
      <c r="N61" s="24"/>
    </row>
    <row r="62" spans="1:14" ht="15.75" customHeight="1" x14ac:dyDescent="0.35">
      <c r="A62" s="94" t="s">
        <v>89</v>
      </c>
      <c r="B62" s="94"/>
      <c r="C62" s="94"/>
      <c r="D62" s="118" t="s">
        <v>24</v>
      </c>
      <c r="E62" s="118"/>
      <c r="F62" s="118"/>
      <c r="G62" s="118"/>
      <c r="H62" s="118"/>
      <c r="J62" s="26"/>
      <c r="K62" s="26"/>
    </row>
    <row r="63" spans="1:14" ht="48.75" customHeight="1" x14ac:dyDescent="0.35">
      <c r="A63" s="94" t="s">
        <v>76</v>
      </c>
      <c r="B63" s="94"/>
      <c r="C63" s="94"/>
      <c r="D63" s="109" t="s">
        <v>208</v>
      </c>
      <c r="E63" s="118"/>
      <c r="F63" s="118"/>
      <c r="G63" s="118"/>
      <c r="H63" s="118"/>
    </row>
    <row r="64" spans="1:14" x14ac:dyDescent="0.35">
      <c r="A64" s="118" t="s">
        <v>151</v>
      </c>
      <c r="B64" s="118"/>
      <c r="C64" s="118"/>
      <c r="D64" s="118" t="s">
        <v>30</v>
      </c>
      <c r="E64" s="118"/>
      <c r="F64" s="118"/>
      <c r="G64" s="118"/>
      <c r="H64" s="118"/>
      <c r="I64" s="27"/>
      <c r="J64" s="27"/>
      <c r="K64" s="27"/>
      <c r="L64" s="27"/>
      <c r="M64" s="27"/>
      <c r="N64" s="27"/>
    </row>
    <row r="65" spans="1:10" ht="15.75" customHeight="1" x14ac:dyDescent="0.35">
      <c r="A65" s="94" t="s">
        <v>87</v>
      </c>
      <c r="B65" s="94"/>
      <c r="C65" s="94"/>
      <c r="D65" s="109" t="str">
        <f ca="1">(IF(G71&gt;95%,"Nothing",IF(G71&gt;0%,"Cement, Aggregate, Steel, etc",IF(G71=0%,"Work not yet Started"))))</f>
        <v>Cement, Aggregate, Steel, etc</v>
      </c>
      <c r="E65" s="109"/>
      <c r="F65" s="109"/>
      <c r="G65" s="109"/>
      <c r="H65" s="109"/>
      <c r="J65" s="26"/>
    </row>
    <row r="66" spans="1:10" ht="33.75" customHeight="1" thickBot="1" x14ac:dyDescent="0.4">
      <c r="A66" s="118" t="s">
        <v>120</v>
      </c>
      <c r="B66" s="118"/>
      <c r="C66" s="118"/>
      <c r="D66" s="109" t="str">
        <f ca="1">(IF(D65="Nothing","Yes",IF(D65="Cement, Aggregate, Steel, etc","Under Construction",IF(D65="Work not yet Started","Work not yet Started"))))</f>
        <v>Under Construction</v>
      </c>
      <c r="E66" s="109"/>
      <c r="F66" s="109" t="str">
        <f ca="1">(IF(D65="Nothing","Yes",IF(D65="Cement, Aggregate, Steel, etc","Under Construction",IF(D65="Work not yet Started","Work not yet Started"))))</f>
        <v>Under Construction</v>
      </c>
      <c r="G66" s="109"/>
      <c r="H66" s="109"/>
    </row>
    <row r="67" spans="1:10" ht="15.75" customHeight="1" x14ac:dyDescent="0.35">
      <c r="A67" s="181" t="s">
        <v>143</v>
      </c>
      <c r="B67" s="181"/>
      <c r="C67" s="181" t="str">
        <f>D57</f>
        <v>Building A (Dhruhi) = Gr/Stilt + 4P + 5th to 30th Floor</v>
      </c>
      <c r="D67" s="181"/>
      <c r="E67" s="181"/>
      <c r="F67" s="181"/>
      <c r="G67" s="181"/>
      <c r="H67" s="181"/>
      <c r="I67" s="70" t="str">
        <f ca="1">IF(D80=100%,"All work Completed. Possession granted to the Building.",IF(D79=100%,"All work Completed, Waiting for OC",I68&amp;""&amp;I69&amp;""&amp;J68&amp;""&amp;J67&amp;" "&amp;J69))</f>
        <v>Excavation, Plinth Completed, RCC upto 26 Slab, Brickwork upto 25 Floor, Internal Plaster upto 12 Floor, External Plaster upto 6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26 Slab, Brickwork upto 25 Floor, Internal Plaster upto 12 Floor, External Plaster upto 6 Floor</v>
      </c>
    </row>
    <row r="68" spans="1:10" x14ac:dyDescent="0.35">
      <c r="A68" s="79" t="s">
        <v>145</v>
      </c>
      <c r="B68" s="79">
        <f>IF(AND(ISNUMBER(SEARCH("1B",C67))),1,IF(AND(ISNUMBER(SEARCH("2B",C67))),2,IF(AND(ISNUMBER(SEARCH("3B",C67))),3,IF(AND(ISNUMBER(SEARCH("4B",C67))),4,IF(ISNUMBER(SEARCH("5B",C67)),5,0)))))</f>
        <v>0</v>
      </c>
      <c r="C68" s="79" t="s">
        <v>73</v>
      </c>
      <c r="D68" s="79">
        <v>1</v>
      </c>
      <c r="E68" s="79" t="s">
        <v>72</v>
      </c>
      <c r="F68" s="79">
        <v>0</v>
      </c>
      <c r="G68" s="47" t="s">
        <v>81</v>
      </c>
      <c r="H68" s="79">
        <f ca="1">--TRIM(RIGHT(SUBSTITUTE(LEFT(C67,_xlfn.AGGREGATE(16,6,FIND({0,1,2,3,4,5,6,7,8,9},C67,ROW(INDIRECT("1:"&amp;LEN(C67)))),1))," ",REPT(" ",LEN(C67))),LEN(C67)))</f>
        <v>30</v>
      </c>
      <c r="I68" s="7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" customHeight="1" x14ac:dyDescent="0.35">
      <c r="A69" s="117" t="s">
        <v>91</v>
      </c>
      <c r="B69" s="117"/>
      <c r="C69" s="119" t="str">
        <f ca="1">I67</f>
        <v>Excavation, Plinth Completed, RCC upto 26 Slab, Brickwork upto 25 Floor, Internal Plaster upto 12 Floor, External Plaster upto 6 Floor Completed</v>
      </c>
      <c r="D69" s="119"/>
      <c r="E69" s="119"/>
      <c r="F69" s="119"/>
      <c r="G69" s="119"/>
      <c r="H69" s="119"/>
      <c r="I69" s="71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ht="15.75" customHeight="1" x14ac:dyDescent="0.35">
      <c r="A70" s="115" t="s">
        <v>50</v>
      </c>
      <c r="B70" s="99"/>
      <c r="C70" s="72" t="s">
        <v>142</v>
      </c>
      <c r="D70" s="72" t="s">
        <v>84</v>
      </c>
      <c r="E70" s="99" t="s">
        <v>86</v>
      </c>
      <c r="F70" s="99"/>
      <c r="G70" s="99" t="s">
        <v>85</v>
      </c>
      <c r="H70" s="100"/>
      <c r="I70" s="14" t="s">
        <v>144</v>
      </c>
      <c r="J70" s="28">
        <f ca="1">H68*25%</f>
        <v>7.5</v>
      </c>
    </row>
    <row r="71" spans="1:10" x14ac:dyDescent="0.35">
      <c r="A71" s="115" t="s">
        <v>131</v>
      </c>
      <c r="B71" s="99"/>
      <c r="C71" s="72">
        <f ca="1">J72</f>
        <v>30</v>
      </c>
      <c r="D71" s="19">
        <f ca="1">((100/H68)*C71)/100</f>
        <v>1</v>
      </c>
      <c r="E71" s="177">
        <f ca="1">(((C72/H68*10)+(40/(D68+F68+H68)*C73)+(7.5/(H68)*C74)+(7.5/(H68)*C75)+(10/H68*C76)+(10/H68*C77)+(5/H68*C78)+(5/H68*C79)+(5/H68*C80))/100)</f>
        <v>0.54798387096774193</v>
      </c>
      <c r="F71" s="178"/>
      <c r="G71" s="177">
        <f ca="1">((((C71/H68)*20)+((C72/H68)*25)+(30/(H68+F68+D68)*C73)+(5/H68*C74)+(5/H68*C75)+(5/H68*C76)+(5/H68*C77)+(0/H68*C78)+(0/H68*C79)+(5/H68*C80))/100)</f>
        <v>0.77327956989247315</v>
      </c>
      <c r="H71" s="194"/>
      <c r="I71" s="14" t="s">
        <v>102</v>
      </c>
      <c r="J71" s="29">
        <f ca="1">H68*50%</f>
        <v>15</v>
      </c>
    </row>
    <row r="72" spans="1:10" x14ac:dyDescent="0.35">
      <c r="A72" s="115" t="s">
        <v>51</v>
      </c>
      <c r="B72" s="99"/>
      <c r="C72" s="53">
        <v>30</v>
      </c>
      <c r="D72" s="19">
        <f ca="1">((100/H68)*C72)/100</f>
        <v>1</v>
      </c>
      <c r="E72" s="179"/>
      <c r="F72" s="180"/>
      <c r="G72" s="179"/>
      <c r="H72" s="195"/>
      <c r="I72" s="14" t="s">
        <v>103</v>
      </c>
      <c r="J72" s="29">
        <f ca="1">H68</f>
        <v>30</v>
      </c>
    </row>
    <row r="73" spans="1:10" ht="15.75" customHeight="1" x14ac:dyDescent="0.35">
      <c r="A73" s="115" t="s">
        <v>132</v>
      </c>
      <c r="B73" s="99"/>
      <c r="C73" s="72">
        <v>26</v>
      </c>
      <c r="D73" s="19">
        <f ca="1">((100/(D68+F68+H68))*C73)/100</f>
        <v>0.83870967741935476</v>
      </c>
      <c r="E73" s="179"/>
      <c r="F73" s="180"/>
      <c r="G73" s="179"/>
      <c r="H73" s="195"/>
      <c r="I73" s="14" t="s">
        <v>104</v>
      </c>
      <c r="J73" s="30">
        <f ca="1">(IF(B68&gt;1,(H68/(B68+2)),H68/4))</f>
        <v>7.5</v>
      </c>
    </row>
    <row r="74" spans="1:10" ht="15.75" customHeight="1" x14ac:dyDescent="0.35">
      <c r="A74" s="115" t="s">
        <v>139</v>
      </c>
      <c r="B74" s="99" t="s">
        <v>133</v>
      </c>
      <c r="C74" s="72">
        <v>25</v>
      </c>
      <c r="D74" s="19">
        <f ca="1">((100/H68)*C74)/100</f>
        <v>0.83333333333333348</v>
      </c>
      <c r="E74" s="179"/>
      <c r="F74" s="180"/>
      <c r="G74" s="179"/>
      <c r="H74" s="195"/>
      <c r="I74" s="14" t="s">
        <v>105</v>
      </c>
      <c r="J74" s="30">
        <f ca="1">(IF(B68&gt;1,(H68/(B68+2)+J73),H68/4+J73))</f>
        <v>15</v>
      </c>
    </row>
    <row r="75" spans="1:10" ht="15.75" customHeight="1" x14ac:dyDescent="0.35">
      <c r="A75" s="115" t="s">
        <v>140</v>
      </c>
      <c r="B75" s="99" t="s">
        <v>133</v>
      </c>
      <c r="C75" s="72">
        <v>12</v>
      </c>
      <c r="D75" s="19">
        <f ca="1">((100/H68)*C75)/100</f>
        <v>0.4</v>
      </c>
      <c r="E75" s="179"/>
      <c r="F75" s="180"/>
      <c r="G75" s="179"/>
      <c r="H75" s="195"/>
      <c r="I75" s="14" t="s">
        <v>149</v>
      </c>
      <c r="J75" s="30">
        <f>(IF(B68&gt;1,(H68/(B68+2)+J74),0))</f>
        <v>0</v>
      </c>
    </row>
    <row r="76" spans="1:10" ht="15" customHeight="1" x14ac:dyDescent="0.35">
      <c r="A76" s="115" t="s">
        <v>138</v>
      </c>
      <c r="B76" s="99" t="s">
        <v>135</v>
      </c>
      <c r="C76" s="72">
        <v>6</v>
      </c>
      <c r="D76" s="19">
        <f ca="1">((100/(H68))*C76)/100</f>
        <v>0.2</v>
      </c>
      <c r="E76" s="179"/>
      <c r="F76" s="180"/>
      <c r="G76" s="179"/>
      <c r="H76" s="195"/>
      <c r="I76" s="14" t="s">
        <v>146</v>
      </c>
      <c r="J76" s="30">
        <f>(IF(B68&gt;2,(H68/(B68+2)+J75),0))</f>
        <v>0</v>
      </c>
    </row>
    <row r="77" spans="1:10" ht="15.75" customHeight="1" x14ac:dyDescent="0.35">
      <c r="A77" s="115" t="s">
        <v>134</v>
      </c>
      <c r="B77" s="99" t="s">
        <v>134</v>
      </c>
      <c r="C77" s="72">
        <v>0</v>
      </c>
      <c r="D77" s="19">
        <f ca="1">((100/H68)*C77)/100</f>
        <v>0</v>
      </c>
      <c r="E77" s="179"/>
      <c r="F77" s="180"/>
      <c r="G77" s="179"/>
      <c r="H77" s="195"/>
      <c r="I77" s="14" t="s">
        <v>147</v>
      </c>
      <c r="J77" s="31">
        <f>(IF(B68&gt;3,(H68/(B68+2)+J76),0))</f>
        <v>0</v>
      </c>
    </row>
    <row r="78" spans="1:10" ht="15.75" customHeight="1" x14ac:dyDescent="0.35">
      <c r="A78" s="115" t="s">
        <v>141</v>
      </c>
      <c r="B78" s="99"/>
      <c r="C78" s="72">
        <v>0</v>
      </c>
      <c r="D78" s="19">
        <f ca="1">((100/H68)*C78)/100</f>
        <v>0</v>
      </c>
      <c r="E78" s="179"/>
      <c r="F78" s="180"/>
      <c r="G78" s="179"/>
      <c r="H78" s="195"/>
      <c r="I78" s="14" t="s">
        <v>148</v>
      </c>
      <c r="J78" s="30">
        <f>(IF(B68&gt;4,(H68/(B68+2)+J77),0))</f>
        <v>0</v>
      </c>
    </row>
    <row r="79" spans="1:10" ht="15.75" customHeight="1" x14ac:dyDescent="0.35">
      <c r="A79" s="115" t="s">
        <v>136</v>
      </c>
      <c r="B79" s="99" t="s">
        <v>136</v>
      </c>
      <c r="C79" s="72">
        <v>0</v>
      </c>
      <c r="D79" s="19">
        <f ca="1">((100/(H68))*C79)/100</f>
        <v>0</v>
      </c>
      <c r="E79" s="179"/>
      <c r="F79" s="180"/>
      <c r="G79" s="179"/>
      <c r="H79" s="195"/>
      <c r="I79" s="14" t="s">
        <v>150</v>
      </c>
      <c r="J79" s="30">
        <f ca="1">(IF(B68=1,(H68/(B68+3)+J74),IF(B68=0,(H68/4+J74),IF(B68&gt;1,0))))</f>
        <v>22.5</v>
      </c>
    </row>
    <row r="80" spans="1:10" ht="16" thickBot="1" x14ac:dyDescent="0.4">
      <c r="A80" s="201" t="s">
        <v>137</v>
      </c>
      <c r="B80" s="202"/>
      <c r="C80" s="73">
        <v>0</v>
      </c>
      <c r="D80" s="20">
        <f ca="1">((100/(H68))*C80)/100</f>
        <v>0</v>
      </c>
      <c r="E80" s="198"/>
      <c r="F80" s="199"/>
      <c r="G80" s="198"/>
      <c r="H80" s="200"/>
      <c r="I80" s="15" t="s">
        <v>106</v>
      </c>
      <c r="J80" s="32">
        <f ca="1">(IF(B68&gt;1.5,(H68/(B68+2)+J74+MAX(0,J75-J74)+MAX(0,J76-J75)+MAX(0,J77-J76)+MAX(0,J78-J77)+MAX(0,J79-J78)),IF(B68=1,(H68/(B68+3)+J79),IF(B68=0,H68/4+J79))))</f>
        <v>30</v>
      </c>
    </row>
    <row r="81" spans="1:10" ht="15.75" customHeight="1" x14ac:dyDescent="0.35">
      <c r="A81" s="205" t="s">
        <v>143</v>
      </c>
      <c r="B81" s="206"/>
      <c r="C81" s="207" t="str">
        <f>D58</f>
        <v>Building B (Kaira) = Gr/Stilt + 4P + 5th to 30th Floor</v>
      </c>
      <c r="D81" s="208"/>
      <c r="E81" s="208"/>
      <c r="F81" s="208"/>
      <c r="G81" s="208"/>
      <c r="H81" s="209"/>
      <c r="I81" s="48" t="str">
        <f ca="1">IF(D94=100%,"All work Completed. Possession granted to the Building.",IF(D93=100%,"All work Completed, Waiting for OC",I82&amp;""&amp;I83&amp;""&amp;J82&amp;""&amp;J81&amp;" "&amp;J83))</f>
        <v>Excavation, Plinth Completed, RCC upto 26 Slab, Brickwork upto 22 Floor, Internal Plaster upto 14 Floor, External Plaster upto 8 Floor Completed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26 Slab, Brickwork upto 22 Floor, Internal Plaster upto 14 Floor, External Plaster upto 8 Floor</v>
      </c>
    </row>
    <row r="82" spans="1:10" x14ac:dyDescent="0.35">
      <c r="A82" s="16" t="s">
        <v>145</v>
      </c>
      <c r="B82" s="52">
        <f>IF(AND(ISNUMBER(SEARCH("1B",C81))),1,IF(AND(ISNUMBER(SEARCH("2B",C81))),2,IF(AND(ISNUMBER(SEARCH("3B",C81))),3,IF(AND(ISNUMBER(SEARCH("4B",C81))),4,IF(ISNUMBER(SEARCH("5B",C81)),5,0)))))</f>
        <v>0</v>
      </c>
      <c r="C82" s="46" t="s">
        <v>73</v>
      </c>
      <c r="D82" s="46">
        <v>1</v>
      </c>
      <c r="E82" s="46" t="s">
        <v>72</v>
      </c>
      <c r="F82" s="56">
        <v>0</v>
      </c>
      <c r="G82" s="47" t="s">
        <v>81</v>
      </c>
      <c r="H82" s="17">
        <f ca="1">--TRIM(RIGHT(SUBSTITUTE(LEFT(C81,_xlfn.AGGREGATE(16,6,FIND({0,1,2,3,4,5,6,7,8,9},C81,ROW(INDIRECT("1:"&amp;LEN(C81)))),1))," ",REPT(" ",LEN(C81))),LEN(C81)))</f>
        <v>30</v>
      </c>
      <c r="I82" s="5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1.5" customHeight="1" x14ac:dyDescent="0.35">
      <c r="A83" s="116" t="s">
        <v>91</v>
      </c>
      <c r="B83" s="117"/>
      <c r="C83" s="119" t="str">
        <f ca="1">(IF($G$52="NA",I81,"All work Completed. OC Received."))</f>
        <v>Excavation, Plinth Completed, RCC upto 26 Slab, Brickwork upto 22 Floor, Internal Plaster upto 14 Floor, External Plaster upto 8 Floor Completed</v>
      </c>
      <c r="D83" s="119"/>
      <c r="E83" s="119"/>
      <c r="F83" s="119"/>
      <c r="G83" s="119"/>
      <c r="H83" s="120"/>
      <c r="I83" s="50" t="str">
        <f ca="1">IF(I82&lt;&gt;""," Completed","")</f>
        <v xml:space="preserve"> Completed</v>
      </c>
      <c r="J83" s="51" t="str">
        <f ca="1">IF(J81&lt;&gt;"","Completed","")</f>
        <v>Completed</v>
      </c>
    </row>
    <row r="84" spans="1:10" ht="15.75" customHeight="1" x14ac:dyDescent="0.35">
      <c r="A84" s="115" t="s">
        <v>50</v>
      </c>
      <c r="B84" s="99"/>
      <c r="C84" s="44" t="s">
        <v>142</v>
      </c>
      <c r="D84" s="44" t="s">
        <v>84</v>
      </c>
      <c r="E84" s="99" t="s">
        <v>86</v>
      </c>
      <c r="F84" s="99"/>
      <c r="G84" s="99" t="s">
        <v>85</v>
      </c>
      <c r="H84" s="100"/>
      <c r="I84" s="14" t="s">
        <v>144</v>
      </c>
      <c r="J84" s="28">
        <f ca="1">H82*25%</f>
        <v>7.5</v>
      </c>
    </row>
    <row r="85" spans="1:10" x14ac:dyDescent="0.35">
      <c r="A85" s="115" t="s">
        <v>131</v>
      </c>
      <c r="B85" s="99"/>
      <c r="C85" s="44">
        <f ca="1">J86</f>
        <v>30</v>
      </c>
      <c r="D85" s="19">
        <f ca="1">((100/H82)*C85)/100</f>
        <v>1</v>
      </c>
      <c r="E85" s="177">
        <f ca="1">(((C86/H82*10)+(40/(D82+F82+H82)*C87)+(7.5/(H82)*C88)+(7.5/(H82)*C89)+(10/H82*C90)+(10/H82*C91)+(5/H82*C92)+(5/H82*C93)+(5/H82*C94))/100)</f>
        <v>0.55215053763440858</v>
      </c>
      <c r="F85" s="178"/>
      <c r="G85" s="177">
        <f ca="1">((((C85/H82)*20)+((C86/H82)*25)+(30/(H82+F82+D82)*C87)+(5/H82*C88)+(5/H82*C89)+(5/H82*C90)+(5/H82*C91)+(0/H82*C92)+(0/H82*C93)+(5/H82*C94))/100)</f>
        <v>0.77494623655913975</v>
      </c>
      <c r="H85" s="194"/>
      <c r="I85" s="14" t="s">
        <v>102</v>
      </c>
      <c r="J85" s="29">
        <f ca="1">H82*50%</f>
        <v>15</v>
      </c>
    </row>
    <row r="86" spans="1:10" x14ac:dyDescent="0.35">
      <c r="A86" s="115" t="s">
        <v>51</v>
      </c>
      <c r="B86" s="99"/>
      <c r="C86" s="53">
        <f ca="1">J94</f>
        <v>30</v>
      </c>
      <c r="D86" s="19">
        <f ca="1">((100/H82)*C86)/100</f>
        <v>1</v>
      </c>
      <c r="E86" s="179"/>
      <c r="F86" s="180"/>
      <c r="G86" s="179"/>
      <c r="H86" s="195"/>
      <c r="I86" s="14" t="s">
        <v>103</v>
      </c>
      <c r="J86" s="29">
        <f ca="1">H82</f>
        <v>30</v>
      </c>
    </row>
    <row r="87" spans="1:10" ht="15.75" customHeight="1" x14ac:dyDescent="0.35">
      <c r="A87" s="115" t="s">
        <v>132</v>
      </c>
      <c r="B87" s="99"/>
      <c r="C87" s="44">
        <v>26</v>
      </c>
      <c r="D87" s="19">
        <f ca="1">((100/(D82+F82+H82))*C87)/100</f>
        <v>0.83870967741935476</v>
      </c>
      <c r="E87" s="179"/>
      <c r="F87" s="180"/>
      <c r="G87" s="179"/>
      <c r="H87" s="195"/>
      <c r="I87" s="14" t="s">
        <v>104</v>
      </c>
      <c r="J87" s="30">
        <f ca="1">(IF(B82&gt;1,(H82/(B82+2)),H82/4))</f>
        <v>7.5</v>
      </c>
    </row>
    <row r="88" spans="1:10" ht="15.75" customHeight="1" x14ac:dyDescent="0.35">
      <c r="A88" s="115" t="s">
        <v>139</v>
      </c>
      <c r="B88" s="99" t="s">
        <v>133</v>
      </c>
      <c r="C88" s="44">
        <v>22</v>
      </c>
      <c r="D88" s="19">
        <f ca="1">((100/H82)*C88)/100</f>
        <v>0.73333333333333339</v>
      </c>
      <c r="E88" s="179"/>
      <c r="F88" s="180"/>
      <c r="G88" s="179"/>
      <c r="H88" s="195"/>
      <c r="I88" s="14" t="s">
        <v>105</v>
      </c>
      <c r="J88" s="30">
        <f ca="1">(IF(B82&gt;1,(H82/(B82+2)+J87),H82/4+J87))</f>
        <v>15</v>
      </c>
    </row>
    <row r="89" spans="1:10" ht="15.75" customHeight="1" x14ac:dyDescent="0.35">
      <c r="A89" s="115" t="s">
        <v>140</v>
      </c>
      <c r="B89" s="99" t="s">
        <v>133</v>
      </c>
      <c r="C89" s="44">
        <v>14</v>
      </c>
      <c r="D89" s="19">
        <f ca="1">((100/H82)*C89)/100</f>
        <v>0.46666666666666673</v>
      </c>
      <c r="E89" s="179"/>
      <c r="F89" s="180"/>
      <c r="G89" s="179"/>
      <c r="H89" s="195"/>
      <c r="I89" s="14" t="s">
        <v>149</v>
      </c>
      <c r="J89" s="30">
        <f>(IF(B82&gt;1,(H82/(B82+2)+J88),0))</f>
        <v>0</v>
      </c>
    </row>
    <row r="90" spans="1:10" ht="15" customHeight="1" x14ac:dyDescent="0.35">
      <c r="A90" s="115" t="s">
        <v>138</v>
      </c>
      <c r="B90" s="99" t="s">
        <v>135</v>
      </c>
      <c r="C90" s="44">
        <v>8</v>
      </c>
      <c r="D90" s="19">
        <f ca="1">((100/(H82))*C90)/100</f>
        <v>0.26666666666666666</v>
      </c>
      <c r="E90" s="179"/>
      <c r="F90" s="180"/>
      <c r="G90" s="179"/>
      <c r="H90" s="195"/>
      <c r="I90" s="14" t="s">
        <v>146</v>
      </c>
      <c r="J90" s="30">
        <f>(IF(B82&gt;2,(H82/(B82+2)+J89),0))</f>
        <v>0</v>
      </c>
    </row>
    <row r="91" spans="1:10" ht="15.75" customHeight="1" x14ac:dyDescent="0.35">
      <c r="A91" s="115" t="s">
        <v>134</v>
      </c>
      <c r="B91" s="99" t="s">
        <v>134</v>
      </c>
      <c r="C91" s="44">
        <v>0</v>
      </c>
      <c r="D91" s="19">
        <f ca="1">((100/H82)*C91)/100</f>
        <v>0</v>
      </c>
      <c r="E91" s="179"/>
      <c r="F91" s="180"/>
      <c r="G91" s="179"/>
      <c r="H91" s="195"/>
      <c r="I91" s="14" t="s">
        <v>147</v>
      </c>
      <c r="J91" s="31">
        <f>(IF(B82&gt;3,(H82/(B82+2)+J90),0))</f>
        <v>0</v>
      </c>
    </row>
    <row r="92" spans="1:10" ht="15.75" customHeight="1" x14ac:dyDescent="0.35">
      <c r="A92" s="115" t="s">
        <v>141</v>
      </c>
      <c r="B92" s="99"/>
      <c r="C92" s="44">
        <v>0</v>
      </c>
      <c r="D92" s="19">
        <f ca="1">((100/H82)*C92)/100</f>
        <v>0</v>
      </c>
      <c r="E92" s="179"/>
      <c r="F92" s="180"/>
      <c r="G92" s="179"/>
      <c r="H92" s="195"/>
      <c r="I92" s="14" t="s">
        <v>148</v>
      </c>
      <c r="J92" s="30">
        <f>(IF(B82&gt;4,(H82/(B82+2)+J91),0))</f>
        <v>0</v>
      </c>
    </row>
    <row r="93" spans="1:10" ht="15.75" customHeight="1" x14ac:dyDescent="0.35">
      <c r="A93" s="115" t="s">
        <v>136</v>
      </c>
      <c r="B93" s="99" t="s">
        <v>136</v>
      </c>
      <c r="C93" s="44">
        <v>0</v>
      </c>
      <c r="D93" s="19">
        <f ca="1">((100/(H82))*C93)/100</f>
        <v>0</v>
      </c>
      <c r="E93" s="179"/>
      <c r="F93" s="180"/>
      <c r="G93" s="179"/>
      <c r="H93" s="195"/>
      <c r="I93" s="14" t="s">
        <v>150</v>
      </c>
      <c r="J93" s="30">
        <f ca="1">(IF(B82=1,(H82/(B82+3)+J88),IF(B82=0,(H82/4+J88),IF(B82&gt;1,0))))</f>
        <v>22.5</v>
      </c>
    </row>
    <row r="94" spans="1:10" ht="16" thickBot="1" x14ac:dyDescent="0.4">
      <c r="A94" s="134" t="s">
        <v>137</v>
      </c>
      <c r="B94" s="135"/>
      <c r="C94" s="74">
        <v>0</v>
      </c>
      <c r="D94" s="75">
        <f ca="1">((100/(H82))*C94)/100</f>
        <v>0</v>
      </c>
      <c r="E94" s="179"/>
      <c r="F94" s="180"/>
      <c r="G94" s="179"/>
      <c r="H94" s="195"/>
      <c r="I94" s="15" t="s">
        <v>106</v>
      </c>
      <c r="J94" s="32">
        <f ca="1">(IF(B82&gt;1.5,(H82/(B82+2)+J88+MAX(0,J89-J88)+MAX(0,J90-J89)+MAX(0,J91-J90)+MAX(0,J92-J91)+MAX(0,J93-J92)),IF(B82=1,(H82/(B82+3)+J93),IF(B82=0,H82/4+J93))))</f>
        <v>30</v>
      </c>
    </row>
    <row r="95" spans="1:10" ht="15.75" customHeight="1" x14ac:dyDescent="0.35">
      <c r="A95" s="181" t="s">
        <v>143</v>
      </c>
      <c r="B95" s="181"/>
      <c r="C95" s="181" t="str">
        <f>D59</f>
        <v>Building C (Shivansh) = Gr/Stilt + 4P + 5th to 30th Floor</v>
      </c>
      <c r="D95" s="181"/>
      <c r="E95" s="181"/>
      <c r="F95" s="181"/>
      <c r="G95" s="181"/>
      <c r="H95" s="181"/>
      <c r="I95" s="70" t="str">
        <f ca="1">IF(D108=100%,"All work Completed. Possession granted to the Building.",IF(D107=100%,"All work Completed, Waiting for OC",I96&amp;""&amp;I97&amp;""&amp;J96&amp;""&amp;J95&amp;" "&amp;J97))</f>
        <v>Excavation, Plinth Completed, RCC upto 4 Slab Completed</v>
      </c>
      <c r="J95" s="49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>, RCC upto 4 Slab</v>
      </c>
    </row>
    <row r="96" spans="1:10" x14ac:dyDescent="0.35">
      <c r="A96" s="79" t="s">
        <v>145</v>
      </c>
      <c r="B96" s="79">
        <f>IF(AND(ISNUMBER(SEARCH("1B",C95))),1,IF(AND(ISNUMBER(SEARCH("2B",C95))),2,IF(AND(ISNUMBER(SEARCH("3B",C95))),3,IF(AND(ISNUMBER(SEARCH("4B",C95))),4,IF(ISNUMBER(SEARCH("5B",C95)),5,0)))))</f>
        <v>0</v>
      </c>
      <c r="C96" s="79" t="s">
        <v>73</v>
      </c>
      <c r="D96" s="79">
        <v>1</v>
      </c>
      <c r="E96" s="79" t="s">
        <v>72</v>
      </c>
      <c r="F96" s="79">
        <v>0</v>
      </c>
      <c r="G96" s="47" t="s">
        <v>81</v>
      </c>
      <c r="H96" s="79">
        <f ca="1">--TRIM(RIGHT(SUBSTITUTE(LEFT(C95,_xlfn.AGGREGATE(16,6,FIND({0,1,2,3,4,5,6,7,8,9},C95,ROW(INDIRECT("1:"&amp;LEN(C95)))),1))," ",REPT(" ",LEN(C95))),LEN(C95)))</f>
        <v>30</v>
      </c>
      <c r="I96" s="71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</v>
      </c>
      <c r="J96" s="51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2" x14ac:dyDescent="0.35">
      <c r="A97" s="117" t="s">
        <v>91</v>
      </c>
      <c r="B97" s="117"/>
      <c r="C97" s="119" t="str">
        <f ca="1">(IF($G$52="NA",I95,"All work Completed. OC Received."))</f>
        <v>Excavation, Plinth Completed, RCC upto 4 Slab Completed</v>
      </c>
      <c r="D97" s="119"/>
      <c r="E97" s="119"/>
      <c r="F97" s="119"/>
      <c r="G97" s="119"/>
      <c r="H97" s="119"/>
      <c r="I97" s="71" t="str">
        <f ca="1">IF(I96&lt;&gt;""," Completed","")</f>
        <v xml:space="preserve"> Completed</v>
      </c>
      <c r="J97" s="51" t="str">
        <f ca="1">IF(J95&lt;&gt;"","Completed","")</f>
        <v>Completed</v>
      </c>
    </row>
    <row r="98" spans="1:12" ht="15.75" customHeight="1" x14ac:dyDescent="0.35">
      <c r="A98" s="99" t="s">
        <v>50</v>
      </c>
      <c r="B98" s="99"/>
      <c r="C98" s="77" t="s">
        <v>142</v>
      </c>
      <c r="D98" s="77" t="s">
        <v>84</v>
      </c>
      <c r="E98" s="99" t="s">
        <v>86</v>
      </c>
      <c r="F98" s="99"/>
      <c r="G98" s="99" t="s">
        <v>85</v>
      </c>
      <c r="H98" s="99"/>
      <c r="I98" s="14" t="s">
        <v>144</v>
      </c>
      <c r="J98" s="28">
        <f ca="1">H96*25%</f>
        <v>7.5</v>
      </c>
    </row>
    <row r="99" spans="1:12" x14ac:dyDescent="0.35">
      <c r="A99" s="99" t="s">
        <v>131</v>
      </c>
      <c r="B99" s="99"/>
      <c r="C99" s="77">
        <f ca="1">J100</f>
        <v>30</v>
      </c>
      <c r="D99" s="19">
        <f ca="1">((100/H96)*C99)/100</f>
        <v>1</v>
      </c>
      <c r="E99" s="210">
        <f ca="1">(((C100/H96*10)+(40/(D96+F96+H96)*C101)+(7.5/(H96)*C102)+(7.5/(H96)*C103)+(10/H96*C104)+(10/H96*C105)+(5/H96*C106)+(5/H96*C107)+(5/H96*C108))/100)</f>
        <v>0.15161290322580645</v>
      </c>
      <c r="F99" s="210"/>
      <c r="G99" s="210">
        <f ca="1">((((C99/H96)*20)+((C100/H96)*25)+(30/(H96+F96+D96)*C101)+(5/H96*C102)+(5/H96*C103)+(5/H96*C104)+(5/H96*C105)+(0/H96*C106)+(0/H96*C107)+(5/H96*C108))/100)</f>
        <v>0.48870967741935489</v>
      </c>
      <c r="H99" s="210"/>
      <c r="I99" s="14" t="s">
        <v>102</v>
      </c>
      <c r="J99" s="29">
        <f ca="1">H96*50%</f>
        <v>15</v>
      </c>
    </row>
    <row r="100" spans="1:12" x14ac:dyDescent="0.35">
      <c r="A100" s="99" t="s">
        <v>51</v>
      </c>
      <c r="B100" s="99"/>
      <c r="C100" s="53">
        <f ca="1">J108</f>
        <v>30</v>
      </c>
      <c r="D100" s="19">
        <f ca="1">((100/H96)*C100)/100</f>
        <v>1</v>
      </c>
      <c r="E100" s="210"/>
      <c r="F100" s="210"/>
      <c r="G100" s="210"/>
      <c r="H100" s="210"/>
      <c r="I100" s="14" t="s">
        <v>103</v>
      </c>
      <c r="J100" s="29">
        <f ca="1">H96</f>
        <v>30</v>
      </c>
    </row>
    <row r="101" spans="1:12" ht="15.75" customHeight="1" x14ac:dyDescent="0.35">
      <c r="A101" s="99" t="s">
        <v>132</v>
      </c>
      <c r="B101" s="99"/>
      <c r="C101" s="77">
        <v>4</v>
      </c>
      <c r="D101" s="19">
        <f ca="1">((100/(D96+F96+H96))*C101)/100</f>
        <v>0.12903225806451613</v>
      </c>
      <c r="E101" s="210"/>
      <c r="F101" s="210"/>
      <c r="G101" s="210"/>
      <c r="H101" s="210"/>
      <c r="I101" s="14" t="s">
        <v>104</v>
      </c>
      <c r="J101" s="30">
        <f ca="1">(IF(B96&gt;1,(H96/(B96+2)),H96/4))</f>
        <v>7.5</v>
      </c>
    </row>
    <row r="102" spans="1:12" ht="15.75" customHeight="1" x14ac:dyDescent="0.35">
      <c r="A102" s="99" t="s">
        <v>139</v>
      </c>
      <c r="B102" s="99" t="s">
        <v>133</v>
      </c>
      <c r="C102" s="77">
        <v>0</v>
      </c>
      <c r="D102" s="19">
        <f ca="1">((100/H96)*C102)/100</f>
        <v>0</v>
      </c>
      <c r="E102" s="210"/>
      <c r="F102" s="210"/>
      <c r="G102" s="210"/>
      <c r="H102" s="210"/>
      <c r="I102" s="14" t="s">
        <v>105</v>
      </c>
      <c r="J102" s="30">
        <f ca="1">(IF(B96&gt;1,(H96/(B96+2)+J101),H96/4+J101))</f>
        <v>15</v>
      </c>
    </row>
    <row r="103" spans="1:12" ht="15.75" customHeight="1" x14ac:dyDescent="0.35">
      <c r="A103" s="99" t="s">
        <v>140</v>
      </c>
      <c r="B103" s="99" t="s">
        <v>133</v>
      </c>
      <c r="C103" s="77">
        <v>0</v>
      </c>
      <c r="D103" s="19">
        <f ca="1">((100/H96)*C103)/100</f>
        <v>0</v>
      </c>
      <c r="E103" s="210"/>
      <c r="F103" s="210"/>
      <c r="G103" s="210"/>
      <c r="H103" s="210"/>
      <c r="I103" s="14" t="s">
        <v>149</v>
      </c>
      <c r="J103" s="30">
        <f>(IF(B96&gt;1,(H96/(B96+2)+J102),0))</f>
        <v>0</v>
      </c>
    </row>
    <row r="104" spans="1:12" ht="15" customHeight="1" x14ac:dyDescent="0.35">
      <c r="A104" s="99" t="s">
        <v>138</v>
      </c>
      <c r="B104" s="99" t="s">
        <v>135</v>
      </c>
      <c r="C104" s="77">
        <v>0</v>
      </c>
      <c r="D104" s="19">
        <f ca="1">((100/(H96))*C104)/100</f>
        <v>0</v>
      </c>
      <c r="E104" s="210"/>
      <c r="F104" s="210"/>
      <c r="G104" s="210"/>
      <c r="H104" s="210"/>
      <c r="I104" s="14" t="s">
        <v>146</v>
      </c>
      <c r="J104" s="30">
        <f>(IF(B96&gt;2,(H96/(B96+2)+J103),0))</f>
        <v>0</v>
      </c>
    </row>
    <row r="105" spans="1:12" ht="15.75" customHeight="1" x14ac:dyDescent="0.35">
      <c r="A105" s="99" t="s">
        <v>134</v>
      </c>
      <c r="B105" s="99" t="s">
        <v>134</v>
      </c>
      <c r="C105" s="77">
        <v>0</v>
      </c>
      <c r="D105" s="19">
        <f ca="1">((100/H96)*C105)/100</f>
        <v>0</v>
      </c>
      <c r="E105" s="210"/>
      <c r="F105" s="210"/>
      <c r="G105" s="210"/>
      <c r="H105" s="210"/>
      <c r="I105" s="14" t="s">
        <v>147</v>
      </c>
      <c r="J105" s="31">
        <f>(IF(B96&gt;3,(H96/(B96+2)+J104),0))</f>
        <v>0</v>
      </c>
    </row>
    <row r="106" spans="1:12" ht="15.75" customHeight="1" x14ac:dyDescent="0.35">
      <c r="A106" s="99" t="s">
        <v>141</v>
      </c>
      <c r="B106" s="99"/>
      <c r="C106" s="77">
        <v>0</v>
      </c>
      <c r="D106" s="19">
        <f ca="1">((100/H96)*C106)/100</f>
        <v>0</v>
      </c>
      <c r="E106" s="210"/>
      <c r="F106" s="210"/>
      <c r="G106" s="210"/>
      <c r="H106" s="210"/>
      <c r="I106" s="14" t="s">
        <v>148</v>
      </c>
      <c r="J106" s="30">
        <f>(IF(B96&gt;4,(H96/(B96+2)+J105),0))</f>
        <v>0</v>
      </c>
    </row>
    <row r="107" spans="1:12" ht="15.75" customHeight="1" x14ac:dyDescent="0.35">
      <c r="A107" s="99" t="s">
        <v>136</v>
      </c>
      <c r="B107" s="99" t="s">
        <v>136</v>
      </c>
      <c r="C107" s="77">
        <v>0</v>
      </c>
      <c r="D107" s="19">
        <f ca="1">((100/(H96))*C107)/100</f>
        <v>0</v>
      </c>
      <c r="E107" s="210"/>
      <c r="F107" s="210"/>
      <c r="G107" s="210"/>
      <c r="H107" s="210"/>
      <c r="I107" s="14" t="s">
        <v>150</v>
      </c>
      <c r="J107" s="30">
        <f ca="1">(IF(B96=1,(H96/(B96+3)+J102),IF(B96=0,(H96/4+J102),IF(B96&gt;1,0))))</f>
        <v>22.5</v>
      </c>
    </row>
    <row r="108" spans="1:12" ht="16" thickBot="1" x14ac:dyDescent="0.4">
      <c r="A108" s="99" t="s">
        <v>137</v>
      </c>
      <c r="B108" s="99"/>
      <c r="C108" s="77">
        <v>0</v>
      </c>
      <c r="D108" s="19">
        <f ca="1">((100/(H96))*C108)/100</f>
        <v>0</v>
      </c>
      <c r="E108" s="210"/>
      <c r="F108" s="210"/>
      <c r="G108" s="210"/>
      <c r="H108" s="210"/>
      <c r="I108" s="15" t="s">
        <v>106</v>
      </c>
      <c r="J108" s="32">
        <f ca="1">(IF(B96&gt;1.5,(H96/(B96+2)+J102+MAX(0,J103-J102)+MAX(0,J104-J103)+MAX(0,J105-J104)+MAX(0,J106-J105)+MAX(0,J107-J106)),IF(B96=1,(H96/(B96+3)+J107),IF(B96=0,H96/4+J107))))</f>
        <v>30</v>
      </c>
    </row>
    <row r="109" spans="1:12" x14ac:dyDescent="0.35">
      <c r="A109" s="169" t="s">
        <v>159</v>
      </c>
      <c r="B109" s="169"/>
      <c r="C109" s="169"/>
      <c r="D109" s="169"/>
      <c r="E109" s="169"/>
      <c r="F109" s="144" t="s">
        <v>164</v>
      </c>
      <c r="G109" s="144"/>
      <c r="H109" s="144"/>
    </row>
    <row r="110" spans="1:12" x14ac:dyDescent="0.35">
      <c r="A110" s="94" t="s">
        <v>162</v>
      </c>
      <c r="B110" s="94"/>
      <c r="C110" s="94"/>
      <c r="D110" s="94"/>
      <c r="E110" s="94"/>
      <c r="F110" s="131">
        <v>7800</v>
      </c>
      <c r="G110" s="131"/>
      <c r="H110" s="131"/>
      <c r="I110" s="21" t="s">
        <v>243</v>
      </c>
      <c r="J110" s="21" t="s">
        <v>244</v>
      </c>
      <c r="L110" s="25">
        <v>45866</v>
      </c>
    </row>
    <row r="111" spans="1:12" x14ac:dyDescent="0.35">
      <c r="A111" s="94" t="s">
        <v>161</v>
      </c>
      <c r="B111" s="94"/>
      <c r="C111" s="94"/>
      <c r="D111" s="94"/>
      <c r="E111" s="94"/>
      <c r="F111" s="155">
        <v>14000</v>
      </c>
      <c r="G111" s="155"/>
      <c r="H111" s="155"/>
    </row>
    <row r="112" spans="1:12" hidden="1" x14ac:dyDescent="0.35">
      <c r="A112" s="94" t="s">
        <v>163</v>
      </c>
      <c r="B112" s="94"/>
      <c r="C112" s="94"/>
      <c r="D112" s="94"/>
      <c r="E112" s="94"/>
      <c r="F112" s="155"/>
      <c r="G112" s="155"/>
      <c r="H112" s="155"/>
    </row>
    <row r="113" spans="1:8" s="33" customFormat="1" hidden="1" x14ac:dyDescent="0.3">
      <c r="A113" s="94" t="s">
        <v>160</v>
      </c>
      <c r="B113" s="94"/>
      <c r="C113" s="94"/>
      <c r="D113" s="94"/>
      <c r="E113" s="94"/>
      <c r="F113" s="155"/>
      <c r="G113" s="155"/>
      <c r="H113" s="155"/>
    </row>
    <row r="114" spans="1:8" s="33" customFormat="1" hidden="1" x14ac:dyDescent="0.3">
      <c r="A114" s="94" t="s">
        <v>96</v>
      </c>
      <c r="B114" s="94"/>
      <c r="C114" s="94"/>
      <c r="D114" s="94"/>
      <c r="E114" s="94"/>
      <c r="F114" s="155"/>
      <c r="G114" s="155"/>
      <c r="H114" s="155"/>
    </row>
    <row r="115" spans="1:8" s="33" customFormat="1" hidden="1" x14ac:dyDescent="0.3">
      <c r="A115" s="94" t="s">
        <v>97</v>
      </c>
      <c r="B115" s="94"/>
      <c r="C115" s="94"/>
      <c r="D115" s="94"/>
      <c r="E115" s="94"/>
      <c r="F115" s="155"/>
      <c r="G115" s="155"/>
      <c r="H115" s="155"/>
    </row>
    <row r="116" spans="1:8" s="33" customFormat="1" hidden="1" x14ac:dyDescent="0.3">
      <c r="A116" s="94" t="s">
        <v>165</v>
      </c>
      <c r="B116" s="94"/>
      <c r="C116" s="94"/>
      <c r="D116" s="94"/>
      <c r="E116" s="94"/>
      <c r="F116" s="155"/>
      <c r="G116" s="155"/>
      <c r="H116" s="155"/>
    </row>
    <row r="117" spans="1:8" s="33" customFormat="1" hidden="1" x14ac:dyDescent="0.3">
      <c r="A117" s="94" t="s">
        <v>98</v>
      </c>
      <c r="B117" s="94"/>
      <c r="C117" s="94"/>
      <c r="D117" s="94"/>
      <c r="E117" s="94"/>
      <c r="F117" s="155"/>
      <c r="G117" s="155"/>
      <c r="H117" s="155"/>
    </row>
    <row r="118" spans="1:8" s="33" customFormat="1" hidden="1" x14ac:dyDescent="0.3">
      <c r="A118" s="94" t="s">
        <v>99</v>
      </c>
      <c r="B118" s="94"/>
      <c r="C118" s="94"/>
      <c r="D118" s="94"/>
      <c r="E118" s="94"/>
      <c r="F118" s="155"/>
      <c r="G118" s="155"/>
      <c r="H118" s="155"/>
    </row>
    <row r="119" spans="1:8" s="33" customFormat="1" hidden="1" x14ac:dyDescent="0.3">
      <c r="A119" s="94" t="s">
        <v>100</v>
      </c>
      <c r="B119" s="94"/>
      <c r="C119" s="94"/>
      <c r="D119" s="94"/>
      <c r="E119" s="94"/>
      <c r="F119" s="155"/>
      <c r="G119" s="155"/>
      <c r="H119" s="155"/>
    </row>
    <row r="120" spans="1:8" s="33" customFormat="1" hidden="1" x14ac:dyDescent="0.3">
      <c r="A120" s="94" t="s">
        <v>101</v>
      </c>
      <c r="B120" s="94"/>
      <c r="C120" s="94"/>
      <c r="D120" s="94"/>
      <c r="E120" s="94"/>
      <c r="F120" s="155"/>
      <c r="G120" s="155"/>
      <c r="H120" s="155"/>
    </row>
    <row r="121" spans="1:8" x14ac:dyDescent="0.35">
      <c r="A121" s="94" t="s">
        <v>52</v>
      </c>
      <c r="B121" s="94"/>
      <c r="C121" s="94"/>
      <c r="D121" s="94"/>
      <c r="E121" s="94"/>
      <c r="F121" s="155">
        <v>400000</v>
      </c>
      <c r="G121" s="155"/>
      <c r="H121" s="155"/>
    </row>
    <row r="122" spans="1:8" s="34" customFormat="1" x14ac:dyDescent="0.35">
      <c r="A122" s="169" t="s">
        <v>53</v>
      </c>
      <c r="B122" s="169"/>
      <c r="C122" s="169"/>
      <c r="D122" s="169"/>
      <c r="E122" s="169"/>
      <c r="F122" s="155">
        <f>F110*0.8</f>
        <v>6240</v>
      </c>
      <c r="G122" s="155"/>
      <c r="H122" s="155"/>
    </row>
    <row r="123" spans="1:8" s="35" customFormat="1" ht="15.75" customHeight="1" x14ac:dyDescent="0.35">
      <c r="A123" s="168" t="s">
        <v>209</v>
      </c>
      <c r="B123" s="168"/>
      <c r="C123" s="168"/>
      <c r="D123" s="168"/>
      <c r="E123" s="168"/>
      <c r="F123" s="168"/>
      <c r="G123" s="168"/>
      <c r="H123" s="168"/>
    </row>
    <row r="124" spans="1:8" s="35" customFormat="1" ht="15.75" customHeight="1" x14ac:dyDescent="0.35">
      <c r="A124" s="122" t="s">
        <v>54</v>
      </c>
      <c r="B124" s="122"/>
      <c r="C124" s="156" t="s">
        <v>79</v>
      </c>
      <c r="D124" s="156"/>
      <c r="E124" s="143" t="s">
        <v>55</v>
      </c>
      <c r="F124" s="143"/>
      <c r="G124" s="122" t="s">
        <v>56</v>
      </c>
      <c r="H124" s="122"/>
    </row>
    <row r="125" spans="1:8" s="35" customFormat="1" ht="31" x14ac:dyDescent="0.35">
      <c r="A125" s="55" t="s">
        <v>237</v>
      </c>
      <c r="B125" s="55" t="s">
        <v>198</v>
      </c>
      <c r="C125" s="157">
        <f>COUNT(D144:D159)</f>
        <v>16</v>
      </c>
      <c r="D125" s="158"/>
      <c r="E125" s="132">
        <f>SUM(D144:D159)</f>
        <v>3862.338479999999</v>
      </c>
      <c r="F125" s="133"/>
      <c r="G125" s="132">
        <f>SUM(F144:F159)</f>
        <v>7705.194120000001</v>
      </c>
      <c r="H125" s="133"/>
    </row>
    <row r="126" spans="1:8" s="35" customFormat="1" ht="31" x14ac:dyDescent="0.35">
      <c r="A126" s="55" t="s">
        <v>234</v>
      </c>
      <c r="B126" s="55" t="s">
        <v>198</v>
      </c>
      <c r="C126" s="157">
        <f>COUNT(D162:D171)</f>
        <v>10</v>
      </c>
      <c r="D126" s="158"/>
      <c r="E126" s="132">
        <f t="shared" ref="E126" si="0">SUM(D162:D171)</f>
        <v>2491.8659999999995</v>
      </c>
      <c r="F126" s="133"/>
      <c r="G126" s="132">
        <f>SUM(F162:F171)</f>
        <v>4971.0304800000013</v>
      </c>
      <c r="H126" s="133"/>
    </row>
    <row r="127" spans="1:8" s="35" customFormat="1" x14ac:dyDescent="0.35">
      <c r="A127" s="168" t="s">
        <v>153</v>
      </c>
      <c r="B127" s="168"/>
      <c r="C127" s="159">
        <f>SUM(C125:C126)</f>
        <v>26</v>
      </c>
      <c r="D127" s="156"/>
      <c r="E127" s="159">
        <f t="shared" ref="E127" si="1">SUM(E125:E126)</f>
        <v>6354.2044799999985</v>
      </c>
      <c r="F127" s="156"/>
      <c r="G127" s="159">
        <f t="shared" ref="G127" si="2">SUM(G125:G126)</f>
        <v>12676.224600000001</v>
      </c>
      <c r="H127" s="156"/>
    </row>
    <row r="128" spans="1:8" s="35" customFormat="1" x14ac:dyDescent="0.35">
      <c r="A128" s="168" t="s">
        <v>210</v>
      </c>
      <c r="B128" s="168"/>
      <c r="C128" s="168"/>
      <c r="D128" s="168"/>
      <c r="E128" s="168"/>
      <c r="F128" s="168"/>
      <c r="G128" s="168"/>
      <c r="H128" s="168"/>
    </row>
    <row r="129" spans="1:14" s="35" customFormat="1" ht="15.75" customHeight="1" x14ac:dyDescent="0.35">
      <c r="A129" s="122" t="s">
        <v>54</v>
      </c>
      <c r="B129" s="122"/>
      <c r="C129" s="156" t="s">
        <v>79</v>
      </c>
      <c r="D129" s="156"/>
      <c r="E129" s="143" t="s">
        <v>55</v>
      </c>
      <c r="F129" s="143"/>
      <c r="G129" s="122" t="s">
        <v>56</v>
      </c>
      <c r="H129" s="122"/>
    </row>
    <row r="130" spans="1:14" s="35" customFormat="1" x14ac:dyDescent="0.35">
      <c r="A130" s="160" t="s">
        <v>237</v>
      </c>
      <c r="B130" s="55" t="s">
        <v>198</v>
      </c>
      <c r="C130" s="132">
        <f>COUNT(D183:D186)*4+COUNT(D193,D195)+COUNT(D197:D204)*12+COUNT(D206:D208,D210:D213)*3</f>
        <v>135</v>
      </c>
      <c r="D130" s="132"/>
      <c r="E130" s="132">
        <f>SUM(D183:D186)*4+SUM(D193,D195)+SUM(D197:D204)*12+SUM(D206:D208,D210:D213)*3</f>
        <v>62413.116479999997</v>
      </c>
      <c r="F130" s="132"/>
      <c r="G130" s="132">
        <f>SUM(F183:F186)*4+SUM(F193,F195)+SUM(F197:F204)*12+SUM(F206:F208,F210:F213)*3</f>
        <v>93619.67472000001</v>
      </c>
      <c r="H130" s="132"/>
    </row>
    <row r="131" spans="1:14" s="35" customFormat="1" x14ac:dyDescent="0.35">
      <c r="A131" s="161"/>
      <c r="B131" s="55" t="s">
        <v>199</v>
      </c>
      <c r="C131" s="97">
        <f>COUNT(D178:D182)*4+COUNT(D188:D190,D192,D194)</f>
        <v>25</v>
      </c>
      <c r="D131" s="98"/>
      <c r="E131" s="97">
        <f>SUM(D178:D182)*4+SUM(D188:D190,D192,D194)</f>
        <v>11653.859879999998</v>
      </c>
      <c r="F131" s="98"/>
      <c r="G131" s="97">
        <f>SUM(F178:F182)*4+SUM(F188:F190,F192,F194)</f>
        <v>17480.789820000002</v>
      </c>
      <c r="H131" s="98"/>
    </row>
    <row r="132" spans="1:14" s="35" customFormat="1" ht="31" x14ac:dyDescent="0.35">
      <c r="A132" s="55" t="s">
        <v>234</v>
      </c>
      <c r="B132" s="55" t="s">
        <v>198</v>
      </c>
      <c r="C132" s="97">
        <f>COUNT(D218:D225)*4+COUNT(D228:D234)+COUNT(D236:D243)*12+COUNT(D246:D252)*3+COUNT(D256:D259)</f>
        <v>160</v>
      </c>
      <c r="D132" s="98"/>
      <c r="E132" s="97">
        <f>SUM(D218:D225)*4+SUM(D228:D234)+SUM(D236:D243)*12+SUM(D246:D252)*3+SUM(D256:D259)</f>
        <v>75996.315719999999</v>
      </c>
      <c r="F132" s="98"/>
      <c r="G132" s="97">
        <f>SUM(F218:F225)*4+SUM(F228:F234)+SUM(F236:F243)*12+SUM(F246:F252)*3+SUM(F256:F259)</f>
        <v>113994.47357999999</v>
      </c>
      <c r="H132" s="98"/>
    </row>
    <row r="133" spans="1:14" s="35" customFormat="1" ht="31" x14ac:dyDescent="0.35">
      <c r="A133" s="55" t="s">
        <v>233</v>
      </c>
      <c r="B133" s="55" t="s">
        <v>198</v>
      </c>
      <c r="C133" s="97">
        <f>COUNT(D267:D274)*4+COUNT(D276:D280,D282:D283)+COUNT(D285:D292)*12+COUNT(D294:D298,D300:D301)*3+COUNT(D307:D310)</f>
        <v>160</v>
      </c>
      <c r="D133" s="98"/>
      <c r="E133" s="97">
        <f>SUM(D267:D274)*4+SUM(D276:D280,D282:D283)+SUM(D285:D292)*12+SUM(D294:D298,D300:D301)*3+SUM(D307:D310)</f>
        <v>76624.072199999981</v>
      </c>
      <c r="F133" s="98"/>
      <c r="G133" s="97">
        <f>SUM(F267:F274)*4+SUM(F276:F280,F282:F283)+SUM(F285:F292)*12+SUM(F294:F298,F300:F301)*3+SUM(F307:F310)</f>
        <v>114936.10829999998</v>
      </c>
      <c r="H133" s="98"/>
    </row>
    <row r="134" spans="1:14" s="35" customFormat="1" x14ac:dyDescent="0.35">
      <c r="A134" s="96" t="s">
        <v>226</v>
      </c>
      <c r="B134" s="96"/>
      <c r="C134" s="153">
        <f>SUM(C130,C132:D133)</f>
        <v>455</v>
      </c>
      <c r="D134" s="154"/>
      <c r="E134" s="153">
        <f>SUM(E130,E132:F133)</f>
        <v>215033.50439999998</v>
      </c>
      <c r="F134" s="154"/>
      <c r="G134" s="153">
        <f>SUM(G130,G132:H133)</f>
        <v>322550.25659999996</v>
      </c>
      <c r="H134" s="154"/>
    </row>
    <row r="135" spans="1:14" s="35" customFormat="1" x14ac:dyDescent="0.35">
      <c r="A135" s="96" t="s">
        <v>227</v>
      </c>
      <c r="B135" s="96"/>
      <c r="C135" s="153">
        <f>SUM(C131)</f>
        <v>25</v>
      </c>
      <c r="D135" s="154"/>
      <c r="E135" s="153">
        <f>SUM(E131)</f>
        <v>11653.859879999998</v>
      </c>
      <c r="F135" s="154"/>
      <c r="G135" s="153">
        <f>SUM(G131)</f>
        <v>17480.789820000002</v>
      </c>
      <c r="H135" s="154"/>
    </row>
    <row r="136" spans="1:14" s="35" customFormat="1" ht="16" thickBot="1" x14ac:dyDescent="0.4">
      <c r="A136" s="96" t="s">
        <v>153</v>
      </c>
      <c r="B136" s="96"/>
      <c r="C136" s="153">
        <f>SUM(C130:C133)</f>
        <v>480</v>
      </c>
      <c r="D136" s="154"/>
      <c r="E136" s="153">
        <f>SUM(E130:E133)</f>
        <v>226687.36427999998</v>
      </c>
      <c r="F136" s="154"/>
      <c r="G136" s="153">
        <f>SUM(G130:G133)</f>
        <v>340031.04641999997</v>
      </c>
      <c r="H136" s="154"/>
    </row>
    <row r="137" spans="1:14" s="35" customFormat="1" ht="16" thickBot="1" x14ac:dyDescent="0.4">
      <c r="A137" s="164" t="s">
        <v>171</v>
      </c>
      <c r="B137" s="165"/>
      <c r="C137" s="172">
        <f>C127+C136</f>
        <v>506</v>
      </c>
      <c r="D137" s="173"/>
      <c r="E137" s="172">
        <f>E127+E136</f>
        <v>233041.56875999997</v>
      </c>
      <c r="F137" s="173"/>
      <c r="G137" s="172">
        <f>G127+G136</f>
        <v>352707.27101999999</v>
      </c>
      <c r="H137" s="173"/>
    </row>
    <row r="138" spans="1:14" s="34" customFormat="1" x14ac:dyDescent="0.35">
      <c r="A138" s="226" t="s">
        <v>57</v>
      </c>
      <c r="B138" s="226"/>
      <c r="C138" s="226"/>
      <c r="D138" s="226"/>
      <c r="E138" s="226"/>
      <c r="F138" s="226"/>
      <c r="G138" s="226"/>
      <c r="H138" s="226"/>
    </row>
    <row r="139" spans="1:14" x14ac:dyDescent="0.35">
      <c r="A139" s="144" t="s">
        <v>58</v>
      </c>
      <c r="B139" s="144"/>
      <c r="C139" s="144"/>
      <c r="D139" s="144"/>
      <c r="E139" s="144"/>
      <c r="F139" s="144"/>
      <c r="G139" s="144"/>
      <c r="H139" s="144"/>
    </row>
    <row r="140" spans="1:14" ht="47.25" customHeight="1" x14ac:dyDescent="0.35">
      <c r="A140" s="123" t="s">
        <v>122</v>
      </c>
      <c r="B140" s="123" t="s">
        <v>121</v>
      </c>
      <c r="C140" s="123" t="s">
        <v>59</v>
      </c>
      <c r="D140" s="123" t="s">
        <v>60</v>
      </c>
      <c r="E140" s="125" t="s">
        <v>158</v>
      </c>
      <c r="F140" s="43" t="s">
        <v>152</v>
      </c>
      <c r="G140" s="127" t="s">
        <v>62</v>
      </c>
      <c r="H140" s="128"/>
    </row>
    <row r="141" spans="1:14" s="37" customFormat="1" x14ac:dyDescent="0.35">
      <c r="A141" s="124"/>
      <c r="B141" s="124"/>
      <c r="C141" s="124"/>
      <c r="D141" s="124"/>
      <c r="E141" s="126"/>
      <c r="F141" s="13">
        <v>0.5</v>
      </c>
      <c r="G141" s="129"/>
      <c r="H141" s="130"/>
    </row>
    <row r="142" spans="1:14" s="57" customFormat="1" x14ac:dyDescent="0.35">
      <c r="A142" s="162" t="s">
        <v>237</v>
      </c>
      <c r="B142" s="162"/>
      <c r="C142" s="162"/>
      <c r="D142" s="162"/>
      <c r="E142" s="162"/>
      <c r="F142" s="162"/>
      <c r="G142" s="162"/>
      <c r="H142" s="162"/>
      <c r="J142" s="36"/>
    </row>
    <row r="143" spans="1:14" s="37" customFormat="1" x14ac:dyDescent="0.35">
      <c r="A143" s="163" t="s">
        <v>194</v>
      </c>
      <c r="B143" s="163"/>
      <c r="C143" s="163"/>
      <c r="D143" s="163"/>
      <c r="E143" s="163"/>
      <c r="F143" s="163"/>
      <c r="G143" s="163"/>
      <c r="H143" s="163"/>
      <c r="J143" s="36"/>
    </row>
    <row r="144" spans="1:14" s="37" customFormat="1" ht="15.75" customHeight="1" x14ac:dyDescent="0.35">
      <c r="A144" s="76">
        <v>11</v>
      </c>
      <c r="B144" s="78" t="s">
        <v>198</v>
      </c>
      <c r="C144" s="76" t="s">
        <v>195</v>
      </c>
      <c r="D144" s="58">
        <f>(24.92)*(10.764)</f>
        <v>268.23887999999999</v>
      </c>
      <c r="E144" s="58">
        <f>(8.22)*10.764</f>
        <v>88.480080000000001</v>
      </c>
      <c r="F144" s="76">
        <f>(D144+E144)*(($F$141)+1)</f>
        <v>535.07844</v>
      </c>
      <c r="G144" s="95" t="str">
        <f>A143</f>
        <v>Ground Floor For Entrance Looby, Society Office, Meter Room, Commercial &amp; Parking</v>
      </c>
      <c r="H144" s="95"/>
      <c r="I144" s="36"/>
      <c r="J144" s="58">
        <v>10.763999999999999</v>
      </c>
      <c r="L144" s="84"/>
      <c r="M144" s="84"/>
      <c r="N144" s="36"/>
    </row>
    <row r="145" spans="1:14" s="37" customFormat="1" ht="15.75" customHeight="1" x14ac:dyDescent="0.35">
      <c r="A145" s="76">
        <f t="shared" ref="A145:A159" si="3">A144+1</f>
        <v>12</v>
      </c>
      <c r="B145" s="78" t="s">
        <v>198</v>
      </c>
      <c r="C145" s="76" t="s">
        <v>195</v>
      </c>
      <c r="D145" s="58">
        <f>(19.02)*(10.764)</f>
        <v>204.73127999999997</v>
      </c>
      <c r="E145" s="58">
        <f>(6.28)*10.764</f>
        <v>67.597920000000002</v>
      </c>
      <c r="F145" s="76">
        <f t="shared" ref="F145:F147" si="4">(D145+E145)*(($F$141)+1)</f>
        <v>408.49379999999996</v>
      </c>
      <c r="G145" s="95"/>
      <c r="H145" s="95"/>
      <c r="I145" s="36"/>
      <c r="L145" s="84"/>
      <c r="M145" s="84"/>
      <c r="N145" s="36"/>
    </row>
    <row r="146" spans="1:14" s="37" customFormat="1" ht="15.75" customHeight="1" x14ac:dyDescent="0.35">
      <c r="A146" s="76">
        <f t="shared" si="3"/>
        <v>13</v>
      </c>
      <c r="B146" s="78" t="s">
        <v>198</v>
      </c>
      <c r="C146" s="76" t="s">
        <v>195</v>
      </c>
      <c r="D146" s="58">
        <f>(24.92)*(10.764)</f>
        <v>268.23887999999999</v>
      </c>
      <c r="E146" s="58">
        <f>(8.22)*10.764</f>
        <v>88.480080000000001</v>
      </c>
      <c r="F146" s="76">
        <f t="shared" si="4"/>
        <v>535.07844</v>
      </c>
      <c r="G146" s="95"/>
      <c r="H146" s="95"/>
      <c r="I146" s="36"/>
      <c r="L146" s="84"/>
      <c r="M146" s="84"/>
      <c r="N146" s="36"/>
    </row>
    <row r="147" spans="1:14" s="37" customFormat="1" ht="15.75" customHeight="1" x14ac:dyDescent="0.35">
      <c r="A147" s="76">
        <f t="shared" si="3"/>
        <v>14</v>
      </c>
      <c r="B147" s="78" t="s">
        <v>198</v>
      </c>
      <c r="C147" s="76" t="s">
        <v>195</v>
      </c>
      <c r="D147" s="58">
        <f>(24.92)*(10.764)</f>
        <v>268.23887999999999</v>
      </c>
      <c r="E147" s="58">
        <f>(8.22)*10.764</f>
        <v>88.480080000000001</v>
      </c>
      <c r="F147" s="76">
        <f t="shared" si="4"/>
        <v>535.07844</v>
      </c>
      <c r="G147" s="95"/>
      <c r="H147" s="95"/>
      <c r="I147" s="36"/>
      <c r="L147" s="84"/>
      <c r="M147" s="84"/>
      <c r="N147" s="36"/>
    </row>
    <row r="148" spans="1:14" s="57" customFormat="1" x14ac:dyDescent="0.35">
      <c r="A148" s="76">
        <f t="shared" si="3"/>
        <v>15</v>
      </c>
      <c r="B148" s="78" t="s">
        <v>198</v>
      </c>
      <c r="C148" s="76" t="s">
        <v>195</v>
      </c>
      <c r="D148" s="58">
        <f>(19.02)*(10.764)</f>
        <v>204.73127999999997</v>
      </c>
      <c r="E148" s="58">
        <f>(6.28)*10.764</f>
        <v>67.597920000000002</v>
      </c>
      <c r="F148" s="76">
        <f>(D148+E148)*(($F$141)+1)</f>
        <v>408.49379999999996</v>
      </c>
      <c r="G148" s="95"/>
      <c r="H148" s="95"/>
      <c r="I148" s="36"/>
      <c r="L148" s="84"/>
      <c r="M148" s="84"/>
      <c r="N148" s="36"/>
    </row>
    <row r="149" spans="1:14" s="57" customFormat="1" x14ac:dyDescent="0.35">
      <c r="A149" s="76">
        <f t="shared" si="3"/>
        <v>16</v>
      </c>
      <c r="B149" s="78" t="s">
        <v>198</v>
      </c>
      <c r="C149" s="76" t="s">
        <v>195</v>
      </c>
      <c r="D149" s="58">
        <f>(24.92)*(10.764)</f>
        <v>268.23887999999999</v>
      </c>
      <c r="E149" s="58">
        <f>(8.22)*10.764</f>
        <v>88.480080000000001</v>
      </c>
      <c r="F149" s="76">
        <f t="shared" ref="F149:F151" si="5">(D149+E149)*(($F$141)+1)</f>
        <v>535.07844</v>
      </c>
      <c r="G149" s="95"/>
      <c r="H149" s="95"/>
      <c r="I149" s="36"/>
      <c r="L149" s="84"/>
      <c r="M149" s="84"/>
      <c r="N149" s="36"/>
    </row>
    <row r="150" spans="1:14" s="57" customFormat="1" x14ac:dyDescent="0.35">
      <c r="A150" s="76">
        <f t="shared" si="3"/>
        <v>17</v>
      </c>
      <c r="B150" s="78" t="s">
        <v>198</v>
      </c>
      <c r="C150" s="76" t="s">
        <v>195</v>
      </c>
      <c r="D150" s="58">
        <f>(24.92)*(10.764)</f>
        <v>268.23887999999999</v>
      </c>
      <c r="E150" s="58">
        <f>(8.22)*10.764</f>
        <v>88.480080000000001</v>
      </c>
      <c r="F150" s="76">
        <f t="shared" si="5"/>
        <v>535.07844</v>
      </c>
      <c r="G150" s="95"/>
      <c r="H150" s="95"/>
      <c r="I150" s="36"/>
      <c r="L150" s="84"/>
      <c r="M150" s="84"/>
      <c r="N150" s="36"/>
    </row>
    <row r="151" spans="1:14" s="57" customFormat="1" x14ac:dyDescent="0.35">
      <c r="A151" s="76">
        <f t="shared" si="3"/>
        <v>18</v>
      </c>
      <c r="B151" s="78" t="s">
        <v>198</v>
      </c>
      <c r="C151" s="76" t="s">
        <v>195</v>
      </c>
      <c r="D151" s="58">
        <f>(24.92)*(10.764)</f>
        <v>268.23887999999999</v>
      </c>
      <c r="E151" s="58">
        <f>(8.22)*10.764</f>
        <v>88.480080000000001</v>
      </c>
      <c r="F151" s="76">
        <f t="shared" si="5"/>
        <v>535.07844</v>
      </c>
      <c r="G151" s="95"/>
      <c r="H151" s="95"/>
      <c r="I151" s="36"/>
      <c r="L151" s="84"/>
      <c r="M151" s="84"/>
      <c r="N151" s="36"/>
    </row>
    <row r="152" spans="1:14" s="57" customFormat="1" x14ac:dyDescent="0.35">
      <c r="A152" s="76">
        <f t="shared" si="3"/>
        <v>19</v>
      </c>
      <c r="B152" s="78" t="s">
        <v>198</v>
      </c>
      <c r="C152" s="76" t="s">
        <v>195</v>
      </c>
      <c r="D152" s="58">
        <f>(19.02)*(10.764)</f>
        <v>204.73127999999997</v>
      </c>
      <c r="E152" s="58">
        <f>(6.28)*10.764</f>
        <v>67.597920000000002</v>
      </c>
      <c r="F152" s="76">
        <f>(D152+E152)*(($F$141)+1)</f>
        <v>408.49379999999996</v>
      </c>
      <c r="G152" s="95"/>
      <c r="H152" s="95"/>
      <c r="I152" s="36"/>
      <c r="L152" s="84"/>
      <c r="M152" s="84"/>
      <c r="N152" s="36"/>
    </row>
    <row r="153" spans="1:14" s="57" customFormat="1" x14ac:dyDescent="0.35">
      <c r="A153" s="76">
        <f t="shared" si="3"/>
        <v>20</v>
      </c>
      <c r="B153" s="78" t="s">
        <v>198</v>
      </c>
      <c r="C153" s="76" t="s">
        <v>195</v>
      </c>
      <c r="D153" s="58">
        <f>(16.74)*(10.764)</f>
        <v>180.18935999999997</v>
      </c>
      <c r="E153" s="58">
        <f>(5.52)*10.764</f>
        <v>59.417279999999991</v>
      </c>
      <c r="F153" s="76">
        <f t="shared" ref="F153:F155" si="6">(D153+E153)*(($F$141)+1)</f>
        <v>359.40995999999996</v>
      </c>
      <c r="G153" s="95"/>
      <c r="H153" s="95"/>
      <c r="I153" s="67">
        <f>2.79*6</f>
        <v>16.740000000000002</v>
      </c>
      <c r="L153" s="84"/>
      <c r="M153" s="84"/>
      <c r="N153" s="36"/>
    </row>
    <row r="154" spans="1:14" s="57" customFormat="1" x14ac:dyDescent="0.35">
      <c r="A154" s="76">
        <f t="shared" si="3"/>
        <v>21</v>
      </c>
      <c r="B154" s="78" t="s">
        <v>198</v>
      </c>
      <c r="C154" s="76" t="s">
        <v>195</v>
      </c>
      <c r="D154" s="58">
        <f>(16.74)*(10.764)</f>
        <v>180.18935999999997</v>
      </c>
      <c r="E154" s="58">
        <f>(5.52)*10.764</f>
        <v>59.417279999999991</v>
      </c>
      <c r="F154" s="76">
        <f t="shared" si="6"/>
        <v>359.40995999999996</v>
      </c>
      <c r="G154" s="95"/>
      <c r="H154" s="95"/>
      <c r="I154" s="36"/>
      <c r="L154" s="84"/>
      <c r="M154" s="84"/>
      <c r="N154" s="36"/>
    </row>
    <row r="155" spans="1:14" s="57" customFormat="1" x14ac:dyDescent="0.35">
      <c r="A155" s="76">
        <f t="shared" si="3"/>
        <v>22</v>
      </c>
      <c r="B155" s="78" t="s">
        <v>198</v>
      </c>
      <c r="C155" s="76" t="s">
        <v>195</v>
      </c>
      <c r="D155" s="58">
        <f>(19.02)*(10.764)</f>
        <v>204.73127999999997</v>
      </c>
      <c r="E155" s="58">
        <f>(6.28)*10.764</f>
        <v>67.597920000000002</v>
      </c>
      <c r="F155" s="76">
        <f t="shared" si="6"/>
        <v>408.49379999999996</v>
      </c>
      <c r="G155" s="95"/>
      <c r="H155" s="95"/>
      <c r="I155" s="36"/>
      <c r="L155" s="84"/>
      <c r="M155" s="84"/>
      <c r="N155" s="36"/>
    </row>
    <row r="156" spans="1:14" s="57" customFormat="1" x14ac:dyDescent="0.35">
      <c r="A156" s="76">
        <f t="shared" si="3"/>
        <v>23</v>
      </c>
      <c r="B156" s="78" t="s">
        <v>198</v>
      </c>
      <c r="C156" s="76" t="s">
        <v>195</v>
      </c>
      <c r="D156" s="58">
        <f>(24.92)*(10.764)</f>
        <v>268.23887999999999</v>
      </c>
      <c r="E156" s="58">
        <f>(8.22)*10.764</f>
        <v>88.480080000000001</v>
      </c>
      <c r="F156" s="76">
        <f>(D156+E156)*(($F$141)+1)</f>
        <v>535.07844</v>
      </c>
      <c r="G156" s="95"/>
      <c r="H156" s="95"/>
      <c r="I156" s="36">
        <f>2.79*6.04</f>
        <v>16.851600000000001</v>
      </c>
      <c r="L156" s="84"/>
      <c r="M156" s="84"/>
      <c r="N156" s="36"/>
    </row>
    <row r="157" spans="1:14" s="57" customFormat="1" x14ac:dyDescent="0.35">
      <c r="A157" s="76">
        <f t="shared" si="3"/>
        <v>24</v>
      </c>
      <c r="B157" s="78" t="s">
        <v>198</v>
      </c>
      <c r="C157" s="76" t="s">
        <v>195</v>
      </c>
      <c r="D157" s="58">
        <f>(25.84)*(10.764)</f>
        <v>278.14175999999998</v>
      </c>
      <c r="E157" s="58">
        <f>(8.53)*10.764</f>
        <v>91.816919999999982</v>
      </c>
      <c r="F157" s="76">
        <f t="shared" ref="F157:F159" si="7">(D157+E157)*(($F$141)+1)</f>
        <v>554.93801999999994</v>
      </c>
      <c r="G157" s="95"/>
      <c r="H157" s="95"/>
      <c r="I157" s="36"/>
      <c r="L157" s="84"/>
      <c r="M157" s="84"/>
      <c r="N157" s="36"/>
    </row>
    <row r="158" spans="1:14" s="57" customFormat="1" x14ac:dyDescent="0.35">
      <c r="A158" s="76">
        <f t="shared" si="3"/>
        <v>25</v>
      </c>
      <c r="B158" s="78" t="s">
        <v>198</v>
      </c>
      <c r="C158" s="76" t="s">
        <v>195</v>
      </c>
      <c r="D158" s="58">
        <f>(29.63)*(10.764)</f>
        <v>318.93731999999994</v>
      </c>
      <c r="E158" s="58">
        <f>(9.78)*10.764</f>
        <v>105.27191999999998</v>
      </c>
      <c r="F158" s="76">
        <f t="shared" si="7"/>
        <v>636.31385999999986</v>
      </c>
      <c r="G158" s="95"/>
      <c r="H158" s="95"/>
      <c r="I158" s="36">
        <f>3.2*9.26</f>
        <v>29.632000000000001</v>
      </c>
      <c r="L158" s="84"/>
      <c r="M158" s="84"/>
      <c r="N158" s="36"/>
    </row>
    <row r="159" spans="1:14" s="57" customFormat="1" x14ac:dyDescent="0.35">
      <c r="A159" s="76">
        <f t="shared" si="3"/>
        <v>26</v>
      </c>
      <c r="B159" s="78" t="s">
        <v>198</v>
      </c>
      <c r="C159" s="76" t="s">
        <v>195</v>
      </c>
      <c r="D159" s="58">
        <f>(19.35)*(10.764)</f>
        <v>208.2834</v>
      </c>
      <c r="E159" s="58">
        <f>(6.39)*10.764</f>
        <v>68.781959999999998</v>
      </c>
      <c r="F159" s="76">
        <f t="shared" si="7"/>
        <v>415.59803999999997</v>
      </c>
      <c r="G159" s="95"/>
      <c r="H159" s="95"/>
      <c r="I159" s="36">
        <f>3.2*6.04</f>
        <v>19.328000000000003</v>
      </c>
      <c r="L159" s="84"/>
      <c r="M159" s="84"/>
      <c r="N159" s="36"/>
    </row>
    <row r="160" spans="1:14" s="57" customFormat="1" x14ac:dyDescent="0.35">
      <c r="A160" s="162" t="s">
        <v>234</v>
      </c>
      <c r="B160" s="162"/>
      <c r="C160" s="162"/>
      <c r="D160" s="162"/>
      <c r="E160" s="162"/>
      <c r="F160" s="162"/>
      <c r="G160" s="162"/>
      <c r="H160" s="162"/>
      <c r="J160" s="36"/>
    </row>
    <row r="161" spans="1:14" s="57" customFormat="1" x14ac:dyDescent="0.35">
      <c r="A161" s="163" t="s">
        <v>194</v>
      </c>
      <c r="B161" s="163"/>
      <c r="C161" s="163"/>
      <c r="D161" s="163"/>
      <c r="E161" s="163"/>
      <c r="F161" s="163"/>
      <c r="G161" s="163"/>
      <c r="H161" s="163"/>
      <c r="J161" s="36"/>
    </row>
    <row r="162" spans="1:14" s="57" customFormat="1" ht="15.75" customHeight="1" x14ac:dyDescent="0.35">
      <c r="A162" s="54">
        <v>1</v>
      </c>
      <c r="B162" s="69" t="s">
        <v>198</v>
      </c>
      <c r="C162" s="54" t="s">
        <v>195</v>
      </c>
      <c r="D162" s="58">
        <f>(24.92)*(10.764)</f>
        <v>268.23887999999999</v>
      </c>
      <c r="E162" s="58">
        <f>(8.22)*10.764</f>
        <v>88.480080000000001</v>
      </c>
      <c r="F162" s="54">
        <f>(D162+E162)*(($F$141)+1)</f>
        <v>535.07844</v>
      </c>
      <c r="G162" s="95" t="str">
        <f>A161</f>
        <v>Ground Floor For Entrance Looby, Society Office, Meter Room, Commercial &amp; Parking</v>
      </c>
      <c r="H162" s="95"/>
      <c r="I162" s="36"/>
      <c r="L162" s="84"/>
      <c r="M162" s="84"/>
      <c r="N162" s="36"/>
    </row>
    <row r="163" spans="1:14" s="57" customFormat="1" ht="15.75" customHeight="1" x14ac:dyDescent="0.35">
      <c r="A163" s="54">
        <f t="shared" ref="A163:A171" si="8">A162+1</f>
        <v>2</v>
      </c>
      <c r="B163" s="69" t="s">
        <v>198</v>
      </c>
      <c r="C163" s="54" t="s">
        <v>195</v>
      </c>
      <c r="D163" s="58">
        <f>(24.92)*(10.764)</f>
        <v>268.23887999999999</v>
      </c>
      <c r="E163" s="58">
        <f>(8.22)*10.764</f>
        <v>88.480080000000001</v>
      </c>
      <c r="F163" s="54">
        <f t="shared" ref="F163:F165" si="9">(D163+E163)*(($F$141)+1)</f>
        <v>535.07844</v>
      </c>
      <c r="G163" s="95"/>
      <c r="H163" s="95"/>
      <c r="I163" s="36"/>
      <c r="L163" s="84"/>
      <c r="M163" s="84"/>
      <c r="N163" s="36"/>
    </row>
    <row r="164" spans="1:14" s="57" customFormat="1" ht="15.75" customHeight="1" x14ac:dyDescent="0.35">
      <c r="A164" s="54">
        <f t="shared" si="8"/>
        <v>3</v>
      </c>
      <c r="B164" s="69" t="s">
        <v>198</v>
      </c>
      <c r="C164" s="54" t="s">
        <v>195</v>
      </c>
      <c r="D164" s="58">
        <f>(19.02)*(10.764)</f>
        <v>204.73127999999997</v>
      </c>
      <c r="E164" s="58">
        <f>(6.28)*10.764</f>
        <v>67.597920000000002</v>
      </c>
      <c r="F164" s="54">
        <f t="shared" si="9"/>
        <v>408.49379999999996</v>
      </c>
      <c r="G164" s="95"/>
      <c r="H164" s="95"/>
      <c r="I164" s="36"/>
      <c r="L164" s="84"/>
      <c r="M164" s="84"/>
      <c r="N164" s="36"/>
    </row>
    <row r="165" spans="1:14" s="57" customFormat="1" ht="15.75" customHeight="1" x14ac:dyDescent="0.35">
      <c r="A165" s="54">
        <f t="shared" si="8"/>
        <v>4</v>
      </c>
      <c r="B165" s="69" t="s">
        <v>198</v>
      </c>
      <c r="C165" s="54" t="s">
        <v>195</v>
      </c>
      <c r="D165" s="58">
        <f>(24.92)*(10.764)</f>
        <v>268.23887999999999</v>
      </c>
      <c r="E165" s="58">
        <f>(8.22)*10.764</f>
        <v>88.480080000000001</v>
      </c>
      <c r="F165" s="54">
        <f t="shared" si="9"/>
        <v>535.07844</v>
      </c>
      <c r="G165" s="95"/>
      <c r="H165" s="95"/>
      <c r="I165" s="36"/>
      <c r="L165" s="84"/>
      <c r="M165" s="84"/>
      <c r="N165" s="36"/>
    </row>
    <row r="166" spans="1:14" s="57" customFormat="1" x14ac:dyDescent="0.35">
      <c r="A166" s="54">
        <f t="shared" si="8"/>
        <v>5</v>
      </c>
      <c r="B166" s="69" t="s">
        <v>198</v>
      </c>
      <c r="C166" s="54" t="s">
        <v>195</v>
      </c>
      <c r="D166" s="58">
        <f>(24.92)*(10.764)</f>
        <v>268.23887999999999</v>
      </c>
      <c r="E166" s="58">
        <f>(8.22)*10.764</f>
        <v>88.480080000000001</v>
      </c>
      <c r="F166" s="54">
        <f>(D166+E166)*(($F$141)+1)</f>
        <v>535.07844</v>
      </c>
      <c r="G166" s="95"/>
      <c r="H166" s="95"/>
      <c r="I166" s="59"/>
      <c r="L166" s="84"/>
      <c r="M166" s="84"/>
      <c r="N166" s="36"/>
    </row>
    <row r="167" spans="1:14" s="57" customFormat="1" x14ac:dyDescent="0.35">
      <c r="A167" s="54">
        <f t="shared" si="8"/>
        <v>6</v>
      </c>
      <c r="B167" s="69" t="s">
        <v>198</v>
      </c>
      <c r="C167" s="54" t="s">
        <v>195</v>
      </c>
      <c r="D167" s="58">
        <f>(19.02)*(10.764)</f>
        <v>204.73127999999997</v>
      </c>
      <c r="E167" s="58">
        <f>(6.28)*10.764</f>
        <v>67.597920000000002</v>
      </c>
      <c r="F167" s="54">
        <f t="shared" ref="F167:F169" si="10">(D167+E167)*(($F$141)+1)</f>
        <v>408.49379999999996</v>
      </c>
      <c r="G167" s="95"/>
      <c r="H167" s="95"/>
      <c r="I167" s="36"/>
      <c r="L167" s="84"/>
      <c r="M167" s="84"/>
      <c r="N167" s="36"/>
    </row>
    <row r="168" spans="1:14" s="57" customFormat="1" x14ac:dyDescent="0.35">
      <c r="A168" s="54">
        <f t="shared" si="8"/>
        <v>7</v>
      </c>
      <c r="B168" s="69" t="s">
        <v>198</v>
      </c>
      <c r="C168" s="54" t="s">
        <v>195</v>
      </c>
      <c r="D168" s="58">
        <f>(24.92)*(10.764)</f>
        <v>268.23887999999999</v>
      </c>
      <c r="E168" s="58">
        <f>(8.22)*10.764</f>
        <v>88.480080000000001</v>
      </c>
      <c r="F168" s="54">
        <f t="shared" si="10"/>
        <v>535.07844</v>
      </c>
      <c r="G168" s="95"/>
      <c r="H168" s="95"/>
      <c r="I168" s="36"/>
      <c r="L168" s="84"/>
      <c r="M168" s="84"/>
      <c r="N168" s="36"/>
    </row>
    <row r="169" spans="1:14" s="57" customFormat="1" x14ac:dyDescent="0.35">
      <c r="A169" s="54">
        <f t="shared" si="8"/>
        <v>8</v>
      </c>
      <c r="B169" s="69" t="s">
        <v>198</v>
      </c>
      <c r="C169" s="54" t="s">
        <v>195</v>
      </c>
      <c r="D169" s="58">
        <f>(24.92)*(10.764)</f>
        <v>268.23887999999999</v>
      </c>
      <c r="E169" s="58">
        <f>(8.22)*10.764</f>
        <v>88.480080000000001</v>
      </c>
      <c r="F169" s="54">
        <f t="shared" si="10"/>
        <v>535.07844</v>
      </c>
      <c r="G169" s="95"/>
      <c r="H169" s="95"/>
      <c r="I169" s="36"/>
      <c r="L169" s="84"/>
      <c r="M169" s="84"/>
      <c r="N169" s="36"/>
    </row>
    <row r="170" spans="1:14" s="57" customFormat="1" x14ac:dyDescent="0.35">
      <c r="A170" s="54">
        <f t="shared" si="8"/>
        <v>9</v>
      </c>
      <c r="B170" s="69" t="s">
        <v>198</v>
      </c>
      <c r="C170" s="54" t="s">
        <v>195</v>
      </c>
      <c r="D170" s="58">
        <f>(19.02)*(10.764)</f>
        <v>204.73127999999997</v>
      </c>
      <c r="E170" s="58">
        <f>(6.28)*10.764</f>
        <v>67.597920000000002</v>
      </c>
      <c r="F170" s="54">
        <f>(D170+E170)*(($F$141)+1)</f>
        <v>408.49379999999996</v>
      </c>
      <c r="G170" s="95"/>
      <c r="H170" s="95"/>
      <c r="I170" s="36"/>
      <c r="L170" s="84"/>
      <c r="M170" s="84"/>
      <c r="N170" s="36"/>
    </row>
    <row r="171" spans="1:14" s="57" customFormat="1" x14ac:dyDescent="0.35">
      <c r="A171" s="54">
        <f t="shared" si="8"/>
        <v>10</v>
      </c>
      <c r="B171" s="69" t="s">
        <v>198</v>
      </c>
      <c r="C171" s="54" t="s">
        <v>195</v>
      </c>
      <c r="D171" s="58">
        <f>(24.92)*(10.764)</f>
        <v>268.23887999999999</v>
      </c>
      <c r="E171" s="58">
        <f>(8.22)*10.764</f>
        <v>88.480080000000001</v>
      </c>
      <c r="F171" s="54">
        <f>(D171+E171)*(($F$141)+1)</f>
        <v>535.07844</v>
      </c>
      <c r="G171" s="95"/>
      <c r="H171" s="95"/>
      <c r="I171" s="36"/>
      <c r="L171" s="84"/>
      <c r="M171" s="84"/>
      <c r="N171" s="36"/>
    </row>
    <row r="172" spans="1:14" s="37" customFormat="1" x14ac:dyDescent="0.35">
      <c r="A172" s="174"/>
      <c r="B172" s="175"/>
      <c r="C172" s="175"/>
      <c r="D172" s="175"/>
      <c r="E172" s="175"/>
      <c r="F172" s="175"/>
      <c r="G172" s="175"/>
      <c r="H172" s="176"/>
      <c r="I172" s="36"/>
      <c r="N172" s="36"/>
    </row>
    <row r="173" spans="1:14" ht="47.25" customHeight="1" x14ac:dyDescent="0.35">
      <c r="A173" s="127" t="s">
        <v>123</v>
      </c>
      <c r="B173" s="127" t="s">
        <v>124</v>
      </c>
      <c r="C173" s="123" t="s">
        <v>59</v>
      </c>
      <c r="D173" s="123" t="s">
        <v>60</v>
      </c>
      <c r="E173" s="125" t="s">
        <v>61</v>
      </c>
      <c r="F173" s="43" t="s">
        <v>152</v>
      </c>
      <c r="G173" s="127" t="s">
        <v>62</v>
      </c>
      <c r="H173" s="128"/>
      <c r="I173" s="36"/>
    </row>
    <row r="174" spans="1:14" s="37" customFormat="1" x14ac:dyDescent="0.35">
      <c r="A174" s="129"/>
      <c r="B174" s="129"/>
      <c r="C174" s="124"/>
      <c r="D174" s="124"/>
      <c r="E174" s="126"/>
      <c r="F174" s="13">
        <v>0.5</v>
      </c>
      <c r="G174" s="129"/>
      <c r="H174" s="130"/>
      <c r="I174" s="36"/>
    </row>
    <row r="175" spans="1:14" s="57" customFormat="1" x14ac:dyDescent="0.35">
      <c r="A175" s="147" t="s">
        <v>237</v>
      </c>
      <c r="B175" s="148"/>
      <c r="C175" s="148"/>
      <c r="D175" s="148"/>
      <c r="E175" s="148"/>
      <c r="F175" s="148"/>
      <c r="G175" s="148"/>
      <c r="H175" s="149"/>
      <c r="J175" s="36"/>
    </row>
    <row r="176" spans="1:14" s="37" customFormat="1" x14ac:dyDescent="0.35">
      <c r="A176" s="91" t="s">
        <v>196</v>
      </c>
      <c r="B176" s="92"/>
      <c r="C176" s="92"/>
      <c r="D176" s="92"/>
      <c r="E176" s="92"/>
      <c r="F176" s="92"/>
      <c r="G176" s="92"/>
      <c r="H176" s="93"/>
      <c r="J176" s="36"/>
    </row>
    <row r="177" spans="1:14" s="37" customFormat="1" x14ac:dyDescent="0.35">
      <c r="A177" s="163" t="s">
        <v>197</v>
      </c>
      <c r="B177" s="163"/>
      <c r="C177" s="163"/>
      <c r="D177" s="163"/>
      <c r="E177" s="163"/>
      <c r="F177" s="163"/>
      <c r="G177" s="163"/>
      <c r="H177" s="163"/>
      <c r="I177" s="62" t="s">
        <v>213</v>
      </c>
      <c r="L177" s="84"/>
      <c r="M177" s="84"/>
    </row>
    <row r="178" spans="1:14" s="37" customFormat="1" ht="15.75" customHeight="1" x14ac:dyDescent="0.35">
      <c r="A178" s="54">
        <v>1</v>
      </c>
      <c r="B178" s="54" t="s">
        <v>199</v>
      </c>
      <c r="C178" s="42" t="s">
        <v>200</v>
      </c>
      <c r="D178" s="58">
        <f>(49.94)*(10.764)</f>
        <v>537.55415999999991</v>
      </c>
      <c r="E178" s="42">
        <v>0</v>
      </c>
      <c r="F178" s="42">
        <f t="shared" ref="F178:F179" si="11">D178*(($F$174)+1)+(IF(E178&lt;101,E178,IF(E178&lt;201,E178/2,IF(E178&lt;=301,E178/3,E178/4))))</f>
        <v>806.33123999999987</v>
      </c>
      <c r="G178" s="85" t="str">
        <f>A177</f>
        <v>5th to 7th &amp; 9th Floor For Residential</v>
      </c>
      <c r="H178" s="87"/>
      <c r="I178" s="36">
        <f>2.79*4.26+2.13*2.79+2.79*3.05+2.79*3.35+2*1.22+2*1.22+5*1+0.9*1.37</f>
        <v>46.797099999999993</v>
      </c>
      <c r="N178" s="36"/>
    </row>
    <row r="179" spans="1:14" s="37" customFormat="1" ht="15.75" customHeight="1" x14ac:dyDescent="0.35">
      <c r="A179" s="54">
        <f t="shared" ref="A179:A186" si="12">A178+1</f>
        <v>2</v>
      </c>
      <c r="B179" s="54" t="s">
        <v>199</v>
      </c>
      <c r="C179" s="54" t="s">
        <v>200</v>
      </c>
      <c r="D179" s="58">
        <f>(50.45)*(10.764)</f>
        <v>543.04380000000003</v>
      </c>
      <c r="E179" s="42">
        <v>0</v>
      </c>
      <c r="F179" s="42">
        <f t="shared" si="11"/>
        <v>814.56570000000011</v>
      </c>
      <c r="G179" s="145"/>
      <c r="H179" s="146"/>
      <c r="I179" s="36"/>
      <c r="N179" s="36"/>
    </row>
    <row r="180" spans="1:14" s="37" customFormat="1" ht="15.75" customHeight="1" x14ac:dyDescent="0.35">
      <c r="A180" s="54">
        <f t="shared" si="12"/>
        <v>3</v>
      </c>
      <c r="B180" s="54" t="s">
        <v>199</v>
      </c>
      <c r="C180" s="42" t="s">
        <v>201</v>
      </c>
      <c r="D180" s="58">
        <f>(36.39)*(10.764)</f>
        <v>391.70195999999999</v>
      </c>
      <c r="E180" s="42">
        <v>0</v>
      </c>
      <c r="F180" s="42">
        <f>D180*(($F$174)+1)+(IF(E180&lt;101,E180,IF(E180&lt;201,E180/2,IF(E180&lt;=301,E180/3,E180/4))))</f>
        <v>587.55294000000004</v>
      </c>
      <c r="G180" s="145"/>
      <c r="H180" s="146"/>
      <c r="I180" s="36"/>
      <c r="N180" s="36"/>
    </row>
    <row r="181" spans="1:14" s="37" customFormat="1" ht="15.75" customHeight="1" x14ac:dyDescent="0.35">
      <c r="A181" s="54">
        <f t="shared" si="12"/>
        <v>4</v>
      </c>
      <c r="B181" s="54" t="s">
        <v>199</v>
      </c>
      <c r="C181" s="54" t="s">
        <v>201</v>
      </c>
      <c r="D181" s="58">
        <f>(36.39)*(10.764)</f>
        <v>391.70195999999999</v>
      </c>
      <c r="E181" s="42">
        <v>0</v>
      </c>
      <c r="F181" s="42">
        <f>D181*(($F$174)+1)+(IF(E181&lt;101,E181,IF(E181&lt;201,E181/2,IF(E181&lt;=301,E181/3,E181/4))))</f>
        <v>587.55294000000004</v>
      </c>
      <c r="G181" s="145"/>
      <c r="H181" s="146"/>
      <c r="I181" s="36"/>
      <c r="J181" s="63" t="s">
        <v>214</v>
      </c>
      <c r="L181" s="63" t="s">
        <v>217</v>
      </c>
      <c r="N181" s="36"/>
    </row>
    <row r="182" spans="1:14" s="37" customFormat="1" ht="15.75" customHeight="1" x14ac:dyDescent="0.35">
      <c r="A182" s="54">
        <f t="shared" si="12"/>
        <v>5</v>
      </c>
      <c r="B182" s="54" t="s">
        <v>199</v>
      </c>
      <c r="C182" s="54" t="s">
        <v>201</v>
      </c>
      <c r="D182" s="58">
        <f>(38.04+2.37)*(10.764)</f>
        <v>434.97323999999992</v>
      </c>
      <c r="E182" s="42">
        <v>0</v>
      </c>
      <c r="F182" s="42">
        <f>D182*(($F$174)+1)+(IF(E182&lt;101,E182,IF(E182&lt;201,E182/2,IF(E182&lt;=301,E182/3,E182/4))))</f>
        <v>652.45985999999994</v>
      </c>
      <c r="G182" s="145"/>
      <c r="H182" s="146"/>
      <c r="I182" s="36"/>
      <c r="J182" s="61">
        <f>3000000/F186</f>
        <v>7320.903610347541</v>
      </c>
      <c r="K182" s="36">
        <f>4500000/F181</f>
        <v>7658.8843211302792</v>
      </c>
      <c r="L182" s="37" t="s">
        <v>215</v>
      </c>
      <c r="N182" s="36"/>
    </row>
    <row r="183" spans="1:14" s="57" customFormat="1" ht="15.75" customHeight="1" x14ac:dyDescent="0.35">
      <c r="A183" s="54">
        <f t="shared" si="12"/>
        <v>6</v>
      </c>
      <c r="B183" s="66" t="s">
        <v>198</v>
      </c>
      <c r="C183" s="54" t="s">
        <v>202</v>
      </c>
      <c r="D183" s="58">
        <f>(26.3)*(10.764)</f>
        <v>283.09319999999997</v>
      </c>
      <c r="E183" s="54">
        <v>0</v>
      </c>
      <c r="F183" s="54">
        <f t="shared" ref="F183" si="13">D183*(($F$174)+1)+(IF(E183&lt;101,E183,IF(E183&lt;201,E183/2,IF(E183&lt;=301,E183/3,E183/4))))</f>
        <v>424.63979999999992</v>
      </c>
      <c r="G183" s="145"/>
      <c r="H183" s="146"/>
      <c r="I183" s="36"/>
      <c r="J183" s="61">
        <f>3200000/F183</f>
        <v>7535.798575639873</v>
      </c>
      <c r="K183" s="36">
        <f>6200000/F179</f>
        <v>7611.4179617432937</v>
      </c>
      <c r="L183" s="57" t="s">
        <v>216</v>
      </c>
      <c r="N183" s="36"/>
    </row>
    <row r="184" spans="1:14" s="57" customFormat="1" ht="15.75" customHeight="1" x14ac:dyDescent="0.35">
      <c r="A184" s="54">
        <f t="shared" si="12"/>
        <v>7</v>
      </c>
      <c r="B184" s="66" t="s">
        <v>198</v>
      </c>
      <c r="C184" s="54" t="s">
        <v>202</v>
      </c>
      <c r="D184" s="58">
        <f>(25.69)*(10.764)</f>
        <v>276.52715999999998</v>
      </c>
      <c r="E184" s="54">
        <v>0</v>
      </c>
      <c r="F184" s="54">
        <f>D184*(($F$174)+1)+(IF(E184&lt;101,E184,IF(E184&lt;201,E184/2,IF(E184&lt;=301,E184/3,E184/4))))</f>
        <v>414.79073999999997</v>
      </c>
      <c r="G184" s="145"/>
      <c r="H184" s="146"/>
      <c r="I184" s="36"/>
      <c r="J184" s="61">
        <f>4300000/F180</f>
        <v>7318.4894624133776</v>
      </c>
      <c r="N184" s="36"/>
    </row>
    <row r="185" spans="1:14" s="57" customFormat="1" ht="15.75" customHeight="1" x14ac:dyDescent="0.35">
      <c r="A185" s="54">
        <f t="shared" si="12"/>
        <v>8</v>
      </c>
      <c r="B185" s="66" t="s">
        <v>198</v>
      </c>
      <c r="C185" s="54" t="s">
        <v>202</v>
      </c>
      <c r="D185" s="58">
        <f>(25.49)*(10.764)</f>
        <v>274.37435999999997</v>
      </c>
      <c r="E185" s="54">
        <v>0</v>
      </c>
      <c r="F185" s="54">
        <f>D185*(($F$174)+1)+(IF(E185&lt;101,E185,IF(E185&lt;201,E185/2,IF(E185&lt;=301,E185/3,E185/4))))</f>
        <v>411.56153999999992</v>
      </c>
      <c r="G185" s="145"/>
      <c r="H185" s="146"/>
      <c r="I185" s="36"/>
      <c r="J185" s="61">
        <f>4500000/F218</f>
        <v>7658.8843211302792</v>
      </c>
      <c r="N185" s="36"/>
    </row>
    <row r="186" spans="1:14" s="57" customFormat="1" ht="15.75" customHeight="1" x14ac:dyDescent="0.35">
      <c r="A186" s="54">
        <f t="shared" si="12"/>
        <v>9</v>
      </c>
      <c r="B186" s="66" t="s">
        <v>198</v>
      </c>
      <c r="C186" s="54" t="s">
        <v>202</v>
      </c>
      <c r="D186" s="58">
        <f>(25.38)*(10.764)</f>
        <v>273.19031999999999</v>
      </c>
      <c r="E186" s="54">
        <v>0</v>
      </c>
      <c r="F186" s="54">
        <f>D186*(($F$174)+1)+(IF(E186&lt;101,E186,IF(E186&lt;201,E186/2,IF(E186&lt;=301,E186/3,E186/4))))</f>
        <v>409.78548000000001</v>
      </c>
      <c r="G186" s="88"/>
      <c r="H186" s="90"/>
      <c r="I186" s="36">
        <f>2.79*4.88+2.13*3.94+2*1.22</f>
        <v>24.447399999999998</v>
      </c>
      <c r="J186" s="61">
        <f>6300000/F178</f>
        <v>7813.1662119403945</v>
      </c>
      <c r="N186" s="36"/>
    </row>
    <row r="187" spans="1:14" s="37" customFormat="1" ht="15.75" customHeight="1" x14ac:dyDescent="0.35">
      <c r="A187" s="163" t="s">
        <v>203</v>
      </c>
      <c r="B187" s="163"/>
      <c r="C187" s="163"/>
      <c r="D187" s="163"/>
      <c r="E187" s="163"/>
      <c r="F187" s="163"/>
      <c r="G187" s="163"/>
      <c r="H187" s="163"/>
      <c r="I187" s="36"/>
      <c r="J187" s="64">
        <f>AVERAGE(J182:J186)</f>
        <v>7529.4484362942922</v>
      </c>
    </row>
    <row r="188" spans="1:14" s="37" customFormat="1" ht="15.75" customHeight="1" x14ac:dyDescent="0.35">
      <c r="A188" s="76">
        <v>1</v>
      </c>
      <c r="B188" s="76" t="s">
        <v>199</v>
      </c>
      <c r="C188" s="76" t="s">
        <v>200</v>
      </c>
      <c r="D188" s="58">
        <f>(49.94)*(10.764)</f>
        <v>537.55415999999991</v>
      </c>
      <c r="E188" s="76">
        <v>0</v>
      </c>
      <c r="F188" s="76">
        <f t="shared" ref="F188:F195" si="14">D188*(($F$174)+1)+(IF(E188&lt;101,E188,IF(E188&lt;201,E188/2,IF(E188&lt;=301,E188/3,E188/4))))</f>
        <v>806.33123999999987</v>
      </c>
      <c r="G188" s="95" t="str">
        <f>A187</f>
        <v>8th Floor (Part Refuge Area)</v>
      </c>
      <c r="H188" s="95"/>
      <c r="I188" s="36"/>
    </row>
    <row r="189" spans="1:14" s="37" customFormat="1" ht="15.75" customHeight="1" x14ac:dyDescent="0.35">
      <c r="A189" s="76">
        <f>A188+1</f>
        <v>2</v>
      </c>
      <c r="B189" s="76" t="s">
        <v>199</v>
      </c>
      <c r="C189" s="76" t="s">
        <v>200</v>
      </c>
      <c r="D189" s="58">
        <f>(50.45)*(10.764)</f>
        <v>543.04380000000003</v>
      </c>
      <c r="E189" s="76">
        <v>0</v>
      </c>
      <c r="F189" s="76">
        <f t="shared" si="14"/>
        <v>814.56570000000011</v>
      </c>
      <c r="G189" s="95"/>
      <c r="H189" s="95"/>
      <c r="I189" s="36"/>
      <c r="J189" s="60" t="s">
        <v>218</v>
      </c>
      <c r="L189" s="37">
        <v>7600</v>
      </c>
    </row>
    <row r="190" spans="1:14" s="37" customFormat="1" ht="15.75" customHeight="1" x14ac:dyDescent="0.35">
      <c r="A190" s="76">
        <f t="shared" ref="A190:A195" si="15">A189+1</f>
        <v>3</v>
      </c>
      <c r="B190" s="76" t="s">
        <v>199</v>
      </c>
      <c r="C190" s="76" t="s">
        <v>201</v>
      </c>
      <c r="D190" s="58">
        <f>(36.39)*(10.764)</f>
        <v>391.70195999999999</v>
      </c>
      <c r="E190" s="76">
        <v>0</v>
      </c>
      <c r="F190" s="76">
        <f t="shared" si="14"/>
        <v>587.55294000000004</v>
      </c>
      <c r="G190" s="95"/>
      <c r="H190" s="95"/>
      <c r="I190" s="36"/>
    </row>
    <row r="191" spans="1:14" s="37" customFormat="1" ht="15.75" customHeight="1" x14ac:dyDescent="0.35">
      <c r="A191" s="76">
        <f t="shared" si="15"/>
        <v>4</v>
      </c>
      <c r="B191" s="76" t="s">
        <v>222</v>
      </c>
      <c r="C191" s="95" t="s">
        <v>223</v>
      </c>
      <c r="D191" s="95"/>
      <c r="E191" s="95"/>
      <c r="F191" s="95"/>
      <c r="G191" s="95"/>
      <c r="H191" s="95"/>
      <c r="I191" s="36"/>
    </row>
    <row r="192" spans="1:14" s="37" customFormat="1" ht="15.75" customHeight="1" x14ac:dyDescent="0.35">
      <c r="A192" s="76">
        <f t="shared" si="15"/>
        <v>5</v>
      </c>
      <c r="B192" s="76" t="s">
        <v>199</v>
      </c>
      <c r="C192" s="76" t="s">
        <v>201</v>
      </c>
      <c r="D192" s="58">
        <f>(38.04+2.79)*(10.764)</f>
        <v>439.49411999999995</v>
      </c>
      <c r="E192" s="76">
        <v>0</v>
      </c>
      <c r="F192" s="76">
        <f t="shared" si="14"/>
        <v>659.24117999999999</v>
      </c>
      <c r="G192" s="95"/>
      <c r="H192" s="95"/>
      <c r="I192" s="36"/>
    </row>
    <row r="193" spans="1:9" s="57" customFormat="1" ht="15.75" customHeight="1" x14ac:dyDescent="0.35">
      <c r="A193" s="76">
        <f t="shared" si="15"/>
        <v>6</v>
      </c>
      <c r="B193" s="78" t="s">
        <v>198</v>
      </c>
      <c r="C193" s="76" t="s">
        <v>202</v>
      </c>
      <c r="D193" s="58">
        <f>(26.3)*(10.764)</f>
        <v>283.09319999999997</v>
      </c>
      <c r="E193" s="76">
        <v>0</v>
      </c>
      <c r="F193" s="76">
        <f t="shared" si="14"/>
        <v>424.63979999999992</v>
      </c>
      <c r="G193" s="95"/>
      <c r="H193" s="95"/>
      <c r="I193" s="36"/>
    </row>
    <row r="194" spans="1:9" s="57" customFormat="1" ht="15.75" customHeight="1" x14ac:dyDescent="0.35">
      <c r="A194" s="76">
        <f t="shared" si="15"/>
        <v>7</v>
      </c>
      <c r="B194" s="76" t="s">
        <v>199</v>
      </c>
      <c r="C194" s="76" t="s">
        <v>200</v>
      </c>
      <c r="D194" s="58">
        <f>(50.74)*(10.764)</f>
        <v>546.16535999999996</v>
      </c>
      <c r="E194" s="76">
        <v>0</v>
      </c>
      <c r="F194" s="76">
        <f t="shared" si="14"/>
        <v>819.24803999999995</v>
      </c>
      <c r="G194" s="95"/>
      <c r="H194" s="95"/>
      <c r="I194" s="36"/>
    </row>
    <row r="195" spans="1:9" s="57" customFormat="1" ht="15.75" customHeight="1" x14ac:dyDescent="0.35">
      <c r="A195" s="76">
        <f t="shared" si="15"/>
        <v>8</v>
      </c>
      <c r="B195" s="78" t="s">
        <v>198</v>
      </c>
      <c r="C195" s="76" t="s">
        <v>202</v>
      </c>
      <c r="D195" s="58">
        <f>(25.38)*(10.764)</f>
        <v>273.19031999999999</v>
      </c>
      <c r="E195" s="76">
        <v>0</v>
      </c>
      <c r="F195" s="76">
        <f t="shared" si="14"/>
        <v>409.78548000000001</v>
      </c>
      <c r="G195" s="95"/>
      <c r="H195" s="95"/>
      <c r="I195" s="36"/>
    </row>
    <row r="196" spans="1:9" s="37" customFormat="1" x14ac:dyDescent="0.35">
      <c r="A196" s="163" t="s">
        <v>204</v>
      </c>
      <c r="B196" s="163"/>
      <c r="C196" s="163"/>
      <c r="D196" s="163"/>
      <c r="E196" s="163"/>
      <c r="F196" s="163"/>
      <c r="G196" s="163"/>
      <c r="H196" s="163"/>
      <c r="I196" s="36"/>
    </row>
    <row r="197" spans="1:9" s="37" customFormat="1" ht="15.75" customHeight="1" x14ac:dyDescent="0.35">
      <c r="A197" s="54">
        <v>1</v>
      </c>
      <c r="B197" s="69" t="s">
        <v>198</v>
      </c>
      <c r="C197" s="54" t="s">
        <v>200</v>
      </c>
      <c r="D197" s="58">
        <f>(50.51+2.79)*(10.764)</f>
        <v>573.72119999999995</v>
      </c>
      <c r="E197" s="54">
        <v>0</v>
      </c>
      <c r="F197" s="54">
        <f t="shared" ref="F197:F204" si="16">D197*(($F$174)+1)+(IF(E197&lt;101,E197,IF(E197&lt;201,E197/2,IF(E197&lt;=301,E197/3,E197/4))))</f>
        <v>860.58179999999993</v>
      </c>
      <c r="G197" s="95" t="str">
        <f>A196</f>
        <v>10th, 11th, 12th, 14th, 16th, 17th, 19th, 20th, 21st, 22nd &amp; 24th, 25th Floor</v>
      </c>
      <c r="H197" s="95"/>
      <c r="I197" s="36">
        <f>2.79*4.26+2.13*2.79+2.79*3.05+2.79*3.35+2*1.22+2*1.22+5*1+1*2.79</f>
        <v>48.354099999999995</v>
      </c>
    </row>
    <row r="198" spans="1:9" s="37" customFormat="1" ht="15.75" customHeight="1" x14ac:dyDescent="0.35">
      <c r="A198" s="54">
        <f>A197+1</f>
        <v>2</v>
      </c>
      <c r="B198" s="69" t="s">
        <v>198</v>
      </c>
      <c r="C198" s="54" t="s">
        <v>200</v>
      </c>
      <c r="D198" s="58">
        <f>(51.01+2.79)*(10.764)</f>
        <v>579.1031999999999</v>
      </c>
      <c r="E198" s="54">
        <v>0</v>
      </c>
      <c r="F198" s="54">
        <f t="shared" si="16"/>
        <v>868.6547999999998</v>
      </c>
      <c r="G198" s="95"/>
      <c r="H198" s="95"/>
      <c r="I198" s="36"/>
    </row>
    <row r="199" spans="1:9" s="37" customFormat="1" ht="15.75" customHeight="1" x14ac:dyDescent="0.35">
      <c r="A199" s="54">
        <f t="shared" ref="A199:A201" si="17">A198+1</f>
        <v>3</v>
      </c>
      <c r="B199" s="69" t="s">
        <v>198</v>
      </c>
      <c r="C199" s="54" t="s">
        <v>201</v>
      </c>
      <c r="D199" s="58">
        <f>(36.96+2.79)*(10.764)</f>
        <v>427.86899999999997</v>
      </c>
      <c r="E199" s="54">
        <v>0</v>
      </c>
      <c r="F199" s="54">
        <f t="shared" si="16"/>
        <v>641.80349999999999</v>
      </c>
      <c r="G199" s="95"/>
      <c r="H199" s="95"/>
      <c r="I199" s="36"/>
    </row>
    <row r="200" spans="1:9" s="37" customFormat="1" ht="15.75" customHeight="1" x14ac:dyDescent="0.35">
      <c r="A200" s="54">
        <f t="shared" si="17"/>
        <v>4</v>
      </c>
      <c r="B200" s="69" t="s">
        <v>198</v>
      </c>
      <c r="C200" s="54" t="s">
        <v>201</v>
      </c>
      <c r="D200" s="58">
        <f>(36.96+2.79)*(10.764)</f>
        <v>427.86899999999997</v>
      </c>
      <c r="E200" s="54">
        <v>0</v>
      </c>
      <c r="F200" s="54">
        <f t="shared" si="16"/>
        <v>641.80349999999999</v>
      </c>
      <c r="G200" s="95"/>
      <c r="H200" s="95"/>
      <c r="I200" s="36"/>
    </row>
    <row r="201" spans="1:9" s="37" customFormat="1" ht="15.75" customHeight="1" x14ac:dyDescent="0.35">
      <c r="A201" s="54">
        <f t="shared" si="17"/>
        <v>5</v>
      </c>
      <c r="B201" s="69" t="s">
        <v>198</v>
      </c>
      <c r="C201" s="54" t="s">
        <v>201</v>
      </c>
      <c r="D201" s="58">
        <f>(38.04+2.79)*(10.764)</f>
        <v>439.49411999999995</v>
      </c>
      <c r="E201" s="54">
        <v>0</v>
      </c>
      <c r="F201" s="54">
        <f t="shared" si="16"/>
        <v>659.24117999999999</v>
      </c>
      <c r="G201" s="95"/>
      <c r="H201" s="95"/>
      <c r="I201" s="36"/>
    </row>
    <row r="202" spans="1:9" s="57" customFormat="1" ht="15.75" customHeight="1" x14ac:dyDescent="0.35">
      <c r="A202" s="54">
        <f>A201+1</f>
        <v>6</v>
      </c>
      <c r="B202" s="69" t="s">
        <v>198</v>
      </c>
      <c r="C202" s="54" t="s">
        <v>201</v>
      </c>
      <c r="D202" s="58">
        <f>(36.91+2.79)*(10.764)</f>
        <v>427.33079999999995</v>
      </c>
      <c r="E202" s="54">
        <v>0</v>
      </c>
      <c r="F202" s="54">
        <f t="shared" si="16"/>
        <v>640.99619999999993</v>
      </c>
      <c r="G202" s="95"/>
      <c r="H202" s="95"/>
      <c r="I202" s="36"/>
    </row>
    <row r="203" spans="1:9" s="57" customFormat="1" ht="15.75" customHeight="1" x14ac:dyDescent="0.35">
      <c r="A203" s="54">
        <f t="shared" ref="A203:A204" si="18">A202+1</f>
        <v>7</v>
      </c>
      <c r="B203" s="69" t="s">
        <v>198</v>
      </c>
      <c r="C203" s="54" t="s">
        <v>200</v>
      </c>
      <c r="D203" s="58">
        <f>(50.84+2.79)*(10.764)</f>
        <v>577.27332000000001</v>
      </c>
      <c r="E203" s="54">
        <v>0</v>
      </c>
      <c r="F203" s="54">
        <f t="shared" si="16"/>
        <v>865.90998000000002</v>
      </c>
      <c r="G203" s="95"/>
      <c r="H203" s="95"/>
      <c r="I203" s="36"/>
    </row>
    <row r="204" spans="1:9" s="57" customFormat="1" ht="15.75" customHeight="1" x14ac:dyDescent="0.35">
      <c r="A204" s="54">
        <f t="shared" si="18"/>
        <v>8</v>
      </c>
      <c r="B204" s="69" t="s">
        <v>198</v>
      </c>
      <c r="C204" s="54" t="s">
        <v>201</v>
      </c>
      <c r="D204" s="58">
        <f>(40.08+2.79)*(10.764)</f>
        <v>461.45267999999993</v>
      </c>
      <c r="E204" s="54">
        <v>0</v>
      </c>
      <c r="F204" s="54">
        <f t="shared" si="16"/>
        <v>692.17901999999992</v>
      </c>
      <c r="G204" s="95"/>
      <c r="H204" s="95"/>
      <c r="I204" s="36"/>
    </row>
    <row r="205" spans="1:9" s="65" customFormat="1" ht="15.65" customHeight="1" x14ac:dyDescent="0.35">
      <c r="A205" s="91" t="s">
        <v>205</v>
      </c>
      <c r="B205" s="92"/>
      <c r="C205" s="92"/>
      <c r="D205" s="92"/>
      <c r="E205" s="92"/>
      <c r="F205" s="92"/>
      <c r="G205" s="92"/>
      <c r="H205" s="93"/>
      <c r="I205" s="36"/>
    </row>
    <row r="206" spans="1:9" s="65" customFormat="1" ht="15.75" customHeight="1" x14ac:dyDescent="0.35">
      <c r="A206" s="54">
        <v>1</v>
      </c>
      <c r="B206" s="66" t="s">
        <v>198</v>
      </c>
      <c r="C206" s="54" t="s">
        <v>200</v>
      </c>
      <c r="D206" s="58">
        <f>(50.51+2.79)*(10.764)</f>
        <v>573.72119999999995</v>
      </c>
      <c r="E206" s="54">
        <v>0</v>
      </c>
      <c r="F206" s="54">
        <f t="shared" ref="F206:F213" si="19">D206*(($F$174)+1)+(IF(E206&lt;101,E206,IF(E206&lt;201,E206/2,IF(E206&lt;=301,E206/3,E206/4))))</f>
        <v>860.58179999999993</v>
      </c>
      <c r="G206" s="85" t="str">
        <f>A205</f>
        <v>13th, 18th &amp; 23rd Floor (Part Refuge Area)</v>
      </c>
      <c r="H206" s="87"/>
      <c r="I206" s="36"/>
    </row>
    <row r="207" spans="1:9" s="65" customFormat="1" ht="15.75" customHeight="1" x14ac:dyDescent="0.35">
      <c r="A207" s="54">
        <f>A206+1</f>
        <v>2</v>
      </c>
      <c r="B207" s="66" t="s">
        <v>198</v>
      </c>
      <c r="C207" s="54" t="s">
        <v>200</v>
      </c>
      <c r="D207" s="58">
        <f>(51.01+2.79)*(10.764)</f>
        <v>579.1031999999999</v>
      </c>
      <c r="E207" s="54">
        <v>0</v>
      </c>
      <c r="F207" s="54">
        <f t="shared" si="19"/>
        <v>868.6547999999998</v>
      </c>
      <c r="G207" s="145"/>
      <c r="H207" s="146"/>
      <c r="I207" s="36"/>
    </row>
    <row r="208" spans="1:9" s="65" customFormat="1" ht="15.75" customHeight="1" x14ac:dyDescent="0.35">
      <c r="A208" s="54">
        <f t="shared" ref="A208:A210" si="20">A207+1</f>
        <v>3</v>
      </c>
      <c r="B208" s="66" t="s">
        <v>198</v>
      </c>
      <c r="C208" s="54" t="s">
        <v>201</v>
      </c>
      <c r="D208" s="58">
        <f>(36.96+2.79)*(10.764)</f>
        <v>427.86899999999997</v>
      </c>
      <c r="E208" s="54">
        <v>0</v>
      </c>
      <c r="F208" s="54">
        <f t="shared" si="19"/>
        <v>641.80349999999999</v>
      </c>
      <c r="G208" s="145"/>
      <c r="H208" s="146"/>
      <c r="I208" s="36"/>
    </row>
    <row r="209" spans="1:9" s="65" customFormat="1" ht="15.75" customHeight="1" x14ac:dyDescent="0.35">
      <c r="A209" s="54">
        <f t="shared" si="20"/>
        <v>4</v>
      </c>
      <c r="B209" s="66" t="s">
        <v>222</v>
      </c>
      <c r="C209" s="174" t="s">
        <v>223</v>
      </c>
      <c r="D209" s="175"/>
      <c r="E209" s="175"/>
      <c r="F209" s="176"/>
      <c r="G209" s="145"/>
      <c r="H209" s="146"/>
      <c r="I209" s="36"/>
    </row>
    <row r="210" spans="1:9" s="65" customFormat="1" ht="15.75" customHeight="1" x14ac:dyDescent="0.35">
      <c r="A210" s="54">
        <f t="shared" si="20"/>
        <v>5</v>
      </c>
      <c r="B210" s="66" t="s">
        <v>198</v>
      </c>
      <c r="C210" s="54" t="s">
        <v>201</v>
      </c>
      <c r="D210" s="58">
        <f>(38.04+2.79)*(10.764)</f>
        <v>439.49411999999995</v>
      </c>
      <c r="E210" s="54">
        <v>0</v>
      </c>
      <c r="F210" s="54">
        <f t="shared" si="19"/>
        <v>659.24117999999999</v>
      </c>
      <c r="G210" s="145"/>
      <c r="H210" s="146"/>
      <c r="I210" s="36"/>
    </row>
    <row r="211" spans="1:9" s="65" customFormat="1" ht="15.75" customHeight="1" x14ac:dyDescent="0.35">
      <c r="A211" s="54">
        <f>A210+1</f>
        <v>6</v>
      </c>
      <c r="B211" s="66" t="s">
        <v>198</v>
      </c>
      <c r="C211" s="54" t="s">
        <v>201</v>
      </c>
      <c r="D211" s="58">
        <f>(36.91+2.79)*(10.764)</f>
        <v>427.33079999999995</v>
      </c>
      <c r="E211" s="54">
        <v>0</v>
      </c>
      <c r="F211" s="54">
        <f t="shared" si="19"/>
        <v>640.99619999999993</v>
      </c>
      <c r="G211" s="145"/>
      <c r="H211" s="146"/>
      <c r="I211" s="36"/>
    </row>
    <row r="212" spans="1:9" s="65" customFormat="1" ht="15.75" customHeight="1" x14ac:dyDescent="0.35">
      <c r="A212" s="54">
        <f t="shared" ref="A212:A213" si="21">A211+1</f>
        <v>7</v>
      </c>
      <c r="B212" s="66" t="s">
        <v>198</v>
      </c>
      <c r="C212" s="54" t="s">
        <v>200</v>
      </c>
      <c r="D212" s="58">
        <f>(50.84+2.79)*(10.764)</f>
        <v>577.27332000000001</v>
      </c>
      <c r="E212" s="54">
        <v>0</v>
      </c>
      <c r="F212" s="54">
        <f t="shared" si="19"/>
        <v>865.90998000000002</v>
      </c>
      <c r="G212" s="145"/>
      <c r="H212" s="146"/>
      <c r="I212" s="36"/>
    </row>
    <row r="213" spans="1:9" s="65" customFormat="1" ht="15.75" customHeight="1" x14ac:dyDescent="0.35">
      <c r="A213" s="54">
        <f t="shared" si="21"/>
        <v>8</v>
      </c>
      <c r="B213" s="66" t="s">
        <v>198</v>
      </c>
      <c r="C213" s="54" t="s">
        <v>201</v>
      </c>
      <c r="D213" s="58">
        <f>(40.08+2.79)*(10.764)</f>
        <v>461.45267999999993</v>
      </c>
      <c r="E213" s="54">
        <v>0</v>
      </c>
      <c r="F213" s="54">
        <f t="shared" si="19"/>
        <v>692.17901999999992</v>
      </c>
      <c r="G213" s="145"/>
      <c r="H213" s="146"/>
      <c r="I213" s="36"/>
    </row>
    <row r="214" spans="1:9" s="57" customFormat="1" x14ac:dyDescent="0.35">
      <c r="A214" s="91" t="s">
        <v>206</v>
      </c>
      <c r="B214" s="92"/>
      <c r="C214" s="92"/>
      <c r="D214" s="92"/>
      <c r="E214" s="92"/>
      <c r="F214" s="92"/>
      <c r="G214" s="92"/>
      <c r="H214" s="93"/>
      <c r="I214" s="36"/>
    </row>
    <row r="215" spans="1:9" s="57" customFormat="1" x14ac:dyDescent="0.35">
      <c r="A215" s="147" t="s">
        <v>234</v>
      </c>
      <c r="B215" s="148"/>
      <c r="C215" s="148"/>
      <c r="D215" s="148"/>
      <c r="E215" s="148"/>
      <c r="F215" s="148"/>
      <c r="G215" s="148"/>
      <c r="H215" s="149"/>
      <c r="I215" s="36"/>
    </row>
    <row r="216" spans="1:9" s="57" customFormat="1" x14ac:dyDescent="0.35">
      <c r="A216" s="91" t="s">
        <v>196</v>
      </c>
      <c r="B216" s="92"/>
      <c r="C216" s="92"/>
      <c r="D216" s="92"/>
      <c r="E216" s="92"/>
      <c r="F216" s="92"/>
      <c r="G216" s="92"/>
      <c r="H216" s="93"/>
      <c r="I216" s="36"/>
    </row>
    <row r="217" spans="1:9" s="57" customFormat="1" x14ac:dyDescent="0.35">
      <c r="A217" s="91" t="s">
        <v>197</v>
      </c>
      <c r="B217" s="92"/>
      <c r="C217" s="92"/>
      <c r="D217" s="92"/>
      <c r="E217" s="92"/>
      <c r="F217" s="92"/>
      <c r="G217" s="92"/>
      <c r="H217" s="93"/>
      <c r="I217" s="36"/>
    </row>
    <row r="218" spans="1:9" s="57" customFormat="1" ht="15.75" customHeight="1" x14ac:dyDescent="0.35">
      <c r="A218" s="54">
        <v>1</v>
      </c>
      <c r="B218" s="66" t="s">
        <v>198</v>
      </c>
      <c r="C218" s="54" t="s">
        <v>201</v>
      </c>
      <c r="D218" s="58">
        <f>(36.39)*(10.764)</f>
        <v>391.70195999999999</v>
      </c>
      <c r="E218" s="54">
        <v>0</v>
      </c>
      <c r="F218" s="54">
        <f t="shared" ref="F218:F225" si="22">D218*(($F$174)+1)+(IF(E218&lt;101,E218,IF(E218&lt;201,E218/2,IF(E218&lt;=301,E218/3,E218/4))))</f>
        <v>587.55294000000004</v>
      </c>
      <c r="G218" s="85" t="str">
        <f>A217</f>
        <v>5th to 7th &amp; 9th Floor For Residential</v>
      </c>
      <c r="H218" s="87"/>
      <c r="I218" s="36"/>
    </row>
    <row r="219" spans="1:9" s="57" customFormat="1" ht="15.75" customHeight="1" x14ac:dyDescent="0.35">
      <c r="A219" s="54">
        <f>A218+1</f>
        <v>2</v>
      </c>
      <c r="B219" s="66" t="s">
        <v>198</v>
      </c>
      <c r="C219" s="54" t="s">
        <v>201</v>
      </c>
      <c r="D219" s="58">
        <f>(35.97)*(10.764)</f>
        <v>387.18107999999995</v>
      </c>
      <c r="E219" s="54">
        <v>0</v>
      </c>
      <c r="F219" s="54">
        <f t="shared" si="22"/>
        <v>580.77161999999998</v>
      </c>
      <c r="G219" s="145"/>
      <c r="H219" s="146"/>
      <c r="I219" s="36"/>
    </row>
    <row r="220" spans="1:9" s="57" customFormat="1" ht="15.75" customHeight="1" x14ac:dyDescent="0.35">
      <c r="A220" s="54">
        <f t="shared" ref="A220:A222" si="23">A219+1</f>
        <v>3</v>
      </c>
      <c r="B220" s="66" t="s">
        <v>198</v>
      </c>
      <c r="C220" s="54" t="s">
        <v>201</v>
      </c>
      <c r="D220" s="58">
        <f>(36.39)*(10.764)</f>
        <v>391.70195999999999</v>
      </c>
      <c r="E220" s="54">
        <v>0</v>
      </c>
      <c r="F220" s="54">
        <f t="shared" si="22"/>
        <v>587.55294000000004</v>
      </c>
      <c r="G220" s="145"/>
      <c r="H220" s="146"/>
      <c r="I220" s="36"/>
    </row>
    <row r="221" spans="1:9" s="57" customFormat="1" ht="15.75" customHeight="1" x14ac:dyDescent="0.35">
      <c r="A221" s="54">
        <f t="shared" si="23"/>
        <v>4</v>
      </c>
      <c r="B221" s="66" t="s">
        <v>198</v>
      </c>
      <c r="C221" s="54" t="s">
        <v>201</v>
      </c>
      <c r="D221" s="58">
        <f>(36.39)*(10.764)</f>
        <v>391.70195999999999</v>
      </c>
      <c r="E221" s="54">
        <v>0</v>
      </c>
      <c r="F221" s="54">
        <f t="shared" si="22"/>
        <v>587.55294000000004</v>
      </c>
      <c r="G221" s="145"/>
      <c r="H221" s="146"/>
      <c r="I221" s="36"/>
    </row>
    <row r="222" spans="1:9" s="57" customFormat="1" ht="15.75" customHeight="1" x14ac:dyDescent="0.35">
      <c r="A222" s="54">
        <f t="shared" si="23"/>
        <v>5</v>
      </c>
      <c r="B222" s="66" t="s">
        <v>198</v>
      </c>
      <c r="C222" s="54" t="s">
        <v>200</v>
      </c>
      <c r="D222" s="58">
        <f>(48.58)*(10.764)</f>
        <v>522.91512</v>
      </c>
      <c r="E222" s="54">
        <v>0</v>
      </c>
      <c r="F222" s="54">
        <f t="shared" si="22"/>
        <v>784.37267999999995</v>
      </c>
      <c r="G222" s="145"/>
      <c r="H222" s="146"/>
      <c r="I222" s="36"/>
    </row>
    <row r="223" spans="1:9" s="57" customFormat="1" ht="15.75" customHeight="1" x14ac:dyDescent="0.35">
      <c r="A223" s="54">
        <f>A222+1</f>
        <v>6</v>
      </c>
      <c r="B223" s="66" t="s">
        <v>198</v>
      </c>
      <c r="C223" s="54" t="s">
        <v>200</v>
      </c>
      <c r="D223" s="58">
        <f>(50.04)*(10.764)</f>
        <v>538.63055999999995</v>
      </c>
      <c r="E223" s="54">
        <v>0</v>
      </c>
      <c r="F223" s="54">
        <f t="shared" si="22"/>
        <v>807.94583999999986</v>
      </c>
      <c r="G223" s="145"/>
      <c r="H223" s="146"/>
      <c r="I223" s="36"/>
    </row>
    <row r="224" spans="1:9" s="57" customFormat="1" ht="15.75" customHeight="1" x14ac:dyDescent="0.35">
      <c r="A224" s="54">
        <f t="shared" ref="A224:A225" si="24">A223+1</f>
        <v>7</v>
      </c>
      <c r="B224" s="66" t="s">
        <v>198</v>
      </c>
      <c r="C224" s="54" t="s">
        <v>200</v>
      </c>
      <c r="D224" s="58">
        <f>(50.26)*(10.764)</f>
        <v>540.99863999999991</v>
      </c>
      <c r="E224" s="54">
        <v>0</v>
      </c>
      <c r="F224" s="54">
        <f t="shared" si="22"/>
        <v>811.49795999999992</v>
      </c>
      <c r="G224" s="145"/>
      <c r="H224" s="146"/>
      <c r="I224" s="36"/>
    </row>
    <row r="225" spans="1:9" s="57" customFormat="1" ht="15.75" customHeight="1" x14ac:dyDescent="0.35">
      <c r="A225" s="54">
        <f t="shared" si="24"/>
        <v>8</v>
      </c>
      <c r="B225" s="66" t="s">
        <v>198</v>
      </c>
      <c r="C225" s="54" t="s">
        <v>201</v>
      </c>
      <c r="D225" s="58">
        <f>(37.38)*(10.764)</f>
        <v>402.35831999999999</v>
      </c>
      <c r="E225" s="54">
        <v>0</v>
      </c>
      <c r="F225" s="54">
        <f t="shared" si="22"/>
        <v>603.53747999999996</v>
      </c>
      <c r="G225" s="145"/>
      <c r="H225" s="146"/>
      <c r="I225" s="36"/>
    </row>
    <row r="226" spans="1:9" s="65" customFormat="1" x14ac:dyDescent="0.35">
      <c r="A226" s="163" t="s">
        <v>203</v>
      </c>
      <c r="B226" s="163"/>
      <c r="C226" s="163"/>
      <c r="D226" s="163"/>
      <c r="E226" s="163"/>
      <c r="F226" s="163"/>
      <c r="G226" s="163"/>
      <c r="H226" s="163"/>
      <c r="I226" s="36"/>
    </row>
    <row r="227" spans="1:9" s="65" customFormat="1" ht="15.75" customHeight="1" x14ac:dyDescent="0.35">
      <c r="A227" s="76">
        <v>1</v>
      </c>
      <c r="B227" s="78" t="s">
        <v>222</v>
      </c>
      <c r="C227" s="95" t="s">
        <v>223</v>
      </c>
      <c r="D227" s="95"/>
      <c r="E227" s="95"/>
      <c r="F227" s="95"/>
      <c r="G227" s="95" t="str">
        <f>A226</f>
        <v>8th Floor (Part Refuge Area)</v>
      </c>
      <c r="H227" s="95"/>
      <c r="I227" s="36"/>
    </row>
    <row r="228" spans="1:9" s="65" customFormat="1" ht="15.75" customHeight="1" x14ac:dyDescent="0.35">
      <c r="A228" s="76">
        <f>A227+1</f>
        <v>2</v>
      </c>
      <c r="B228" s="78" t="s">
        <v>198</v>
      </c>
      <c r="C228" s="76" t="s">
        <v>201</v>
      </c>
      <c r="D228" s="58">
        <f>(35.97)*(10.764)</f>
        <v>387.18107999999995</v>
      </c>
      <c r="E228" s="76">
        <v>0</v>
      </c>
      <c r="F228" s="76">
        <f t="shared" ref="F228:F234" si="25">D228*(($F$174)+1)+(IF(E228&lt;101,E228,IF(E228&lt;201,E228/2,IF(E228&lt;=301,E228/3,E228/4))))</f>
        <v>580.77161999999998</v>
      </c>
      <c r="G228" s="95"/>
      <c r="H228" s="95"/>
      <c r="I228" s="36"/>
    </row>
    <row r="229" spans="1:9" s="65" customFormat="1" ht="15.75" customHeight="1" x14ac:dyDescent="0.35">
      <c r="A229" s="76">
        <f t="shared" ref="A229:A231" si="26">A228+1</f>
        <v>3</v>
      </c>
      <c r="B229" s="78" t="s">
        <v>198</v>
      </c>
      <c r="C229" s="76" t="s">
        <v>201</v>
      </c>
      <c r="D229" s="58">
        <f>(36.39)*(10.764)</f>
        <v>391.70195999999999</v>
      </c>
      <c r="E229" s="76">
        <v>0</v>
      </c>
      <c r="F229" s="76">
        <f t="shared" si="25"/>
        <v>587.55294000000004</v>
      </c>
      <c r="G229" s="95"/>
      <c r="H229" s="95"/>
      <c r="I229" s="36"/>
    </row>
    <row r="230" spans="1:9" s="65" customFormat="1" ht="15.75" customHeight="1" x14ac:dyDescent="0.35">
      <c r="A230" s="76">
        <f t="shared" si="26"/>
        <v>4</v>
      </c>
      <c r="B230" s="78" t="s">
        <v>198</v>
      </c>
      <c r="C230" s="76" t="s">
        <v>201</v>
      </c>
      <c r="D230" s="58">
        <f>(36.39)*(10.764)</f>
        <v>391.70195999999999</v>
      </c>
      <c r="E230" s="76">
        <v>0</v>
      </c>
      <c r="F230" s="76">
        <f t="shared" si="25"/>
        <v>587.55294000000004</v>
      </c>
      <c r="G230" s="95"/>
      <c r="H230" s="95"/>
      <c r="I230" s="36"/>
    </row>
    <row r="231" spans="1:9" s="65" customFormat="1" ht="15.75" customHeight="1" x14ac:dyDescent="0.35">
      <c r="A231" s="76">
        <f t="shared" si="26"/>
        <v>5</v>
      </c>
      <c r="B231" s="78" t="s">
        <v>198</v>
      </c>
      <c r="C231" s="76" t="s">
        <v>200</v>
      </c>
      <c r="D231" s="58">
        <f>(48.58)*(10.764)</f>
        <v>522.91512</v>
      </c>
      <c r="E231" s="76">
        <v>0</v>
      </c>
      <c r="F231" s="76">
        <f t="shared" si="25"/>
        <v>784.37267999999995</v>
      </c>
      <c r="G231" s="95"/>
      <c r="H231" s="95"/>
      <c r="I231" s="36"/>
    </row>
    <row r="232" spans="1:9" s="65" customFormat="1" ht="15.75" customHeight="1" x14ac:dyDescent="0.35">
      <c r="A232" s="76">
        <f>A231+1</f>
        <v>6</v>
      </c>
      <c r="B232" s="78" t="s">
        <v>198</v>
      </c>
      <c r="C232" s="76" t="s">
        <v>200</v>
      </c>
      <c r="D232" s="58">
        <f>(50.04)*(10.764)</f>
        <v>538.63055999999995</v>
      </c>
      <c r="E232" s="76">
        <v>0</v>
      </c>
      <c r="F232" s="76">
        <f t="shared" si="25"/>
        <v>807.94583999999986</v>
      </c>
      <c r="G232" s="95"/>
      <c r="H232" s="95"/>
      <c r="I232" s="36"/>
    </row>
    <row r="233" spans="1:9" s="65" customFormat="1" ht="15.75" customHeight="1" x14ac:dyDescent="0.35">
      <c r="A233" s="76">
        <f t="shared" ref="A233:A234" si="27">A232+1</f>
        <v>7</v>
      </c>
      <c r="B233" s="78" t="s">
        <v>198</v>
      </c>
      <c r="C233" s="76" t="s">
        <v>200</v>
      </c>
      <c r="D233" s="58">
        <f>(50.26)*(10.764)</f>
        <v>540.99863999999991</v>
      </c>
      <c r="E233" s="76">
        <v>0</v>
      </c>
      <c r="F233" s="76">
        <f t="shared" si="25"/>
        <v>811.49795999999992</v>
      </c>
      <c r="G233" s="95"/>
      <c r="H233" s="95"/>
      <c r="I233" s="36"/>
    </row>
    <row r="234" spans="1:9" s="65" customFormat="1" ht="15.75" customHeight="1" x14ac:dyDescent="0.35">
      <c r="A234" s="76">
        <f t="shared" si="27"/>
        <v>8</v>
      </c>
      <c r="B234" s="78" t="s">
        <v>198</v>
      </c>
      <c r="C234" s="76" t="s">
        <v>201</v>
      </c>
      <c r="D234" s="58">
        <f>(37.38)*(10.764)</f>
        <v>402.35831999999999</v>
      </c>
      <c r="E234" s="76">
        <v>0</v>
      </c>
      <c r="F234" s="76">
        <f t="shared" si="25"/>
        <v>603.53747999999996</v>
      </c>
      <c r="G234" s="95"/>
      <c r="H234" s="95"/>
      <c r="I234" s="36"/>
    </row>
    <row r="235" spans="1:9" s="65" customFormat="1" x14ac:dyDescent="0.35">
      <c r="A235" s="163" t="s">
        <v>204</v>
      </c>
      <c r="B235" s="163"/>
      <c r="C235" s="163"/>
      <c r="D235" s="163"/>
      <c r="E235" s="163"/>
      <c r="F235" s="163"/>
      <c r="G235" s="163"/>
      <c r="H235" s="163"/>
      <c r="I235" s="36"/>
    </row>
    <row r="236" spans="1:9" s="65" customFormat="1" ht="15.75" customHeight="1" x14ac:dyDescent="0.35">
      <c r="A236" s="76">
        <v>1</v>
      </c>
      <c r="B236" s="78" t="s">
        <v>198</v>
      </c>
      <c r="C236" s="76" t="s">
        <v>201</v>
      </c>
      <c r="D236" s="58">
        <f>(36.96+2.79)*(10.764)</f>
        <v>427.86899999999997</v>
      </c>
      <c r="E236" s="76">
        <v>0</v>
      </c>
      <c r="F236" s="76">
        <f t="shared" ref="F236:F243" si="28">D236*(($F$174)+1)+(IF(E236&lt;101,E236,IF(E236&lt;201,E236/2,IF(E236&lt;=301,E236/3,E236/4))))</f>
        <v>641.80349999999999</v>
      </c>
      <c r="G236" s="95" t="str">
        <f>A235</f>
        <v>10th, 11th, 12th, 14th, 16th, 17th, 19th, 20th, 21st, 22nd &amp; 24th, 25th Floor</v>
      </c>
      <c r="H236" s="95"/>
      <c r="I236" s="36"/>
    </row>
    <row r="237" spans="1:9" s="65" customFormat="1" ht="15.75" customHeight="1" x14ac:dyDescent="0.35">
      <c r="A237" s="76">
        <f>A236+1</f>
        <v>2</v>
      </c>
      <c r="B237" s="78" t="s">
        <v>198</v>
      </c>
      <c r="C237" s="76" t="s">
        <v>201</v>
      </c>
      <c r="D237" s="58">
        <f>(36.54+2.79)*(10.764)</f>
        <v>423.34811999999994</v>
      </c>
      <c r="E237" s="76">
        <v>0</v>
      </c>
      <c r="F237" s="76">
        <f t="shared" si="28"/>
        <v>635.02217999999993</v>
      </c>
      <c r="G237" s="95"/>
      <c r="H237" s="95"/>
      <c r="I237" s="36"/>
    </row>
    <row r="238" spans="1:9" s="65" customFormat="1" ht="15.75" customHeight="1" x14ac:dyDescent="0.35">
      <c r="A238" s="76">
        <f t="shared" ref="A238:A240" si="29">A237+1</f>
        <v>3</v>
      </c>
      <c r="B238" s="78" t="s">
        <v>198</v>
      </c>
      <c r="C238" s="76" t="s">
        <v>201</v>
      </c>
      <c r="D238" s="58">
        <f>(36.96+2.79)*(10.764)</f>
        <v>427.86899999999997</v>
      </c>
      <c r="E238" s="76">
        <v>0</v>
      </c>
      <c r="F238" s="76">
        <f t="shared" si="28"/>
        <v>641.80349999999999</v>
      </c>
      <c r="G238" s="95"/>
      <c r="H238" s="95"/>
      <c r="I238" s="36"/>
    </row>
    <row r="239" spans="1:9" s="65" customFormat="1" ht="15.75" customHeight="1" x14ac:dyDescent="0.35">
      <c r="A239" s="76">
        <f t="shared" si="29"/>
        <v>4</v>
      </c>
      <c r="B239" s="78" t="s">
        <v>198</v>
      </c>
      <c r="C239" s="76" t="s">
        <v>201</v>
      </c>
      <c r="D239" s="58">
        <f>(36.96+2.79)*(10.764)</f>
        <v>427.86899999999997</v>
      </c>
      <c r="E239" s="76">
        <v>0</v>
      </c>
      <c r="F239" s="76">
        <f t="shared" si="28"/>
        <v>641.80349999999999</v>
      </c>
      <c r="G239" s="95"/>
      <c r="H239" s="95"/>
      <c r="I239" s="36"/>
    </row>
    <row r="240" spans="1:9" s="65" customFormat="1" ht="15.75" customHeight="1" x14ac:dyDescent="0.35">
      <c r="A240" s="76">
        <f t="shared" si="29"/>
        <v>5</v>
      </c>
      <c r="B240" s="78" t="s">
        <v>198</v>
      </c>
      <c r="C240" s="76" t="s">
        <v>200</v>
      </c>
      <c r="D240" s="58">
        <f>(49.14+2.79)*(10.764)</f>
        <v>558.97451999999998</v>
      </c>
      <c r="E240" s="76">
        <v>0</v>
      </c>
      <c r="F240" s="76">
        <f t="shared" si="28"/>
        <v>838.46177999999998</v>
      </c>
      <c r="G240" s="95"/>
      <c r="H240" s="95"/>
      <c r="I240" s="36"/>
    </row>
    <row r="241" spans="1:9" s="65" customFormat="1" ht="15.75" customHeight="1" x14ac:dyDescent="0.35">
      <c r="A241" s="76">
        <f>A240+1</f>
        <v>6</v>
      </c>
      <c r="B241" s="78" t="s">
        <v>198</v>
      </c>
      <c r="C241" s="76" t="s">
        <v>200</v>
      </c>
      <c r="D241" s="58">
        <f>(50.6+2.79)*(10.764)</f>
        <v>574.68995999999993</v>
      </c>
      <c r="E241" s="76">
        <v>0</v>
      </c>
      <c r="F241" s="76">
        <f t="shared" si="28"/>
        <v>862.03493999999989</v>
      </c>
      <c r="G241" s="95"/>
      <c r="H241" s="95"/>
      <c r="I241" s="36"/>
    </row>
    <row r="242" spans="1:9" s="65" customFormat="1" ht="15.75" customHeight="1" x14ac:dyDescent="0.35">
      <c r="A242" s="76">
        <f t="shared" ref="A242:A243" si="30">A241+1</f>
        <v>7</v>
      </c>
      <c r="B242" s="78" t="s">
        <v>198</v>
      </c>
      <c r="C242" s="76" t="s">
        <v>200</v>
      </c>
      <c r="D242" s="58">
        <f>(50.83+2.79)*(10.764)</f>
        <v>577.16567999999995</v>
      </c>
      <c r="E242" s="76">
        <v>0</v>
      </c>
      <c r="F242" s="76">
        <f t="shared" si="28"/>
        <v>865.74851999999987</v>
      </c>
      <c r="G242" s="95"/>
      <c r="H242" s="95"/>
      <c r="I242" s="36"/>
    </row>
    <row r="243" spans="1:9" s="65" customFormat="1" ht="15.75" customHeight="1" x14ac:dyDescent="0.35">
      <c r="A243" s="76">
        <f t="shared" si="30"/>
        <v>8</v>
      </c>
      <c r="B243" s="78" t="s">
        <v>198</v>
      </c>
      <c r="C243" s="76" t="s">
        <v>201</v>
      </c>
      <c r="D243" s="58">
        <f>(37.96+2.79)*(10.764)</f>
        <v>438.63299999999998</v>
      </c>
      <c r="E243" s="76">
        <v>0</v>
      </c>
      <c r="F243" s="76">
        <f t="shared" si="28"/>
        <v>657.94949999999994</v>
      </c>
      <c r="G243" s="95"/>
      <c r="H243" s="95"/>
      <c r="I243" s="36"/>
    </row>
    <row r="244" spans="1:9" s="65" customFormat="1" x14ac:dyDescent="0.35">
      <c r="A244" s="91" t="s">
        <v>205</v>
      </c>
      <c r="B244" s="92"/>
      <c r="C244" s="92"/>
      <c r="D244" s="92"/>
      <c r="E244" s="92"/>
      <c r="F244" s="92"/>
      <c r="G244" s="92"/>
      <c r="H244" s="93"/>
      <c r="I244" s="36"/>
    </row>
    <row r="245" spans="1:9" s="65" customFormat="1" ht="15.75" customHeight="1" x14ac:dyDescent="0.35">
      <c r="A245" s="54">
        <v>1</v>
      </c>
      <c r="B245" s="66" t="s">
        <v>222</v>
      </c>
      <c r="C245" s="174" t="s">
        <v>223</v>
      </c>
      <c r="D245" s="175"/>
      <c r="E245" s="175"/>
      <c r="F245" s="176"/>
      <c r="G245" s="85" t="str">
        <f>A244</f>
        <v>13th, 18th &amp; 23rd Floor (Part Refuge Area)</v>
      </c>
      <c r="H245" s="87"/>
      <c r="I245" s="36"/>
    </row>
    <row r="246" spans="1:9" s="65" customFormat="1" ht="15.75" customHeight="1" x14ac:dyDescent="0.35">
      <c r="A246" s="54">
        <f>A245+1</f>
        <v>2</v>
      </c>
      <c r="B246" s="66" t="s">
        <v>198</v>
      </c>
      <c r="C246" s="54" t="s">
        <v>201</v>
      </c>
      <c r="D246" s="68">
        <f>(36.54+2.79)*(10.764)</f>
        <v>423.34811999999994</v>
      </c>
      <c r="E246" s="54">
        <v>0</v>
      </c>
      <c r="F246" s="54">
        <f t="shared" ref="F246:F252" si="31">D246*(($F$174)+1)+(IF(E246&lt;101,E246,IF(E246&lt;201,E246/2,IF(E246&lt;=301,E246/3,E246/4))))</f>
        <v>635.02217999999993</v>
      </c>
      <c r="G246" s="145"/>
      <c r="H246" s="146"/>
      <c r="I246" s="36"/>
    </row>
    <row r="247" spans="1:9" s="65" customFormat="1" ht="15.75" customHeight="1" x14ac:dyDescent="0.35">
      <c r="A247" s="54">
        <f t="shared" ref="A247:A249" si="32">A246+1</f>
        <v>3</v>
      </c>
      <c r="B247" s="66" t="s">
        <v>198</v>
      </c>
      <c r="C247" s="54" t="s">
        <v>201</v>
      </c>
      <c r="D247" s="58">
        <f>(36.96+2.79)*(10.764)</f>
        <v>427.86899999999997</v>
      </c>
      <c r="E247" s="54">
        <v>0</v>
      </c>
      <c r="F247" s="54">
        <f t="shared" si="31"/>
        <v>641.80349999999999</v>
      </c>
      <c r="G247" s="145"/>
      <c r="H247" s="146"/>
      <c r="I247" s="36"/>
    </row>
    <row r="248" spans="1:9" s="65" customFormat="1" ht="15.75" customHeight="1" x14ac:dyDescent="0.35">
      <c r="A248" s="54">
        <f t="shared" si="32"/>
        <v>4</v>
      </c>
      <c r="B248" s="66" t="s">
        <v>198</v>
      </c>
      <c r="C248" s="54" t="s">
        <v>201</v>
      </c>
      <c r="D248" s="58">
        <f>(36.96+2.79)*(10.764)</f>
        <v>427.86899999999997</v>
      </c>
      <c r="E248" s="54">
        <v>0</v>
      </c>
      <c r="F248" s="54">
        <f t="shared" si="31"/>
        <v>641.80349999999999</v>
      </c>
      <c r="G248" s="145"/>
      <c r="H248" s="146"/>
      <c r="I248" s="36"/>
    </row>
    <row r="249" spans="1:9" s="65" customFormat="1" ht="15.75" customHeight="1" x14ac:dyDescent="0.35">
      <c r="A249" s="54">
        <f t="shared" si="32"/>
        <v>5</v>
      </c>
      <c r="B249" s="66" t="s">
        <v>198</v>
      </c>
      <c r="C249" s="54" t="s">
        <v>200</v>
      </c>
      <c r="D249" s="58">
        <f>(49.14+2.79)*(10.764)</f>
        <v>558.97451999999998</v>
      </c>
      <c r="E249" s="54">
        <v>0</v>
      </c>
      <c r="F249" s="54">
        <f t="shared" si="31"/>
        <v>838.46177999999998</v>
      </c>
      <c r="G249" s="145"/>
      <c r="H249" s="146"/>
      <c r="I249" s="36"/>
    </row>
    <row r="250" spans="1:9" s="65" customFormat="1" ht="15.75" customHeight="1" x14ac:dyDescent="0.35">
      <c r="A250" s="54">
        <f>A249+1</f>
        <v>6</v>
      </c>
      <c r="B250" s="66" t="s">
        <v>198</v>
      </c>
      <c r="C250" s="54" t="s">
        <v>200</v>
      </c>
      <c r="D250" s="58">
        <f>(50.6+2.79)*(10.764)</f>
        <v>574.68995999999993</v>
      </c>
      <c r="E250" s="54">
        <v>0</v>
      </c>
      <c r="F250" s="54">
        <f t="shared" si="31"/>
        <v>862.03493999999989</v>
      </c>
      <c r="G250" s="145"/>
      <c r="H250" s="146"/>
      <c r="I250" s="36"/>
    </row>
    <row r="251" spans="1:9" s="65" customFormat="1" ht="15.75" customHeight="1" x14ac:dyDescent="0.35">
      <c r="A251" s="54">
        <f t="shared" ref="A251:A252" si="33">A250+1</f>
        <v>7</v>
      </c>
      <c r="B251" s="66" t="s">
        <v>198</v>
      </c>
      <c r="C251" s="54" t="s">
        <v>200</v>
      </c>
      <c r="D251" s="58">
        <f>(50.83+2.79)*(10.764)</f>
        <v>577.16567999999995</v>
      </c>
      <c r="E251" s="54">
        <v>0</v>
      </c>
      <c r="F251" s="54">
        <f t="shared" si="31"/>
        <v>865.74851999999987</v>
      </c>
      <c r="G251" s="145"/>
      <c r="H251" s="146"/>
      <c r="I251" s="36"/>
    </row>
    <row r="252" spans="1:9" s="65" customFormat="1" ht="15.75" customHeight="1" x14ac:dyDescent="0.35">
      <c r="A252" s="54">
        <f t="shared" si="33"/>
        <v>8</v>
      </c>
      <c r="B252" s="66" t="s">
        <v>198</v>
      </c>
      <c r="C252" s="54" t="s">
        <v>201</v>
      </c>
      <c r="D252" s="58">
        <f>(37.96+2.79)*(10.764)</f>
        <v>438.63299999999998</v>
      </c>
      <c r="E252" s="54">
        <v>0</v>
      </c>
      <c r="F252" s="54">
        <f t="shared" si="31"/>
        <v>657.94949999999994</v>
      </c>
      <c r="G252" s="145"/>
      <c r="H252" s="146"/>
      <c r="I252" s="36"/>
    </row>
    <row r="253" spans="1:9" s="65" customFormat="1" x14ac:dyDescent="0.35">
      <c r="A253" s="91" t="s">
        <v>224</v>
      </c>
      <c r="B253" s="92"/>
      <c r="C253" s="92"/>
      <c r="D253" s="92"/>
      <c r="E253" s="92"/>
      <c r="F253" s="92"/>
      <c r="G253" s="92"/>
      <c r="H253" s="93"/>
      <c r="I253" s="36"/>
    </row>
    <row r="254" spans="1:9" s="65" customFormat="1" ht="15.75" customHeight="1" x14ac:dyDescent="0.35">
      <c r="A254" s="54">
        <v>1</v>
      </c>
      <c r="B254" s="66" t="s">
        <v>222</v>
      </c>
      <c r="C254" s="85" t="s">
        <v>225</v>
      </c>
      <c r="D254" s="86"/>
      <c r="E254" s="86"/>
      <c r="F254" s="87"/>
      <c r="G254" s="85" t="str">
        <f>A253</f>
        <v>26th Floor (Part Terrace Area)</v>
      </c>
      <c r="H254" s="87"/>
      <c r="I254" s="36"/>
    </row>
    <row r="255" spans="1:9" s="65" customFormat="1" ht="15.75" customHeight="1" x14ac:dyDescent="0.35">
      <c r="A255" s="54">
        <f>A254+1</f>
        <v>2</v>
      </c>
      <c r="B255" s="66" t="s">
        <v>222</v>
      </c>
      <c r="C255" s="88"/>
      <c r="D255" s="89"/>
      <c r="E255" s="89"/>
      <c r="F255" s="90"/>
      <c r="G255" s="145"/>
      <c r="H255" s="146"/>
      <c r="I255" s="36"/>
    </row>
    <row r="256" spans="1:9" s="65" customFormat="1" ht="15.75" customHeight="1" x14ac:dyDescent="0.35">
      <c r="A256" s="54">
        <f t="shared" ref="A256:A258" si="34">A255+1</f>
        <v>3</v>
      </c>
      <c r="B256" s="66" t="s">
        <v>198</v>
      </c>
      <c r="C256" s="54" t="s">
        <v>201</v>
      </c>
      <c r="D256" s="58">
        <f>(36.96+2.79)*(10.764)</f>
        <v>427.86899999999997</v>
      </c>
      <c r="E256" s="54">
        <v>0</v>
      </c>
      <c r="F256" s="54">
        <f t="shared" ref="F256:F259" si="35">D256*(($F$174)+1)+(IF(E256&lt;101,E256,IF(E256&lt;201,E256/2,IF(E256&lt;=301,E256/3,E256/4))))</f>
        <v>641.80349999999999</v>
      </c>
      <c r="G256" s="145"/>
      <c r="H256" s="146"/>
      <c r="I256" s="36"/>
    </row>
    <row r="257" spans="1:9" s="65" customFormat="1" ht="15.75" customHeight="1" x14ac:dyDescent="0.35">
      <c r="A257" s="54">
        <f t="shared" si="34"/>
        <v>4</v>
      </c>
      <c r="B257" s="66" t="s">
        <v>198</v>
      </c>
      <c r="C257" s="54" t="s">
        <v>201</v>
      </c>
      <c r="D257" s="58">
        <f>(36.96+2.79)*(10.764)</f>
        <v>427.86899999999997</v>
      </c>
      <c r="E257" s="54">
        <v>0</v>
      </c>
      <c r="F257" s="54">
        <f t="shared" si="35"/>
        <v>641.80349999999999</v>
      </c>
      <c r="G257" s="145"/>
      <c r="H257" s="146"/>
      <c r="I257" s="36"/>
    </row>
    <row r="258" spans="1:9" s="65" customFormat="1" ht="15.75" customHeight="1" x14ac:dyDescent="0.35">
      <c r="A258" s="54">
        <f t="shared" si="34"/>
        <v>5</v>
      </c>
      <c r="B258" s="66" t="s">
        <v>198</v>
      </c>
      <c r="C258" s="54" t="s">
        <v>200</v>
      </c>
      <c r="D258" s="58">
        <f>(49.14+2.79)*(10.764)</f>
        <v>558.97451999999998</v>
      </c>
      <c r="E258" s="54">
        <v>0</v>
      </c>
      <c r="F258" s="54">
        <f t="shared" si="35"/>
        <v>838.46177999999998</v>
      </c>
      <c r="G258" s="145"/>
      <c r="H258" s="146"/>
      <c r="I258" s="36"/>
    </row>
    <row r="259" spans="1:9" s="65" customFormat="1" ht="15.75" customHeight="1" x14ac:dyDescent="0.35">
      <c r="A259" s="54">
        <f>A258+1</f>
        <v>6</v>
      </c>
      <c r="B259" s="66" t="s">
        <v>198</v>
      </c>
      <c r="C259" s="54" t="s">
        <v>200</v>
      </c>
      <c r="D259" s="58">
        <f>(50.6+2.79)*(10.764)</f>
        <v>574.68995999999993</v>
      </c>
      <c r="E259" s="54">
        <v>0</v>
      </c>
      <c r="F259" s="54">
        <f t="shared" si="35"/>
        <v>862.03493999999989</v>
      </c>
      <c r="G259" s="145"/>
      <c r="H259" s="146"/>
      <c r="I259" s="36"/>
    </row>
    <row r="260" spans="1:9" s="65" customFormat="1" ht="15.75" customHeight="1" x14ac:dyDescent="0.35">
      <c r="A260" s="54">
        <f t="shared" ref="A260:A261" si="36">A259+1</f>
        <v>7</v>
      </c>
      <c r="B260" s="66" t="s">
        <v>222</v>
      </c>
      <c r="C260" s="85" t="s">
        <v>225</v>
      </c>
      <c r="D260" s="86"/>
      <c r="E260" s="86"/>
      <c r="F260" s="87"/>
      <c r="G260" s="145"/>
      <c r="H260" s="146"/>
      <c r="I260" s="36"/>
    </row>
    <row r="261" spans="1:9" s="65" customFormat="1" ht="15.75" customHeight="1" x14ac:dyDescent="0.35">
      <c r="A261" s="54">
        <f t="shared" si="36"/>
        <v>8</v>
      </c>
      <c r="B261" s="66" t="s">
        <v>222</v>
      </c>
      <c r="C261" s="88"/>
      <c r="D261" s="89"/>
      <c r="E261" s="89"/>
      <c r="F261" s="90"/>
      <c r="G261" s="145"/>
      <c r="H261" s="146"/>
      <c r="I261" s="36"/>
    </row>
    <row r="262" spans="1:9" s="65" customFormat="1" x14ac:dyDescent="0.35">
      <c r="A262" s="91" t="s">
        <v>206</v>
      </c>
      <c r="B262" s="92"/>
      <c r="C262" s="92"/>
      <c r="D262" s="92"/>
      <c r="E262" s="92"/>
      <c r="F262" s="92"/>
      <c r="G262" s="92"/>
      <c r="H262" s="93"/>
      <c r="I262" s="36"/>
    </row>
    <row r="263" spans="1:9" s="57" customFormat="1" x14ac:dyDescent="0.35">
      <c r="A263" s="147" t="s">
        <v>233</v>
      </c>
      <c r="B263" s="148"/>
      <c r="C263" s="148"/>
      <c r="D263" s="148"/>
      <c r="E263" s="148"/>
      <c r="F263" s="148"/>
      <c r="G263" s="148"/>
      <c r="H263" s="149"/>
      <c r="I263" s="36"/>
    </row>
    <row r="264" spans="1:9" s="57" customFormat="1" x14ac:dyDescent="0.35">
      <c r="A264" s="91" t="s">
        <v>207</v>
      </c>
      <c r="B264" s="92"/>
      <c r="C264" s="92"/>
      <c r="D264" s="92"/>
      <c r="E264" s="92"/>
      <c r="F264" s="92"/>
      <c r="G264" s="92"/>
      <c r="H264" s="93"/>
      <c r="I264" s="36"/>
    </row>
    <row r="265" spans="1:9" s="57" customFormat="1" x14ac:dyDescent="0.35">
      <c r="A265" s="91" t="s">
        <v>196</v>
      </c>
      <c r="B265" s="92"/>
      <c r="C265" s="92"/>
      <c r="D265" s="92"/>
      <c r="E265" s="92"/>
      <c r="F265" s="92"/>
      <c r="G265" s="92"/>
      <c r="H265" s="93"/>
      <c r="I265" s="36"/>
    </row>
    <row r="266" spans="1:9" s="57" customFormat="1" x14ac:dyDescent="0.35">
      <c r="A266" s="91" t="s">
        <v>197</v>
      </c>
      <c r="B266" s="92"/>
      <c r="C266" s="92"/>
      <c r="D266" s="92"/>
      <c r="E266" s="92"/>
      <c r="F266" s="92"/>
      <c r="G266" s="92"/>
      <c r="H266" s="93"/>
      <c r="I266" s="36"/>
    </row>
    <row r="267" spans="1:9" s="57" customFormat="1" ht="15.75" customHeight="1" x14ac:dyDescent="0.35">
      <c r="A267" s="54">
        <v>1</v>
      </c>
      <c r="B267" s="66" t="s">
        <v>198</v>
      </c>
      <c r="C267" s="54" t="s">
        <v>200</v>
      </c>
      <c r="D267" s="58">
        <f>(50.18)*(10.764)</f>
        <v>540.13751999999999</v>
      </c>
      <c r="E267" s="54">
        <v>0</v>
      </c>
      <c r="F267" s="54">
        <f t="shared" ref="F267:F274" si="37">D267*(($F$174)+1)+(IF(E267&lt;101,E267,IF(E267&lt;201,E267/2,IF(E267&lt;=301,E267/3,E267/4))))</f>
        <v>810.20627999999999</v>
      </c>
      <c r="G267" s="85" t="str">
        <f>A266</f>
        <v>5th to 7th &amp; 9th Floor For Residential</v>
      </c>
      <c r="H267" s="87"/>
      <c r="I267" s="36"/>
    </row>
    <row r="268" spans="1:9" s="57" customFormat="1" ht="15.75" customHeight="1" x14ac:dyDescent="0.35">
      <c r="A268" s="54">
        <f>A267+1</f>
        <v>2</v>
      </c>
      <c r="B268" s="66" t="s">
        <v>198</v>
      </c>
      <c r="C268" s="54" t="s">
        <v>201</v>
      </c>
      <c r="D268" s="58">
        <f>(36.39)*(10.764)</f>
        <v>391.70195999999999</v>
      </c>
      <c r="E268" s="54">
        <v>0</v>
      </c>
      <c r="F268" s="54">
        <f t="shared" si="37"/>
        <v>587.55294000000004</v>
      </c>
      <c r="G268" s="145"/>
      <c r="H268" s="146"/>
      <c r="I268" s="36"/>
    </row>
    <row r="269" spans="1:9" s="57" customFormat="1" ht="15.75" customHeight="1" x14ac:dyDescent="0.35">
      <c r="A269" s="54">
        <f t="shared" ref="A269:A271" si="38">A268+1</f>
        <v>3</v>
      </c>
      <c r="B269" s="66" t="s">
        <v>198</v>
      </c>
      <c r="C269" s="54" t="s">
        <v>201</v>
      </c>
      <c r="D269" s="58">
        <f>(36.39)*(10.764)</f>
        <v>391.70195999999999</v>
      </c>
      <c r="E269" s="54">
        <v>0</v>
      </c>
      <c r="F269" s="54">
        <f t="shared" si="37"/>
        <v>587.55294000000004</v>
      </c>
      <c r="G269" s="145"/>
      <c r="H269" s="146"/>
      <c r="I269" s="36"/>
    </row>
    <row r="270" spans="1:9" s="57" customFormat="1" ht="15.75" customHeight="1" x14ac:dyDescent="0.35">
      <c r="A270" s="54">
        <f t="shared" si="38"/>
        <v>4</v>
      </c>
      <c r="B270" s="66" t="s">
        <v>198</v>
      </c>
      <c r="C270" s="54" t="s">
        <v>201</v>
      </c>
      <c r="D270" s="58">
        <f>(36.39)*(10.764)</f>
        <v>391.70195999999999</v>
      </c>
      <c r="E270" s="54">
        <v>0</v>
      </c>
      <c r="F270" s="54">
        <f t="shared" si="37"/>
        <v>587.55294000000004</v>
      </c>
      <c r="G270" s="145"/>
      <c r="H270" s="146"/>
      <c r="I270" s="36"/>
    </row>
    <row r="271" spans="1:9" s="57" customFormat="1" ht="15.75" customHeight="1" x14ac:dyDescent="0.35">
      <c r="A271" s="54">
        <f t="shared" si="38"/>
        <v>5</v>
      </c>
      <c r="B271" s="66" t="s">
        <v>198</v>
      </c>
      <c r="C271" s="54" t="s">
        <v>201</v>
      </c>
      <c r="D271" s="58">
        <f>(36.39)*(10.764)</f>
        <v>391.70195999999999</v>
      </c>
      <c r="E271" s="54">
        <v>0</v>
      </c>
      <c r="F271" s="54">
        <f t="shared" si="37"/>
        <v>587.55294000000004</v>
      </c>
      <c r="G271" s="145"/>
      <c r="H271" s="146"/>
      <c r="I271" s="36"/>
    </row>
    <row r="272" spans="1:9" s="57" customFormat="1" ht="15.75" customHeight="1" x14ac:dyDescent="0.35">
      <c r="A272" s="54">
        <f>A271+1</f>
        <v>6</v>
      </c>
      <c r="B272" s="66" t="s">
        <v>198</v>
      </c>
      <c r="C272" s="54" t="s">
        <v>201</v>
      </c>
      <c r="D272" s="58">
        <f>(36.39)*(10.764)</f>
        <v>391.70195999999999</v>
      </c>
      <c r="E272" s="54">
        <v>0</v>
      </c>
      <c r="F272" s="54">
        <f t="shared" si="37"/>
        <v>587.55294000000004</v>
      </c>
      <c r="G272" s="145"/>
      <c r="H272" s="146"/>
      <c r="I272" s="36"/>
    </row>
    <row r="273" spans="1:9" s="57" customFormat="1" ht="15.75" customHeight="1" x14ac:dyDescent="0.35">
      <c r="A273" s="54">
        <f t="shared" ref="A273:A274" si="39">A272+1</f>
        <v>7</v>
      </c>
      <c r="B273" s="66" t="s">
        <v>198</v>
      </c>
      <c r="C273" s="54" t="s">
        <v>200</v>
      </c>
      <c r="D273" s="58">
        <f>(50.18)*(10.764)</f>
        <v>540.13751999999999</v>
      </c>
      <c r="E273" s="54">
        <v>0</v>
      </c>
      <c r="F273" s="54">
        <f t="shared" si="37"/>
        <v>810.20627999999999</v>
      </c>
      <c r="G273" s="145"/>
      <c r="H273" s="146"/>
      <c r="I273" s="36"/>
    </row>
    <row r="274" spans="1:9" s="57" customFormat="1" ht="15.75" customHeight="1" x14ac:dyDescent="0.35">
      <c r="A274" s="54">
        <f t="shared" si="39"/>
        <v>8</v>
      </c>
      <c r="B274" s="66" t="s">
        <v>198</v>
      </c>
      <c r="C274" s="54" t="s">
        <v>200</v>
      </c>
      <c r="D274" s="58">
        <f>(51.91)*(10.764)</f>
        <v>558.75923999999998</v>
      </c>
      <c r="E274" s="54">
        <v>0</v>
      </c>
      <c r="F274" s="54">
        <f t="shared" si="37"/>
        <v>838.13886000000002</v>
      </c>
      <c r="G274" s="145"/>
      <c r="H274" s="146"/>
      <c r="I274" s="36"/>
    </row>
    <row r="275" spans="1:9" s="65" customFormat="1" x14ac:dyDescent="0.35">
      <c r="A275" s="163" t="s">
        <v>203</v>
      </c>
      <c r="B275" s="163"/>
      <c r="C275" s="163"/>
      <c r="D275" s="163"/>
      <c r="E275" s="163"/>
      <c r="F275" s="163"/>
      <c r="G275" s="163"/>
      <c r="H275" s="163"/>
      <c r="I275" s="36"/>
    </row>
    <row r="276" spans="1:9" s="65" customFormat="1" ht="15.75" customHeight="1" x14ac:dyDescent="0.35">
      <c r="A276" s="76">
        <v>1</v>
      </c>
      <c r="B276" s="78" t="s">
        <v>198</v>
      </c>
      <c r="C276" s="76" t="s">
        <v>200</v>
      </c>
      <c r="D276" s="58">
        <f>(50.18)*(10.764)</f>
        <v>540.13751999999999</v>
      </c>
      <c r="E276" s="76">
        <v>0</v>
      </c>
      <c r="F276" s="76">
        <f>D276*(($F$174)+1)+(IF(E276&lt;101,E276,IF(E276&lt;201,E276/2,IF(E276&lt;=301,E276/3,E276/4))))</f>
        <v>810.20627999999999</v>
      </c>
      <c r="G276" s="95" t="str">
        <f>A275</f>
        <v>8th Floor (Part Refuge Area)</v>
      </c>
      <c r="H276" s="95"/>
      <c r="I276" s="36"/>
    </row>
    <row r="277" spans="1:9" s="65" customFormat="1" ht="15.75" customHeight="1" x14ac:dyDescent="0.35">
      <c r="A277" s="76">
        <f>A276+1</f>
        <v>2</v>
      </c>
      <c r="B277" s="78" t="s">
        <v>198</v>
      </c>
      <c r="C277" s="76" t="s">
        <v>201</v>
      </c>
      <c r="D277" s="58">
        <f>(36.39)*(10.764)</f>
        <v>391.70195999999999</v>
      </c>
      <c r="E277" s="76">
        <v>0</v>
      </c>
      <c r="F277" s="76">
        <f>D277*(($F$174)+1)+(IF(E277&lt;101,E277,IF(E277&lt;201,E277/2,IF(E277&lt;=301,E277/3,E277/4))))</f>
        <v>587.55294000000004</v>
      </c>
      <c r="G277" s="95"/>
      <c r="H277" s="95"/>
      <c r="I277" s="36"/>
    </row>
    <row r="278" spans="1:9" s="65" customFormat="1" ht="15.75" customHeight="1" x14ac:dyDescent="0.35">
      <c r="A278" s="76">
        <f t="shared" ref="A278:A280" si="40">A277+1</f>
        <v>3</v>
      </c>
      <c r="B278" s="78" t="s">
        <v>198</v>
      </c>
      <c r="C278" s="76" t="s">
        <v>201</v>
      </c>
      <c r="D278" s="58">
        <f>(36.39)*(10.764)</f>
        <v>391.70195999999999</v>
      </c>
      <c r="E278" s="76">
        <v>0</v>
      </c>
      <c r="F278" s="76">
        <f>D278*(($F$174)+1)+(IF(E278&lt;101,E278,IF(E278&lt;201,E278/2,IF(E278&lt;=301,E278/3,E278/4))))</f>
        <v>587.55294000000004</v>
      </c>
      <c r="G278" s="95"/>
      <c r="H278" s="95"/>
      <c r="I278" s="36"/>
    </row>
    <row r="279" spans="1:9" s="65" customFormat="1" ht="15.75" customHeight="1" x14ac:dyDescent="0.35">
      <c r="A279" s="76">
        <f t="shared" si="40"/>
        <v>4</v>
      </c>
      <c r="B279" s="78" t="s">
        <v>198</v>
      </c>
      <c r="C279" s="76" t="s">
        <v>201</v>
      </c>
      <c r="D279" s="58">
        <f>(36.39)*(10.764)</f>
        <v>391.70195999999999</v>
      </c>
      <c r="E279" s="76">
        <v>0</v>
      </c>
      <c r="F279" s="76">
        <f>D279*(($F$174)+1)+(IF(E279&lt;101,E279,IF(E279&lt;201,E279/2,IF(E279&lt;=301,E279/3,E279/4))))</f>
        <v>587.55294000000004</v>
      </c>
      <c r="G279" s="95"/>
      <c r="H279" s="95"/>
      <c r="I279" s="36"/>
    </row>
    <row r="280" spans="1:9" s="65" customFormat="1" ht="15.75" customHeight="1" x14ac:dyDescent="0.35">
      <c r="A280" s="76">
        <f t="shared" si="40"/>
        <v>5</v>
      </c>
      <c r="B280" s="78" t="s">
        <v>198</v>
      </c>
      <c r="C280" s="76" t="s">
        <v>201</v>
      </c>
      <c r="D280" s="58">
        <f>(36.39)*(10.764)</f>
        <v>391.70195999999999</v>
      </c>
      <c r="E280" s="76">
        <v>0</v>
      </c>
      <c r="F280" s="76">
        <f>D280*(($F$174)+1)+(IF(E280&lt;101,E280,IF(E280&lt;201,E280/2,IF(E280&lt;=301,E280/3,E280/4))))</f>
        <v>587.55294000000004</v>
      </c>
      <c r="G280" s="95"/>
      <c r="H280" s="95"/>
      <c r="I280" s="36"/>
    </row>
    <row r="281" spans="1:9" s="65" customFormat="1" ht="15.75" customHeight="1" x14ac:dyDescent="0.35">
      <c r="A281" s="76">
        <f>A280+1</f>
        <v>6</v>
      </c>
      <c r="B281" s="78" t="s">
        <v>222</v>
      </c>
      <c r="C281" s="95" t="s">
        <v>223</v>
      </c>
      <c r="D281" s="95"/>
      <c r="E281" s="95"/>
      <c r="F281" s="95"/>
      <c r="G281" s="95"/>
      <c r="H281" s="95"/>
      <c r="I281" s="36"/>
    </row>
    <row r="282" spans="1:9" s="65" customFormat="1" ht="15.75" customHeight="1" x14ac:dyDescent="0.35">
      <c r="A282" s="76">
        <f t="shared" ref="A282:A283" si="41">A281+1</f>
        <v>7</v>
      </c>
      <c r="B282" s="78" t="s">
        <v>198</v>
      </c>
      <c r="C282" s="76" t="s">
        <v>200</v>
      </c>
      <c r="D282" s="58">
        <f>(50.18)*(10.764)</f>
        <v>540.13751999999999</v>
      </c>
      <c r="E282" s="76">
        <v>0</v>
      </c>
      <c r="F282" s="76">
        <f>D282*(($F$174)+1)+(IF(E282&lt;101,E282,IF(E282&lt;201,E282/2,IF(E282&lt;=301,E282/3,E282/4))))</f>
        <v>810.20627999999999</v>
      </c>
      <c r="G282" s="95"/>
      <c r="H282" s="95"/>
      <c r="I282" s="36"/>
    </row>
    <row r="283" spans="1:9" s="65" customFormat="1" ht="15.75" customHeight="1" x14ac:dyDescent="0.35">
      <c r="A283" s="76">
        <f t="shared" si="41"/>
        <v>8</v>
      </c>
      <c r="B283" s="78" t="s">
        <v>198</v>
      </c>
      <c r="C283" s="76" t="s">
        <v>200</v>
      </c>
      <c r="D283" s="58">
        <f>(51.91)*(10.764)</f>
        <v>558.75923999999998</v>
      </c>
      <c r="E283" s="76">
        <v>0</v>
      </c>
      <c r="F283" s="76">
        <f>D283*(($F$174)+1)+(IF(E283&lt;101,E283,IF(E283&lt;201,E283/2,IF(E283&lt;=301,E283/3,E283/4))))</f>
        <v>838.13886000000002</v>
      </c>
      <c r="G283" s="95"/>
      <c r="H283" s="95"/>
      <c r="I283" s="36"/>
    </row>
    <row r="284" spans="1:9" s="65" customFormat="1" x14ac:dyDescent="0.35">
      <c r="A284" s="163" t="s">
        <v>204</v>
      </c>
      <c r="B284" s="163"/>
      <c r="C284" s="163"/>
      <c r="D284" s="163"/>
      <c r="E284" s="163"/>
      <c r="F284" s="163"/>
      <c r="G284" s="163"/>
      <c r="H284" s="163"/>
      <c r="I284" s="36"/>
    </row>
    <row r="285" spans="1:9" s="65" customFormat="1" ht="15.75" customHeight="1" x14ac:dyDescent="0.35">
      <c r="A285" s="54">
        <v>1</v>
      </c>
      <c r="B285" s="69" t="s">
        <v>198</v>
      </c>
      <c r="C285" s="54" t="s">
        <v>200</v>
      </c>
      <c r="D285" s="58">
        <f>(50.75+2.79)*(10.764)</f>
        <v>576.30455999999992</v>
      </c>
      <c r="E285" s="54">
        <v>0</v>
      </c>
      <c r="F285" s="54">
        <f t="shared" ref="F285:F292" si="42">D285*(($F$174)+1)+(IF(E285&lt;101,E285,IF(E285&lt;201,E285/2,IF(E285&lt;=301,E285/3,E285/4))))</f>
        <v>864.45683999999983</v>
      </c>
      <c r="G285" s="95" t="str">
        <f>A284</f>
        <v>10th, 11th, 12th, 14th, 16th, 17th, 19th, 20th, 21st, 22nd &amp; 24th, 25th Floor</v>
      </c>
      <c r="H285" s="95"/>
      <c r="I285" s="36"/>
    </row>
    <row r="286" spans="1:9" s="65" customFormat="1" ht="15.75" customHeight="1" x14ac:dyDescent="0.35">
      <c r="A286" s="54">
        <f>A285+1</f>
        <v>2</v>
      </c>
      <c r="B286" s="69" t="s">
        <v>198</v>
      </c>
      <c r="C286" s="54" t="s">
        <v>201</v>
      </c>
      <c r="D286" s="58">
        <f>(36.96+2.79)*(10.764)</f>
        <v>427.86899999999997</v>
      </c>
      <c r="E286" s="54">
        <v>0</v>
      </c>
      <c r="F286" s="54">
        <f t="shared" si="42"/>
        <v>641.80349999999999</v>
      </c>
      <c r="G286" s="95"/>
      <c r="H286" s="95"/>
      <c r="I286" s="36"/>
    </row>
    <row r="287" spans="1:9" s="65" customFormat="1" ht="15.75" customHeight="1" x14ac:dyDescent="0.35">
      <c r="A287" s="54">
        <f t="shared" ref="A287:A289" si="43">A286+1</f>
        <v>3</v>
      </c>
      <c r="B287" s="69" t="s">
        <v>198</v>
      </c>
      <c r="C287" s="54" t="s">
        <v>201</v>
      </c>
      <c r="D287" s="58">
        <f>(36.96+2.79)*(10.764)</f>
        <v>427.86899999999997</v>
      </c>
      <c r="E287" s="54">
        <v>0</v>
      </c>
      <c r="F287" s="54">
        <f t="shared" si="42"/>
        <v>641.80349999999999</v>
      </c>
      <c r="G287" s="95"/>
      <c r="H287" s="95"/>
      <c r="I287" s="36"/>
    </row>
    <row r="288" spans="1:9" s="65" customFormat="1" ht="15.75" customHeight="1" x14ac:dyDescent="0.35">
      <c r="A288" s="54">
        <f t="shared" si="43"/>
        <v>4</v>
      </c>
      <c r="B288" s="69" t="s">
        <v>198</v>
      </c>
      <c r="C288" s="54" t="s">
        <v>201</v>
      </c>
      <c r="D288" s="58">
        <f>(36.92+2.79)*(10.764)</f>
        <v>427.43843999999996</v>
      </c>
      <c r="E288" s="54">
        <v>0</v>
      </c>
      <c r="F288" s="54">
        <f t="shared" si="42"/>
        <v>641.15765999999996</v>
      </c>
      <c r="G288" s="95"/>
      <c r="H288" s="95"/>
      <c r="I288" s="36"/>
    </row>
    <row r="289" spans="1:9" s="65" customFormat="1" ht="15.75" customHeight="1" x14ac:dyDescent="0.35">
      <c r="A289" s="54">
        <f t="shared" si="43"/>
        <v>5</v>
      </c>
      <c r="B289" s="69" t="s">
        <v>198</v>
      </c>
      <c r="C289" s="54" t="s">
        <v>201</v>
      </c>
      <c r="D289" s="58">
        <f>(36.96+2.79)*(10.764)</f>
        <v>427.86899999999997</v>
      </c>
      <c r="E289" s="54">
        <v>0</v>
      </c>
      <c r="F289" s="54">
        <f t="shared" si="42"/>
        <v>641.80349999999999</v>
      </c>
      <c r="G289" s="95"/>
      <c r="H289" s="95"/>
      <c r="I289" s="36"/>
    </row>
    <row r="290" spans="1:9" s="65" customFormat="1" ht="15.75" customHeight="1" x14ac:dyDescent="0.35">
      <c r="A290" s="54">
        <f>A289+1</f>
        <v>6</v>
      </c>
      <c r="B290" s="69" t="s">
        <v>198</v>
      </c>
      <c r="C290" s="54" t="s">
        <v>201</v>
      </c>
      <c r="D290" s="58">
        <f>(36.93+2.79)*(10.764)</f>
        <v>427.54607999999996</v>
      </c>
      <c r="E290" s="54">
        <v>0</v>
      </c>
      <c r="F290" s="54">
        <f t="shared" si="42"/>
        <v>641.31911999999988</v>
      </c>
      <c r="G290" s="95"/>
      <c r="H290" s="95"/>
      <c r="I290" s="36"/>
    </row>
    <row r="291" spans="1:9" s="65" customFormat="1" ht="15.75" customHeight="1" x14ac:dyDescent="0.35">
      <c r="A291" s="54">
        <f t="shared" ref="A291:A292" si="44">A290+1</f>
        <v>7</v>
      </c>
      <c r="B291" s="69" t="s">
        <v>198</v>
      </c>
      <c r="C291" s="54" t="s">
        <v>200</v>
      </c>
      <c r="D291" s="58">
        <f>(50.74+2.79)*(10.764)</f>
        <v>576.19691999999998</v>
      </c>
      <c r="E291" s="54">
        <v>0</v>
      </c>
      <c r="F291" s="54">
        <f t="shared" si="42"/>
        <v>864.29538000000002</v>
      </c>
      <c r="G291" s="95"/>
      <c r="H291" s="95"/>
      <c r="I291" s="36"/>
    </row>
    <row r="292" spans="1:9" s="65" customFormat="1" ht="15.75" customHeight="1" x14ac:dyDescent="0.35">
      <c r="A292" s="54">
        <f t="shared" si="44"/>
        <v>8</v>
      </c>
      <c r="B292" s="69" t="s">
        <v>198</v>
      </c>
      <c r="C292" s="54" t="s">
        <v>200</v>
      </c>
      <c r="D292" s="58">
        <f>(52.48+2.79)*(10.764)</f>
        <v>594.92627999999991</v>
      </c>
      <c r="E292" s="54">
        <v>0</v>
      </c>
      <c r="F292" s="54">
        <f t="shared" si="42"/>
        <v>892.38941999999986</v>
      </c>
      <c r="G292" s="95"/>
      <c r="H292" s="95"/>
      <c r="I292" s="36"/>
    </row>
    <row r="293" spans="1:9" s="65" customFormat="1" x14ac:dyDescent="0.35">
      <c r="A293" s="91" t="s">
        <v>205</v>
      </c>
      <c r="B293" s="92"/>
      <c r="C293" s="92"/>
      <c r="D293" s="92"/>
      <c r="E293" s="92"/>
      <c r="F293" s="92"/>
      <c r="G293" s="92"/>
      <c r="H293" s="93"/>
      <c r="I293" s="36"/>
    </row>
    <row r="294" spans="1:9" s="65" customFormat="1" ht="15.75" customHeight="1" x14ac:dyDescent="0.35">
      <c r="A294" s="54">
        <v>1</v>
      </c>
      <c r="B294" s="66" t="s">
        <v>198</v>
      </c>
      <c r="C294" s="54" t="s">
        <v>200</v>
      </c>
      <c r="D294" s="58">
        <f>(50.75+2.79)*(10.764)</f>
        <v>576.30455999999992</v>
      </c>
      <c r="E294" s="54">
        <v>0</v>
      </c>
      <c r="F294" s="54">
        <f>D294*(($F$174)+1)+(IF(E294&lt;101,E294,IF(E294&lt;201,E294/2,IF(E294&lt;=301,E294/3,E294/4))))</f>
        <v>864.45683999999983</v>
      </c>
      <c r="G294" s="85" t="str">
        <f>A293</f>
        <v>13th, 18th &amp; 23rd Floor (Part Refuge Area)</v>
      </c>
      <c r="H294" s="87"/>
      <c r="I294" s="36"/>
    </row>
    <row r="295" spans="1:9" s="65" customFormat="1" ht="15.75" customHeight="1" x14ac:dyDescent="0.35">
      <c r="A295" s="54">
        <f>A294+1</f>
        <v>2</v>
      </c>
      <c r="B295" s="66" t="s">
        <v>198</v>
      </c>
      <c r="C295" s="54" t="s">
        <v>201</v>
      </c>
      <c r="D295" s="58">
        <f>(36.96+2.79)*(10.764)</f>
        <v>427.86899999999997</v>
      </c>
      <c r="E295" s="54">
        <v>0</v>
      </c>
      <c r="F295" s="54">
        <f>D295*(($F$174)+1)+(IF(E295&lt;101,E295,IF(E295&lt;201,E295/2,IF(E295&lt;=301,E295/3,E295/4))))</f>
        <v>641.80349999999999</v>
      </c>
      <c r="G295" s="145"/>
      <c r="H295" s="146"/>
      <c r="I295" s="36"/>
    </row>
    <row r="296" spans="1:9" s="65" customFormat="1" ht="15.75" customHeight="1" x14ac:dyDescent="0.35">
      <c r="A296" s="54">
        <f t="shared" ref="A296:A298" si="45">A295+1</f>
        <v>3</v>
      </c>
      <c r="B296" s="66" t="s">
        <v>198</v>
      </c>
      <c r="C296" s="54" t="s">
        <v>201</v>
      </c>
      <c r="D296" s="58">
        <f>(36.96+2.79)*(10.764)</f>
        <v>427.86899999999997</v>
      </c>
      <c r="E296" s="54">
        <v>0</v>
      </c>
      <c r="F296" s="54">
        <f>D296*(($F$174)+1)+(IF(E296&lt;101,E296,IF(E296&lt;201,E296/2,IF(E296&lt;=301,E296/3,E296/4))))</f>
        <v>641.80349999999999</v>
      </c>
      <c r="G296" s="145"/>
      <c r="H296" s="146"/>
      <c r="I296" s="36"/>
    </row>
    <row r="297" spans="1:9" s="65" customFormat="1" ht="15.75" customHeight="1" x14ac:dyDescent="0.35">
      <c r="A297" s="54">
        <f t="shared" si="45"/>
        <v>4</v>
      </c>
      <c r="B297" s="66" t="s">
        <v>198</v>
      </c>
      <c r="C297" s="54" t="s">
        <v>201</v>
      </c>
      <c r="D297" s="58">
        <f>(36.92+2.79)*(10.764)</f>
        <v>427.43843999999996</v>
      </c>
      <c r="E297" s="54">
        <v>0</v>
      </c>
      <c r="F297" s="54">
        <f>D297*(($F$174)+1)+(IF(E297&lt;101,E297,IF(E297&lt;201,E297/2,IF(E297&lt;=301,E297/3,E297/4))))</f>
        <v>641.15765999999996</v>
      </c>
      <c r="G297" s="145"/>
      <c r="H297" s="146"/>
      <c r="I297" s="36"/>
    </row>
    <row r="298" spans="1:9" s="65" customFormat="1" ht="15.75" customHeight="1" x14ac:dyDescent="0.35">
      <c r="A298" s="54">
        <f t="shared" si="45"/>
        <v>5</v>
      </c>
      <c r="B298" s="66" t="s">
        <v>198</v>
      </c>
      <c r="C298" s="54" t="s">
        <v>201</v>
      </c>
      <c r="D298" s="58">
        <f>(36.96+2.79)*(10.764)</f>
        <v>427.86899999999997</v>
      </c>
      <c r="E298" s="54">
        <v>0</v>
      </c>
      <c r="F298" s="54">
        <f>D298*(($F$174)+1)+(IF(E298&lt;101,E298,IF(E298&lt;201,E298/2,IF(E298&lt;=301,E298/3,E298/4))))</f>
        <v>641.80349999999999</v>
      </c>
      <c r="G298" s="145"/>
      <c r="H298" s="146"/>
      <c r="I298" s="36"/>
    </row>
    <row r="299" spans="1:9" s="65" customFormat="1" ht="15.75" customHeight="1" x14ac:dyDescent="0.35">
      <c r="A299" s="54">
        <f>A298+1</f>
        <v>6</v>
      </c>
      <c r="B299" s="66" t="s">
        <v>222</v>
      </c>
      <c r="C299" s="174" t="s">
        <v>223</v>
      </c>
      <c r="D299" s="175"/>
      <c r="E299" s="175"/>
      <c r="F299" s="176"/>
      <c r="G299" s="145"/>
      <c r="H299" s="146"/>
      <c r="I299" s="36"/>
    </row>
    <row r="300" spans="1:9" s="65" customFormat="1" ht="15.75" customHeight="1" x14ac:dyDescent="0.35">
      <c r="A300" s="54">
        <f t="shared" ref="A300:A301" si="46">A299+1</f>
        <v>7</v>
      </c>
      <c r="B300" s="66" t="s">
        <v>198</v>
      </c>
      <c r="C300" s="54" t="s">
        <v>200</v>
      </c>
      <c r="D300" s="58">
        <f>(50.74+2.79)*(10.764)</f>
        <v>576.19691999999998</v>
      </c>
      <c r="E300" s="54">
        <v>0</v>
      </c>
      <c r="F300" s="54">
        <f>D300*(($F$174)+1)+(IF(E300&lt;101,E300,IF(E300&lt;201,E300/2,IF(E300&lt;=301,E300/3,E300/4))))</f>
        <v>864.29538000000002</v>
      </c>
      <c r="G300" s="145"/>
      <c r="H300" s="146"/>
      <c r="I300" s="36"/>
    </row>
    <row r="301" spans="1:9" s="65" customFormat="1" ht="15.75" customHeight="1" x14ac:dyDescent="0.35">
      <c r="A301" s="54">
        <f t="shared" si="46"/>
        <v>8</v>
      </c>
      <c r="B301" s="66" t="s">
        <v>198</v>
      </c>
      <c r="C301" s="54" t="s">
        <v>200</v>
      </c>
      <c r="D301" s="58">
        <f>(52.48+2.79)*(10.764)</f>
        <v>594.92627999999991</v>
      </c>
      <c r="E301" s="54">
        <v>0</v>
      </c>
      <c r="F301" s="54">
        <f>D301*(($F$174)+1)+(IF(E301&lt;101,E301,IF(E301&lt;201,E301/2,IF(E301&lt;=301,E301/3,E301/4))))</f>
        <v>892.38941999999986</v>
      </c>
      <c r="G301" s="145"/>
      <c r="H301" s="146"/>
      <c r="I301" s="36"/>
    </row>
    <row r="302" spans="1:9" s="65" customFormat="1" x14ac:dyDescent="0.35">
      <c r="A302" s="91" t="s">
        <v>224</v>
      </c>
      <c r="B302" s="92"/>
      <c r="C302" s="92"/>
      <c r="D302" s="92"/>
      <c r="E302" s="92"/>
      <c r="F302" s="92"/>
      <c r="G302" s="92"/>
      <c r="H302" s="93"/>
      <c r="I302" s="36"/>
    </row>
    <row r="303" spans="1:9" s="65" customFormat="1" ht="15.75" customHeight="1" x14ac:dyDescent="0.35">
      <c r="A303" s="54">
        <v>1</v>
      </c>
      <c r="B303" s="66" t="s">
        <v>222</v>
      </c>
      <c r="C303" s="85" t="s">
        <v>225</v>
      </c>
      <c r="D303" s="86"/>
      <c r="E303" s="86"/>
      <c r="F303" s="87"/>
      <c r="G303" s="85" t="str">
        <f>A302</f>
        <v>26th Floor (Part Terrace Area)</v>
      </c>
      <c r="H303" s="87"/>
      <c r="I303" s="36"/>
    </row>
    <row r="304" spans="1:9" s="65" customFormat="1" ht="15.75" customHeight="1" x14ac:dyDescent="0.35">
      <c r="A304" s="54">
        <f>A303+1</f>
        <v>2</v>
      </c>
      <c r="B304" s="66" t="s">
        <v>222</v>
      </c>
      <c r="C304" s="145"/>
      <c r="D304" s="227"/>
      <c r="E304" s="227"/>
      <c r="F304" s="146"/>
      <c r="G304" s="145"/>
      <c r="H304" s="146"/>
      <c r="I304" s="36"/>
    </row>
    <row r="305" spans="1:9" s="65" customFormat="1" ht="15.75" customHeight="1" x14ac:dyDescent="0.35">
      <c r="A305" s="54">
        <f t="shared" ref="A305:A307" si="47">A304+1</f>
        <v>3</v>
      </c>
      <c r="B305" s="66" t="s">
        <v>222</v>
      </c>
      <c r="C305" s="145"/>
      <c r="D305" s="227"/>
      <c r="E305" s="227"/>
      <c r="F305" s="146"/>
      <c r="G305" s="145"/>
      <c r="H305" s="146"/>
      <c r="I305" s="36"/>
    </row>
    <row r="306" spans="1:9" s="65" customFormat="1" ht="15.75" customHeight="1" x14ac:dyDescent="0.35">
      <c r="A306" s="54">
        <f t="shared" si="47"/>
        <v>4</v>
      </c>
      <c r="B306" s="66" t="s">
        <v>222</v>
      </c>
      <c r="C306" s="88"/>
      <c r="D306" s="89"/>
      <c r="E306" s="89"/>
      <c r="F306" s="90"/>
      <c r="G306" s="145"/>
      <c r="H306" s="146"/>
      <c r="I306" s="36"/>
    </row>
    <row r="307" spans="1:9" s="65" customFormat="1" ht="15.75" customHeight="1" x14ac:dyDescent="0.35">
      <c r="A307" s="54">
        <f t="shared" si="47"/>
        <v>5</v>
      </c>
      <c r="B307" s="66" t="s">
        <v>198</v>
      </c>
      <c r="C307" s="54" t="s">
        <v>201</v>
      </c>
      <c r="D307" s="58">
        <f>(36.39+2.79)*(10.764)</f>
        <v>421.73352</v>
      </c>
      <c r="E307" s="54">
        <v>0</v>
      </c>
      <c r="F307" s="54">
        <f>D307*(($F$174)+1)+(IF(E307&lt;101,E307,IF(E307&lt;201,E307/2,IF(E307&lt;=301,E307/3,E307/4))))</f>
        <v>632.60028</v>
      </c>
      <c r="G307" s="145"/>
      <c r="H307" s="146"/>
      <c r="I307" s="36"/>
    </row>
    <row r="308" spans="1:9" s="65" customFormat="1" ht="15.75" customHeight="1" x14ac:dyDescent="0.35">
      <c r="A308" s="54">
        <f>A307+1</f>
        <v>6</v>
      </c>
      <c r="B308" s="66" t="s">
        <v>198</v>
      </c>
      <c r="C308" s="54" t="s">
        <v>201</v>
      </c>
      <c r="D308" s="58">
        <f>(36.93+2.79)*(10.764)</f>
        <v>427.54607999999996</v>
      </c>
      <c r="E308" s="54">
        <v>0</v>
      </c>
      <c r="F308" s="54">
        <f>D308*(($F$174)+1)+(IF(E308&lt;101,E308,IF(E308&lt;201,E308/2,IF(E308&lt;=301,E308/3,E308/4))))</f>
        <v>641.31911999999988</v>
      </c>
      <c r="G308" s="145"/>
      <c r="H308" s="146"/>
      <c r="I308" s="36"/>
    </row>
    <row r="309" spans="1:9" s="65" customFormat="1" ht="15.75" customHeight="1" x14ac:dyDescent="0.35">
      <c r="A309" s="54">
        <f t="shared" ref="A309:A310" si="48">A308+1</f>
        <v>7</v>
      </c>
      <c r="B309" s="66" t="s">
        <v>198</v>
      </c>
      <c r="C309" s="54" t="s">
        <v>200</v>
      </c>
      <c r="D309" s="58">
        <f>(50.74+2.79)*(10.764)</f>
        <v>576.19691999999998</v>
      </c>
      <c r="E309" s="54">
        <v>0</v>
      </c>
      <c r="F309" s="54">
        <f>D309*(($F$174)+1)+(IF(E309&lt;101,E309,IF(E309&lt;201,E309/2,IF(E309&lt;=301,E309/3,E309/4))))</f>
        <v>864.29538000000002</v>
      </c>
      <c r="G309" s="145"/>
      <c r="H309" s="146"/>
      <c r="I309" s="36"/>
    </row>
    <row r="310" spans="1:9" s="65" customFormat="1" ht="15.75" customHeight="1" x14ac:dyDescent="0.35">
      <c r="A310" s="54">
        <f t="shared" si="48"/>
        <v>8</v>
      </c>
      <c r="B310" s="66" t="s">
        <v>198</v>
      </c>
      <c r="C310" s="54" t="s">
        <v>200</v>
      </c>
      <c r="D310" s="58">
        <f>(52.48+2.79)*(10.764)</f>
        <v>594.92627999999991</v>
      </c>
      <c r="E310" s="54">
        <v>0</v>
      </c>
      <c r="F310" s="54">
        <f>D310*(($F$174)+1)+(IF(E310&lt;101,E310,IF(E310&lt;201,E310/2,IF(E310&lt;=301,E310/3,E310/4))))</f>
        <v>892.38941999999986</v>
      </c>
      <c r="G310" s="145"/>
      <c r="H310" s="146"/>
      <c r="I310" s="36"/>
    </row>
    <row r="311" spans="1:9" s="65" customFormat="1" x14ac:dyDescent="0.35">
      <c r="A311" s="91" t="s">
        <v>206</v>
      </c>
      <c r="B311" s="92"/>
      <c r="C311" s="92"/>
      <c r="D311" s="92"/>
      <c r="E311" s="92"/>
      <c r="F311" s="92"/>
      <c r="G311" s="92"/>
      <c r="H311" s="93"/>
      <c r="I311" s="36"/>
    </row>
    <row r="312" spans="1:9" s="35" customFormat="1" x14ac:dyDescent="0.35">
      <c r="A312" s="171" t="s">
        <v>70</v>
      </c>
      <c r="B312" s="171"/>
      <c r="C312" s="171"/>
      <c r="D312" s="171"/>
      <c r="E312" s="171"/>
      <c r="F312" s="171"/>
      <c r="G312" s="171"/>
      <c r="H312" s="171"/>
    </row>
    <row r="313" spans="1:9" s="35" customFormat="1" ht="31.5" customHeight="1" x14ac:dyDescent="0.35">
      <c r="A313" s="55">
        <v>1</v>
      </c>
      <c r="B313" s="229" t="s">
        <v>246</v>
      </c>
      <c r="C313" s="229"/>
      <c r="D313" s="229"/>
      <c r="E313" s="229"/>
      <c r="F313" s="229"/>
      <c r="G313" s="229"/>
      <c r="H313" s="229"/>
    </row>
    <row r="314" spans="1:9" s="35" customFormat="1" x14ac:dyDescent="0.35">
      <c r="A314" s="55">
        <f>A313+1</f>
        <v>2</v>
      </c>
      <c r="B314" s="229" t="str">
        <f>(IF(F173="Saleable area Loading :","We have considered Saleable area of Flats as per our Calculation.","We considered Saleable area of Flat as per Builder area Sheet."))</f>
        <v>We have considered Saleable area of Flats as per our Calculation.</v>
      </c>
      <c r="C314" s="229"/>
      <c r="D314" s="229"/>
      <c r="E314" s="229"/>
      <c r="F314" s="229"/>
      <c r="G314" s="229"/>
      <c r="H314" s="229"/>
    </row>
    <row r="315" spans="1:9" s="35" customFormat="1" x14ac:dyDescent="0.35">
      <c r="A315" s="55">
        <f t="shared" ref="A315:A325" si="49">A314+1</f>
        <v>3</v>
      </c>
      <c r="B315" s="229" t="str">
        <f>(IF(F140="Saleable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15" s="229"/>
      <c r="D315" s="229"/>
      <c r="E315" s="229"/>
      <c r="F315" s="229"/>
      <c r="G315" s="229"/>
      <c r="H315" s="229"/>
    </row>
    <row r="316" spans="1:9" s="35" customFormat="1" x14ac:dyDescent="0.35">
      <c r="A316" s="55">
        <f t="shared" si="49"/>
        <v>4</v>
      </c>
      <c r="B316" s="230" t="s">
        <v>126</v>
      </c>
      <c r="C316" s="230"/>
      <c r="D316" s="230"/>
      <c r="E316" s="230"/>
      <c r="F316" s="230"/>
      <c r="G316" s="230"/>
      <c r="H316" s="230"/>
    </row>
    <row r="317" spans="1:9" s="35" customFormat="1" x14ac:dyDescent="0.35">
      <c r="A317" s="55">
        <f t="shared" si="49"/>
        <v>5</v>
      </c>
      <c r="B317" s="230" t="s">
        <v>230</v>
      </c>
      <c r="C317" s="230"/>
      <c r="D317" s="230"/>
      <c r="E317" s="230"/>
      <c r="F317" s="230"/>
      <c r="G317" s="230"/>
      <c r="H317" s="230"/>
    </row>
    <row r="318" spans="1:9" s="35" customFormat="1" x14ac:dyDescent="0.35">
      <c r="A318" s="55">
        <f t="shared" si="49"/>
        <v>6</v>
      </c>
      <c r="B318" s="230" t="s">
        <v>155</v>
      </c>
      <c r="C318" s="230"/>
      <c r="D318" s="230"/>
      <c r="E318" s="230"/>
      <c r="F318" s="230"/>
      <c r="G318" s="230"/>
      <c r="H318" s="230"/>
    </row>
    <row r="319" spans="1:9" s="35" customFormat="1" x14ac:dyDescent="0.35">
      <c r="A319" s="55">
        <f t="shared" si="49"/>
        <v>7</v>
      </c>
      <c r="B319" s="230" t="s">
        <v>127</v>
      </c>
      <c r="C319" s="230"/>
      <c r="D319" s="230"/>
      <c r="E319" s="230"/>
      <c r="F319" s="230"/>
      <c r="G319" s="230"/>
      <c r="H319" s="230"/>
    </row>
    <row r="320" spans="1:9" s="35" customFormat="1" ht="34.5" customHeight="1" x14ac:dyDescent="0.35">
      <c r="A320" s="55">
        <f t="shared" si="49"/>
        <v>8</v>
      </c>
      <c r="B320" s="230" t="s">
        <v>156</v>
      </c>
      <c r="C320" s="230"/>
      <c r="D320" s="230"/>
      <c r="E320" s="230"/>
      <c r="F320" s="230"/>
      <c r="G320" s="230"/>
      <c r="H320" s="230"/>
    </row>
    <row r="321" spans="1:8" s="35" customFormat="1" x14ac:dyDescent="0.35">
      <c r="A321" s="55">
        <f t="shared" si="49"/>
        <v>9</v>
      </c>
      <c r="B321" s="230" t="s">
        <v>128</v>
      </c>
      <c r="C321" s="230"/>
      <c r="D321" s="230"/>
      <c r="E321" s="230"/>
      <c r="F321" s="230"/>
      <c r="G321" s="230"/>
      <c r="H321" s="230"/>
    </row>
    <row r="322" spans="1:8" s="35" customFormat="1" x14ac:dyDescent="0.35">
      <c r="A322" s="55">
        <f t="shared" si="49"/>
        <v>10</v>
      </c>
      <c r="B322" s="230" t="s">
        <v>221</v>
      </c>
      <c r="C322" s="230"/>
      <c r="D322" s="230"/>
      <c r="E322" s="230"/>
      <c r="F322" s="230"/>
      <c r="G322" s="230"/>
      <c r="H322" s="230"/>
    </row>
    <row r="323" spans="1:8" s="35" customFormat="1" x14ac:dyDescent="0.35">
      <c r="A323" s="55">
        <f t="shared" si="49"/>
        <v>11</v>
      </c>
      <c r="B323" s="81" t="s">
        <v>229</v>
      </c>
      <c r="C323" s="82"/>
      <c r="D323" s="82"/>
      <c r="E323" s="82"/>
      <c r="F323" s="82"/>
      <c r="G323" s="82"/>
      <c r="H323" s="83"/>
    </row>
    <row r="324" spans="1:8" s="35" customFormat="1" ht="30.75" customHeight="1" x14ac:dyDescent="0.35">
      <c r="A324" s="55">
        <f t="shared" si="49"/>
        <v>12</v>
      </c>
      <c r="B324" s="81" t="s">
        <v>240</v>
      </c>
      <c r="C324" s="82"/>
      <c r="D324" s="82"/>
      <c r="E324" s="82"/>
      <c r="F324" s="82"/>
      <c r="G324" s="82"/>
      <c r="H324" s="83"/>
    </row>
    <row r="325" spans="1:8" s="35" customFormat="1" ht="18.75" customHeight="1" x14ac:dyDescent="0.35">
      <c r="A325" s="80">
        <f t="shared" si="49"/>
        <v>13</v>
      </c>
      <c r="B325" s="150" t="s">
        <v>245</v>
      </c>
      <c r="C325" s="151"/>
      <c r="D325" s="151"/>
      <c r="E325" s="151"/>
      <c r="F325" s="151"/>
      <c r="G325" s="151"/>
      <c r="H325" s="152"/>
    </row>
    <row r="326" spans="1:8" x14ac:dyDescent="0.35">
      <c r="A326" s="170" t="s">
        <v>63</v>
      </c>
      <c r="B326" s="170"/>
      <c r="C326" s="170"/>
      <c r="D326" s="170"/>
      <c r="E326" s="170"/>
      <c r="F326" s="170"/>
      <c r="G326" s="170"/>
      <c r="H326" s="170"/>
    </row>
    <row r="327" spans="1:8" x14ac:dyDescent="0.35">
      <c r="A327" s="94" t="s">
        <v>64</v>
      </c>
      <c r="B327" s="94"/>
      <c r="C327" s="94"/>
      <c r="D327" s="94"/>
      <c r="E327" s="94"/>
      <c r="F327" s="94"/>
      <c r="G327" s="94"/>
      <c r="H327" s="94"/>
    </row>
    <row r="328" spans="1:8" ht="15.75" customHeight="1" x14ac:dyDescent="0.35">
      <c r="A328" s="121" t="s">
        <v>65</v>
      </c>
      <c r="B328" s="121"/>
      <c r="C328" s="121"/>
      <c r="D328" s="121"/>
      <c r="E328" s="121"/>
      <c r="F328" s="121"/>
      <c r="G328" s="121"/>
      <c r="H328" s="121"/>
    </row>
    <row r="329" spans="1:8" x14ac:dyDescent="0.35">
      <c r="A329" s="94" t="s">
        <v>66</v>
      </c>
      <c r="B329" s="94"/>
      <c r="C329" s="94"/>
      <c r="D329" s="94"/>
      <c r="E329" s="94"/>
      <c r="F329" s="94"/>
      <c r="G329" s="94"/>
      <c r="H329" s="94"/>
    </row>
    <row r="330" spans="1:8" x14ac:dyDescent="0.35">
      <c r="A330" s="94" t="s">
        <v>67</v>
      </c>
      <c r="B330" s="94"/>
      <c r="C330" s="94"/>
      <c r="D330" s="94"/>
      <c r="E330" s="94"/>
      <c r="F330" s="94"/>
      <c r="G330" s="94"/>
      <c r="H330" s="94"/>
    </row>
    <row r="331" spans="1:8" x14ac:dyDescent="0.35">
      <c r="A331" s="94" t="s">
        <v>129</v>
      </c>
      <c r="B331" s="94"/>
      <c r="C331" s="94"/>
      <c r="D331" s="94"/>
      <c r="E331" s="94"/>
      <c r="F331" s="94"/>
      <c r="G331" s="94"/>
      <c r="H331" s="94"/>
    </row>
    <row r="332" spans="1:8" x14ac:dyDescent="0.35">
      <c r="A332" s="118" t="s">
        <v>130</v>
      </c>
      <c r="B332" s="118"/>
      <c r="C332" s="118"/>
      <c r="D332" s="118"/>
      <c r="E332" s="118"/>
      <c r="F332" s="118"/>
      <c r="G332" s="118"/>
      <c r="H332" s="118"/>
    </row>
    <row r="333" spans="1:8" x14ac:dyDescent="0.35">
      <c r="A333" s="167" t="s">
        <v>78</v>
      </c>
      <c r="B333" s="167"/>
      <c r="C333" s="167" t="s">
        <v>248</v>
      </c>
      <c r="D333" s="167"/>
      <c r="E333" s="167" t="s">
        <v>108</v>
      </c>
      <c r="F333" s="167"/>
      <c r="G333" s="167" t="s">
        <v>247</v>
      </c>
      <c r="H333" s="167"/>
    </row>
    <row r="334" spans="1:8" x14ac:dyDescent="0.35">
      <c r="A334" s="166" t="s">
        <v>80</v>
      </c>
      <c r="B334" s="166"/>
      <c r="C334" s="166"/>
      <c r="D334" s="166"/>
      <c r="E334" s="166"/>
      <c r="F334" s="166"/>
      <c r="G334" s="166"/>
      <c r="H334" s="166"/>
    </row>
    <row r="335" spans="1:8" x14ac:dyDescent="0.35">
      <c r="A335" s="166"/>
      <c r="B335" s="166"/>
      <c r="C335" s="166"/>
      <c r="D335" s="166"/>
      <c r="E335" s="166"/>
      <c r="F335" s="166"/>
      <c r="G335" s="166"/>
      <c r="H335" s="166"/>
    </row>
    <row r="336" spans="1:8" x14ac:dyDescent="0.35">
      <c r="A336" s="166"/>
      <c r="B336" s="166"/>
      <c r="C336" s="166"/>
      <c r="D336" s="166"/>
      <c r="E336" s="166"/>
      <c r="F336" s="166"/>
      <c r="G336" s="166"/>
      <c r="H336" s="166"/>
    </row>
    <row r="337" spans="1:8" x14ac:dyDescent="0.35">
      <c r="A337" s="166"/>
      <c r="B337" s="166"/>
      <c r="C337" s="166"/>
      <c r="D337" s="166"/>
      <c r="E337" s="166"/>
      <c r="F337" s="166"/>
      <c r="G337" s="166"/>
      <c r="H337" s="166"/>
    </row>
    <row r="338" spans="1:8" x14ac:dyDescent="0.35">
      <c r="A338" s="38" t="s">
        <v>68</v>
      </c>
      <c r="B338" s="39"/>
      <c r="C338" s="39"/>
      <c r="D338" s="38" t="str">
        <f>E8</f>
        <v>Kapleshwara Residency</v>
      </c>
      <c r="F338" s="39"/>
      <c r="G338" s="39"/>
      <c r="H338" s="39"/>
    </row>
    <row r="339" spans="1:8" x14ac:dyDescent="0.35">
      <c r="A339" s="39"/>
      <c r="B339" s="39"/>
      <c r="C339" s="39"/>
      <c r="D339" s="39"/>
      <c r="E339" s="39"/>
      <c r="F339" s="39"/>
      <c r="G339" s="39"/>
      <c r="H339" s="39"/>
    </row>
    <row r="340" spans="1:8" x14ac:dyDescent="0.35">
      <c r="A340" s="39"/>
      <c r="B340" s="39"/>
      <c r="C340" s="39"/>
      <c r="D340" s="39"/>
      <c r="E340" s="39"/>
      <c r="F340" s="39"/>
      <c r="G340" s="39"/>
      <c r="H340" s="39"/>
    </row>
    <row r="341" spans="1:8" ht="15" customHeight="1" x14ac:dyDescent="0.35">
      <c r="B341" s="41"/>
    </row>
    <row r="381" spans="1:1" x14ac:dyDescent="0.35">
      <c r="A381" s="41" t="s">
        <v>168</v>
      </c>
    </row>
    <row r="424" spans="1:1" x14ac:dyDescent="0.35">
      <c r="A424" s="41" t="s">
        <v>235</v>
      </c>
    </row>
    <row r="458" spans="1:1" x14ac:dyDescent="0.35">
      <c r="A458" s="41" t="s">
        <v>69</v>
      </c>
    </row>
  </sheetData>
  <mergeCells count="393">
    <mergeCell ref="B315:H315"/>
    <mergeCell ref="B313:H313"/>
    <mergeCell ref="G285:H292"/>
    <mergeCell ref="A293:H293"/>
    <mergeCell ref="G294:H301"/>
    <mergeCell ref="C299:F299"/>
    <mergeCell ref="A302:H302"/>
    <mergeCell ref="G206:H213"/>
    <mergeCell ref="C209:F209"/>
    <mergeCell ref="A226:H226"/>
    <mergeCell ref="G197:H204"/>
    <mergeCell ref="A217:H217"/>
    <mergeCell ref="G218:H225"/>
    <mergeCell ref="A214:H214"/>
    <mergeCell ref="A215:H215"/>
    <mergeCell ref="A216:H216"/>
    <mergeCell ref="C227:F227"/>
    <mergeCell ref="C254:F255"/>
    <mergeCell ref="F112:H112"/>
    <mergeCell ref="A90:B90"/>
    <mergeCell ref="A92:B92"/>
    <mergeCell ref="A93:B93"/>
    <mergeCell ref="A112:E112"/>
    <mergeCell ref="C173:C174"/>
    <mergeCell ref="A109:E109"/>
    <mergeCell ref="B323:H323"/>
    <mergeCell ref="G303:H310"/>
    <mergeCell ref="C303:F306"/>
    <mergeCell ref="A311:H311"/>
    <mergeCell ref="A136:B136"/>
    <mergeCell ref="C136:D136"/>
    <mergeCell ref="E136:F136"/>
    <mergeCell ref="G136:H136"/>
    <mergeCell ref="A135:B135"/>
    <mergeCell ref="C135:D135"/>
    <mergeCell ref="E135:F135"/>
    <mergeCell ref="G135:H135"/>
    <mergeCell ref="A275:H275"/>
    <mergeCell ref="G276:H283"/>
    <mergeCell ref="C281:F281"/>
    <mergeCell ref="A284:H284"/>
    <mergeCell ref="B322:H322"/>
    <mergeCell ref="C130:D130"/>
    <mergeCell ref="E130:F130"/>
    <mergeCell ref="G130:H130"/>
    <mergeCell ref="A143:H143"/>
    <mergeCell ref="E134:F134"/>
    <mergeCell ref="F116:H116"/>
    <mergeCell ref="F117:H117"/>
    <mergeCell ref="E137:F137"/>
    <mergeCell ref="G137:H137"/>
    <mergeCell ref="A116:E116"/>
    <mergeCell ref="A118:E118"/>
    <mergeCell ref="F118:H118"/>
    <mergeCell ref="C133:D133"/>
    <mergeCell ref="E133:F133"/>
    <mergeCell ref="A138:H138"/>
    <mergeCell ref="E140:E141"/>
    <mergeCell ref="G140:H141"/>
    <mergeCell ref="A102:B102"/>
    <mergeCell ref="G49:H49"/>
    <mergeCell ref="A98:B98"/>
    <mergeCell ref="E98:F98"/>
    <mergeCell ref="G98:H98"/>
    <mergeCell ref="A103:B103"/>
    <mergeCell ref="D59:H59"/>
    <mergeCell ref="A57:C59"/>
    <mergeCell ref="A53:H53"/>
    <mergeCell ref="A54:C54"/>
    <mergeCell ref="D55:H55"/>
    <mergeCell ref="C49:E49"/>
    <mergeCell ref="A52:B52"/>
    <mergeCell ref="C52:E52"/>
    <mergeCell ref="D56:H56"/>
    <mergeCell ref="A56:C56"/>
    <mergeCell ref="A83:B83"/>
    <mergeCell ref="C83:H83"/>
    <mergeCell ref="A85:B85"/>
    <mergeCell ref="A88:B88"/>
    <mergeCell ref="A89:B89"/>
    <mergeCell ref="C97:H97"/>
    <mergeCell ref="C38:H38"/>
    <mergeCell ref="A47:B47"/>
    <mergeCell ref="C47:H47"/>
    <mergeCell ref="A86:B86"/>
    <mergeCell ref="A87:B87"/>
    <mergeCell ref="F111:H111"/>
    <mergeCell ref="A111:E111"/>
    <mergeCell ref="A113:E113"/>
    <mergeCell ref="A44:D44"/>
    <mergeCell ref="A78:B78"/>
    <mergeCell ref="A110:E110"/>
    <mergeCell ref="A81:B81"/>
    <mergeCell ref="C81:H81"/>
    <mergeCell ref="A43:D43"/>
    <mergeCell ref="A45:D45"/>
    <mergeCell ref="A46:H46"/>
    <mergeCell ref="A99:B99"/>
    <mergeCell ref="E99:F108"/>
    <mergeCell ref="G99:H108"/>
    <mergeCell ref="A100:B100"/>
    <mergeCell ref="E44:H44"/>
    <mergeCell ref="E45:H45"/>
    <mergeCell ref="A49:B49"/>
    <mergeCell ref="A101:B101"/>
    <mergeCell ref="A37:B37"/>
    <mergeCell ref="C37:H37"/>
    <mergeCell ref="D64:H64"/>
    <mergeCell ref="A38:B38"/>
    <mergeCell ref="L177:M177"/>
    <mergeCell ref="A172:H172"/>
    <mergeCell ref="A173:A174"/>
    <mergeCell ref="A120:E120"/>
    <mergeCell ref="G134:H134"/>
    <mergeCell ref="C126:D126"/>
    <mergeCell ref="E126:F126"/>
    <mergeCell ref="G126:H126"/>
    <mergeCell ref="A127:B127"/>
    <mergeCell ref="C127:D127"/>
    <mergeCell ref="C132:D132"/>
    <mergeCell ref="E132:F132"/>
    <mergeCell ref="G132:H132"/>
    <mergeCell ref="C140:C141"/>
    <mergeCell ref="B173:B174"/>
    <mergeCell ref="D140:D141"/>
    <mergeCell ref="L168:M168"/>
    <mergeCell ref="L169:M169"/>
    <mergeCell ref="L170:M170"/>
    <mergeCell ref="L147:M147"/>
    <mergeCell ref="A32:B32"/>
    <mergeCell ref="A31:B31"/>
    <mergeCell ref="C32:E32"/>
    <mergeCell ref="A33:B33"/>
    <mergeCell ref="A36:H36"/>
    <mergeCell ref="A35:B35"/>
    <mergeCell ref="C35:E35"/>
    <mergeCell ref="G85:H94"/>
    <mergeCell ref="A40:D40"/>
    <mergeCell ref="E40:H40"/>
    <mergeCell ref="F32:H32"/>
    <mergeCell ref="F33:H33"/>
    <mergeCell ref="A39:H39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G19:H19"/>
    <mergeCell ref="A20:B20"/>
    <mergeCell ref="C20:D20"/>
    <mergeCell ref="E20:F20"/>
    <mergeCell ref="F35:H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C33:E33"/>
    <mergeCell ref="A21:D22"/>
    <mergeCell ref="E21:H22"/>
    <mergeCell ref="E41:H4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6:B16"/>
    <mergeCell ref="C16:H16"/>
    <mergeCell ref="A18:B18"/>
    <mergeCell ref="C18:D18"/>
    <mergeCell ref="E18:F18"/>
    <mergeCell ref="G18:H18"/>
    <mergeCell ref="A19:B19"/>
    <mergeCell ref="C19:D19"/>
    <mergeCell ref="E19:F19"/>
    <mergeCell ref="A66:C66"/>
    <mergeCell ref="D66:H66"/>
    <mergeCell ref="A64:C64"/>
    <mergeCell ref="C137:D137"/>
    <mergeCell ref="A104:B104"/>
    <mergeCell ref="A235:H235"/>
    <mergeCell ref="G236:H243"/>
    <mergeCell ref="A244:H244"/>
    <mergeCell ref="G245:H252"/>
    <mergeCell ref="C245:F245"/>
    <mergeCell ref="A105:B105"/>
    <mergeCell ref="E85:F94"/>
    <mergeCell ref="F109:H109"/>
    <mergeCell ref="F114:H114"/>
    <mergeCell ref="E84:F84"/>
    <mergeCell ref="A115:E115"/>
    <mergeCell ref="F115:H115"/>
    <mergeCell ref="F113:H113"/>
    <mergeCell ref="G84:H84"/>
    <mergeCell ref="A84:B84"/>
    <mergeCell ref="A114:E114"/>
    <mergeCell ref="A95:B95"/>
    <mergeCell ref="C95:H95"/>
    <mergeCell ref="A97:B97"/>
    <mergeCell ref="A334:H337"/>
    <mergeCell ref="A333:B333"/>
    <mergeCell ref="E333:F333"/>
    <mergeCell ref="C333:D333"/>
    <mergeCell ref="G333:H333"/>
    <mergeCell ref="A123:H123"/>
    <mergeCell ref="A121:E121"/>
    <mergeCell ref="F121:H121"/>
    <mergeCell ref="A122:E122"/>
    <mergeCell ref="F122:H122"/>
    <mergeCell ref="A177:H177"/>
    <mergeCell ref="A329:H329"/>
    <mergeCell ref="A128:H128"/>
    <mergeCell ref="A332:H332"/>
    <mergeCell ref="A330:H330"/>
    <mergeCell ref="A326:H326"/>
    <mergeCell ref="C129:D129"/>
    <mergeCell ref="G129:H129"/>
    <mergeCell ref="B316:H316"/>
    <mergeCell ref="G133:H133"/>
    <mergeCell ref="A312:H312"/>
    <mergeCell ref="A196:H196"/>
    <mergeCell ref="A187:H187"/>
    <mergeCell ref="A263:H263"/>
    <mergeCell ref="B325:H325"/>
    <mergeCell ref="B320:H320"/>
    <mergeCell ref="C134:D134"/>
    <mergeCell ref="A176:H176"/>
    <mergeCell ref="F119:H119"/>
    <mergeCell ref="E124:F124"/>
    <mergeCell ref="A124:B124"/>
    <mergeCell ref="C124:D124"/>
    <mergeCell ref="F120:H120"/>
    <mergeCell ref="G124:H124"/>
    <mergeCell ref="A119:E119"/>
    <mergeCell ref="C125:D125"/>
    <mergeCell ref="E125:F125"/>
    <mergeCell ref="E127:F127"/>
    <mergeCell ref="G127:H127"/>
    <mergeCell ref="A130:A131"/>
    <mergeCell ref="A142:H142"/>
    <mergeCell ref="A160:H160"/>
    <mergeCell ref="A161:H161"/>
    <mergeCell ref="G162:H171"/>
    <mergeCell ref="A137:B137"/>
    <mergeCell ref="A266:H266"/>
    <mergeCell ref="B321:H321"/>
    <mergeCell ref="B319:H319"/>
    <mergeCell ref="A41:D41"/>
    <mergeCell ref="A331:H331"/>
    <mergeCell ref="A328:H328"/>
    <mergeCell ref="A129:B129"/>
    <mergeCell ref="D173:D174"/>
    <mergeCell ref="E173:E174"/>
    <mergeCell ref="G173:H174"/>
    <mergeCell ref="A91:B91"/>
    <mergeCell ref="A76:B76"/>
    <mergeCell ref="F110:H110"/>
    <mergeCell ref="G125:H125"/>
    <mergeCell ref="A94:B94"/>
    <mergeCell ref="A48:B48"/>
    <mergeCell ref="C48:E48"/>
    <mergeCell ref="G48:H48"/>
    <mergeCell ref="G50:H50"/>
    <mergeCell ref="D54:H54"/>
    <mergeCell ref="C50:E50"/>
    <mergeCell ref="D57:H57"/>
    <mergeCell ref="A65:C65"/>
    <mergeCell ref="D65:H65"/>
    <mergeCell ref="A71:B71"/>
    <mergeCell ref="A327:H327"/>
    <mergeCell ref="E129:F129"/>
    <mergeCell ref="G70:H70"/>
    <mergeCell ref="G52:H52"/>
    <mergeCell ref="D58:H58"/>
    <mergeCell ref="C51:H51"/>
    <mergeCell ref="A106:B106"/>
    <mergeCell ref="A107:B107"/>
    <mergeCell ref="A108:B108"/>
    <mergeCell ref="A55:C55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117:E117"/>
    <mergeCell ref="L159:M159"/>
    <mergeCell ref="G144:H159"/>
    <mergeCell ref="L154:M154"/>
    <mergeCell ref="L155:M155"/>
    <mergeCell ref="L156:M156"/>
    <mergeCell ref="L151:M151"/>
    <mergeCell ref="L152:M152"/>
    <mergeCell ref="L153:M153"/>
    <mergeCell ref="L148:M148"/>
    <mergeCell ref="L149:M149"/>
    <mergeCell ref="L150:M150"/>
    <mergeCell ref="A134:B134"/>
    <mergeCell ref="C131:D131"/>
    <mergeCell ref="E131:F131"/>
    <mergeCell ref="G131:H131"/>
    <mergeCell ref="A139:H139"/>
    <mergeCell ref="B140:B141"/>
    <mergeCell ref="A140:A141"/>
    <mergeCell ref="L157:M157"/>
    <mergeCell ref="L158:M158"/>
    <mergeCell ref="L146:M146"/>
    <mergeCell ref="L145:M145"/>
    <mergeCell ref="L144:M144"/>
    <mergeCell ref="B324:H324"/>
    <mergeCell ref="L162:M162"/>
    <mergeCell ref="L163:M163"/>
    <mergeCell ref="L164:M164"/>
    <mergeCell ref="L165:M165"/>
    <mergeCell ref="L166:M166"/>
    <mergeCell ref="L167:M167"/>
    <mergeCell ref="C260:F261"/>
    <mergeCell ref="A262:H262"/>
    <mergeCell ref="B314:H314"/>
    <mergeCell ref="B318:H318"/>
    <mergeCell ref="G267:H274"/>
    <mergeCell ref="A264:H264"/>
    <mergeCell ref="G188:H195"/>
    <mergeCell ref="A175:H175"/>
    <mergeCell ref="G178:H186"/>
    <mergeCell ref="A253:H253"/>
    <mergeCell ref="G254:H261"/>
    <mergeCell ref="A265:H265"/>
    <mergeCell ref="B317:H317"/>
    <mergeCell ref="L171:M171"/>
    <mergeCell ref="C191:F191"/>
    <mergeCell ref="A205:H205"/>
    <mergeCell ref="G227:H234"/>
  </mergeCells>
  <hyperlinks>
    <hyperlink ref="C38" r:id="rId1"/>
    <hyperlink ref="I177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337" max="16383" man="1"/>
    <brk id="380" max="16383" man="1"/>
    <brk id="423" max="16383" man="1"/>
    <brk id="457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28" t="s">
        <v>109</v>
      </c>
      <c r="C3" s="228"/>
      <c r="D3" s="228"/>
      <c r="E3" s="228"/>
      <c r="F3" s="228"/>
      <c r="G3" s="228"/>
      <c r="H3" s="228"/>
    </row>
    <row r="4" spans="1:9" x14ac:dyDescent="0.3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C6" sqref="C6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2025-07-28T11:48:10Z</cp:lastPrinted>
  <dcterms:created xsi:type="dcterms:W3CDTF">2019-07-16T09:29:46Z</dcterms:created>
  <dcterms:modified xsi:type="dcterms:W3CDTF">2025-09-10T12:37:53Z</dcterms:modified>
</cp:coreProperties>
</file>