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09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6" i="1" l="1"/>
  <c r="J165" i="1"/>
  <c r="I165" i="1"/>
  <c r="E41" i="1" l="1"/>
  <c r="K177" i="1" l="1"/>
  <c r="J177" i="1"/>
  <c r="J201" i="1"/>
  <c r="K164" i="1"/>
  <c r="J164" i="1"/>
  <c r="E203" i="1"/>
  <c r="E202" i="1"/>
  <c r="E201" i="1"/>
  <c r="E200" i="1"/>
  <c r="D203" i="1"/>
  <c r="D202" i="1"/>
  <c r="F202" i="1" s="1"/>
  <c r="H202" i="1" s="1"/>
  <c r="D201" i="1"/>
  <c r="D200" i="1"/>
  <c r="A201" i="1"/>
  <c r="A202" i="1" s="1"/>
  <c r="A203" i="1" s="1"/>
  <c r="E196" i="1"/>
  <c r="D196" i="1"/>
  <c r="E195" i="1"/>
  <c r="D195" i="1"/>
  <c r="F195" i="1" s="1"/>
  <c r="H195" i="1" s="1"/>
  <c r="E194" i="1"/>
  <c r="D194" i="1"/>
  <c r="E193" i="1"/>
  <c r="D193" i="1"/>
  <c r="E189" i="1"/>
  <c r="D189" i="1"/>
  <c r="A194" i="1"/>
  <c r="A195" i="1" s="1"/>
  <c r="A196" i="1" s="1"/>
  <c r="E191" i="1"/>
  <c r="D191" i="1"/>
  <c r="E190" i="1"/>
  <c r="D190" i="1"/>
  <c r="A189" i="1"/>
  <c r="A190" i="1" s="1"/>
  <c r="A191" i="1" s="1"/>
  <c r="E188" i="1"/>
  <c r="D188" i="1"/>
  <c r="E184" i="1"/>
  <c r="D184" i="1"/>
  <c r="E183" i="1"/>
  <c r="D183" i="1"/>
  <c r="E182" i="1"/>
  <c r="D182" i="1"/>
  <c r="E181" i="1"/>
  <c r="D181" i="1"/>
  <c r="E179" i="1"/>
  <c r="E178" i="1"/>
  <c r="D179" i="1"/>
  <c r="F179" i="1" s="1"/>
  <c r="H179" i="1" s="1"/>
  <c r="D178" i="1"/>
  <c r="A182" i="1"/>
  <c r="A183" i="1" s="1"/>
  <c r="A184" i="1" s="1"/>
  <c r="E177" i="1"/>
  <c r="D177" i="1"/>
  <c r="A177" i="1"/>
  <c r="A178" i="1" s="1"/>
  <c r="A179" i="1" s="1"/>
  <c r="E176" i="1"/>
  <c r="D176" i="1"/>
  <c r="E172" i="1"/>
  <c r="D172" i="1"/>
  <c r="E171" i="1"/>
  <c r="D171" i="1"/>
  <c r="E170" i="1"/>
  <c r="D170" i="1"/>
  <c r="E169" i="1"/>
  <c r="D169" i="1"/>
  <c r="E167" i="1"/>
  <c r="D167" i="1"/>
  <c r="E166" i="1"/>
  <c r="D166" i="1"/>
  <c r="E165" i="1"/>
  <c r="D165" i="1"/>
  <c r="E164" i="1"/>
  <c r="D164" i="1"/>
  <c r="B206" i="1"/>
  <c r="A170" i="1"/>
  <c r="A171" i="1" s="1"/>
  <c r="A172" i="1" s="1"/>
  <c r="A165" i="1"/>
  <c r="A166" i="1" s="1"/>
  <c r="A167" i="1" s="1"/>
  <c r="E160" i="1"/>
  <c r="E159" i="1"/>
  <c r="E158" i="1"/>
  <c r="E157" i="1"/>
  <c r="D160" i="1"/>
  <c r="D159" i="1"/>
  <c r="D158" i="1"/>
  <c r="D157" i="1"/>
  <c r="A158" i="1"/>
  <c r="A159" i="1" s="1"/>
  <c r="A160" i="1" s="1"/>
  <c r="F150" i="1"/>
  <c r="H150" i="1" s="1"/>
  <c r="F149" i="1"/>
  <c r="H149" i="1" s="1"/>
  <c r="F148" i="1"/>
  <c r="H148" i="1" s="1"/>
  <c r="A148" i="1"/>
  <c r="A149" i="1" s="1"/>
  <c r="A150" i="1" s="1"/>
  <c r="F147" i="1"/>
  <c r="H147" i="1" s="1"/>
  <c r="C137" i="1" l="1"/>
  <c r="C138" i="1"/>
  <c r="C139" i="1"/>
  <c r="C136" i="1"/>
  <c r="F167" i="1"/>
  <c r="H167" i="1" s="1"/>
  <c r="F178" i="1"/>
  <c r="H178" i="1" s="1"/>
  <c r="F200" i="1"/>
  <c r="H200" i="1" s="1"/>
  <c r="F158" i="1"/>
  <c r="H158" i="1" s="1"/>
  <c r="C140" i="1"/>
  <c r="F160" i="1"/>
  <c r="H160" i="1" s="1"/>
  <c r="F166" i="1"/>
  <c r="H166" i="1" s="1"/>
  <c r="F182" i="1"/>
  <c r="H182" i="1" s="1"/>
  <c r="F183" i="1"/>
  <c r="H183" i="1" s="1"/>
  <c r="F184" i="1"/>
  <c r="H184" i="1" s="1"/>
  <c r="F181" i="1"/>
  <c r="H181" i="1" s="1"/>
  <c r="F188" i="1"/>
  <c r="F189" i="1"/>
  <c r="H189" i="1" s="1"/>
  <c r="I189" i="1" s="1"/>
  <c r="J189" i="1" s="1"/>
  <c r="F196" i="1"/>
  <c r="H196" i="1" s="1"/>
  <c r="F172" i="1"/>
  <c r="H172" i="1" s="1"/>
  <c r="F193" i="1"/>
  <c r="H193" i="1" s="1"/>
  <c r="F164" i="1"/>
  <c r="F169" i="1"/>
  <c r="H169" i="1" s="1"/>
  <c r="F176" i="1"/>
  <c r="F190" i="1"/>
  <c r="H190" i="1" s="1"/>
  <c r="I190" i="1" s="1"/>
  <c r="J190" i="1" s="1"/>
  <c r="F201" i="1"/>
  <c r="H201" i="1" s="1"/>
  <c r="G140" i="1" s="1"/>
  <c r="F165" i="1"/>
  <c r="H165" i="1" s="1"/>
  <c r="F170" i="1"/>
  <c r="H170" i="1" s="1"/>
  <c r="F171" i="1"/>
  <c r="H171" i="1" s="1"/>
  <c r="F177" i="1"/>
  <c r="H177" i="1" s="1"/>
  <c r="F203" i="1"/>
  <c r="H203" i="1" s="1"/>
  <c r="F191" i="1"/>
  <c r="H191" i="1" s="1"/>
  <c r="I191" i="1" s="1"/>
  <c r="J191" i="1" s="1"/>
  <c r="F194" i="1"/>
  <c r="H194" i="1" s="1"/>
  <c r="F159" i="1"/>
  <c r="H159" i="1" s="1"/>
  <c r="F157" i="1"/>
  <c r="K156" i="1"/>
  <c r="J156" i="1"/>
  <c r="K157" i="1"/>
  <c r="J157" i="1"/>
  <c r="J119" i="1"/>
  <c r="J118" i="1"/>
  <c r="J117" i="1"/>
  <c r="J116" i="1"/>
  <c r="J105" i="1"/>
  <c r="J104" i="1"/>
  <c r="J103" i="1"/>
  <c r="J102" i="1"/>
  <c r="J91" i="1"/>
  <c r="J90" i="1"/>
  <c r="J89" i="1"/>
  <c r="J88" i="1"/>
  <c r="C141" i="1" l="1"/>
  <c r="H157" i="1"/>
  <c r="G136" i="1" s="1"/>
  <c r="E136" i="1"/>
  <c r="H188" i="1"/>
  <c r="E139" i="1"/>
  <c r="H176" i="1"/>
  <c r="G138" i="1" s="1"/>
  <c r="E138" i="1"/>
  <c r="H164" i="1"/>
  <c r="G137" i="1" s="1"/>
  <c r="E137" i="1"/>
  <c r="E140" i="1"/>
  <c r="C14" i="1"/>
  <c r="E141" i="1" l="1"/>
  <c r="I188" i="1"/>
  <c r="J188" i="1" s="1"/>
  <c r="G139" i="1"/>
  <c r="G141" i="1" s="1"/>
  <c r="E29" i="1"/>
  <c r="F133" i="1" l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27" i="1"/>
  <c r="J77" i="1"/>
  <c r="J76" i="1"/>
  <c r="J75" i="1"/>
  <c r="J74" i="1"/>
  <c r="D55" i="1"/>
  <c r="G49" i="1"/>
  <c r="C49" i="1"/>
  <c r="E42" i="1"/>
  <c r="E43" i="1" s="1"/>
  <c r="E26" i="1"/>
  <c r="E24" i="1"/>
  <c r="E7" i="1"/>
  <c r="E3" i="1"/>
  <c r="H67" i="1"/>
  <c r="D60" i="1" l="1"/>
  <c r="D79" i="1"/>
  <c r="D77" i="1"/>
  <c r="D76" i="1"/>
  <c r="D75" i="1"/>
  <c r="D73" i="1"/>
  <c r="J66" i="1"/>
  <c r="D78" i="1"/>
  <c r="D74" i="1"/>
  <c r="J70" i="1"/>
  <c r="J71" i="1"/>
  <c r="C70" i="1" s="1"/>
  <c r="J69" i="1"/>
  <c r="J72" i="1"/>
  <c r="J73" i="1" s="1"/>
  <c r="J78" i="1" s="1"/>
  <c r="J79" i="1" l="1"/>
  <c r="C71" i="1" s="1"/>
  <c r="E70" i="1" s="1"/>
  <c r="D72" i="1"/>
  <c r="J68" i="1"/>
  <c r="D70" i="1"/>
  <c r="J67" i="1" l="1"/>
  <c r="G70" i="1"/>
  <c r="D64" i="1" s="1"/>
  <c r="F65" i="1" s="1"/>
  <c r="D71" i="1"/>
  <c r="I67" i="1" s="1"/>
  <c r="H81" i="1"/>
  <c r="J85" i="1" l="1"/>
  <c r="C84" i="1" s="1"/>
  <c r="D84" i="1" s="1"/>
  <c r="D90" i="1"/>
  <c r="D93" i="1"/>
  <c r="D89" i="1"/>
  <c r="D85" i="1"/>
  <c r="D87" i="1"/>
  <c r="J80" i="1"/>
  <c r="J82" i="1" s="1"/>
  <c r="J84" i="1"/>
  <c r="J83" i="1"/>
  <c r="D92" i="1"/>
  <c r="D88" i="1"/>
  <c r="E84" i="1"/>
  <c r="D91" i="1"/>
  <c r="D86" i="1"/>
  <c r="J86" i="1"/>
  <c r="J87" i="1" s="1"/>
  <c r="J92" i="1" s="1"/>
  <c r="J93" i="1" s="1"/>
  <c r="D65" i="1"/>
  <c r="I68" i="1"/>
  <c r="I66" i="1" s="1"/>
  <c r="C68" i="1" s="1"/>
  <c r="I81" i="1" l="1"/>
  <c r="I82" i="1" s="1"/>
  <c r="G84" i="1"/>
  <c r="J81" i="1"/>
  <c r="H95" i="1"/>
  <c r="J99" i="1" l="1"/>
  <c r="C98" i="1" s="1"/>
  <c r="D98" i="1" s="1"/>
  <c r="J100" i="1"/>
  <c r="J101" i="1" s="1"/>
  <c r="J106" i="1" s="1"/>
  <c r="J107" i="1" s="1"/>
  <c r="D104" i="1"/>
  <c r="D107" i="1"/>
  <c r="D103" i="1"/>
  <c r="D99" i="1"/>
  <c r="E98" i="1"/>
  <c r="J94" i="1"/>
  <c r="J96" i="1" s="1"/>
  <c r="J98" i="1"/>
  <c r="J97" i="1"/>
  <c r="D106" i="1"/>
  <c r="D102" i="1"/>
  <c r="D100" i="1"/>
  <c r="D105" i="1"/>
  <c r="D101" i="1"/>
  <c r="I80" i="1"/>
  <c r="C82" i="1" s="1"/>
  <c r="I95" i="1" l="1"/>
  <c r="I96" i="1" s="1"/>
  <c r="G98" i="1"/>
  <c r="J95" i="1"/>
  <c r="H109" i="1"/>
  <c r="J113" i="1" l="1"/>
  <c r="C112" i="1" s="1"/>
  <c r="D112" i="1" s="1"/>
  <c r="D121" i="1"/>
  <c r="D117" i="1"/>
  <c r="J112" i="1"/>
  <c r="D118" i="1"/>
  <c r="D120" i="1"/>
  <c r="D116" i="1"/>
  <c r="D114" i="1"/>
  <c r="J111" i="1"/>
  <c r="D119" i="1"/>
  <c r="D115" i="1"/>
  <c r="J114" i="1"/>
  <c r="J115" i="1" s="1"/>
  <c r="J120" i="1" s="1"/>
  <c r="J121" i="1" s="1"/>
  <c r="C113" i="1" s="1"/>
  <c r="E112" i="1" s="1"/>
  <c r="J108" i="1"/>
  <c r="J110" i="1" s="1"/>
  <c r="I94" i="1"/>
  <c r="C96" i="1" s="1"/>
  <c r="D113" i="1" l="1"/>
  <c r="I109" i="1" s="1"/>
  <c r="I110" i="1" s="1"/>
  <c r="G112" i="1"/>
  <c r="J109" i="1"/>
  <c r="I108" i="1" l="1"/>
  <c r="C110" i="1" s="1"/>
</calcChain>
</file>

<file path=xl/comments1.xml><?xml version="1.0" encoding="utf-8"?>
<comments xmlns="http://schemas.openxmlformats.org/spreadsheetml/2006/main">
  <authors>
    <author>SACHIN</author>
  </authors>
  <commentList>
    <comment ref="H153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Give loading of 50% for A Category</t>
        </r>
      </text>
    </comment>
  </commentList>
</comments>
</file>

<file path=xl/sharedStrings.xml><?xml version="1.0" encoding="utf-8"?>
<sst xmlns="http://schemas.openxmlformats.org/spreadsheetml/2006/main" count="424" uniqueCount="236">
  <si>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</si>
  <si>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</si>
  <si>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</si>
  <si>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</si>
  <si>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</si>
  <si>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</si>
  <si>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</si>
  <si>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</si>
  <si>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</si>
  <si>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</si>
  <si>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</si>
  <si>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</si>
  <si>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</si>
  <si>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</si>
  <si>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</si>
  <si>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</si>
  <si>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</si>
  <si>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</si>
  <si>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</si>
  <si>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</si>
  <si>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</si>
  <si>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</si>
  <si>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</si>
  <si>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</si>
  <si>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</si>
  <si>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</si>
  <si>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</si>
  <si>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</si>
  <si>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</si>
  <si>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</si>
  <si>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</si>
  <si>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</si>
  <si>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</si>
  <si>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</si>
  <si>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</si>
  <si>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</si>
  <si>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</si>
  <si>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</si>
  <si>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</si>
  <si>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</si>
  <si>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</si>
  <si>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</si>
  <si>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</si>
  <si>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</si>
  <si>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</si>
  <si>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</si>
  <si>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</si>
  <si>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</si>
  <si>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</si>
  <si>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</si>
  <si>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</si>
  <si>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</si>
  <si>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</si>
  <si>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</si>
  <si>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</si>
  <si>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</si>
  <si>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</si>
  <si>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</si>
  <si>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</si>
  <si>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</si>
  <si>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</si>
  <si>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</si>
  <si>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</si>
  <si>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</si>
  <si>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</si>
  <si>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</si>
  <si>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</si>
  <si>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</si>
  <si>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</si>
  <si>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</si>
  <si>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</si>
  <si>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</si>
  <si>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</si>
  <si>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</si>
  <si>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</si>
  <si>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</si>
  <si>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</si>
  <si>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</si>
  <si>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</si>
  <si>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</si>
  <si>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</si>
  <si>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</si>
  <si>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</si>
  <si>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</si>
  <si>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</si>
  <si>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</si>
  <si>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</si>
  <si>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</si>
  <si>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</si>
  <si>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</si>
  <si>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</si>
  <si>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</si>
  <si>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</si>
  <si>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</si>
  <si>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</si>
  <si>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Excavation in process</t>
  </si>
  <si>
    <t>Excavation Completed</t>
  </si>
  <si>
    <t>Footing in Process</t>
  </si>
  <si>
    <t>Footing Completed</t>
  </si>
  <si>
    <t>Plinth completed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</si>
  <si>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</si>
  <si>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</si>
  <si>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</si>
  <si>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</si>
  <si>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</si>
  <si>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</si>
  <si>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</si>
  <si>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</si>
  <si>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</si>
  <si>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</si>
  <si>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</si>
  <si>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</si>
  <si>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</si>
  <si>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</si>
  <si>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</si>
  <si>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</si>
  <si>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</si>
  <si>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</si>
  <si>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</si>
  <si>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</si>
  <si>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</si>
  <si>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</si>
  <si>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</si>
  <si>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</si>
  <si>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</si>
  <si>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</si>
  <si>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</si>
  <si>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</si>
  <si>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</si>
  <si>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</si>
  <si>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</si>
  <si>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</si>
  <si>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</si>
  <si>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</si>
  <si>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</si>
  <si>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</si>
  <si>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</si>
  <si>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</si>
  <si>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</si>
  <si>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</si>
  <si>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</si>
  <si>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</si>
  <si>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</si>
  <si>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</si>
  <si>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</si>
  <si>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</si>
  <si>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</si>
  <si>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</si>
  <si>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</si>
  <si>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</si>
  <si>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</si>
  <si>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</si>
  <si>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</si>
  <si>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</si>
  <si>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</si>
  <si>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</si>
  <si>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</si>
  <si>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Village</t>
  </si>
  <si>
    <t xml:space="preserve">O. Certificate No.: 
Approved upto : </t>
  </si>
  <si>
    <t>Green Touch</t>
  </si>
  <si>
    <t>Axis Badlapur</t>
  </si>
  <si>
    <t>Shree Vakratunda Builders &amp; Developers</t>
  </si>
  <si>
    <t>Survey No</t>
  </si>
  <si>
    <t>Badlapur West</t>
  </si>
  <si>
    <t>Thane</t>
  </si>
  <si>
    <t>Ambarnath</t>
  </si>
  <si>
    <t>Rahatoli</t>
  </si>
  <si>
    <t>Internal Road</t>
  </si>
  <si>
    <t>Open Plot</t>
  </si>
  <si>
    <t>6.1KM from Badlapur Railway Station</t>
  </si>
  <si>
    <t>Rahatoli Village Road</t>
  </si>
  <si>
    <t>Hanuman Mandir</t>
  </si>
  <si>
    <t>On Site, we meet Mr. Somnath-8355952838</t>
  </si>
  <si>
    <t>Stilt Floor Parking</t>
  </si>
  <si>
    <t>7th &amp; 8th Floor</t>
  </si>
  <si>
    <t>1st to 6th Floor For Residential</t>
  </si>
  <si>
    <t>Building No.2</t>
  </si>
  <si>
    <t>Grill Charges</t>
  </si>
  <si>
    <t>Town Planner, Thane</t>
  </si>
  <si>
    <t>3000 to 3400</t>
  </si>
  <si>
    <t>Index 2</t>
  </si>
  <si>
    <t>Abhishek Manjrekar</t>
  </si>
  <si>
    <t>Other Charges</t>
  </si>
  <si>
    <t>Latitude, Longitude</t>
  </si>
  <si>
    <t>Somnath 8355952838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</si>
  <si>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</si>
  <si>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>19.177586,73.281171</t>
  </si>
  <si>
    <t>https://maps.app.goo.gl/rsbK19T8SLjPXBLi8</t>
  </si>
  <si>
    <t>Green Touch = P51700046822
Green Touch Building No 2 = P51700033633</t>
  </si>
  <si>
    <t>Green Touch = Building No. 1, 3, 4 &amp; 5
Green Touch Building No 2 = Building No.2</t>
  </si>
  <si>
    <t>18.00 M. Wide Road</t>
  </si>
  <si>
    <t>Other Plot</t>
  </si>
  <si>
    <t>Houses</t>
  </si>
  <si>
    <t>Building No. 1 = Ground + 1st to 4th Floor
Building No. 2, 3 &amp; 4 = Stilt + 1st to 8th Floor
Building No. 5 = Stilt + 1st to 6th Floor</t>
  </si>
  <si>
    <t>Building No. 1 = Ground + 1st to 4th Floor</t>
  </si>
  <si>
    <t>Building No. 2 = Stilt + 1st to 8th Floor</t>
  </si>
  <si>
    <t>Building No. 3 &amp; 4 = Stilt + 1st to 8th Floor</t>
  </si>
  <si>
    <t>Building No. 5 = Stilt + 1st to 6th Floor</t>
  </si>
  <si>
    <t>Building No.1</t>
  </si>
  <si>
    <t>Ground Floor For Fitness Centre, Drivers Room, Society Office, Entrance Lobby &amp; Parking</t>
  </si>
  <si>
    <t>1st to 4th Floor For Residential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</si>
  <si>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</si>
  <si>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 (Sale Plan)</t>
  </si>
  <si>
    <t>Carpet area</t>
  </si>
  <si>
    <t>Attached Loft area</t>
  </si>
  <si>
    <t>Ground Floor</t>
  </si>
  <si>
    <t>Flat No. (Sale Plan)</t>
  </si>
  <si>
    <t>RERA Carpet area</t>
  </si>
  <si>
    <t>1BHK</t>
  </si>
  <si>
    <t>Balcony + Encl Balcony Area</t>
  </si>
  <si>
    <t>Building No. 2</t>
  </si>
  <si>
    <t>Building No. 1</t>
  </si>
  <si>
    <t>We considered Gross carpet area = Net carpet + Enclose balcony + Balcony.</t>
  </si>
  <si>
    <t>Building No. 3</t>
  </si>
  <si>
    <t>1.5BHK</t>
  </si>
  <si>
    <t>Building No. 4</t>
  </si>
  <si>
    <t>Building No. 5</t>
  </si>
  <si>
    <t xml:space="preserve">Details of Residential in Building   </t>
  </si>
  <si>
    <t>Building No.3</t>
  </si>
  <si>
    <t>Building No.4</t>
  </si>
  <si>
    <t>Building No.5</t>
  </si>
  <si>
    <t>Grand Total</t>
  </si>
  <si>
    <t>Layout :</t>
  </si>
  <si>
    <t>78, H.No.2</t>
  </si>
  <si>
    <t>Approved plans, CC, Builder Saleable Area</t>
  </si>
  <si>
    <t>BS/Rekhankan/BP/MJ-Rahtoli/
T-Ambernath/SSTN/2084</t>
  </si>
  <si>
    <t>Flats - 136</t>
  </si>
  <si>
    <t xml:space="preserve">Vitrified tiles flooring, Granite Kitchen Platform, Decorative Entrance, Landscaping &amp; Garden, etc.
</t>
  </si>
  <si>
    <t>Site Person Contact Details ( Name &amp; Contact No.)</t>
  </si>
  <si>
    <t>We have updated approved plans &amp; CC for Building No. 1, 2, 3 &amp; 5 (on 01/07/2024).</t>
  </si>
  <si>
    <t>05 Building</t>
  </si>
  <si>
    <r>
      <t xml:space="preserve">As per RERA - </t>
    </r>
    <r>
      <rPr>
        <b/>
        <sz val="12"/>
        <color indexed="8"/>
        <rFont val="Times New Roman"/>
        <family val="1"/>
      </rPr>
      <t>Green Touch</t>
    </r>
    <r>
      <rPr>
        <sz val="12"/>
        <color indexed="8"/>
        <rFont val="Times New Roman"/>
        <family val="1"/>
      </rPr>
      <t xml:space="preserve"> = 31/12/2027
</t>
    </r>
    <r>
      <rPr>
        <b/>
        <sz val="12"/>
        <color indexed="8"/>
        <rFont val="Times New Roman"/>
        <family val="1"/>
      </rPr>
      <t>Green Touch Building No. 2</t>
    </r>
    <r>
      <rPr>
        <sz val="12"/>
        <color indexed="8"/>
        <rFont val="Times New Roman"/>
        <family val="1"/>
      </rPr>
      <t xml:space="preserve"> = 31/12/2025</t>
    </r>
  </si>
  <si>
    <t>Mahasul/KS-1/T-14/B.P/SR-16/2021</t>
  </si>
  <si>
    <t>Sudhir Bhosale</t>
  </si>
  <si>
    <t>Pooja Kawale</t>
  </si>
  <si>
    <t>Bldg No.1, 3, 4 = Construction work is in process at the time of visit.
Bldg No.2 = Finishing work is in process.
Bldg No.5 = 1st slab work is in process.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</si>
</sst>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31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2"/>
      <color theme="1"/>
      <name val="Calibri"/>
      <family val="2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98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8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2" fontId="7" fillId="0" borderId="0" xfId="1" applyNumberFormat="1" applyFont="1" applyAlignment="1">
      <alignment horizontal="center" vertical="center"/>
    </xf>
    <xf numFmtId="14" fontId="7" fillId="2" borderId="0" xfId="1" applyNumberFormat="1" applyFont="1" applyFill="1"/>
    <xf numFmtId="0" fontId="7" fillId="2" borderId="0" xfId="1" applyFont="1" applyFill="1"/>
    <xf numFmtId="0" fontId="27" fillId="2" borderId="0" xfId="0" applyFont="1" applyFill="1"/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64" fontId="7" fillId="0" borderId="0" xfId="1" applyNumberFormat="1" applyFont="1" applyAlignment="1">
      <alignment horizontal="center" vertical="center"/>
    </xf>
    <xf numFmtId="1" fontId="28" fillId="0" borderId="2" xfId="1" applyNumberFormat="1" applyFont="1" applyBorder="1" applyAlignment="1" applyProtection="1">
      <alignment horizontal="center" vertical="top" wrapText="1"/>
      <protection locked="0"/>
    </xf>
    <xf numFmtId="9" fontId="28" fillId="0" borderId="15" xfId="8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9" fontId="13" fillId="0" borderId="15" xfId="8" applyFont="1" applyFill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14" fontId="12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4" fontId="8" fillId="0" borderId="7" xfId="1" applyNumberFormat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8" fillId="0" borderId="16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3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28" fillId="0" borderId="2" xfId="1" applyNumberFormat="1" applyFont="1" applyBorder="1" applyAlignment="1" applyProtection="1">
      <alignment horizontal="center" vertical="top" wrapText="1"/>
      <protection locked="0"/>
    </xf>
    <xf numFmtId="1" fontId="2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1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13" fillId="0" borderId="2" xfId="1" applyNumberFormat="1" applyFont="1" applyBorder="1" applyAlignment="1" applyProtection="1">
      <alignment horizontal="center" vertical="top" wrapText="1"/>
      <protection locked="0"/>
    </xf>
    <xf numFmtId="1" fontId="13" fillId="0" borderId="15" xfId="1" applyNumberFormat="1" applyFont="1" applyBorder="1" applyAlignment="1" applyProtection="1">
      <alignment horizontal="center" vertical="top" wrapText="1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  <xf numFmtId="0" fontId="24" fillId="2" borderId="14" xfId="0" applyFont="1" applyFill="1" applyBorder="1"/>
    <xf numFmtId="0" fontId="25" fillId="0" borderId="8" xfId="0" applyFont="1" applyBorder="1"/>
    <xf numFmtId="0" fontId="8" fillId="0" borderId="31" xfId="1" applyFont="1" applyBorder="1" applyAlignment="1" applyProtection="1">
      <alignment horizontal="left" vertical="top" wrapText="1"/>
      <protection locked="0"/>
    </xf>
    <xf numFmtId="0" fontId="8" fillId="0" borderId="32" xfId="1" applyFont="1" applyBorder="1" applyAlignment="1" applyProtection="1">
      <alignment horizontal="left" vertical="top" wrapText="1"/>
      <protection locked="0"/>
    </xf>
    <xf numFmtId="0" fontId="8" fillId="0" borderId="33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9.png"/><Relationship Id="rId1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311727</xdr:colOff>
      <xdr:row>271</xdr:row>
      <xdr:rowOff>25977</xdr:rowOff>
    </xdr:from>
    <xdr:to>
      <xdr:col>7</xdr:col>
      <xdr:colOff>562704</xdr:colOff>
      <xdr:row>304</xdr:row>
      <xdr:rowOff>63637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311727" y="55372577"/>
          <a:ext cx="6226327" cy="6533710"/>
          <a:chOff x="550294" y="314505"/>
          <a:chExt cx="5940000" cy="6609910"/>
        </a:xfrm>
      </xdr:grpSpPr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80294" y="3406804"/>
            <a:ext cx="2880000" cy="351761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33" name="Group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GrpSpPr/>
        </xdr:nvGrpSpPr>
        <xdr:grpSpPr>
          <a:xfrm>
            <a:off x="550294" y="314505"/>
            <a:ext cx="5940000" cy="2931092"/>
            <a:chOff x="550294" y="314505"/>
            <a:chExt cx="5940000" cy="2931092"/>
          </a:xfrm>
        </xdr:grpSpPr>
        <xdr:pic>
          <xdr:nvPicPr>
            <xdr:cNvPr id="34" name="Picture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50294" y="314505"/>
              <a:ext cx="5940000" cy="2931092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35" name="Rectangle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990600" y="1231900"/>
              <a:ext cx="762000" cy="44450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6" name="Rectangle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4146550" y="1267198"/>
              <a:ext cx="616247" cy="44450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7" name="Rectangle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>
            <a:xfrm>
              <a:off x="3588047" y="1267198"/>
              <a:ext cx="558503" cy="44450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8" name="Rectangle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>
            <a:xfrm>
              <a:off x="2971800" y="1267198"/>
              <a:ext cx="616247" cy="44450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39" name="Rectangle 38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>
            <a:xfrm>
              <a:off x="2330382" y="1267198"/>
              <a:ext cx="641417" cy="444500"/>
            </a:xfrm>
            <a:prstGeom prst="rect">
              <a:avLst/>
            </a:prstGeom>
            <a:noFill/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  <xdr:sp macro="" textlink="">
          <xdr:nvSpPr>
            <xdr:cNvPr id="40" name="TextBox 8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 txBox="1"/>
          </xdr:nvSpPr>
          <xdr:spPr>
            <a:xfrm>
              <a:off x="1012517" y="1676400"/>
              <a:ext cx="763351" cy="4616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 b="1">
                  <a:solidFill>
                    <a:srgbClr val="FF0000"/>
                  </a:solidFill>
                </a:rPr>
                <a:t>Bldg No. </a:t>
              </a:r>
            </a:p>
            <a:p>
              <a:pPr algn="ctr"/>
              <a:r>
                <a:rPr lang="en-US" sz="1200" b="1">
                  <a:solidFill>
                    <a:srgbClr val="FF0000"/>
                  </a:solidFill>
                </a:rPr>
                <a:t>01</a:t>
              </a:r>
              <a:endParaRPr lang="en-IN" sz="12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1" name="TextBox 9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 txBox="1"/>
          </xdr:nvSpPr>
          <xdr:spPr>
            <a:xfrm>
              <a:off x="2310873" y="872766"/>
              <a:ext cx="763351" cy="4616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 b="1">
                  <a:solidFill>
                    <a:srgbClr val="FF0000"/>
                  </a:solidFill>
                </a:rPr>
                <a:t>Bldg No. </a:t>
              </a:r>
            </a:p>
            <a:p>
              <a:pPr algn="ctr"/>
              <a:r>
                <a:rPr lang="en-US" sz="1200" b="1">
                  <a:solidFill>
                    <a:srgbClr val="FF0000"/>
                  </a:solidFill>
                </a:rPr>
                <a:t>02</a:t>
              </a:r>
              <a:endParaRPr lang="en-IN" sz="12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2" name="TextBox 10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 txBox="1"/>
          </xdr:nvSpPr>
          <xdr:spPr>
            <a:xfrm>
              <a:off x="2898247" y="1728863"/>
              <a:ext cx="763351" cy="4616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 b="1">
                  <a:solidFill>
                    <a:srgbClr val="FF0000"/>
                  </a:solidFill>
                </a:rPr>
                <a:t>Bldg No. </a:t>
              </a:r>
            </a:p>
            <a:p>
              <a:pPr algn="ctr"/>
              <a:r>
                <a:rPr lang="en-US" sz="1200" b="1">
                  <a:solidFill>
                    <a:srgbClr val="FF0000"/>
                  </a:solidFill>
                </a:rPr>
                <a:t>03</a:t>
              </a:r>
              <a:endParaRPr lang="en-IN" sz="12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3" name="TextBox 11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 txBox="1"/>
          </xdr:nvSpPr>
          <xdr:spPr>
            <a:xfrm>
              <a:off x="3485622" y="875158"/>
              <a:ext cx="763351" cy="4616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 b="1">
                  <a:solidFill>
                    <a:srgbClr val="FF0000"/>
                  </a:solidFill>
                </a:rPr>
                <a:t>Bldg No. </a:t>
              </a:r>
            </a:p>
            <a:p>
              <a:pPr algn="ctr"/>
              <a:r>
                <a:rPr lang="en-US" sz="1200" b="1">
                  <a:solidFill>
                    <a:srgbClr val="FF0000"/>
                  </a:solidFill>
                </a:rPr>
                <a:t>04</a:t>
              </a:r>
              <a:endParaRPr lang="en-IN" sz="1200" b="1">
                <a:solidFill>
                  <a:srgbClr val="FF0000"/>
                </a:solidFill>
              </a:endParaRPr>
            </a:p>
          </xdr:txBody>
        </xdr:sp>
        <xdr:sp macro="" textlink="">
          <xdr:nvSpPr>
            <xdr:cNvPr id="44" name="TextBox 12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 txBox="1"/>
          </xdr:nvSpPr>
          <xdr:spPr>
            <a:xfrm>
              <a:off x="4134941" y="1678192"/>
              <a:ext cx="763351" cy="461665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sz="1200" b="1">
                  <a:solidFill>
                    <a:srgbClr val="FF0000"/>
                  </a:solidFill>
                </a:rPr>
                <a:t>Bldg No. </a:t>
              </a:r>
            </a:p>
            <a:p>
              <a:pPr algn="ctr"/>
              <a:r>
                <a:rPr lang="en-US" sz="1200" b="1">
                  <a:solidFill>
                    <a:srgbClr val="FF0000"/>
                  </a:solidFill>
                </a:rPr>
                <a:t>05</a:t>
              </a:r>
              <a:endParaRPr lang="en-IN" sz="1200" b="1">
                <a:solidFill>
                  <a:srgbClr val="FF0000"/>
                </a:solidFill>
              </a:endParaRPr>
            </a:p>
          </xdr:txBody>
        </xdr:sp>
      </xdr:grpSp>
    </xdr:grpSp>
    <xdr:clientData/>
  </xdr:twoCellAnchor>
  <xdr:twoCellAnchor>
    <xdr:from>
      <xdr:col>0</xdr:col>
      <xdr:colOff>502228</xdr:colOff>
      <xdr:row>309</xdr:row>
      <xdr:rowOff>34637</xdr:rowOff>
    </xdr:from>
    <xdr:to>
      <xdr:col>7</xdr:col>
      <xdr:colOff>320387</xdr:colOff>
      <xdr:row>340</xdr:row>
      <xdr:rowOff>34637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502228" y="62861537"/>
          <a:ext cx="5793509" cy="6102350"/>
          <a:chOff x="561975" y="133351"/>
          <a:chExt cx="5760000" cy="7825249"/>
        </a:xfrm>
      </xdr:grpSpPr>
      <xdr:pic>
        <xdr:nvPicPr>
          <xdr:cNvPr id="46" name="Picture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61975" y="133351"/>
            <a:ext cx="5760000" cy="3722701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grpSp>
        <xdr:nvGrpSpPr>
          <xdr:cNvPr id="47" name="Group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GrpSpPr/>
        </xdr:nvGrpSpPr>
        <xdr:grpSpPr>
          <a:xfrm>
            <a:off x="921975" y="4038600"/>
            <a:ext cx="5040000" cy="3920000"/>
            <a:chOff x="921975" y="4038600"/>
            <a:chExt cx="5040000" cy="3920000"/>
          </a:xfrm>
        </xdr:grpSpPr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/>
          </xdr:blipFill>
          <xdr:spPr>
            <a:xfrm>
              <a:off x="921975" y="4038600"/>
              <a:ext cx="5040000" cy="39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sp macro="" textlink="">
          <xdr:nvSpPr>
            <xdr:cNvPr id="49" name="Rectangle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SpPr/>
          </xdr:nvSpPr>
          <xdr:spPr>
            <a:xfrm rot="697619">
              <a:off x="2789630" y="4339514"/>
              <a:ext cx="1009946" cy="3070516"/>
            </a:xfrm>
            <a:prstGeom prst="rect">
              <a:avLst/>
            </a:prstGeom>
            <a:noFill/>
            <a:ln w="38100">
              <a:solidFill>
                <a:srgbClr val="FFFF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IN"/>
            </a:p>
          </xdr:txBody>
        </xdr:sp>
      </xdr:grpSp>
    </xdr:grpSp>
    <xdr:clientData/>
  </xdr:twoCellAnchor>
  <xdr:twoCellAnchor editAs="oneCell">
    <xdr:from>
      <xdr:col>8</xdr:col>
      <xdr:colOff>288349</xdr:colOff>
      <xdr:row>49</xdr:row>
      <xdr:rowOff>145474</xdr:rowOff>
    </xdr:from>
    <xdr:to>
      <xdr:col>10</xdr:col>
      <xdr:colOff>524299</xdr:colOff>
      <xdr:row>55</xdr:row>
      <xdr:rowOff>67992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2974" y="11604049"/>
          <a:ext cx="2160000" cy="1351267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295275</xdr:colOff>
      <xdr:row>47</xdr:row>
      <xdr:rowOff>47625</xdr:rowOff>
    </xdr:from>
    <xdr:to>
      <xdr:col>10</xdr:col>
      <xdr:colOff>531225</xdr:colOff>
      <xdr:row>49</xdr:row>
      <xdr:rowOff>17805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819900" y="10725150"/>
          <a:ext cx="2160000" cy="75123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285750</xdr:colOff>
      <xdr:row>40</xdr:row>
      <xdr:rowOff>95251</xdr:rowOff>
    </xdr:from>
    <xdr:to>
      <xdr:col>12</xdr:col>
      <xdr:colOff>552000</xdr:colOff>
      <xdr:row>46</xdr:row>
      <xdr:rowOff>352079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10375" y="9144001"/>
          <a:ext cx="3600000" cy="1456979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8</xdr:col>
      <xdr:colOff>281609</xdr:colOff>
      <xdr:row>54</xdr:row>
      <xdr:rowOff>165652</xdr:rowOff>
    </xdr:from>
    <xdr:to>
      <xdr:col>11</xdr:col>
      <xdr:colOff>536022</xdr:colOff>
      <xdr:row>57</xdr:row>
      <xdr:rowOff>220860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800022" y="12995413"/>
          <a:ext cx="2880000" cy="109053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8</xdr:col>
      <xdr:colOff>136622</xdr:colOff>
      <xdr:row>224</xdr:row>
      <xdr:rowOff>126700</xdr:rowOff>
    </xdr:from>
    <xdr:to>
      <xdr:col>13</xdr:col>
      <xdr:colOff>518996</xdr:colOff>
      <xdr:row>255</xdr:row>
      <xdr:rowOff>50868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81922" y="46227700"/>
          <a:ext cx="4700374" cy="6020168"/>
          <a:chOff x="124239" y="46672500"/>
          <a:chExt cx="6330722" cy="7404840"/>
        </a:xfrm>
        <a:solidFill>
          <a:schemeClr val="bg2">
            <a:lumMod val="90000"/>
          </a:schemeClr>
        </a:solidFill>
      </xdr:grpSpPr>
      <xdr:pic>
        <xdr:nvPicPr>
          <xdr:cNvPr id="50" name="Picture 49" descr="https://vsjcllp.vsjadon.com/upload/insp-200852-1525.jpg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48565" y="52277340"/>
            <a:ext cx="2396666" cy="1800000"/>
          </a:xfrm>
          <a:prstGeom prst="rect">
            <a:avLst/>
          </a:prstGeom>
          <a:grpFill/>
          <a:ln>
            <a:solidFill>
              <a:schemeClr val="tx1"/>
            </a:solidFill>
          </a:ln>
        </xdr:spPr>
      </xdr:pic>
      <xdr:pic>
        <xdr:nvPicPr>
          <xdr:cNvPr id="51" name="Picture 50" descr="https://vsjcllp.vsjadon.com/upload/insp-200852-861.jpg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058293" y="52277340"/>
            <a:ext cx="2396668" cy="1800000"/>
          </a:xfrm>
          <a:prstGeom prst="rect">
            <a:avLst/>
          </a:prstGeom>
          <a:grpFill/>
          <a:ln>
            <a:solidFill>
              <a:schemeClr val="tx1"/>
            </a:solidFill>
          </a:ln>
        </xdr:spPr>
      </xdr:pic>
      <xdr:pic>
        <xdr:nvPicPr>
          <xdr:cNvPr id="52" name="Picture 51" descr="https://vsjcllp.vsjadon.com/upload/insp-200852-849.jpg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05109" y="46672500"/>
            <a:ext cx="1941300" cy="2592000"/>
          </a:xfrm>
          <a:prstGeom prst="rect">
            <a:avLst/>
          </a:prstGeom>
          <a:grpFill/>
          <a:ln>
            <a:solidFill>
              <a:schemeClr val="tx1"/>
            </a:solidFill>
          </a:ln>
        </xdr:spPr>
      </xdr:pic>
      <xdr:pic>
        <xdr:nvPicPr>
          <xdr:cNvPr id="53" name="Picture 52" descr="https://vsjcllp.vsjadon.com/upload/insp-200852-916.jpg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4240" y="52277340"/>
            <a:ext cx="1348125" cy="1800000"/>
          </a:xfrm>
          <a:prstGeom prst="rect">
            <a:avLst/>
          </a:prstGeom>
          <a:grpFill/>
          <a:ln>
            <a:solidFill>
              <a:schemeClr val="tx1"/>
            </a:solidFill>
          </a:ln>
        </xdr:spPr>
      </xdr:pic>
      <xdr:pic>
        <xdr:nvPicPr>
          <xdr:cNvPr id="54" name="Picture 53" descr="https://vsjcllp.vsjadon.com/upload/insp-200852-845.jpg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05109" y="49474920"/>
            <a:ext cx="1941300" cy="2592000"/>
          </a:xfrm>
          <a:prstGeom prst="rect">
            <a:avLst/>
          </a:prstGeom>
          <a:grpFill/>
          <a:ln>
            <a:solidFill>
              <a:schemeClr val="tx1"/>
            </a:solidFill>
          </a:ln>
        </xdr:spPr>
      </xdr:pic>
      <xdr:pic>
        <xdr:nvPicPr>
          <xdr:cNvPr id="55" name="Picture 54" descr="https://vsjcllp.vsjadon.com/upload/insp-200852-844.jpg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85977" y="49474920"/>
            <a:ext cx="1941300" cy="2592000"/>
          </a:xfrm>
          <a:prstGeom prst="rect">
            <a:avLst/>
          </a:prstGeom>
          <a:grpFill/>
          <a:ln>
            <a:solidFill>
              <a:schemeClr val="tx1"/>
            </a:solidFill>
          </a:ln>
        </xdr:spPr>
      </xdr:pic>
      <xdr:pic>
        <xdr:nvPicPr>
          <xdr:cNvPr id="56" name="Picture 55" descr="https://vsjcllp.vsjadon.com/upload/insp-200852-847.jpg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4239" y="49474920"/>
            <a:ext cx="1941300" cy="2592000"/>
          </a:xfrm>
          <a:prstGeom prst="rect">
            <a:avLst/>
          </a:prstGeom>
          <a:grpFill/>
          <a:ln>
            <a:solidFill>
              <a:schemeClr val="tx1"/>
            </a:solidFill>
          </a:ln>
        </xdr:spPr>
      </xdr:pic>
      <xdr:pic>
        <xdr:nvPicPr>
          <xdr:cNvPr id="57" name="Picture 56" descr="https://vsjcllp.vsjadon.com/upload/insp-200852-851.jpg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85977" y="46672500"/>
            <a:ext cx="1941300" cy="2592000"/>
          </a:xfrm>
          <a:prstGeom prst="rect">
            <a:avLst/>
          </a:prstGeom>
          <a:grpFill/>
          <a:ln>
            <a:solidFill>
              <a:schemeClr val="tx1"/>
            </a:solidFill>
          </a:ln>
        </xdr:spPr>
      </xdr:pic>
      <xdr:pic>
        <xdr:nvPicPr>
          <xdr:cNvPr id="58" name="Picture 57" descr="https://vsjcllp.vsjadon.com/upload/insp-200852-1512.jpg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24241" y="46672500"/>
            <a:ext cx="1941300" cy="2592000"/>
          </a:xfrm>
          <a:prstGeom prst="rect">
            <a:avLst/>
          </a:prstGeom>
          <a:grpFill/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8</xdr:col>
      <xdr:colOff>720587</xdr:colOff>
      <xdr:row>220</xdr:row>
      <xdr:rowOff>82826</xdr:rowOff>
    </xdr:from>
    <xdr:to>
      <xdr:col>8</xdr:col>
      <xdr:colOff>1109870</xdr:colOff>
      <xdr:row>221</xdr:row>
      <xdr:rowOff>33130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239000" y="45090522"/>
          <a:ext cx="389283" cy="3975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IN" sz="1800" b="1">
              <a:solidFill>
                <a:srgbClr val="C00000"/>
              </a:solidFill>
            </a:rPr>
            <a:t>1</a:t>
          </a:r>
        </a:p>
      </xdr:txBody>
    </xdr:sp>
    <xdr:clientData/>
  </xdr:twoCellAnchor>
  <xdr:twoCellAnchor>
    <xdr:from>
      <xdr:col>8</xdr:col>
      <xdr:colOff>876300</xdr:colOff>
      <xdr:row>226</xdr:row>
      <xdr:rowOff>127000</xdr:rowOff>
    </xdr:from>
    <xdr:to>
      <xdr:col>17</xdr:col>
      <xdr:colOff>253517</xdr:colOff>
      <xdr:row>263</xdr:row>
      <xdr:rowOff>182700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7721600" y="46621700"/>
          <a:ext cx="6717817" cy="7332800"/>
          <a:chOff x="114300" y="46558200"/>
          <a:chExt cx="6667017" cy="7332800"/>
        </a:xfrm>
      </xdr:grpSpPr>
      <xdr:pic>
        <xdr:nvPicPr>
          <xdr:cNvPr id="73" name="Picture 72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6284" y="46559352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4" name="Picture 73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14300" y="50719768"/>
            <a:ext cx="214904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5" name="Picture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9796" y="46558200"/>
            <a:ext cx="1624519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6" name="Picture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3288" y="50719768"/>
            <a:ext cx="214904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7" name="Picture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53308" y="46558200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8" name="Picture 77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15905" y="48819560"/>
            <a:ext cx="135376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0" name="Picture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7696" y="48819560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1" name="Picture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0057" y="48819560"/>
            <a:ext cx="2387823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2" name="Picture 81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32276" y="50719768"/>
            <a:ext cx="2149041" cy="16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83" name="TextBox 82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/>
        </xdr:nvSpPr>
        <xdr:spPr>
          <a:xfrm>
            <a:off x="206284" y="46559352"/>
            <a:ext cx="53771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1</a:t>
            </a:r>
          </a:p>
        </xdr:txBody>
      </xdr:sp>
      <xdr:sp macro="" textlink="">
        <xdr:nvSpPr>
          <xdr:cNvPr id="84" name="TextBox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 txBox="1"/>
        </xdr:nvSpPr>
        <xdr:spPr>
          <a:xfrm>
            <a:off x="1979796" y="46558200"/>
            <a:ext cx="53771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2</a:t>
            </a:r>
          </a:p>
        </xdr:txBody>
      </xdr:sp>
      <xdr:sp macro="" textlink="">
        <xdr:nvSpPr>
          <xdr:cNvPr id="85" name="TextBox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3753308" y="46558200"/>
            <a:ext cx="53771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3</a:t>
            </a:r>
          </a:p>
        </xdr:txBody>
      </xdr:sp>
      <xdr:sp macro="" textlink="">
        <xdr:nvSpPr>
          <xdr:cNvPr id="86" name="TextBox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/>
        </xdr:nvSpPr>
        <xdr:spPr>
          <a:xfrm>
            <a:off x="2715905" y="48819560"/>
            <a:ext cx="53771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4</a:t>
            </a:r>
          </a:p>
        </xdr:txBody>
      </xdr:sp>
      <xdr:sp macro="" textlink="">
        <xdr:nvSpPr>
          <xdr:cNvPr id="87" name="TextBox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 txBox="1"/>
        </xdr:nvSpPr>
        <xdr:spPr>
          <a:xfrm>
            <a:off x="4835057" y="49098960"/>
            <a:ext cx="537711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100" b="0" cap="none" spc="0">
                <a:ln w="0"/>
                <a:solidFill>
                  <a:sysClr val="windowText" lastClr="0000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5</a:t>
            </a:r>
          </a:p>
        </xdr:txBody>
      </xdr:sp>
      <xdr:pic>
        <xdr:nvPicPr>
          <xdr:cNvPr id="88" name="Picture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06231" y="52451000"/>
            <a:ext cx="1910259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89" name="Picture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08246" y="52451000"/>
            <a:ext cx="1078500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0" name="Picture 89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5748" y="52451000"/>
            <a:ext cx="1083013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1" name="Picture 90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03250" y="52451000"/>
            <a:ext cx="1083013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171450</xdr:colOff>
      <xdr:row>227</xdr:row>
      <xdr:rowOff>120650</xdr:rowOff>
    </xdr:from>
    <xdr:to>
      <xdr:col>7</xdr:col>
      <xdr:colOff>682088</xdr:colOff>
      <xdr:row>267</xdr:row>
      <xdr:rowOff>133218</xdr:rowOff>
    </xdr:to>
    <xdr:grpSp>
      <xdr:nvGrpSpPr>
        <xdr:cNvPr id="3" name="Group 2"/>
        <xdr:cNvGrpSpPr/>
      </xdr:nvGrpSpPr>
      <xdr:grpSpPr>
        <a:xfrm>
          <a:off x="171450" y="46812200"/>
          <a:ext cx="6485988" cy="7880218"/>
          <a:chOff x="171450" y="46653450"/>
          <a:chExt cx="6485988" cy="7880218"/>
        </a:xfrm>
      </xdr:grpSpPr>
      <xdr:pic>
        <xdr:nvPicPr>
          <xdr:cNvPr id="92" name="Picture 91"/>
          <xdr:cNvPicPr>
            <a:picLocks noChangeAspect="1"/>
          </xdr:cNvPicPr>
        </xdr:nvPicPr>
        <xdr:blipFill>
          <a:blip xmlns:r="http://schemas.openxmlformats.org/officeDocument/2006/relationships" r:embed="rId3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81750" y="52373668"/>
            <a:ext cx="2865387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3" name="Picture 92"/>
          <xdr:cNvPicPr>
            <a:picLocks noChangeAspect="1"/>
          </xdr:cNvPicPr>
        </xdr:nvPicPr>
        <xdr:blipFill>
          <a:blip xmlns:r="http://schemas.openxmlformats.org/officeDocument/2006/relationships" r:embed="rId3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466534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4" name="Picture 93"/>
          <xdr:cNvPicPr>
            <a:picLocks noChangeAspect="1"/>
          </xdr:cNvPicPr>
        </xdr:nvPicPr>
        <xdr:blipFill>
          <a:blip xmlns:r="http://schemas.openxmlformats.org/officeDocument/2006/relationships" r:embed="rId3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5582" y="466534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5" name="Picture 94"/>
          <xdr:cNvPicPr>
            <a:picLocks noChangeAspect="1"/>
          </xdr:cNvPicPr>
        </xdr:nvPicPr>
        <xdr:blipFill>
          <a:blip xmlns:r="http://schemas.openxmlformats.org/officeDocument/2006/relationships" r:embed="rId3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9714" y="46653450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6" name="Picture 95"/>
          <xdr:cNvPicPr>
            <a:picLocks noChangeAspect="1"/>
          </xdr:cNvPicPr>
        </xdr:nvPicPr>
        <xdr:blipFill>
          <a:blip xmlns:r="http://schemas.openxmlformats.org/officeDocument/2006/relationships" r:embed="rId3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1450" y="4951355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7" name="Picture 96"/>
          <xdr:cNvPicPr>
            <a:picLocks noChangeAspect="1"/>
          </xdr:cNvPicPr>
        </xdr:nvPicPr>
        <xdr:blipFill>
          <a:blip xmlns:r="http://schemas.openxmlformats.org/officeDocument/2006/relationships" r:embed="rId3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85582" y="49513559"/>
            <a:ext cx="2057724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8" name="Picture 97"/>
          <xdr:cNvPicPr>
            <a:picLocks noChangeAspect="1"/>
          </xdr:cNvPicPr>
        </xdr:nvPicPr>
        <xdr:blipFill>
          <a:blip xmlns:r="http://schemas.openxmlformats.org/officeDocument/2006/relationships" r:embed="rId3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99714" y="49513559"/>
            <a:ext cx="2049150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99" name="TextBox 98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882650" y="48145700"/>
            <a:ext cx="54180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1</a:t>
            </a:r>
          </a:p>
        </xdr:txBody>
      </xdr:sp>
      <xdr:sp macro="" textlink="">
        <xdr:nvSpPr>
          <xdr:cNvPr id="100" name="TextBox 99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3382532" y="49047400"/>
            <a:ext cx="54180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2</a:t>
            </a:r>
          </a:p>
        </xdr:txBody>
      </xdr:sp>
      <xdr:sp macro="" textlink="">
        <xdr:nvSpPr>
          <xdr:cNvPr id="101" name="TextBox 100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4841014" y="48431450"/>
            <a:ext cx="54180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3</a:t>
            </a:r>
          </a:p>
        </xdr:txBody>
      </xdr:sp>
      <xdr:sp macro="" textlink="">
        <xdr:nvSpPr>
          <xdr:cNvPr id="102" name="TextBox 101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1066800" y="51253459"/>
            <a:ext cx="54180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4</a:t>
            </a:r>
          </a:p>
        </xdr:txBody>
      </xdr:sp>
      <xdr:sp macro="" textlink="">
        <xdr:nvSpPr>
          <xdr:cNvPr id="103" name="TextBox 102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2963432" y="50751809"/>
            <a:ext cx="54180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en-IN" sz="1400" b="0" cap="none" spc="0">
                <a:ln w="0"/>
                <a:solidFill>
                  <a:srgbClr val="FFFF00"/>
                </a:solidFill>
                <a:effectLst>
                  <a:outerShdw blurRad="38100" dist="25400" dir="5400000" algn="ctr" rotWithShape="0">
                    <a:srgbClr val="6E747A">
                      <a:alpha val="43000"/>
                    </a:srgbClr>
                  </a:outerShdw>
                </a:effectLst>
              </a:rPr>
              <a:t>Bldg 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rsbK19T8SLjPXBLi8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T308"/>
  <sheetViews>
    <sheetView tabSelected="1" view="pageBreakPreview" topLeftCell="A203" zoomScaleNormal="100" zoomScaleSheetLayoutView="100" workbookViewId="0">
      <selection activeCell="A205" sqref="A205:XFD205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7265625" style="39" customWidth="1"/>
    <col min="4" max="4" width="14.1796875" style="39" customWidth="1"/>
    <col min="5" max="7" width="11.7265625" style="39" customWidth="1"/>
    <col min="8" max="8" width="12.453125" style="39" customWidth="1"/>
    <col min="9" max="9" width="17.453125" style="20" customWidth="1"/>
    <col min="10" max="10" width="11.453125" style="20" customWidth="1"/>
    <col min="11" max="11" width="10.5429687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7265625" style="20" customWidth="1"/>
    <col min="17" max="247" width="9.1796875" style="20"/>
    <col min="248" max="248" width="8.7265625" style="20" customWidth="1"/>
    <col min="249" max="249" width="9.81640625" style="20" customWidth="1"/>
    <col min="250" max="250" width="14.453125" style="20" customWidth="1"/>
    <col min="251" max="251" width="7.269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7265625" style="20" customWidth="1"/>
    <col min="505" max="505" width="9.81640625" style="20" customWidth="1"/>
    <col min="506" max="506" width="14.453125" style="20" customWidth="1"/>
    <col min="507" max="507" width="7.269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7265625" style="20" customWidth="1"/>
    <col min="761" max="761" width="9.81640625" style="20" customWidth="1"/>
    <col min="762" max="762" width="14.453125" style="20" customWidth="1"/>
    <col min="763" max="763" width="7.269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7265625" style="20" customWidth="1"/>
    <col min="1017" max="1017" width="9.81640625" style="20" customWidth="1"/>
    <col min="1018" max="1018" width="14.453125" style="20" customWidth="1"/>
    <col min="1019" max="1019" width="7.269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7265625" style="20" customWidth="1"/>
    <col min="1273" max="1273" width="9.81640625" style="20" customWidth="1"/>
    <col min="1274" max="1274" width="14.453125" style="20" customWidth="1"/>
    <col min="1275" max="1275" width="7.269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7265625" style="20" customWidth="1"/>
    <col min="1529" max="1529" width="9.81640625" style="20" customWidth="1"/>
    <col min="1530" max="1530" width="14.453125" style="20" customWidth="1"/>
    <col min="1531" max="1531" width="7.269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7265625" style="20" customWidth="1"/>
    <col min="1785" max="1785" width="9.81640625" style="20" customWidth="1"/>
    <col min="1786" max="1786" width="14.453125" style="20" customWidth="1"/>
    <col min="1787" max="1787" width="7.269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7265625" style="20" customWidth="1"/>
    <col min="2041" max="2041" width="9.81640625" style="20" customWidth="1"/>
    <col min="2042" max="2042" width="14.453125" style="20" customWidth="1"/>
    <col min="2043" max="2043" width="7.269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7265625" style="20" customWidth="1"/>
    <col min="2297" max="2297" width="9.81640625" style="20" customWidth="1"/>
    <col min="2298" max="2298" width="14.453125" style="20" customWidth="1"/>
    <col min="2299" max="2299" width="7.269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7265625" style="20" customWidth="1"/>
    <col min="2553" max="2553" width="9.81640625" style="20" customWidth="1"/>
    <col min="2554" max="2554" width="14.453125" style="20" customWidth="1"/>
    <col min="2555" max="2555" width="7.269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7265625" style="20" customWidth="1"/>
    <col min="2809" max="2809" width="9.81640625" style="20" customWidth="1"/>
    <col min="2810" max="2810" width="14.453125" style="20" customWidth="1"/>
    <col min="2811" max="2811" width="7.269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7265625" style="20" customWidth="1"/>
    <col min="3065" max="3065" width="9.81640625" style="20" customWidth="1"/>
    <col min="3066" max="3066" width="14.453125" style="20" customWidth="1"/>
    <col min="3067" max="3067" width="7.269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7265625" style="20" customWidth="1"/>
    <col min="3321" max="3321" width="9.81640625" style="20" customWidth="1"/>
    <col min="3322" max="3322" width="14.453125" style="20" customWidth="1"/>
    <col min="3323" max="3323" width="7.269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7265625" style="20" customWidth="1"/>
    <col min="3577" max="3577" width="9.81640625" style="20" customWidth="1"/>
    <col min="3578" max="3578" width="14.453125" style="20" customWidth="1"/>
    <col min="3579" max="3579" width="7.269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7265625" style="20" customWidth="1"/>
    <col min="3833" max="3833" width="9.81640625" style="20" customWidth="1"/>
    <col min="3834" max="3834" width="14.453125" style="20" customWidth="1"/>
    <col min="3835" max="3835" width="7.269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7265625" style="20" customWidth="1"/>
    <col min="4089" max="4089" width="9.81640625" style="20" customWidth="1"/>
    <col min="4090" max="4090" width="14.453125" style="20" customWidth="1"/>
    <col min="4091" max="4091" width="7.269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7265625" style="20" customWidth="1"/>
    <col min="4345" max="4345" width="9.81640625" style="20" customWidth="1"/>
    <col min="4346" max="4346" width="14.453125" style="20" customWidth="1"/>
    <col min="4347" max="4347" width="7.269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7265625" style="20" customWidth="1"/>
    <col min="4601" max="4601" width="9.81640625" style="20" customWidth="1"/>
    <col min="4602" max="4602" width="14.453125" style="20" customWidth="1"/>
    <col min="4603" max="4603" width="7.269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7265625" style="20" customWidth="1"/>
    <col min="4857" max="4857" width="9.81640625" style="20" customWidth="1"/>
    <col min="4858" max="4858" width="14.453125" style="20" customWidth="1"/>
    <col min="4859" max="4859" width="7.269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7265625" style="20" customWidth="1"/>
    <col min="5113" max="5113" width="9.81640625" style="20" customWidth="1"/>
    <col min="5114" max="5114" width="14.453125" style="20" customWidth="1"/>
    <col min="5115" max="5115" width="7.269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7265625" style="20" customWidth="1"/>
    <col min="5369" max="5369" width="9.81640625" style="20" customWidth="1"/>
    <col min="5370" max="5370" width="14.453125" style="20" customWidth="1"/>
    <col min="5371" max="5371" width="7.269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7265625" style="20" customWidth="1"/>
    <col min="5625" max="5625" width="9.81640625" style="20" customWidth="1"/>
    <col min="5626" max="5626" width="14.453125" style="20" customWidth="1"/>
    <col min="5627" max="5627" width="7.269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7265625" style="20" customWidth="1"/>
    <col min="5881" max="5881" width="9.81640625" style="20" customWidth="1"/>
    <col min="5882" max="5882" width="14.453125" style="20" customWidth="1"/>
    <col min="5883" max="5883" width="7.269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7265625" style="20" customWidth="1"/>
    <col min="6137" max="6137" width="9.81640625" style="20" customWidth="1"/>
    <col min="6138" max="6138" width="14.453125" style="20" customWidth="1"/>
    <col min="6139" max="6139" width="7.269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7265625" style="20" customWidth="1"/>
    <col min="6393" max="6393" width="9.81640625" style="20" customWidth="1"/>
    <col min="6394" max="6394" width="14.453125" style="20" customWidth="1"/>
    <col min="6395" max="6395" width="7.269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7265625" style="20" customWidth="1"/>
    <col min="6649" max="6649" width="9.81640625" style="20" customWidth="1"/>
    <col min="6650" max="6650" width="14.453125" style="20" customWidth="1"/>
    <col min="6651" max="6651" width="7.269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7265625" style="20" customWidth="1"/>
    <col min="6905" max="6905" width="9.81640625" style="20" customWidth="1"/>
    <col min="6906" max="6906" width="14.453125" style="20" customWidth="1"/>
    <col min="6907" max="6907" width="7.269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7265625" style="20" customWidth="1"/>
    <col min="7161" max="7161" width="9.81640625" style="20" customWidth="1"/>
    <col min="7162" max="7162" width="14.453125" style="20" customWidth="1"/>
    <col min="7163" max="7163" width="7.269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7265625" style="20" customWidth="1"/>
    <col min="7417" max="7417" width="9.81640625" style="20" customWidth="1"/>
    <col min="7418" max="7418" width="14.453125" style="20" customWidth="1"/>
    <col min="7419" max="7419" width="7.269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7265625" style="20" customWidth="1"/>
    <col min="7673" max="7673" width="9.81640625" style="20" customWidth="1"/>
    <col min="7674" max="7674" width="14.453125" style="20" customWidth="1"/>
    <col min="7675" max="7675" width="7.269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7265625" style="20" customWidth="1"/>
    <col min="7929" max="7929" width="9.81640625" style="20" customWidth="1"/>
    <col min="7930" max="7930" width="14.453125" style="20" customWidth="1"/>
    <col min="7931" max="7931" width="7.269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7265625" style="20" customWidth="1"/>
    <col min="8185" max="8185" width="9.81640625" style="20" customWidth="1"/>
    <col min="8186" max="8186" width="14.453125" style="20" customWidth="1"/>
    <col min="8187" max="8187" width="7.269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7265625" style="20" customWidth="1"/>
    <col min="8441" max="8441" width="9.81640625" style="20" customWidth="1"/>
    <col min="8442" max="8442" width="14.453125" style="20" customWidth="1"/>
    <col min="8443" max="8443" width="7.269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7265625" style="20" customWidth="1"/>
    <col min="8697" max="8697" width="9.81640625" style="20" customWidth="1"/>
    <col min="8698" max="8698" width="14.453125" style="20" customWidth="1"/>
    <col min="8699" max="8699" width="7.269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7265625" style="20" customWidth="1"/>
    <col min="8953" max="8953" width="9.81640625" style="20" customWidth="1"/>
    <col min="8954" max="8954" width="14.453125" style="20" customWidth="1"/>
    <col min="8955" max="8955" width="7.269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7265625" style="20" customWidth="1"/>
    <col min="9209" max="9209" width="9.81640625" style="20" customWidth="1"/>
    <col min="9210" max="9210" width="14.453125" style="20" customWidth="1"/>
    <col min="9211" max="9211" width="7.269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7265625" style="20" customWidth="1"/>
    <col min="9465" max="9465" width="9.81640625" style="20" customWidth="1"/>
    <col min="9466" max="9466" width="14.453125" style="20" customWidth="1"/>
    <col min="9467" max="9467" width="7.269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7265625" style="20" customWidth="1"/>
    <col min="9721" max="9721" width="9.81640625" style="20" customWidth="1"/>
    <col min="9722" max="9722" width="14.453125" style="20" customWidth="1"/>
    <col min="9723" max="9723" width="7.269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7265625" style="20" customWidth="1"/>
    <col min="9977" max="9977" width="9.81640625" style="20" customWidth="1"/>
    <col min="9978" max="9978" width="14.453125" style="20" customWidth="1"/>
    <col min="9979" max="9979" width="7.269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7265625" style="20" customWidth="1"/>
    <col min="10233" max="10233" width="9.81640625" style="20" customWidth="1"/>
    <col min="10234" max="10234" width="14.453125" style="20" customWidth="1"/>
    <col min="10235" max="10235" width="7.269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7265625" style="20" customWidth="1"/>
    <col min="10489" max="10489" width="9.81640625" style="20" customWidth="1"/>
    <col min="10490" max="10490" width="14.453125" style="20" customWidth="1"/>
    <col min="10491" max="10491" width="7.269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7265625" style="20" customWidth="1"/>
    <col min="10745" max="10745" width="9.81640625" style="20" customWidth="1"/>
    <col min="10746" max="10746" width="14.453125" style="20" customWidth="1"/>
    <col min="10747" max="10747" width="7.269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7265625" style="20" customWidth="1"/>
    <col min="11001" max="11001" width="9.81640625" style="20" customWidth="1"/>
    <col min="11002" max="11002" width="14.453125" style="20" customWidth="1"/>
    <col min="11003" max="11003" width="7.269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7265625" style="20" customWidth="1"/>
    <col min="11257" max="11257" width="9.81640625" style="20" customWidth="1"/>
    <col min="11258" max="11258" width="14.453125" style="20" customWidth="1"/>
    <col min="11259" max="11259" width="7.269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7265625" style="20" customWidth="1"/>
    <col min="11513" max="11513" width="9.81640625" style="20" customWidth="1"/>
    <col min="11514" max="11514" width="14.453125" style="20" customWidth="1"/>
    <col min="11515" max="11515" width="7.269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7265625" style="20" customWidth="1"/>
    <col min="11769" max="11769" width="9.81640625" style="20" customWidth="1"/>
    <col min="11770" max="11770" width="14.453125" style="20" customWidth="1"/>
    <col min="11771" max="11771" width="7.269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7265625" style="20" customWidth="1"/>
    <col min="12025" max="12025" width="9.81640625" style="20" customWidth="1"/>
    <col min="12026" max="12026" width="14.453125" style="20" customWidth="1"/>
    <col min="12027" max="12027" width="7.269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7265625" style="20" customWidth="1"/>
    <col min="12281" max="12281" width="9.81640625" style="20" customWidth="1"/>
    <col min="12282" max="12282" width="14.453125" style="20" customWidth="1"/>
    <col min="12283" max="12283" width="7.269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7265625" style="20" customWidth="1"/>
    <col min="12537" max="12537" width="9.81640625" style="20" customWidth="1"/>
    <col min="12538" max="12538" width="14.453125" style="20" customWidth="1"/>
    <col min="12539" max="12539" width="7.269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7265625" style="20" customWidth="1"/>
    <col min="12793" max="12793" width="9.81640625" style="20" customWidth="1"/>
    <col min="12794" max="12794" width="14.453125" style="20" customWidth="1"/>
    <col min="12795" max="12795" width="7.269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7265625" style="20" customWidth="1"/>
    <col min="13049" max="13049" width="9.81640625" style="20" customWidth="1"/>
    <col min="13050" max="13050" width="14.453125" style="20" customWidth="1"/>
    <col min="13051" max="13051" width="7.269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7265625" style="20" customWidth="1"/>
    <col min="13305" max="13305" width="9.81640625" style="20" customWidth="1"/>
    <col min="13306" max="13306" width="14.453125" style="20" customWidth="1"/>
    <col min="13307" max="13307" width="7.269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7265625" style="20" customWidth="1"/>
    <col min="13561" max="13561" width="9.81640625" style="20" customWidth="1"/>
    <col min="13562" max="13562" width="14.453125" style="20" customWidth="1"/>
    <col min="13563" max="13563" width="7.269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7265625" style="20" customWidth="1"/>
    <col min="13817" max="13817" width="9.81640625" style="20" customWidth="1"/>
    <col min="13818" max="13818" width="14.453125" style="20" customWidth="1"/>
    <col min="13819" max="13819" width="7.269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7265625" style="20" customWidth="1"/>
    <col min="14073" max="14073" width="9.81640625" style="20" customWidth="1"/>
    <col min="14074" max="14074" width="14.453125" style="20" customWidth="1"/>
    <col min="14075" max="14075" width="7.269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7265625" style="20" customWidth="1"/>
    <col min="14329" max="14329" width="9.81640625" style="20" customWidth="1"/>
    <col min="14330" max="14330" width="14.453125" style="20" customWidth="1"/>
    <col min="14331" max="14331" width="7.269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7265625" style="20" customWidth="1"/>
    <col min="14585" max="14585" width="9.81640625" style="20" customWidth="1"/>
    <col min="14586" max="14586" width="14.453125" style="20" customWidth="1"/>
    <col min="14587" max="14587" width="7.269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7265625" style="20" customWidth="1"/>
    <col min="14841" max="14841" width="9.81640625" style="20" customWidth="1"/>
    <col min="14842" max="14842" width="14.453125" style="20" customWidth="1"/>
    <col min="14843" max="14843" width="7.269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7265625" style="20" customWidth="1"/>
    <col min="15097" max="15097" width="9.81640625" style="20" customWidth="1"/>
    <col min="15098" max="15098" width="14.453125" style="20" customWidth="1"/>
    <col min="15099" max="15099" width="7.269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7265625" style="20" customWidth="1"/>
    <col min="15353" max="15353" width="9.81640625" style="20" customWidth="1"/>
    <col min="15354" max="15354" width="14.453125" style="20" customWidth="1"/>
    <col min="15355" max="15355" width="7.269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7265625" style="20" customWidth="1"/>
    <col min="15609" max="15609" width="9.81640625" style="20" customWidth="1"/>
    <col min="15610" max="15610" width="14.453125" style="20" customWidth="1"/>
    <col min="15611" max="15611" width="7.269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7265625" style="20" customWidth="1"/>
    <col min="15865" max="15865" width="9.81640625" style="20" customWidth="1"/>
    <col min="15866" max="15866" width="14.453125" style="20" customWidth="1"/>
    <col min="15867" max="15867" width="7.269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7265625" style="20" customWidth="1"/>
    <col min="16121" max="16121" width="9.81640625" style="20" customWidth="1"/>
    <col min="16122" max="16122" width="14.453125" style="20" customWidth="1"/>
    <col min="16123" max="16123" width="7.269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8" ht="46.5" customHeight="1" x14ac:dyDescent="0.35">
      <c r="A1" s="125" t="s">
        <v>185</v>
      </c>
      <c r="B1" s="125"/>
      <c r="C1" s="125"/>
      <c r="D1" s="125"/>
      <c r="E1" s="125"/>
      <c r="F1" s="125"/>
      <c r="G1" s="125"/>
      <c r="H1" s="125"/>
    </row>
    <row r="2" spans="1:8" ht="16.5" customHeight="1" x14ac:dyDescent="0.35">
      <c r="A2" s="126" t="s">
        <v>0</v>
      </c>
      <c r="B2" s="126"/>
      <c r="C2" s="126"/>
      <c r="D2" s="126"/>
      <c r="E2" s="126"/>
      <c r="F2" s="126"/>
      <c r="G2" s="126"/>
      <c r="H2" s="126"/>
    </row>
    <row r="3" spans="1:8" x14ac:dyDescent="0.35">
      <c r="A3" s="95" t="s">
        <v>1</v>
      </c>
      <c r="B3" s="95"/>
      <c r="C3" s="95"/>
      <c r="D3" s="95"/>
      <c r="E3" s="95" t="str">
        <f ca="1">TEXT(TODAY(),"DD/MM/YYYY")</f>
        <v>09/09/2025</v>
      </c>
      <c r="F3" s="95"/>
      <c r="G3" s="95"/>
      <c r="H3" s="95"/>
    </row>
    <row r="4" spans="1:8" ht="15" customHeight="1" x14ac:dyDescent="0.35">
      <c r="A4" s="95" t="s">
        <v>2</v>
      </c>
      <c r="B4" s="95"/>
      <c r="C4" s="95"/>
      <c r="D4" s="95"/>
      <c r="E4" s="95" t="s">
        <v>160</v>
      </c>
      <c r="F4" s="95"/>
      <c r="G4" s="95"/>
      <c r="H4" s="95"/>
    </row>
    <row r="5" spans="1:8" x14ac:dyDescent="0.35">
      <c r="A5" s="95" t="s">
        <v>3</v>
      </c>
      <c r="B5" s="95"/>
      <c r="C5" s="95"/>
      <c r="D5" s="95"/>
      <c r="E5" s="128">
        <v>45906</v>
      </c>
      <c r="F5" s="95"/>
      <c r="G5" s="95"/>
      <c r="H5" s="95"/>
    </row>
    <row r="6" spans="1:8" ht="16.5" customHeight="1" x14ac:dyDescent="0.35">
      <c r="A6" s="95" t="s">
        <v>4</v>
      </c>
      <c r="B6" s="95"/>
      <c r="C6" s="95"/>
      <c r="D6" s="95"/>
      <c r="E6" s="95" t="s">
        <v>161</v>
      </c>
      <c r="F6" s="95"/>
      <c r="G6" s="95"/>
      <c r="H6" s="95"/>
    </row>
    <row r="7" spans="1:8" ht="15" customHeight="1" x14ac:dyDescent="0.35">
      <c r="A7" s="95" t="s">
        <v>5</v>
      </c>
      <c r="B7" s="95"/>
      <c r="C7" s="95"/>
      <c r="D7" s="95"/>
      <c r="E7" s="95" t="str">
        <f>E6</f>
        <v>Shree Vakratunda Builders &amp; Developers</v>
      </c>
      <c r="F7" s="95"/>
      <c r="G7" s="95"/>
      <c r="H7" s="95"/>
    </row>
    <row r="8" spans="1:8" x14ac:dyDescent="0.35">
      <c r="A8" s="95" t="s">
        <v>6</v>
      </c>
      <c r="B8" s="95"/>
      <c r="C8" s="95"/>
      <c r="D8" s="95"/>
      <c r="E8" s="127" t="s">
        <v>159</v>
      </c>
      <c r="F8" s="127"/>
      <c r="G8" s="127"/>
      <c r="H8" s="127"/>
    </row>
    <row r="9" spans="1:8" x14ac:dyDescent="0.35">
      <c r="A9" s="95" t="s">
        <v>114</v>
      </c>
      <c r="B9" s="95"/>
      <c r="C9" s="95"/>
      <c r="D9" s="95"/>
      <c r="E9" s="95" t="s">
        <v>184</v>
      </c>
      <c r="F9" s="95"/>
      <c r="G9" s="95"/>
      <c r="H9" s="95"/>
    </row>
    <row r="10" spans="1:8" x14ac:dyDescent="0.35">
      <c r="A10" s="95" t="s">
        <v>228</v>
      </c>
      <c r="B10" s="95"/>
      <c r="C10" s="95"/>
      <c r="D10" s="95"/>
      <c r="E10" s="95" t="s">
        <v>30</v>
      </c>
      <c r="F10" s="95"/>
      <c r="G10" s="95"/>
      <c r="H10" s="95"/>
    </row>
    <row r="11" spans="1:8" ht="30.75" customHeight="1" x14ac:dyDescent="0.35">
      <c r="A11" s="95" t="s">
        <v>7</v>
      </c>
      <c r="B11" s="95"/>
      <c r="C11" s="95"/>
      <c r="D11" s="95"/>
      <c r="E11" s="94" t="s">
        <v>189</v>
      </c>
      <c r="F11" s="95"/>
      <c r="G11" s="95"/>
      <c r="H11" s="95"/>
    </row>
    <row r="12" spans="1:8" x14ac:dyDescent="0.35">
      <c r="A12" s="77" t="s">
        <v>8</v>
      </c>
      <c r="B12" s="77"/>
      <c r="C12" s="77"/>
      <c r="D12" s="77"/>
      <c r="E12" s="94" t="s">
        <v>224</v>
      </c>
      <c r="F12" s="94"/>
      <c r="G12" s="94"/>
      <c r="H12" s="94"/>
    </row>
    <row r="13" spans="1:8" ht="32.25" customHeight="1" x14ac:dyDescent="0.35">
      <c r="A13" s="77" t="s">
        <v>9</v>
      </c>
      <c r="B13" s="77"/>
      <c r="C13" s="77"/>
      <c r="D13" s="77"/>
      <c r="E13" s="94" t="s">
        <v>188</v>
      </c>
      <c r="F13" s="95"/>
      <c r="G13" s="95"/>
      <c r="H13" s="95"/>
    </row>
    <row r="14" spans="1:8" ht="35.25" customHeight="1" x14ac:dyDescent="0.35">
      <c r="A14" s="93" t="s">
        <v>10</v>
      </c>
      <c r="B14" s="93"/>
      <c r="C14" s="93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Green Touch, Survey No.78, H.No.2, near Hanuman Mandir, Rahatoli Village Road, Rahatoli, Rahatoli, Badlapur West, Ambarnath, Thane - 421503.</v>
      </c>
      <c r="D14" s="93"/>
      <c r="E14" s="93"/>
      <c r="F14" s="93"/>
      <c r="G14" s="93"/>
      <c r="H14" s="93"/>
    </row>
    <row r="15" spans="1:8" x14ac:dyDescent="0.35">
      <c r="A15" s="94" t="s">
        <v>162</v>
      </c>
      <c r="B15" s="94"/>
      <c r="C15" s="94" t="s">
        <v>223</v>
      </c>
      <c r="D15" s="94"/>
      <c r="E15" s="94"/>
      <c r="F15" s="94"/>
      <c r="G15" s="94"/>
      <c r="H15" s="94"/>
    </row>
    <row r="16" spans="1:8" ht="15.75" customHeight="1" x14ac:dyDescent="0.35">
      <c r="A16" s="71" t="s">
        <v>156</v>
      </c>
      <c r="B16" s="73"/>
      <c r="C16" s="71" t="s">
        <v>166</v>
      </c>
      <c r="D16" s="72"/>
      <c r="E16" s="72"/>
      <c r="F16" s="72"/>
      <c r="G16" s="72"/>
      <c r="H16" s="73"/>
    </row>
    <row r="17" spans="1:8" ht="15.75" customHeight="1" x14ac:dyDescent="0.35">
      <c r="A17" s="93" t="s">
        <v>11</v>
      </c>
      <c r="B17" s="93"/>
      <c r="C17" s="95" t="s">
        <v>170</v>
      </c>
      <c r="D17" s="95"/>
      <c r="E17" s="93" t="s">
        <v>157</v>
      </c>
      <c r="F17" s="93"/>
      <c r="G17" s="94" t="s">
        <v>166</v>
      </c>
      <c r="H17" s="94"/>
    </row>
    <row r="18" spans="1:8" x14ac:dyDescent="0.35">
      <c r="A18" s="77" t="s">
        <v>13</v>
      </c>
      <c r="B18" s="77"/>
      <c r="C18" s="94" t="s">
        <v>163</v>
      </c>
      <c r="D18" s="94"/>
      <c r="E18" s="93" t="s">
        <v>12</v>
      </c>
      <c r="F18" s="93"/>
      <c r="G18" s="129" t="s">
        <v>164</v>
      </c>
      <c r="H18" s="129"/>
    </row>
    <row r="19" spans="1:8" x14ac:dyDescent="0.35">
      <c r="A19" s="77" t="s">
        <v>72</v>
      </c>
      <c r="B19" s="77"/>
      <c r="C19" s="94" t="s">
        <v>165</v>
      </c>
      <c r="D19" s="94"/>
      <c r="E19" s="93" t="s">
        <v>14</v>
      </c>
      <c r="F19" s="93"/>
      <c r="G19" s="94">
        <v>421503</v>
      </c>
      <c r="H19" s="94"/>
    </row>
    <row r="20" spans="1:8" ht="32.25" customHeight="1" x14ac:dyDescent="0.35">
      <c r="A20" s="77" t="s">
        <v>115</v>
      </c>
      <c r="B20" s="77"/>
      <c r="C20" s="94" t="s">
        <v>171</v>
      </c>
      <c r="D20" s="94"/>
      <c r="E20" s="93" t="s">
        <v>15</v>
      </c>
      <c r="F20" s="93"/>
      <c r="G20" s="94" t="s">
        <v>169</v>
      </c>
      <c r="H20" s="94"/>
    </row>
    <row r="21" spans="1:8" ht="15" customHeight="1" x14ac:dyDescent="0.35">
      <c r="A21" s="93" t="s">
        <v>74</v>
      </c>
      <c r="B21" s="93"/>
      <c r="C21" s="93"/>
      <c r="D21" s="93"/>
      <c r="E21" s="95" t="s">
        <v>16</v>
      </c>
      <c r="F21" s="95"/>
      <c r="G21" s="95"/>
      <c r="H21" s="95"/>
    </row>
    <row r="22" spans="1:8" ht="18.75" customHeight="1" x14ac:dyDescent="0.35">
      <c r="A22" s="93"/>
      <c r="B22" s="93"/>
      <c r="C22" s="93"/>
      <c r="D22" s="93"/>
      <c r="E22" s="95"/>
      <c r="F22" s="95"/>
      <c r="G22" s="95"/>
      <c r="H22" s="95"/>
    </row>
    <row r="23" spans="1:8" ht="15" customHeight="1" x14ac:dyDescent="0.35">
      <c r="A23" s="93" t="s">
        <v>17</v>
      </c>
      <c r="B23" s="93"/>
      <c r="C23" s="93"/>
      <c r="D23" s="93"/>
      <c r="E23" s="94" t="s">
        <v>18</v>
      </c>
      <c r="F23" s="94"/>
      <c r="G23" s="94"/>
      <c r="H23" s="94"/>
    </row>
    <row r="24" spans="1:8" ht="15" customHeight="1" x14ac:dyDescent="0.35">
      <c r="A24" s="77" t="s">
        <v>19</v>
      </c>
      <c r="B24" s="77"/>
      <c r="C24" s="77"/>
      <c r="D24" s="77"/>
      <c r="E24" s="94" t="str">
        <f>IF(AND(G18="Mumbai"),"Upper Class","Middle Class")</f>
        <v>Middle Class</v>
      </c>
      <c r="F24" s="94"/>
      <c r="G24" s="94"/>
      <c r="H24" s="94"/>
    </row>
    <row r="25" spans="1:8" x14ac:dyDescent="0.35">
      <c r="A25" s="77" t="s">
        <v>20</v>
      </c>
      <c r="B25" s="77"/>
      <c r="C25" s="77"/>
      <c r="D25" s="77"/>
      <c r="E25" s="94" t="s">
        <v>21</v>
      </c>
      <c r="F25" s="94"/>
      <c r="G25" s="94"/>
      <c r="H25" s="94"/>
    </row>
    <row r="26" spans="1:8" ht="15.75" customHeight="1" x14ac:dyDescent="0.35">
      <c r="A26" s="77" t="s">
        <v>22</v>
      </c>
      <c r="B26" s="77"/>
      <c r="C26" s="77"/>
      <c r="D26" s="77"/>
      <c r="E26" s="94" t="str">
        <f>IF(AND(G18="Mumbai"),"Developed","Developing")</f>
        <v>Developing</v>
      </c>
      <c r="F26" s="94"/>
      <c r="G26" s="94"/>
      <c r="H26" s="94"/>
    </row>
    <row r="27" spans="1:8" x14ac:dyDescent="0.35">
      <c r="A27" s="77" t="s">
        <v>23</v>
      </c>
      <c r="B27" s="77"/>
      <c r="C27" s="77"/>
      <c r="D27" s="77"/>
      <c r="E27" s="94" t="s">
        <v>24</v>
      </c>
      <c r="F27" s="94"/>
      <c r="G27" s="94"/>
      <c r="H27" s="94"/>
    </row>
    <row r="28" spans="1:8" ht="15.75" customHeight="1" x14ac:dyDescent="0.35">
      <c r="A28" s="77" t="s">
        <v>79</v>
      </c>
      <c r="B28" s="77"/>
      <c r="C28" s="77"/>
      <c r="D28" s="77"/>
      <c r="E28" s="94" t="s">
        <v>80</v>
      </c>
      <c r="F28" s="94"/>
      <c r="G28" s="94"/>
      <c r="H28" s="94"/>
    </row>
    <row r="29" spans="1:8" ht="15" customHeight="1" x14ac:dyDescent="0.35">
      <c r="A29" s="77" t="s">
        <v>33</v>
      </c>
      <c r="B29" s="77"/>
      <c r="C29" s="77"/>
      <c r="D29" s="77"/>
      <c r="E29" s="94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29" s="94"/>
      <c r="G29" s="94"/>
      <c r="H29" s="94"/>
    </row>
    <row r="30" spans="1:8" ht="15.75" customHeight="1" x14ac:dyDescent="0.35">
      <c r="A30" s="77" t="s">
        <v>91</v>
      </c>
      <c r="B30" s="77"/>
      <c r="C30" s="77"/>
      <c r="D30" s="77"/>
      <c r="E30" s="94" t="s">
        <v>34</v>
      </c>
      <c r="F30" s="94"/>
      <c r="G30" s="94"/>
      <c r="H30" s="94"/>
    </row>
    <row r="31" spans="1:8" s="21" customFormat="1" x14ac:dyDescent="0.35">
      <c r="A31" s="133" t="s">
        <v>92</v>
      </c>
      <c r="B31" s="133"/>
      <c r="C31" s="132" t="s">
        <v>29</v>
      </c>
      <c r="D31" s="132"/>
      <c r="E31" s="132"/>
      <c r="F31" s="132" t="s">
        <v>31</v>
      </c>
      <c r="G31" s="132"/>
      <c r="H31" s="132"/>
    </row>
    <row r="32" spans="1:8" s="21" customFormat="1" x14ac:dyDescent="0.35">
      <c r="A32" s="130" t="s">
        <v>25</v>
      </c>
      <c r="B32" s="130" t="s">
        <v>30</v>
      </c>
      <c r="C32" s="131" t="s">
        <v>190</v>
      </c>
      <c r="D32" s="131"/>
      <c r="E32" s="131"/>
      <c r="F32" s="131" t="s">
        <v>167</v>
      </c>
      <c r="G32" s="131"/>
      <c r="H32" s="131"/>
    </row>
    <row r="33" spans="1:8" x14ac:dyDescent="0.35">
      <c r="A33" s="130" t="s">
        <v>26</v>
      </c>
      <c r="B33" s="130" t="s">
        <v>30</v>
      </c>
      <c r="C33" s="131" t="s">
        <v>191</v>
      </c>
      <c r="D33" s="131"/>
      <c r="E33" s="131"/>
      <c r="F33" s="131" t="s">
        <v>168</v>
      </c>
      <c r="G33" s="131"/>
      <c r="H33" s="131"/>
    </row>
    <row r="34" spans="1:8" s="21" customFormat="1" x14ac:dyDescent="0.35">
      <c r="A34" s="130" t="s">
        <v>28</v>
      </c>
      <c r="B34" s="130" t="s">
        <v>30</v>
      </c>
      <c r="C34" s="131" t="s">
        <v>191</v>
      </c>
      <c r="D34" s="131"/>
      <c r="E34" s="131"/>
      <c r="F34" s="131" t="s">
        <v>168</v>
      </c>
      <c r="G34" s="131"/>
      <c r="H34" s="131"/>
    </row>
    <row r="35" spans="1:8" x14ac:dyDescent="0.35">
      <c r="A35" s="130" t="s">
        <v>27</v>
      </c>
      <c r="B35" s="130" t="s">
        <v>30</v>
      </c>
      <c r="C35" s="131" t="s">
        <v>191</v>
      </c>
      <c r="D35" s="131"/>
      <c r="E35" s="131"/>
      <c r="F35" s="131" t="s">
        <v>192</v>
      </c>
      <c r="G35" s="131"/>
      <c r="H35" s="131"/>
    </row>
    <row r="36" spans="1:8" x14ac:dyDescent="0.35">
      <c r="A36" s="77" t="s">
        <v>32</v>
      </c>
      <c r="B36" s="77"/>
      <c r="C36" s="77"/>
      <c r="D36" s="77"/>
      <c r="E36" s="77"/>
      <c r="F36" s="77"/>
      <c r="G36" s="77"/>
      <c r="H36" s="77"/>
    </row>
    <row r="37" spans="1:8" ht="15.75" customHeight="1" x14ac:dyDescent="0.35">
      <c r="A37" s="77" t="s">
        <v>183</v>
      </c>
      <c r="B37" s="77"/>
      <c r="C37" s="136" t="s">
        <v>186</v>
      </c>
      <c r="D37" s="136"/>
      <c r="E37" s="136"/>
      <c r="F37" s="136"/>
      <c r="G37" s="136"/>
      <c r="H37" s="136"/>
    </row>
    <row r="38" spans="1:8" x14ac:dyDescent="0.35">
      <c r="A38" s="77" t="s">
        <v>155</v>
      </c>
      <c r="B38" s="77"/>
      <c r="C38" s="147" t="s">
        <v>187</v>
      </c>
      <c r="D38" s="94"/>
      <c r="E38" s="94"/>
      <c r="F38" s="94"/>
      <c r="G38" s="94"/>
      <c r="H38" s="94"/>
    </row>
    <row r="39" spans="1:8" x14ac:dyDescent="0.35">
      <c r="A39" s="113" t="s">
        <v>35</v>
      </c>
      <c r="B39" s="113"/>
      <c r="C39" s="113"/>
      <c r="D39" s="113"/>
      <c r="E39" s="113"/>
      <c r="F39" s="113"/>
      <c r="G39" s="113"/>
      <c r="H39" s="113"/>
    </row>
    <row r="40" spans="1:8" x14ac:dyDescent="0.35">
      <c r="A40" s="77" t="s">
        <v>36</v>
      </c>
      <c r="B40" s="77"/>
      <c r="C40" s="77"/>
      <c r="D40" s="77"/>
      <c r="E40" s="151">
        <v>3056.81</v>
      </c>
      <c r="F40" s="151"/>
      <c r="G40" s="151"/>
      <c r="H40" s="151"/>
    </row>
    <row r="41" spans="1:8" x14ac:dyDescent="0.35">
      <c r="A41" s="77" t="s">
        <v>37</v>
      </c>
      <c r="B41" s="77"/>
      <c r="C41" s="77"/>
      <c r="D41" s="77"/>
      <c r="E41" s="134">
        <f>3362.49/E40</f>
        <v>1.099999672861578</v>
      </c>
      <c r="F41" s="134"/>
      <c r="G41" s="134"/>
      <c r="H41" s="134"/>
    </row>
    <row r="42" spans="1:8" x14ac:dyDescent="0.35">
      <c r="A42" s="77" t="s">
        <v>38</v>
      </c>
      <c r="B42" s="77"/>
      <c r="C42" s="77"/>
      <c r="D42" s="77"/>
      <c r="E42" s="134">
        <f>E44/E40-E41</f>
        <v>1.1766089485443976</v>
      </c>
      <c r="F42" s="134"/>
      <c r="G42" s="134"/>
      <c r="H42" s="134"/>
    </row>
    <row r="43" spans="1:8" x14ac:dyDescent="0.35">
      <c r="A43" s="77" t="s">
        <v>39</v>
      </c>
      <c r="B43" s="77"/>
      <c r="C43" s="77"/>
      <c r="D43" s="77"/>
      <c r="E43" s="134">
        <f>E41+E42</f>
        <v>2.2766086214059755</v>
      </c>
      <c r="F43" s="134"/>
      <c r="G43" s="134"/>
      <c r="H43" s="134"/>
    </row>
    <row r="44" spans="1:8" x14ac:dyDescent="0.35">
      <c r="A44" s="77" t="s">
        <v>90</v>
      </c>
      <c r="B44" s="77"/>
      <c r="C44" s="77"/>
      <c r="D44" s="77"/>
      <c r="E44" s="135">
        <v>6959.16</v>
      </c>
      <c r="F44" s="135"/>
      <c r="G44" s="135"/>
      <c r="H44" s="135"/>
    </row>
    <row r="45" spans="1:8" x14ac:dyDescent="0.35">
      <c r="A45" s="95" t="s">
        <v>40</v>
      </c>
      <c r="B45" s="95"/>
      <c r="C45" s="95"/>
      <c r="D45" s="95"/>
      <c r="E45" s="95" t="s">
        <v>230</v>
      </c>
      <c r="F45" s="95"/>
      <c r="G45" s="95"/>
      <c r="H45" s="95"/>
    </row>
    <row r="46" spans="1:8" x14ac:dyDescent="0.35">
      <c r="A46" s="113" t="s">
        <v>41</v>
      </c>
      <c r="B46" s="113"/>
      <c r="C46" s="113"/>
      <c r="D46" s="113"/>
      <c r="E46" s="113"/>
      <c r="F46" s="113"/>
      <c r="G46" s="113"/>
      <c r="H46" s="113"/>
    </row>
    <row r="47" spans="1:8" ht="33.75" customHeight="1" x14ac:dyDescent="0.35">
      <c r="A47" s="69" t="s">
        <v>143</v>
      </c>
      <c r="B47" s="70"/>
      <c r="C47" s="148" t="s">
        <v>178</v>
      </c>
      <c r="D47" s="149"/>
      <c r="E47" s="149"/>
      <c r="F47" s="149"/>
      <c r="G47" s="149"/>
      <c r="H47" s="150"/>
    </row>
    <row r="48" spans="1:8" ht="30.75" customHeight="1" x14ac:dyDescent="0.35">
      <c r="A48" s="69" t="s">
        <v>42</v>
      </c>
      <c r="B48" s="70"/>
      <c r="C48" s="71" t="s">
        <v>225</v>
      </c>
      <c r="D48" s="72"/>
      <c r="E48" s="73"/>
      <c r="F48" s="50" t="s">
        <v>43</v>
      </c>
      <c r="G48" s="74">
        <v>44474</v>
      </c>
      <c r="H48" s="73"/>
    </row>
    <row r="49" spans="1:14" ht="30.75" customHeight="1" x14ac:dyDescent="0.35">
      <c r="A49" s="69" t="s">
        <v>44</v>
      </c>
      <c r="B49" s="70"/>
      <c r="C49" s="69" t="str">
        <f>C48</f>
        <v>BS/Rekhankan/BP/MJ-Rahtoli/
T-Ambernath/SSTN/2084</v>
      </c>
      <c r="D49" s="84"/>
      <c r="E49" s="70"/>
      <c r="F49" s="17" t="s">
        <v>43</v>
      </c>
      <c r="G49" s="75">
        <f>G48</f>
        <v>44474</v>
      </c>
      <c r="H49" s="76"/>
    </row>
    <row r="50" spans="1:14" s="22" customFormat="1" x14ac:dyDescent="0.35">
      <c r="A50" s="140" t="s">
        <v>147</v>
      </c>
      <c r="B50" s="141"/>
      <c r="C50" s="69" t="s">
        <v>232</v>
      </c>
      <c r="D50" s="84"/>
      <c r="E50" s="70"/>
      <c r="F50" s="17" t="s">
        <v>43</v>
      </c>
      <c r="G50" s="75">
        <v>44496</v>
      </c>
      <c r="H50" s="76"/>
    </row>
    <row r="51" spans="1:14" s="22" customFormat="1" ht="49.5" customHeight="1" x14ac:dyDescent="0.35">
      <c r="A51" s="142"/>
      <c r="B51" s="143"/>
      <c r="C51" s="69" t="s">
        <v>193</v>
      </c>
      <c r="D51" s="84"/>
      <c r="E51" s="84"/>
      <c r="F51" s="84"/>
      <c r="G51" s="84"/>
      <c r="H51" s="70"/>
    </row>
    <row r="52" spans="1:14" x14ac:dyDescent="0.35">
      <c r="A52" s="98" t="s">
        <v>158</v>
      </c>
      <c r="B52" s="99"/>
      <c r="C52" s="89" t="s">
        <v>30</v>
      </c>
      <c r="D52" s="90"/>
      <c r="E52" s="91"/>
      <c r="F52" s="47" t="s">
        <v>43</v>
      </c>
      <c r="G52" s="96" t="s">
        <v>30</v>
      </c>
      <c r="H52" s="97"/>
    </row>
    <row r="53" spans="1:14" hidden="1" x14ac:dyDescent="0.35">
      <c r="A53" s="100"/>
      <c r="B53" s="101"/>
      <c r="C53" s="89" t="s">
        <v>30</v>
      </c>
      <c r="D53" s="90"/>
      <c r="E53" s="90"/>
      <c r="F53" s="90"/>
      <c r="G53" s="90"/>
      <c r="H53" s="91"/>
    </row>
    <row r="54" spans="1:14" x14ac:dyDescent="0.35">
      <c r="A54" s="92" t="s">
        <v>46</v>
      </c>
      <c r="B54" s="92"/>
      <c r="C54" s="92"/>
      <c r="D54" s="92"/>
      <c r="E54" s="92"/>
      <c r="F54" s="92"/>
      <c r="G54" s="92"/>
      <c r="H54" s="92"/>
    </row>
    <row r="55" spans="1:14" x14ac:dyDescent="0.35">
      <c r="A55" s="93" t="s">
        <v>89</v>
      </c>
      <c r="B55" s="93"/>
      <c r="C55" s="93"/>
      <c r="D55" s="77">
        <f>E44</f>
        <v>6959.16</v>
      </c>
      <c r="E55" s="77"/>
      <c r="F55" s="77"/>
      <c r="G55" s="77"/>
      <c r="H55" s="77"/>
    </row>
    <row r="56" spans="1:14" x14ac:dyDescent="0.35">
      <c r="A56" s="94" t="s">
        <v>47</v>
      </c>
      <c r="B56" s="95"/>
      <c r="C56" s="95"/>
      <c r="D56" s="95" t="s">
        <v>226</v>
      </c>
      <c r="E56" s="95"/>
      <c r="F56" s="95"/>
      <c r="G56" s="95"/>
      <c r="H56" s="95"/>
      <c r="I56" s="23"/>
    </row>
    <row r="57" spans="1:14" ht="50.25" customHeight="1" x14ac:dyDescent="0.35">
      <c r="A57" s="85" t="s">
        <v>48</v>
      </c>
      <c r="B57" s="86"/>
      <c r="C57" s="139"/>
      <c r="D57" s="137" t="s">
        <v>193</v>
      </c>
      <c r="E57" s="138"/>
      <c r="F57" s="138"/>
      <c r="G57" s="138"/>
      <c r="H57" s="138"/>
    </row>
    <row r="58" spans="1:14" ht="50.25" customHeight="1" x14ac:dyDescent="0.35">
      <c r="A58" s="85" t="s">
        <v>87</v>
      </c>
      <c r="B58" s="86"/>
      <c r="C58" s="86"/>
      <c r="D58" s="71" t="s">
        <v>193</v>
      </c>
      <c r="E58" s="87"/>
      <c r="F58" s="87"/>
      <c r="G58" s="87"/>
      <c r="H58" s="88"/>
    </row>
    <row r="59" spans="1:14" ht="33" customHeight="1" x14ac:dyDescent="0.35">
      <c r="A59" s="77" t="s">
        <v>45</v>
      </c>
      <c r="B59" s="77"/>
      <c r="C59" s="77"/>
      <c r="D59" s="152" t="s">
        <v>231</v>
      </c>
      <c r="E59" s="152"/>
      <c r="F59" s="152"/>
      <c r="G59" s="152"/>
      <c r="H59" s="152"/>
      <c r="J59" s="24"/>
      <c r="K59" s="23"/>
      <c r="N59" s="23"/>
    </row>
    <row r="60" spans="1:14" ht="15.75" customHeight="1" x14ac:dyDescent="0.35">
      <c r="A60" s="77" t="s">
        <v>85</v>
      </c>
      <c r="B60" s="77"/>
      <c r="C60" s="77"/>
      <c r="D60" s="164" t="str">
        <f>(IF(G52="NA","60 Years After Completion",IF(G52&lt;&gt;"NA",""&amp;60-ROUNDDOWN((E3-G52)/360,0)&amp;" Years"," ")))</f>
        <v>60 Years After Completion</v>
      </c>
      <c r="E60" s="164"/>
      <c r="F60" s="164"/>
      <c r="G60" s="164"/>
      <c r="H60" s="164"/>
      <c r="N60" s="23"/>
    </row>
    <row r="61" spans="1:14" ht="15.75" customHeight="1" x14ac:dyDescent="0.35">
      <c r="A61" s="77" t="s">
        <v>86</v>
      </c>
      <c r="B61" s="77"/>
      <c r="C61" s="77"/>
      <c r="D61" s="93" t="s">
        <v>24</v>
      </c>
      <c r="E61" s="93"/>
      <c r="F61" s="93"/>
      <c r="G61" s="93"/>
      <c r="H61" s="93"/>
      <c r="J61" s="25"/>
      <c r="K61" s="25"/>
    </row>
    <row r="62" spans="1:14" ht="31.5" customHeight="1" x14ac:dyDescent="0.35">
      <c r="A62" s="77" t="s">
        <v>73</v>
      </c>
      <c r="B62" s="77"/>
      <c r="C62" s="77"/>
      <c r="D62" s="94" t="s">
        <v>227</v>
      </c>
      <c r="E62" s="93"/>
      <c r="F62" s="93"/>
      <c r="G62" s="93"/>
      <c r="H62" s="93"/>
    </row>
    <row r="63" spans="1:14" x14ac:dyDescent="0.35">
      <c r="A63" s="93" t="s">
        <v>141</v>
      </c>
      <c r="B63" s="93"/>
      <c r="C63" s="93"/>
      <c r="D63" s="93" t="s">
        <v>30</v>
      </c>
      <c r="E63" s="93"/>
      <c r="F63" s="93"/>
      <c r="G63" s="93"/>
      <c r="H63" s="93"/>
      <c r="I63" s="26"/>
      <c r="J63" s="26"/>
      <c r="K63" s="26"/>
      <c r="L63" s="26"/>
      <c r="M63" s="26"/>
      <c r="N63" s="26"/>
    </row>
    <row r="64" spans="1:14" ht="15.75" customHeight="1" x14ac:dyDescent="0.35">
      <c r="A64" s="77" t="s">
        <v>84</v>
      </c>
      <c r="B64" s="77"/>
      <c r="C64" s="77"/>
      <c r="D64" s="94" t="str">
        <f ca="1">(IF(G70&gt;95%,"Nothing",IF(G70&gt;0%,"Cement, Aggregate, Steel, etc",IF(G70=0%,"Work not yet Started"))))</f>
        <v>Cement, Aggregate, Steel, etc</v>
      </c>
      <c r="E64" s="94"/>
      <c r="F64" s="94"/>
      <c r="G64" s="94"/>
      <c r="H64" s="94"/>
      <c r="J64" s="25"/>
    </row>
    <row r="65" spans="1:10" ht="33.75" customHeight="1" thickBot="1" x14ac:dyDescent="0.4">
      <c r="A65" s="93" t="s">
        <v>112</v>
      </c>
      <c r="B65" s="93"/>
      <c r="C65" s="93"/>
      <c r="D65" s="94" t="str">
        <f ca="1">(IF(D64="Nothing","Yes",IF(D64="Cement, Aggregate, Steel, etc","Under Construction",IF(D64="Work not yet Started","Work not yet Started"))))</f>
        <v>Under Construction</v>
      </c>
      <c r="E65" s="94"/>
      <c r="F65" s="94" t="str">
        <f ca="1">(IF(D64="Nothing","Yes",IF(D64="Cement, Aggregate, Steel, etc","Under Construction",IF(D64="Work not yet Started","Work not yet Started"))))</f>
        <v>Under Construction</v>
      </c>
      <c r="G65" s="94"/>
      <c r="H65" s="94"/>
    </row>
    <row r="66" spans="1:10" ht="15.75" customHeight="1" x14ac:dyDescent="0.35">
      <c r="A66" s="196" t="s">
        <v>133</v>
      </c>
      <c r="B66" s="196"/>
      <c r="C66" s="196" t="s">
        <v>194</v>
      </c>
      <c r="D66" s="196"/>
      <c r="E66" s="196"/>
      <c r="F66" s="196"/>
      <c r="G66" s="196"/>
      <c r="H66" s="196"/>
      <c r="I66" s="191" t="str">
        <f ca="1">IF(D79=100%,"All work Completed. Possession granted to the Building.",IF(D78=100%,"All work Completed, Waiting for OC",I67&amp;""&amp;I68&amp;""&amp;J67&amp;""&amp;J66&amp;" "&amp;J68))</f>
        <v>Excavation, Plinth, RCC Slab, Brickwork Completed, External Plaster upto 1 Floor Completed</v>
      </c>
      <c r="J66" s="44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External Plaster upto 1 Floor</v>
      </c>
    </row>
    <row r="67" spans="1:10" x14ac:dyDescent="0.35">
      <c r="A67" s="68" t="s">
        <v>135</v>
      </c>
      <c r="B67" s="68">
        <v>0</v>
      </c>
      <c r="C67" s="68" t="s">
        <v>71</v>
      </c>
      <c r="D67" s="68">
        <v>1</v>
      </c>
      <c r="E67" s="68" t="s">
        <v>70</v>
      </c>
      <c r="F67" s="68">
        <v>0</v>
      </c>
      <c r="G67" s="42" t="s">
        <v>78</v>
      </c>
      <c r="H67" s="68">
        <f ca="1">--TRIM(RIGHT(SUBSTITUTE(LEFT(C66,_xlfn.AGGREGATE(16,6,FIND({0,1,2,3,4,5,6,7,8,9},C66,ROW(INDIRECT("1:"&amp;LEN(C66)))),1))," ",REPT(" ",LEN(C66))),LEN(C66)))</f>
        <v>4</v>
      </c>
      <c r="I67" s="192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</v>
      </c>
      <c r="J67" s="46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1.5" customHeight="1" x14ac:dyDescent="0.35">
      <c r="A68" s="127" t="s">
        <v>88</v>
      </c>
      <c r="B68" s="127"/>
      <c r="C68" s="145" t="str">
        <f ca="1">(IF($C$53=C66,"All work Completed. OC Received.",I66))</f>
        <v>Excavation, Plinth, RCC Slab, Brickwork Completed, External Plaster upto 1 Floor Completed</v>
      </c>
      <c r="D68" s="145"/>
      <c r="E68" s="145"/>
      <c r="F68" s="145"/>
      <c r="G68" s="145"/>
      <c r="H68" s="145"/>
      <c r="I68" s="192" t="str">
        <f ca="1">IF(I67&lt;&gt;""," Completed","")</f>
        <v xml:space="preserve"> Completed</v>
      </c>
      <c r="J68" s="46" t="str">
        <f ca="1">IF(J66&lt;&gt;"","Completed","")</f>
        <v>Completed</v>
      </c>
    </row>
    <row r="69" spans="1:10" ht="15.75" customHeight="1" x14ac:dyDescent="0.35">
      <c r="A69" s="81" t="s">
        <v>49</v>
      </c>
      <c r="B69" s="81"/>
      <c r="C69" s="67" t="s">
        <v>132</v>
      </c>
      <c r="D69" s="67" t="s">
        <v>81</v>
      </c>
      <c r="E69" s="81" t="s">
        <v>83</v>
      </c>
      <c r="F69" s="81"/>
      <c r="G69" s="81" t="s">
        <v>82</v>
      </c>
      <c r="H69" s="81"/>
      <c r="I69" s="13" t="s">
        <v>134</v>
      </c>
      <c r="J69" s="27">
        <f ca="1">H67*25%</f>
        <v>1</v>
      </c>
    </row>
    <row r="70" spans="1:10" x14ac:dyDescent="0.35">
      <c r="A70" s="81" t="s">
        <v>121</v>
      </c>
      <c r="B70" s="81"/>
      <c r="C70" s="67">
        <f ca="1">J71</f>
        <v>4</v>
      </c>
      <c r="D70" s="18">
        <f ca="1">((100/H67)*C70)/100</f>
        <v>1</v>
      </c>
      <c r="E70" s="197">
        <f ca="1">(((C71/H67*10)+(40/(D67+F67+H67)*C72)+(7.5/(H67)*C73)+(7.5/(H67)*C74)+(10/H67*C75)+(10/H67*C76)+(5/H67*C77)+(5/H67*C78)+(5/H67*C79))/100)</f>
        <v>0.6</v>
      </c>
      <c r="F70" s="197"/>
      <c r="G70" s="197">
        <f ca="1">((((C70/H67)*20)+((C71/H67)*25)+(30/(H67+F67+D67)*C72)+(5/H67*C73)+(5/H67*C74)+(5/H67*C75)+(5/H67*C76)+(0/H67*C77)+(0/H67*C78)+(5/H67*C79))/100)</f>
        <v>0.8125</v>
      </c>
      <c r="H70" s="197"/>
      <c r="I70" s="13" t="s">
        <v>95</v>
      </c>
      <c r="J70" s="28">
        <f ca="1">H67*50%</f>
        <v>2</v>
      </c>
    </row>
    <row r="71" spans="1:10" x14ac:dyDescent="0.35">
      <c r="A71" s="81" t="s">
        <v>50</v>
      </c>
      <c r="B71" s="81"/>
      <c r="C71" s="49">
        <f ca="1">J79</f>
        <v>4</v>
      </c>
      <c r="D71" s="18">
        <f ca="1">((100/H67)*C71)/100</f>
        <v>1</v>
      </c>
      <c r="E71" s="197"/>
      <c r="F71" s="197"/>
      <c r="G71" s="197"/>
      <c r="H71" s="197"/>
      <c r="I71" s="13" t="s">
        <v>96</v>
      </c>
      <c r="J71" s="28">
        <f ca="1">H67</f>
        <v>4</v>
      </c>
    </row>
    <row r="72" spans="1:10" ht="15.75" customHeight="1" x14ac:dyDescent="0.35">
      <c r="A72" s="81" t="s">
        <v>122</v>
      </c>
      <c r="B72" s="81"/>
      <c r="C72" s="67">
        <v>5</v>
      </c>
      <c r="D72" s="18">
        <f ca="1">((100/(D67+F67+H67))*C72)/100</f>
        <v>1</v>
      </c>
      <c r="E72" s="197"/>
      <c r="F72" s="197"/>
      <c r="G72" s="197"/>
      <c r="H72" s="197"/>
      <c r="I72" s="13" t="s">
        <v>97</v>
      </c>
      <c r="J72" s="29">
        <f ca="1">(IF(B67&gt;1,(H67/(B67+2)),H67/4))</f>
        <v>1</v>
      </c>
    </row>
    <row r="73" spans="1:10" ht="15.75" customHeight="1" x14ac:dyDescent="0.35">
      <c r="A73" s="81" t="s">
        <v>129</v>
      </c>
      <c r="B73" s="81" t="s">
        <v>123</v>
      </c>
      <c r="C73" s="67">
        <v>4</v>
      </c>
      <c r="D73" s="18">
        <f ca="1">((100/H67)*C73)/100</f>
        <v>1</v>
      </c>
      <c r="E73" s="197"/>
      <c r="F73" s="197"/>
      <c r="G73" s="197"/>
      <c r="H73" s="197"/>
      <c r="I73" s="13" t="s">
        <v>98</v>
      </c>
      <c r="J73" s="29">
        <f ca="1">(IF(B67&gt;1,(H67/(B67+2)+J72),H67/4+J72))</f>
        <v>2</v>
      </c>
    </row>
    <row r="74" spans="1:10" ht="15.75" customHeight="1" x14ac:dyDescent="0.35">
      <c r="A74" s="81" t="s">
        <v>130</v>
      </c>
      <c r="B74" s="81" t="s">
        <v>123</v>
      </c>
      <c r="C74" s="67">
        <v>0</v>
      </c>
      <c r="D74" s="18">
        <f ca="1">((100/H67)*C74)/100</f>
        <v>0</v>
      </c>
      <c r="E74" s="197"/>
      <c r="F74" s="197"/>
      <c r="G74" s="197"/>
      <c r="H74" s="197"/>
      <c r="I74" s="13" t="s">
        <v>139</v>
      </c>
      <c r="J74" s="29">
        <f>(IF(B67&gt;1,(H67/(B67+2)+J73),0))</f>
        <v>0</v>
      </c>
    </row>
    <row r="75" spans="1:10" ht="15" customHeight="1" x14ac:dyDescent="0.35">
      <c r="A75" s="81" t="s">
        <v>128</v>
      </c>
      <c r="B75" s="81" t="s">
        <v>125</v>
      </c>
      <c r="C75" s="67">
        <v>1</v>
      </c>
      <c r="D75" s="18">
        <f ca="1">((100/(H67))*C75)/100</f>
        <v>0.25</v>
      </c>
      <c r="E75" s="197"/>
      <c r="F75" s="197"/>
      <c r="G75" s="197"/>
      <c r="H75" s="197"/>
      <c r="I75" s="13" t="s">
        <v>136</v>
      </c>
      <c r="J75" s="29">
        <f>(IF(B67&gt;2,(H67/(B67+2)+J74),0))</f>
        <v>0</v>
      </c>
    </row>
    <row r="76" spans="1:10" ht="15.75" customHeight="1" x14ac:dyDescent="0.35">
      <c r="A76" s="81" t="s">
        <v>124</v>
      </c>
      <c r="B76" s="81" t="s">
        <v>124</v>
      </c>
      <c r="C76" s="67">
        <v>0</v>
      </c>
      <c r="D76" s="18">
        <f ca="1">((100/H67)*C76)/100</f>
        <v>0</v>
      </c>
      <c r="E76" s="197"/>
      <c r="F76" s="197"/>
      <c r="G76" s="197"/>
      <c r="H76" s="197"/>
      <c r="I76" s="13" t="s">
        <v>137</v>
      </c>
      <c r="J76" s="30">
        <f>(IF(B67&gt;3,(H67/(B67+2)+J75),0))</f>
        <v>0</v>
      </c>
    </row>
    <row r="77" spans="1:10" ht="15.75" customHeight="1" x14ac:dyDescent="0.35">
      <c r="A77" s="81" t="s">
        <v>131</v>
      </c>
      <c r="B77" s="81"/>
      <c r="C77" s="67">
        <v>0</v>
      </c>
      <c r="D77" s="18">
        <f ca="1">((100/H67)*C77)/100</f>
        <v>0</v>
      </c>
      <c r="E77" s="197"/>
      <c r="F77" s="197"/>
      <c r="G77" s="197"/>
      <c r="H77" s="197"/>
      <c r="I77" s="13" t="s">
        <v>138</v>
      </c>
      <c r="J77" s="29">
        <f>(IF(B67&gt;4,(H67/(B67+2)+J76),0))</f>
        <v>0</v>
      </c>
    </row>
    <row r="78" spans="1:10" ht="15.75" customHeight="1" x14ac:dyDescent="0.35">
      <c r="A78" s="81" t="s">
        <v>126</v>
      </c>
      <c r="B78" s="81" t="s">
        <v>126</v>
      </c>
      <c r="C78" s="67">
        <v>0</v>
      </c>
      <c r="D78" s="18">
        <f ca="1">((100/(H67))*C78)/100</f>
        <v>0</v>
      </c>
      <c r="E78" s="197"/>
      <c r="F78" s="197"/>
      <c r="G78" s="197"/>
      <c r="H78" s="197"/>
      <c r="I78" s="13" t="s">
        <v>140</v>
      </c>
      <c r="J78" s="29">
        <f ca="1">(IF(B67=1,(H67/(B67+3)+J73),IF(B67=0,(H67/4+J73),IF(B67&gt;1,0))))</f>
        <v>3</v>
      </c>
    </row>
    <row r="79" spans="1:10" ht="16" thickBot="1" x14ac:dyDescent="0.4">
      <c r="A79" s="81" t="s">
        <v>127</v>
      </c>
      <c r="B79" s="81"/>
      <c r="C79" s="67">
        <v>0</v>
      </c>
      <c r="D79" s="18">
        <f ca="1">((100/(H67))*C79)/100</f>
        <v>0</v>
      </c>
      <c r="E79" s="197"/>
      <c r="F79" s="197"/>
      <c r="G79" s="197"/>
      <c r="H79" s="197"/>
      <c r="I79" s="14" t="s">
        <v>99</v>
      </c>
      <c r="J79" s="31">
        <f ca="1">(IF(B67&gt;1.5,(H67/(B67+2)+J73+MAX(0,J74-J73)+MAX(0,J75-J74)+MAX(0,J76-J75)+MAX(0,J77-J76)+MAX(0,J78-J77)),IF(B67=1,(H67/(B67+3)+J78),IF(B67=0,H67/4+J78))))</f>
        <v>4</v>
      </c>
    </row>
    <row r="80" spans="1:10" ht="15.75" customHeight="1" x14ac:dyDescent="0.35">
      <c r="A80" s="193" t="s">
        <v>133</v>
      </c>
      <c r="B80" s="101"/>
      <c r="C80" s="100" t="s">
        <v>195</v>
      </c>
      <c r="D80" s="194"/>
      <c r="E80" s="194"/>
      <c r="F80" s="194"/>
      <c r="G80" s="194"/>
      <c r="H80" s="195"/>
      <c r="I80" s="43" t="str">
        <f ca="1">IF(D93=100%,"All work Completed. Possession granted to the Building.",IF(D92=100%,"All work Completed, Waiting for OC",I81&amp;""&amp;I82&amp;""&amp;J81&amp;""&amp;J80&amp;" "&amp;J82))</f>
        <v>Excavation, Plinth, RCC Slab, Brickwork, Internal Plaster, External Plaster, Flooring, Painting Completed, Finishing upto 6 Floor Completed</v>
      </c>
      <c r="J80" s="44" t="str">
        <f ca="1">(IF(C86=(D81+F81+H81),"",IF(C86&gt;0,", RCC upto "&amp;C86&amp;" Slab","")))&amp;(IF(C87=H81,"",IF(C87&gt;0,", Brickwork upto "&amp;C87&amp;" Floor","")))&amp;(IF(C88=H81,"",IF(C88&gt;0,", Internal Plaster upto "&amp;C88&amp;" Floor","")))&amp;(IF(C89=H81,"",IF(C89&gt;0,", External Plaster upto "&amp;C89&amp;" Floor","")))&amp;(IF(C90=H81,"",IF(C90&gt;0,", Flooring upto "&amp;C90&amp;" Floor","")))&amp;(IF(C91=H81,"",IF(C91&gt;0,", Painting upto "&amp;C91&amp;" Floor","")))&amp;(IF(C92=H81,"",IF(C92&gt;0,", Finishing upto "&amp;C92&amp;" Floor","")))&amp;(IF(C93=H81,"",IF(C93&gt;0,", Possession upto "&amp;C93&amp;" Floor","")))</f>
        <v>, Finishing upto 6 Floor</v>
      </c>
    </row>
    <row r="81" spans="1:10" x14ac:dyDescent="0.35">
      <c r="A81" s="15" t="s">
        <v>135</v>
      </c>
      <c r="B81" s="55">
        <v>0</v>
      </c>
      <c r="C81" s="55" t="s">
        <v>71</v>
      </c>
      <c r="D81" s="55">
        <v>1</v>
      </c>
      <c r="E81" s="55" t="s">
        <v>70</v>
      </c>
      <c r="F81" s="55">
        <v>0</v>
      </c>
      <c r="G81" s="42" t="s">
        <v>78</v>
      </c>
      <c r="H81" s="16">
        <f ca="1">--TRIM(RIGHT(SUBSTITUTE(LEFT(C80,_xlfn.AGGREGATE(16,6,FIND({0,1,2,3,4,5,6,7,8,9},C80,ROW(INDIRECT("1:"&amp;LEN(C80)))),1))," ",REPT(" ",LEN(C80))),LEN(C80)))</f>
        <v>8</v>
      </c>
      <c r="I81" s="45" t="str">
        <f ca="1">IF(D84=100%,"Excavation","")&amp;IF(D85=100%,", Plinth","")&amp;IF(D86=100%,", RCC Slab","")&amp;IF(D87=100%,", Brickwork","")&amp;IF(D88=100%,", Internal Plaster","")&amp;IF(D89=100%,", External Plaster","")&amp;IF(D90=100%,", Flooring","")&amp;IF(D91=100%,", Painting","")&amp;IF(D92=100%,", Building common Amenities","")</f>
        <v>Excavation, Plinth, RCC Slab, Brickwork, Internal Plaster, External Plaster, Flooring, Painting</v>
      </c>
      <c r="J81" s="46" t="str">
        <f ca="1">(IF(C84=0,"Work not yet Started.",IF(D84=25%,"Piling work in process",IF(D84=50%,"Excavation work in process",IF(D84=100%,"","0")))))&amp;(IF(C85=0%,"",IF(C85=J86,", Footing work is process",IF(C85=J87,", Footing work Completed",IF(C85=J88,", 1st Basement Completed",IF(C85=J89,", 1st &amp; 2nd Basement Completed",IF(C85=J90,", 1st to 3rd Basement Completed",IF(C85=J91,", 1st to 4th Basement Completed",IF(C85=J92,", Plinth work is process",IF(C85=J93,"","0"))))))))))</f>
        <v/>
      </c>
    </row>
    <row r="82" spans="1:10" ht="33" customHeight="1" x14ac:dyDescent="0.35">
      <c r="A82" s="144" t="s">
        <v>88</v>
      </c>
      <c r="B82" s="127"/>
      <c r="C82" s="145" t="str">
        <f ca="1">(IF($C$53=C80,"All work Completed. OC Received.",I80))</f>
        <v>Excavation, Plinth, RCC Slab, Brickwork, Internal Plaster, External Plaster, Flooring, Painting Completed, Finishing upto 6 Floor Completed</v>
      </c>
      <c r="D82" s="145"/>
      <c r="E82" s="145"/>
      <c r="F82" s="145"/>
      <c r="G82" s="145"/>
      <c r="H82" s="146"/>
      <c r="I82" s="45" t="str">
        <f ca="1">IF(I81&lt;&gt;""," Completed","")</f>
        <v xml:space="preserve"> Completed</v>
      </c>
      <c r="J82" s="46" t="str">
        <f ca="1">IF(J80&lt;&gt;"","Completed","")</f>
        <v>Completed</v>
      </c>
    </row>
    <row r="83" spans="1:10" ht="15.75" customHeight="1" x14ac:dyDescent="0.35">
      <c r="A83" s="80" t="s">
        <v>49</v>
      </c>
      <c r="B83" s="81"/>
      <c r="C83" s="56" t="s">
        <v>132</v>
      </c>
      <c r="D83" s="56" t="s">
        <v>81</v>
      </c>
      <c r="E83" s="81" t="s">
        <v>83</v>
      </c>
      <c r="F83" s="81"/>
      <c r="G83" s="81" t="s">
        <v>82</v>
      </c>
      <c r="H83" s="107"/>
      <c r="I83" s="13" t="s">
        <v>134</v>
      </c>
      <c r="J83" s="27">
        <f ca="1">H81*25%</f>
        <v>2</v>
      </c>
    </row>
    <row r="84" spans="1:10" x14ac:dyDescent="0.35">
      <c r="A84" s="80" t="s">
        <v>121</v>
      </c>
      <c r="B84" s="81"/>
      <c r="C84" s="56">
        <f ca="1">J85</f>
        <v>8</v>
      </c>
      <c r="D84" s="18">
        <f ca="1">((100/H81)*C84)/100</f>
        <v>1</v>
      </c>
      <c r="E84" s="153">
        <f ca="1">(((C85/H81*10)+(40/(D81+F81+H81)*C86)+(7.5/(H81)*C87)+(7.5/(H81)*C88)+(10/H81*C89)+(10/H81*C90)+(5/H81*C91)+(5/H81*C92)+(5/H81*C93))/100)</f>
        <v>0.9375</v>
      </c>
      <c r="F84" s="154"/>
      <c r="G84" s="153">
        <f ca="1">((((C84/H81)*20)+((C85/H81)*25)+(30/(H81+F81+D81)*C86)+(5/H81*C87)+(5/H81*C88)+(5/H81*C89)+(5/H81*C90)+(0/H81*C91)+(0/H81*C92)+(5/H81*C93))/100)</f>
        <v>0.95</v>
      </c>
      <c r="H84" s="159"/>
      <c r="I84" s="13" t="s">
        <v>95</v>
      </c>
      <c r="J84" s="28">
        <f ca="1">H81*50%</f>
        <v>4</v>
      </c>
    </row>
    <row r="85" spans="1:10" x14ac:dyDescent="0.35">
      <c r="A85" s="80" t="s">
        <v>50</v>
      </c>
      <c r="B85" s="81"/>
      <c r="C85" s="49">
        <v>8</v>
      </c>
      <c r="D85" s="18">
        <f ca="1">((100/H81)*C85)/100</f>
        <v>1</v>
      </c>
      <c r="E85" s="155"/>
      <c r="F85" s="156"/>
      <c r="G85" s="155"/>
      <c r="H85" s="160"/>
      <c r="I85" s="13" t="s">
        <v>96</v>
      </c>
      <c r="J85" s="28">
        <f ca="1">H81</f>
        <v>8</v>
      </c>
    </row>
    <row r="86" spans="1:10" ht="15.75" customHeight="1" x14ac:dyDescent="0.35">
      <c r="A86" s="80" t="s">
        <v>122</v>
      </c>
      <c r="B86" s="81"/>
      <c r="C86" s="56">
        <v>9</v>
      </c>
      <c r="D86" s="18">
        <f ca="1">((100/(D81+F81+H81))*C86)/100</f>
        <v>1</v>
      </c>
      <c r="E86" s="155"/>
      <c r="F86" s="156"/>
      <c r="G86" s="155"/>
      <c r="H86" s="160"/>
      <c r="I86" s="13" t="s">
        <v>97</v>
      </c>
      <c r="J86" s="29">
        <f ca="1">(IF(B81&gt;1,(H81/(B81+2)),H81/4))</f>
        <v>2</v>
      </c>
    </row>
    <row r="87" spans="1:10" ht="15.75" customHeight="1" x14ac:dyDescent="0.35">
      <c r="A87" s="80" t="s">
        <v>129</v>
      </c>
      <c r="B87" s="81" t="s">
        <v>123</v>
      </c>
      <c r="C87" s="56">
        <v>8</v>
      </c>
      <c r="D87" s="18">
        <f ca="1">((100/H81)*C87)/100</f>
        <v>1</v>
      </c>
      <c r="E87" s="155"/>
      <c r="F87" s="156"/>
      <c r="G87" s="155"/>
      <c r="H87" s="160"/>
      <c r="I87" s="13" t="s">
        <v>98</v>
      </c>
      <c r="J87" s="29">
        <f ca="1">(IF(B81&gt;1,(H81/(B81+2)+J86),H81/4+J86))</f>
        <v>4</v>
      </c>
    </row>
    <row r="88" spans="1:10" ht="15.75" customHeight="1" x14ac:dyDescent="0.35">
      <c r="A88" s="80" t="s">
        <v>130</v>
      </c>
      <c r="B88" s="81" t="s">
        <v>123</v>
      </c>
      <c r="C88" s="56">
        <v>8</v>
      </c>
      <c r="D88" s="18">
        <f ca="1">((100/H81)*C88)/100</f>
        <v>1</v>
      </c>
      <c r="E88" s="155"/>
      <c r="F88" s="156"/>
      <c r="G88" s="155"/>
      <c r="H88" s="160"/>
      <c r="I88" s="13" t="s">
        <v>139</v>
      </c>
      <c r="J88" s="29">
        <f>(IF(B81&gt;1,(H81/(B81+2)+J87),0))</f>
        <v>0</v>
      </c>
    </row>
    <row r="89" spans="1:10" ht="15" customHeight="1" x14ac:dyDescent="0.35">
      <c r="A89" s="80" t="s">
        <v>128</v>
      </c>
      <c r="B89" s="81" t="s">
        <v>125</v>
      </c>
      <c r="C89" s="56">
        <v>8</v>
      </c>
      <c r="D89" s="18">
        <f ca="1">((100/(H81))*C89)/100</f>
        <v>1</v>
      </c>
      <c r="E89" s="155"/>
      <c r="F89" s="156"/>
      <c r="G89" s="155"/>
      <c r="H89" s="160"/>
      <c r="I89" s="13" t="s">
        <v>136</v>
      </c>
      <c r="J89" s="29">
        <f>(IF(B81&gt;2,(H81/(B81+2)+J88),0))</f>
        <v>0</v>
      </c>
    </row>
    <row r="90" spans="1:10" ht="15.75" customHeight="1" x14ac:dyDescent="0.35">
      <c r="A90" s="80" t="s">
        <v>124</v>
      </c>
      <c r="B90" s="81" t="s">
        <v>124</v>
      </c>
      <c r="C90" s="56">
        <v>8</v>
      </c>
      <c r="D90" s="18">
        <f ca="1">((100/H81)*C90)/100</f>
        <v>1</v>
      </c>
      <c r="E90" s="155"/>
      <c r="F90" s="156"/>
      <c r="G90" s="155"/>
      <c r="H90" s="160"/>
      <c r="I90" s="13" t="s">
        <v>137</v>
      </c>
      <c r="J90" s="30">
        <f>(IF(B81&gt;3,(H81/(B81+2)+J89),0))</f>
        <v>0</v>
      </c>
    </row>
    <row r="91" spans="1:10" ht="15.75" customHeight="1" x14ac:dyDescent="0.35">
      <c r="A91" s="80" t="s">
        <v>131</v>
      </c>
      <c r="B91" s="81"/>
      <c r="C91" s="56">
        <v>8</v>
      </c>
      <c r="D91" s="18">
        <f ca="1">((100/H81)*C91)/100</f>
        <v>1</v>
      </c>
      <c r="E91" s="155"/>
      <c r="F91" s="156"/>
      <c r="G91" s="155"/>
      <c r="H91" s="160"/>
      <c r="I91" s="13" t="s">
        <v>138</v>
      </c>
      <c r="J91" s="29">
        <f>(IF(B81&gt;4,(H81/(B81+2)+J90),0))</f>
        <v>0</v>
      </c>
    </row>
    <row r="92" spans="1:10" ht="15.75" customHeight="1" x14ac:dyDescent="0.35">
      <c r="A92" s="80" t="s">
        <v>126</v>
      </c>
      <c r="B92" s="81" t="s">
        <v>126</v>
      </c>
      <c r="C92" s="56">
        <v>6</v>
      </c>
      <c r="D92" s="18">
        <f ca="1">((100/(H81))*C92)/100</f>
        <v>0.75</v>
      </c>
      <c r="E92" s="155"/>
      <c r="F92" s="156"/>
      <c r="G92" s="155"/>
      <c r="H92" s="160"/>
      <c r="I92" s="13" t="s">
        <v>140</v>
      </c>
      <c r="J92" s="29">
        <f ca="1">(IF(B81=1,(H81/(B81+3)+J87),IF(B81=0,(H81/4+J87),IF(B81&gt;1,0))))</f>
        <v>6</v>
      </c>
    </row>
    <row r="93" spans="1:10" ht="16" thickBot="1" x14ac:dyDescent="0.4">
      <c r="A93" s="162" t="s">
        <v>127</v>
      </c>
      <c r="B93" s="163"/>
      <c r="C93" s="57">
        <v>0</v>
      </c>
      <c r="D93" s="19">
        <f ca="1">((100/(H81))*C93)/100</f>
        <v>0</v>
      </c>
      <c r="E93" s="157"/>
      <c r="F93" s="158"/>
      <c r="G93" s="157"/>
      <c r="H93" s="161"/>
      <c r="I93" s="14" t="s">
        <v>99</v>
      </c>
      <c r="J93" s="31">
        <f ca="1">(IF(B81&gt;1.5,(H81/(B81+2)+J87+MAX(0,J88-J87)+MAX(0,J89-J88)+MAX(0,J90-J89)+MAX(0,J91-J90)+MAX(0,J92-J91)),IF(B81=1,(H81/(B81+3)+J92),IF(B81=0,H81/4+J92))))</f>
        <v>8</v>
      </c>
    </row>
    <row r="94" spans="1:10" ht="15.75" customHeight="1" x14ac:dyDescent="0.35">
      <c r="A94" s="109" t="s">
        <v>133</v>
      </c>
      <c r="B94" s="110"/>
      <c r="C94" s="103" t="s">
        <v>196</v>
      </c>
      <c r="D94" s="104"/>
      <c r="E94" s="104"/>
      <c r="F94" s="104"/>
      <c r="G94" s="104"/>
      <c r="H94" s="105"/>
      <c r="I94" s="43" t="str">
        <f ca="1">IF(D107=100%,"All work Completed. Possession granted to the Building.",IF(D106=100%,"All work Completed, Waiting for OC",I95&amp;""&amp;I96&amp;""&amp;J95&amp;""&amp;J94&amp;" "&amp;J96))</f>
        <v>Excavation, Plinth Completed, RCC upto 6 Slab Completed</v>
      </c>
      <c r="J94" s="44" t="str">
        <f ca="1">(IF(C100=(D95+F95+H95),"",IF(C100&gt;0,", RCC upto "&amp;C100&amp;" Slab","")))&amp;(IF(C101=H95,"",IF(C101&gt;0,", Brickwork upto "&amp;C101&amp;" Floor","")))&amp;(IF(C102=H95,"",IF(C102&gt;0,", Internal Plaster upto "&amp;C102&amp;" Floor","")))&amp;(IF(C103=H95,"",IF(C103&gt;0,", External Plaster upto "&amp;C103&amp;" Floor","")))&amp;(IF(C104=H95,"",IF(C104&gt;0,", Flooring upto "&amp;C104&amp;" Floor","")))&amp;(IF(C105=H95,"",IF(C105&gt;0,", Painting upto "&amp;C105&amp;" Floor","")))&amp;(IF(C106=H95,"",IF(C106&gt;0,", Finishing upto "&amp;C106&amp;" Floor","")))&amp;(IF(C107=H95,"",IF(C107&gt;0,", Possession upto "&amp;C107&amp;" Floor","")))</f>
        <v>, RCC upto 6 Slab</v>
      </c>
    </row>
    <row r="95" spans="1:10" x14ac:dyDescent="0.35">
      <c r="A95" s="15" t="s">
        <v>135</v>
      </c>
      <c r="B95" s="55">
        <v>0</v>
      </c>
      <c r="C95" s="55" t="s">
        <v>71</v>
      </c>
      <c r="D95" s="55">
        <v>1</v>
      </c>
      <c r="E95" s="55" t="s">
        <v>70</v>
      </c>
      <c r="F95" s="55">
        <v>0</v>
      </c>
      <c r="G95" s="42" t="s">
        <v>78</v>
      </c>
      <c r="H95" s="16">
        <f ca="1">--TRIM(RIGHT(SUBSTITUTE(LEFT(C94,_xlfn.AGGREGATE(16,6,FIND({0,1,2,3,4,5,6,7,8,9},C94,ROW(INDIRECT("1:"&amp;LEN(C94)))),1))," ",REPT(" ",LEN(C94))),LEN(C94)))</f>
        <v>8</v>
      </c>
      <c r="I95" s="45" t="str">
        <f ca="1">IF(D98=100%,"Excavation","")&amp;IF(D99=100%,", Plinth","")&amp;IF(D100=100%,", RCC Slab","")&amp;IF(D101=100%,", Brickwork","")&amp;IF(D102=100%,", Internal Plaster","")&amp;IF(D103=100%,", External Plaster","")&amp;IF(D104=100%,", Flooring","")&amp;IF(D105=100%,", Painting","")&amp;IF(D106=100%,", Building common Amenities","")</f>
        <v>Excavation, Plinth</v>
      </c>
      <c r="J95" s="46" t="str">
        <f ca="1">(IF(C98=0,"Work not yet Started.",IF(D98=25%,"Piling work in process",IF(D98=50%,"Excavation work in process",IF(D98=100%,"","0")))))&amp;(IF(C99=0%,"",IF(C99=J100,", Footing work is process",IF(C99=J101,", Footing work Completed",IF(C99=J102,", 1st Basement Completed",IF(C99=J103,", 1st &amp; 2nd Basement Completed",IF(C99=J104,", 1st to 3rd Basement Completed",IF(C99=J105,", 1st to 4th Basement Completed",IF(C99=J106,", Plinth work is process",IF(C99=J107,"","0"))))))))))</f>
        <v/>
      </c>
    </row>
    <row r="96" spans="1:10" x14ac:dyDescent="0.35">
      <c r="A96" s="144" t="s">
        <v>88</v>
      </c>
      <c r="B96" s="127"/>
      <c r="C96" s="145" t="str">
        <f ca="1">(IF($C$53=C94,"All work Completed. OC Received.",I94))</f>
        <v>Excavation, Plinth Completed, RCC upto 6 Slab Completed</v>
      </c>
      <c r="D96" s="145"/>
      <c r="E96" s="145"/>
      <c r="F96" s="145"/>
      <c r="G96" s="145"/>
      <c r="H96" s="146"/>
      <c r="I96" s="45" t="str">
        <f ca="1">IF(I95&lt;&gt;""," Completed","")</f>
        <v xml:space="preserve"> Completed</v>
      </c>
      <c r="J96" s="46" t="str">
        <f ca="1">IF(J94&lt;&gt;"","Completed","")</f>
        <v>Completed</v>
      </c>
    </row>
    <row r="97" spans="1:10" ht="15.75" customHeight="1" x14ac:dyDescent="0.35">
      <c r="A97" s="80" t="s">
        <v>49</v>
      </c>
      <c r="B97" s="81"/>
      <c r="C97" s="56" t="s">
        <v>132</v>
      </c>
      <c r="D97" s="56" t="s">
        <v>81</v>
      </c>
      <c r="E97" s="81" t="s">
        <v>83</v>
      </c>
      <c r="F97" s="81"/>
      <c r="G97" s="81" t="s">
        <v>82</v>
      </c>
      <c r="H97" s="107"/>
      <c r="I97" s="13" t="s">
        <v>134</v>
      </c>
      <c r="J97" s="27">
        <f ca="1">H95*25%</f>
        <v>2</v>
      </c>
    </row>
    <row r="98" spans="1:10" x14ac:dyDescent="0.35">
      <c r="A98" s="81" t="s">
        <v>121</v>
      </c>
      <c r="B98" s="81"/>
      <c r="C98" s="67">
        <f ca="1">J99</f>
        <v>8</v>
      </c>
      <c r="D98" s="18">
        <f ca="1">((100/H95)*C98)/100</f>
        <v>1</v>
      </c>
      <c r="E98" s="197">
        <f ca="1">(((C99/H95*10)+(40/(D95+F95+H95)*C100)+(7.5/(H95)*C101)+(7.5/(H95)*C102)+(10/H95*C103)+(10/H95*C104)+(5/H95*C105)+(5/H95*C106)+(5/H95*C107))/100)</f>
        <v>0.3666666666666667</v>
      </c>
      <c r="F98" s="197"/>
      <c r="G98" s="197">
        <f ca="1">((((C98/H95)*20)+((C99/H95)*25)+(30/(H95+F95+D95)*C100)+(5/H95*C101)+(5/H95*C102)+(5/H95*C103)+(5/H95*C104)+(0/H95*C105)+(0/H95*C106)+(5/H95*C107))/100)</f>
        <v>0.65</v>
      </c>
      <c r="H98" s="197"/>
      <c r="I98" s="13" t="s">
        <v>95</v>
      </c>
      <c r="J98" s="28">
        <f ca="1">H95*50%</f>
        <v>4</v>
      </c>
    </row>
    <row r="99" spans="1:10" x14ac:dyDescent="0.35">
      <c r="A99" s="81" t="s">
        <v>50</v>
      </c>
      <c r="B99" s="81"/>
      <c r="C99" s="49">
        <v>8</v>
      </c>
      <c r="D99" s="18">
        <f ca="1">((100/H95)*C99)/100</f>
        <v>1</v>
      </c>
      <c r="E99" s="197"/>
      <c r="F99" s="197"/>
      <c r="G99" s="197"/>
      <c r="H99" s="197"/>
      <c r="I99" s="13" t="s">
        <v>96</v>
      </c>
      <c r="J99" s="28">
        <f ca="1">H95</f>
        <v>8</v>
      </c>
    </row>
    <row r="100" spans="1:10" ht="15.75" customHeight="1" x14ac:dyDescent="0.35">
      <c r="A100" s="81" t="s">
        <v>122</v>
      </c>
      <c r="B100" s="81"/>
      <c r="C100" s="67">
        <v>6</v>
      </c>
      <c r="D100" s="18">
        <f ca="1">((100/(D95+F95+H95))*C100)/100</f>
        <v>0.66666666666666652</v>
      </c>
      <c r="E100" s="197"/>
      <c r="F100" s="197"/>
      <c r="G100" s="197"/>
      <c r="H100" s="197"/>
      <c r="I100" s="13" t="s">
        <v>97</v>
      </c>
      <c r="J100" s="29">
        <f ca="1">(IF(B95&gt;1,(H95/(B95+2)),H95/4))</f>
        <v>2</v>
      </c>
    </row>
    <row r="101" spans="1:10" ht="15.75" customHeight="1" x14ac:dyDescent="0.35">
      <c r="A101" s="81" t="s">
        <v>129</v>
      </c>
      <c r="B101" s="81" t="s">
        <v>123</v>
      </c>
      <c r="C101" s="67">
        <v>0</v>
      </c>
      <c r="D101" s="18">
        <f ca="1">((100/H95)*C101)/100</f>
        <v>0</v>
      </c>
      <c r="E101" s="197"/>
      <c r="F101" s="197"/>
      <c r="G101" s="197"/>
      <c r="H101" s="197"/>
      <c r="I101" s="13" t="s">
        <v>98</v>
      </c>
      <c r="J101" s="29">
        <f ca="1">(IF(B95&gt;1,(H95/(B95+2)+J100),H95/4+J100))</f>
        <v>4</v>
      </c>
    </row>
    <row r="102" spans="1:10" ht="15.75" customHeight="1" x14ac:dyDescent="0.35">
      <c r="A102" s="81" t="s">
        <v>130</v>
      </c>
      <c r="B102" s="81" t="s">
        <v>123</v>
      </c>
      <c r="C102" s="67">
        <v>0</v>
      </c>
      <c r="D102" s="18">
        <f ca="1">((100/H95)*C102)/100</f>
        <v>0</v>
      </c>
      <c r="E102" s="197"/>
      <c r="F102" s="197"/>
      <c r="G102" s="197"/>
      <c r="H102" s="197"/>
      <c r="I102" s="13" t="s">
        <v>139</v>
      </c>
      <c r="J102" s="29">
        <f>(IF(B95&gt;1,(H95/(B95+2)+J101),0))</f>
        <v>0</v>
      </c>
    </row>
    <row r="103" spans="1:10" ht="15" customHeight="1" x14ac:dyDescent="0.35">
      <c r="A103" s="81" t="s">
        <v>128</v>
      </c>
      <c r="B103" s="81" t="s">
        <v>125</v>
      </c>
      <c r="C103" s="67">
        <v>0</v>
      </c>
      <c r="D103" s="18">
        <f ca="1">((100/(H95))*C103)/100</f>
        <v>0</v>
      </c>
      <c r="E103" s="197"/>
      <c r="F103" s="197"/>
      <c r="G103" s="197"/>
      <c r="H103" s="197"/>
      <c r="I103" s="13" t="s">
        <v>136</v>
      </c>
      <c r="J103" s="29">
        <f>(IF(B95&gt;2,(H95/(B95+2)+J102),0))</f>
        <v>0</v>
      </c>
    </row>
    <row r="104" spans="1:10" ht="15.75" customHeight="1" x14ac:dyDescent="0.35">
      <c r="A104" s="81" t="s">
        <v>124</v>
      </c>
      <c r="B104" s="81" t="s">
        <v>124</v>
      </c>
      <c r="C104" s="67">
        <v>0</v>
      </c>
      <c r="D104" s="18">
        <f ca="1">((100/H95)*C104)/100</f>
        <v>0</v>
      </c>
      <c r="E104" s="197"/>
      <c r="F104" s="197"/>
      <c r="G104" s="197"/>
      <c r="H104" s="197"/>
      <c r="I104" s="13" t="s">
        <v>137</v>
      </c>
      <c r="J104" s="30">
        <f>(IF(B95&gt;3,(H95/(B95+2)+J103),0))</f>
        <v>0</v>
      </c>
    </row>
    <row r="105" spans="1:10" ht="15.75" customHeight="1" x14ac:dyDescent="0.35">
      <c r="A105" s="81" t="s">
        <v>131</v>
      </c>
      <c r="B105" s="81"/>
      <c r="C105" s="67">
        <v>0</v>
      </c>
      <c r="D105" s="18">
        <f ca="1">((100/H95)*C105)/100</f>
        <v>0</v>
      </c>
      <c r="E105" s="197"/>
      <c r="F105" s="197"/>
      <c r="G105" s="197"/>
      <c r="H105" s="197"/>
      <c r="I105" s="13" t="s">
        <v>138</v>
      </c>
      <c r="J105" s="29">
        <f>(IF(B95&gt;4,(H95/(B95+2)+J104),0))</f>
        <v>0</v>
      </c>
    </row>
    <row r="106" spans="1:10" ht="15.75" customHeight="1" x14ac:dyDescent="0.35">
      <c r="A106" s="81" t="s">
        <v>126</v>
      </c>
      <c r="B106" s="81" t="s">
        <v>126</v>
      </c>
      <c r="C106" s="67">
        <v>0</v>
      </c>
      <c r="D106" s="18">
        <f ca="1">((100/(H95))*C106)/100</f>
        <v>0</v>
      </c>
      <c r="E106" s="197"/>
      <c r="F106" s="197"/>
      <c r="G106" s="197"/>
      <c r="H106" s="197"/>
      <c r="I106" s="13" t="s">
        <v>140</v>
      </c>
      <c r="J106" s="29">
        <f ca="1">(IF(B95=1,(H95/(B95+3)+J101),IF(B95=0,(H95/4+J101),IF(B95&gt;1,0))))</f>
        <v>6</v>
      </c>
    </row>
    <row r="107" spans="1:10" ht="16" thickBot="1" x14ac:dyDescent="0.4">
      <c r="A107" s="81" t="s">
        <v>127</v>
      </c>
      <c r="B107" s="81"/>
      <c r="C107" s="67">
        <v>0</v>
      </c>
      <c r="D107" s="18">
        <f ca="1">((100/(H95))*C107)/100</f>
        <v>0</v>
      </c>
      <c r="E107" s="197"/>
      <c r="F107" s="197"/>
      <c r="G107" s="197"/>
      <c r="H107" s="197"/>
      <c r="I107" s="14" t="s">
        <v>99</v>
      </c>
      <c r="J107" s="31">
        <f ca="1">(IF(B95&gt;1.5,(H95/(B95+2)+J101+MAX(0,J102-J101)+MAX(0,J103-J102)+MAX(0,J104-J103)+MAX(0,J105-J104)+MAX(0,J106-J105)),IF(B95=1,(H95/(B95+3)+J106),IF(B95=0,H95/4+J106))))</f>
        <v>8</v>
      </c>
    </row>
    <row r="108" spans="1:10" ht="15.75" customHeight="1" x14ac:dyDescent="0.35">
      <c r="A108" s="196" t="s">
        <v>133</v>
      </c>
      <c r="B108" s="196"/>
      <c r="C108" s="196" t="s">
        <v>197</v>
      </c>
      <c r="D108" s="196"/>
      <c r="E108" s="196"/>
      <c r="F108" s="196"/>
      <c r="G108" s="196"/>
      <c r="H108" s="196"/>
      <c r="I108" s="191" t="str">
        <f ca="1">IF(D121=100%,"All work Completed. Possession granted to the Building.",IF(D120=100%,"All work Completed, Waiting for OC",I109&amp;""&amp;I110&amp;""&amp;J109&amp;""&amp;J108&amp;" "&amp;J110))</f>
        <v xml:space="preserve">Excavation, Plinth Completed </v>
      </c>
      <c r="J108" s="44" t="str">
        <f ca="1">(IF(C114=(D109+F109+H109),"",IF(C114&gt;0,", RCC upto "&amp;C114&amp;" Slab","")))&amp;(IF(C115=H109,"",IF(C115&gt;0,", Brickwork upto "&amp;C115&amp;" Floor","")))&amp;(IF(C116=H109,"",IF(C116&gt;0,", Internal Plaster upto "&amp;C116&amp;" Floor","")))&amp;(IF(C117=H109,"",IF(C117&gt;0,", External Plaster upto "&amp;C117&amp;" Floor","")))&amp;(IF(C118=H109,"",IF(C118&gt;0,", Flooring upto "&amp;C118&amp;" Floor","")))&amp;(IF(C119=H109,"",IF(C119&gt;0,", Painting upto "&amp;C119&amp;" Floor","")))&amp;(IF(C120=H109,"",IF(C120&gt;0,", Finishing upto "&amp;C120&amp;" Floor","")))&amp;(IF(C121=H109,"",IF(C121&gt;0,", Possession upto "&amp;C121&amp;" Floor","")))</f>
        <v/>
      </c>
    </row>
    <row r="109" spans="1:10" x14ac:dyDescent="0.35">
      <c r="A109" s="68" t="s">
        <v>135</v>
      </c>
      <c r="B109" s="68">
        <v>0</v>
      </c>
      <c r="C109" s="68" t="s">
        <v>71</v>
      </c>
      <c r="D109" s="68">
        <v>1</v>
      </c>
      <c r="E109" s="68" t="s">
        <v>70</v>
      </c>
      <c r="F109" s="68">
        <v>0</v>
      </c>
      <c r="G109" s="42" t="s">
        <v>78</v>
      </c>
      <c r="H109" s="68">
        <f ca="1">--TRIM(RIGHT(SUBSTITUTE(LEFT(C108,_xlfn.AGGREGATE(16,6,FIND({0,1,2,3,4,5,6,7,8,9},C108,ROW(INDIRECT("1:"&amp;LEN(C108)))),1))," ",REPT(" ",LEN(C108))),LEN(C108)))</f>
        <v>6</v>
      </c>
      <c r="I109" s="192" t="str">
        <f ca="1">IF(D112=100%,"Excavation","")&amp;IF(D113=100%,", Plinth","")&amp;IF(D114=100%,", RCC Slab","")&amp;IF(D115=100%,", Brickwork","")&amp;IF(D116=100%,", Internal Plaster","")&amp;IF(D117=100%,", External Plaster","")&amp;IF(D118=100%,", Flooring","")&amp;IF(D119=100%,", Painting","")&amp;IF(D120=100%,", Building common Amenities","")</f>
        <v>Excavation, Plinth</v>
      </c>
      <c r="J109" s="46" t="str">
        <f ca="1">(IF(C112=0,"Work not yet Started.",IF(D112=25%,"Piling work in process",IF(D112=50%,"Excavation work in process",IF(D112=100%,"","0")))))&amp;(IF(C113=0%,"",IF(C113=J114,", Footing work is process",IF(C113=J115,", Footing work Completed",IF(C113=J116,", 1st Basement Completed",IF(C113=J117,", 1st &amp; 2nd Basement Completed",IF(C113=J118,", 1st to 3rd Basement Completed",IF(C113=J119,", 1st to 4th Basement Completed",IF(C113=J120,", Plinth work is process",IF(C113=J121,"","0"))))))))))</f>
        <v/>
      </c>
    </row>
    <row r="110" spans="1:10" x14ac:dyDescent="0.35">
      <c r="A110" s="127" t="s">
        <v>88</v>
      </c>
      <c r="B110" s="127"/>
      <c r="C110" s="145" t="str">
        <f ca="1">(IF($C$53=C108,"All work Completed. OC Received.",I108))</f>
        <v xml:space="preserve">Excavation, Plinth Completed </v>
      </c>
      <c r="D110" s="145"/>
      <c r="E110" s="145"/>
      <c r="F110" s="145"/>
      <c r="G110" s="145"/>
      <c r="H110" s="145"/>
      <c r="I110" s="192" t="str">
        <f ca="1">IF(I109&lt;&gt;""," Completed","")</f>
        <v xml:space="preserve"> Completed</v>
      </c>
      <c r="J110" s="46" t="str">
        <f ca="1">IF(J108&lt;&gt;"","Completed","")</f>
        <v/>
      </c>
    </row>
    <row r="111" spans="1:10" ht="15.75" customHeight="1" x14ac:dyDescent="0.35">
      <c r="A111" s="81" t="s">
        <v>49</v>
      </c>
      <c r="B111" s="81"/>
      <c r="C111" s="67" t="s">
        <v>132</v>
      </c>
      <c r="D111" s="67" t="s">
        <v>81</v>
      </c>
      <c r="E111" s="81" t="s">
        <v>83</v>
      </c>
      <c r="F111" s="81"/>
      <c r="G111" s="81" t="s">
        <v>82</v>
      </c>
      <c r="H111" s="81"/>
      <c r="I111" s="13" t="s">
        <v>134</v>
      </c>
      <c r="J111" s="27">
        <f ca="1">H109*25%</f>
        <v>1.5</v>
      </c>
    </row>
    <row r="112" spans="1:10" x14ac:dyDescent="0.35">
      <c r="A112" s="80" t="s">
        <v>121</v>
      </c>
      <c r="B112" s="81"/>
      <c r="C112" s="56">
        <f ca="1">J113</f>
        <v>6</v>
      </c>
      <c r="D112" s="18">
        <f ca="1">((100/H109)*C112)/100</f>
        <v>1</v>
      </c>
      <c r="E112" s="153">
        <f ca="1">(((C113/H109*10)+(40/(D109+F109+H109)*C114)+(7.5/(H109)*C115)+(7.5/(H109)*C116)+(10/H109*C117)+(10/H109*C118)+(5/H109*C119)+(5/H109*C120)+(5/H109*C121))/100)</f>
        <v>0.1</v>
      </c>
      <c r="F112" s="154"/>
      <c r="G112" s="153">
        <f ca="1">((((C112/H109)*20)+((C113/H109)*25)+(30/(H109+F109+D109)*C114)+(5/H109*C115)+(5/H109*C116)+(5/H109*C117)+(5/H109*C118)+(0/H109*C119)+(0/H109*C120)+(5/H109*C121))/100)</f>
        <v>0.45</v>
      </c>
      <c r="H112" s="159"/>
      <c r="I112" s="13" t="s">
        <v>95</v>
      </c>
      <c r="J112" s="28">
        <f ca="1">H109*50%</f>
        <v>3</v>
      </c>
    </row>
    <row r="113" spans="1:12" x14ac:dyDescent="0.35">
      <c r="A113" s="80" t="s">
        <v>50</v>
      </c>
      <c r="B113" s="81"/>
      <c r="C113" s="49">
        <f ca="1">J121</f>
        <v>6</v>
      </c>
      <c r="D113" s="18">
        <f ca="1">((100/H109)*C113)/100</f>
        <v>1</v>
      </c>
      <c r="E113" s="155"/>
      <c r="F113" s="156"/>
      <c r="G113" s="155"/>
      <c r="H113" s="160"/>
      <c r="I113" s="13" t="s">
        <v>96</v>
      </c>
      <c r="J113" s="28">
        <f ca="1">H109</f>
        <v>6</v>
      </c>
    </row>
    <row r="114" spans="1:12" ht="15.75" customHeight="1" x14ac:dyDescent="0.35">
      <c r="A114" s="80" t="s">
        <v>122</v>
      </c>
      <c r="B114" s="81"/>
      <c r="C114" s="56">
        <v>0</v>
      </c>
      <c r="D114" s="18">
        <f ca="1">((100/(D109+F109+H109))*C114)/100</f>
        <v>0</v>
      </c>
      <c r="E114" s="155"/>
      <c r="F114" s="156"/>
      <c r="G114" s="155"/>
      <c r="H114" s="160"/>
      <c r="I114" s="13" t="s">
        <v>97</v>
      </c>
      <c r="J114" s="29">
        <f ca="1">(IF(B109&gt;1,(H109/(B109+2)),H109/4))</f>
        <v>1.5</v>
      </c>
    </row>
    <row r="115" spans="1:12" ht="15.75" customHeight="1" x14ac:dyDescent="0.35">
      <c r="A115" s="80" t="s">
        <v>129</v>
      </c>
      <c r="B115" s="81" t="s">
        <v>123</v>
      </c>
      <c r="C115" s="56">
        <v>0</v>
      </c>
      <c r="D115" s="18">
        <f ca="1">((100/H109)*C115)/100</f>
        <v>0</v>
      </c>
      <c r="E115" s="155"/>
      <c r="F115" s="156"/>
      <c r="G115" s="155"/>
      <c r="H115" s="160"/>
      <c r="I115" s="13" t="s">
        <v>98</v>
      </c>
      <c r="J115" s="29">
        <f ca="1">(IF(B109&gt;1,(H109/(B109+2)+J114),H109/4+J114))</f>
        <v>3</v>
      </c>
    </row>
    <row r="116" spans="1:12" ht="15.75" customHeight="1" x14ac:dyDescent="0.35">
      <c r="A116" s="80" t="s">
        <v>130</v>
      </c>
      <c r="B116" s="81" t="s">
        <v>123</v>
      </c>
      <c r="C116" s="56">
        <v>0</v>
      </c>
      <c r="D116" s="18">
        <f ca="1">((100/H109)*C116)/100</f>
        <v>0</v>
      </c>
      <c r="E116" s="155"/>
      <c r="F116" s="156"/>
      <c r="G116" s="155"/>
      <c r="H116" s="160"/>
      <c r="I116" s="13" t="s">
        <v>139</v>
      </c>
      <c r="J116" s="29">
        <f>(IF(B109&gt;1,(H109/(B109+2)+J115),0))</f>
        <v>0</v>
      </c>
    </row>
    <row r="117" spans="1:12" ht="15" customHeight="1" x14ac:dyDescent="0.35">
      <c r="A117" s="80" t="s">
        <v>128</v>
      </c>
      <c r="B117" s="81" t="s">
        <v>125</v>
      </c>
      <c r="C117" s="56">
        <v>0</v>
      </c>
      <c r="D117" s="18">
        <f ca="1">((100/(H109))*C117)/100</f>
        <v>0</v>
      </c>
      <c r="E117" s="155"/>
      <c r="F117" s="156"/>
      <c r="G117" s="155"/>
      <c r="H117" s="160"/>
      <c r="I117" s="13" t="s">
        <v>136</v>
      </c>
      <c r="J117" s="29">
        <f>(IF(B109&gt;2,(H109/(B109+2)+J116),0))</f>
        <v>0</v>
      </c>
    </row>
    <row r="118" spans="1:12" ht="15.75" customHeight="1" x14ac:dyDescent="0.35">
      <c r="A118" s="80" t="s">
        <v>124</v>
      </c>
      <c r="B118" s="81" t="s">
        <v>124</v>
      </c>
      <c r="C118" s="56">
        <v>0</v>
      </c>
      <c r="D118" s="18">
        <f ca="1">((100/H109)*C118)/100</f>
        <v>0</v>
      </c>
      <c r="E118" s="155"/>
      <c r="F118" s="156"/>
      <c r="G118" s="155"/>
      <c r="H118" s="160"/>
      <c r="I118" s="13" t="s">
        <v>137</v>
      </c>
      <c r="J118" s="30">
        <f>(IF(B109&gt;3,(H109/(B109+2)+J117),0))</f>
        <v>0</v>
      </c>
    </row>
    <row r="119" spans="1:12" ht="15.75" customHeight="1" x14ac:dyDescent="0.35">
      <c r="A119" s="80" t="s">
        <v>131</v>
      </c>
      <c r="B119" s="81"/>
      <c r="C119" s="56">
        <v>0</v>
      </c>
      <c r="D119" s="18">
        <f ca="1">((100/H109)*C119)/100</f>
        <v>0</v>
      </c>
      <c r="E119" s="155"/>
      <c r="F119" s="156"/>
      <c r="G119" s="155"/>
      <c r="H119" s="160"/>
      <c r="I119" s="13" t="s">
        <v>138</v>
      </c>
      <c r="J119" s="29">
        <f>(IF(B109&gt;4,(H109/(B109+2)+J118),0))</f>
        <v>0</v>
      </c>
    </row>
    <row r="120" spans="1:12" ht="15.75" customHeight="1" x14ac:dyDescent="0.35">
      <c r="A120" s="80" t="s">
        <v>126</v>
      </c>
      <c r="B120" s="81" t="s">
        <v>126</v>
      </c>
      <c r="C120" s="56">
        <v>0</v>
      </c>
      <c r="D120" s="18">
        <f ca="1">((100/(H109))*C120)/100</f>
        <v>0</v>
      </c>
      <c r="E120" s="155"/>
      <c r="F120" s="156"/>
      <c r="G120" s="155"/>
      <c r="H120" s="160"/>
      <c r="I120" s="13" t="s">
        <v>140</v>
      </c>
      <c r="J120" s="29">
        <f ca="1">(IF(B109=1,(H109/(B109+3)+J115),IF(B109=0,(H109/4+J115),IF(B109&gt;1,0))))</f>
        <v>4.5</v>
      </c>
    </row>
    <row r="121" spans="1:12" ht="16" thickBot="1" x14ac:dyDescent="0.4">
      <c r="A121" s="162" t="s">
        <v>127</v>
      </c>
      <c r="B121" s="163"/>
      <c r="C121" s="57">
        <v>0</v>
      </c>
      <c r="D121" s="19">
        <f ca="1">((100/(H109))*C121)/100</f>
        <v>0</v>
      </c>
      <c r="E121" s="157"/>
      <c r="F121" s="158"/>
      <c r="G121" s="157"/>
      <c r="H121" s="161"/>
      <c r="I121" s="14" t="s">
        <v>99</v>
      </c>
      <c r="J121" s="31">
        <f ca="1">(IF(B109&gt;1.5,(H109/(B109+2)+J115+MAX(0,J116-J115)+MAX(0,J117-J116)+MAX(0,J118-J117)+MAX(0,J119-J118)+MAX(0,J120-J119)),IF(B109=1,(H109/(B109+3)+J120),IF(B109=0,H109/4+J120))))</f>
        <v>6</v>
      </c>
    </row>
    <row r="122" spans="1:12" x14ac:dyDescent="0.35">
      <c r="A122" s="106" t="s">
        <v>148</v>
      </c>
      <c r="B122" s="106"/>
      <c r="C122" s="106"/>
      <c r="D122" s="106"/>
      <c r="E122" s="106"/>
      <c r="F122" s="108" t="s">
        <v>153</v>
      </c>
      <c r="G122" s="108"/>
      <c r="H122" s="108"/>
    </row>
    <row r="123" spans="1:12" x14ac:dyDescent="0.35">
      <c r="A123" s="77" t="s">
        <v>151</v>
      </c>
      <c r="B123" s="77"/>
      <c r="C123" s="77"/>
      <c r="D123" s="77"/>
      <c r="E123" s="77"/>
      <c r="F123" s="82">
        <v>3400</v>
      </c>
      <c r="G123" s="82"/>
      <c r="H123" s="82"/>
      <c r="I123" s="52">
        <v>44879</v>
      </c>
      <c r="J123" s="53" t="s">
        <v>179</v>
      </c>
      <c r="K123" s="53" t="s">
        <v>180</v>
      </c>
      <c r="L123" s="54" t="s">
        <v>181</v>
      </c>
    </row>
    <row r="124" spans="1:12" hidden="1" x14ac:dyDescent="0.35">
      <c r="A124" s="77" t="s">
        <v>150</v>
      </c>
      <c r="B124" s="77"/>
      <c r="C124" s="77"/>
      <c r="D124" s="77"/>
      <c r="E124" s="77"/>
      <c r="F124" s="82"/>
      <c r="G124" s="82"/>
      <c r="H124" s="82"/>
    </row>
    <row r="125" spans="1:12" hidden="1" x14ac:dyDescent="0.35">
      <c r="A125" s="77" t="s">
        <v>152</v>
      </c>
      <c r="B125" s="77"/>
      <c r="C125" s="77"/>
      <c r="D125" s="77"/>
      <c r="E125" s="77"/>
      <c r="F125" s="82"/>
      <c r="G125" s="82"/>
      <c r="H125" s="82"/>
    </row>
    <row r="126" spans="1:12" s="32" customFormat="1" hidden="1" x14ac:dyDescent="0.3">
      <c r="A126" s="77" t="s">
        <v>149</v>
      </c>
      <c r="B126" s="77"/>
      <c r="C126" s="77"/>
      <c r="D126" s="77"/>
      <c r="E126" s="77"/>
      <c r="F126" s="82"/>
      <c r="G126" s="82"/>
      <c r="H126" s="82"/>
    </row>
    <row r="127" spans="1:12" s="32" customFormat="1" hidden="1" x14ac:dyDescent="0.3">
      <c r="A127" s="77" t="s">
        <v>93</v>
      </c>
      <c r="B127" s="77"/>
      <c r="C127" s="77"/>
      <c r="D127" s="77"/>
      <c r="E127" s="77"/>
      <c r="F127" s="82"/>
      <c r="G127" s="82"/>
      <c r="H127" s="82"/>
    </row>
    <row r="128" spans="1:12" s="32" customFormat="1" hidden="1" x14ac:dyDescent="0.3">
      <c r="A128" s="77" t="s">
        <v>94</v>
      </c>
      <c r="B128" s="77"/>
      <c r="C128" s="77"/>
      <c r="D128" s="77"/>
      <c r="E128" s="77"/>
      <c r="F128" s="82"/>
      <c r="G128" s="82"/>
      <c r="H128" s="82"/>
    </row>
    <row r="129" spans="1:20" s="32" customFormat="1" hidden="1" x14ac:dyDescent="0.3">
      <c r="A129" s="77" t="s">
        <v>154</v>
      </c>
      <c r="B129" s="77"/>
      <c r="C129" s="77"/>
      <c r="D129" s="77"/>
      <c r="E129" s="77"/>
      <c r="F129" s="82">
        <v>12500</v>
      </c>
      <c r="G129" s="82"/>
      <c r="H129" s="82"/>
    </row>
    <row r="130" spans="1:20" s="32" customFormat="1" x14ac:dyDescent="0.3">
      <c r="A130" s="77" t="s">
        <v>177</v>
      </c>
      <c r="B130" s="77"/>
      <c r="C130" s="77"/>
      <c r="D130" s="77"/>
      <c r="E130" s="77"/>
      <c r="F130" s="82">
        <v>35000</v>
      </c>
      <c r="G130" s="82"/>
      <c r="H130" s="82"/>
    </row>
    <row r="131" spans="1:20" s="32" customFormat="1" x14ac:dyDescent="0.3">
      <c r="A131" s="77" t="s">
        <v>182</v>
      </c>
      <c r="B131" s="77"/>
      <c r="C131" s="77"/>
      <c r="D131" s="77"/>
      <c r="E131" s="77"/>
      <c r="F131" s="82">
        <v>200000</v>
      </c>
      <c r="G131" s="82"/>
      <c r="H131" s="82"/>
    </row>
    <row r="132" spans="1:20" x14ac:dyDescent="0.35">
      <c r="A132" s="77" t="s">
        <v>51</v>
      </c>
      <c r="B132" s="77"/>
      <c r="C132" s="77"/>
      <c r="D132" s="77"/>
      <c r="E132" s="77"/>
      <c r="F132" s="82">
        <v>100000</v>
      </c>
      <c r="G132" s="82"/>
      <c r="H132" s="82"/>
    </row>
    <row r="133" spans="1:20" s="33" customFormat="1" x14ac:dyDescent="0.35">
      <c r="A133" s="113" t="s">
        <v>52</v>
      </c>
      <c r="B133" s="113"/>
      <c r="C133" s="113"/>
      <c r="D133" s="113"/>
      <c r="E133" s="113"/>
      <c r="F133" s="82">
        <f>F123*0.8</f>
        <v>2720</v>
      </c>
      <c r="G133" s="82"/>
      <c r="H133" s="82"/>
    </row>
    <row r="134" spans="1:20" s="34" customFormat="1" x14ac:dyDescent="0.35">
      <c r="A134" s="114" t="s">
        <v>69</v>
      </c>
      <c r="B134" s="114"/>
      <c r="C134" s="114"/>
      <c r="D134" s="114"/>
      <c r="E134" s="114"/>
      <c r="F134" s="114"/>
      <c r="G134" s="114"/>
      <c r="H134" s="114"/>
    </row>
    <row r="135" spans="1:20" s="34" customFormat="1" ht="15.75" customHeight="1" x14ac:dyDescent="0.35">
      <c r="A135" s="79" t="s">
        <v>53</v>
      </c>
      <c r="B135" s="79"/>
      <c r="C135" s="83" t="s">
        <v>76</v>
      </c>
      <c r="D135" s="83"/>
      <c r="E135" s="122" t="s">
        <v>54</v>
      </c>
      <c r="F135" s="122"/>
      <c r="G135" s="79" t="s">
        <v>55</v>
      </c>
      <c r="H135" s="79"/>
    </row>
    <row r="136" spans="1:20" s="34" customFormat="1" x14ac:dyDescent="0.35">
      <c r="A136" s="189" t="s">
        <v>198</v>
      </c>
      <c r="B136" s="189"/>
      <c r="C136" s="171">
        <f>COUNT(D157:D160)*4</f>
        <v>16</v>
      </c>
      <c r="D136" s="171"/>
      <c r="E136" s="171">
        <f>SUM(F157:F160)*4</f>
        <v>7577.4254399999991</v>
      </c>
      <c r="F136" s="171"/>
      <c r="G136" s="171">
        <f>SUM(H157:H160)*4</f>
        <v>10987.266888</v>
      </c>
      <c r="H136" s="171"/>
    </row>
    <row r="137" spans="1:20" s="34" customFormat="1" x14ac:dyDescent="0.35">
      <c r="A137" s="189" t="s">
        <v>176</v>
      </c>
      <c r="B137" s="189"/>
      <c r="C137" s="171">
        <f>COUNT(D164:D167)*6+COUNT(D169:D172)*2</f>
        <v>32</v>
      </c>
      <c r="D137" s="171"/>
      <c r="E137" s="171">
        <f t="shared" ref="E137" si="0">SUM(F164:F167)*6+SUM(F169:F172)*2</f>
        <v>14767.346879999997</v>
      </c>
      <c r="F137" s="171"/>
      <c r="G137" s="171">
        <f t="shared" ref="G137" si="1">SUM(H164:H167)*6+SUM(H169:H172)*2</f>
        <v>21412.652975999998</v>
      </c>
      <c r="H137" s="171"/>
    </row>
    <row r="138" spans="1:20" s="34" customFormat="1" ht="15.75" customHeight="1" x14ac:dyDescent="0.35">
      <c r="A138" s="189" t="s">
        <v>218</v>
      </c>
      <c r="B138" s="189"/>
      <c r="C138" s="171">
        <f>COUNT(D176:D179)*6+COUNT(D181:D184)*2</f>
        <v>32</v>
      </c>
      <c r="D138" s="171"/>
      <c r="E138" s="171">
        <f t="shared" ref="E138" si="2">SUM(F176:F179)*6+SUM(F181:F184)*2</f>
        <v>14872.403519999998</v>
      </c>
      <c r="F138" s="171"/>
      <c r="G138" s="171">
        <f t="shared" ref="G138" si="3">SUM(H176:H179)*6+SUM(H181:H184)*2</f>
        <v>21564.985103999996</v>
      </c>
      <c r="H138" s="171"/>
    </row>
    <row r="139" spans="1:20" s="34" customFormat="1" ht="15.75" customHeight="1" x14ac:dyDescent="0.35">
      <c r="A139" s="189" t="s">
        <v>219</v>
      </c>
      <c r="B139" s="189"/>
      <c r="C139" s="171">
        <f>COUNT(D188:D191)*6+COUNT(D193:D196)*2</f>
        <v>32</v>
      </c>
      <c r="D139" s="171"/>
      <c r="E139" s="171">
        <f t="shared" ref="E139" si="4">SUM(F188:F191)*6+SUM(F193:F196)*2</f>
        <v>13759.836479999998</v>
      </c>
      <c r="F139" s="171"/>
      <c r="G139" s="171">
        <f t="shared" ref="G139" si="5">SUM(H188:H191)*6+SUM(H193:H196)*2</f>
        <v>19951.762895999997</v>
      </c>
      <c r="H139" s="171"/>
    </row>
    <row r="140" spans="1:20" s="34" customFormat="1" ht="15.75" customHeight="1" x14ac:dyDescent="0.35">
      <c r="A140" s="189" t="s">
        <v>220</v>
      </c>
      <c r="B140" s="189"/>
      <c r="C140" s="171">
        <f>COUNT(D200:D203)*6</f>
        <v>24</v>
      </c>
      <c r="D140" s="171"/>
      <c r="E140" s="171">
        <f t="shared" ref="E140" si="6">SUM(F200:F203)*6</f>
        <v>9985.3322399999979</v>
      </c>
      <c r="F140" s="171"/>
      <c r="G140" s="171">
        <f t="shared" ref="G140" si="7">SUM(H200:H203)*6</f>
        <v>14478.731747999998</v>
      </c>
      <c r="H140" s="171"/>
    </row>
    <row r="141" spans="1:20" s="34" customFormat="1" ht="15.75" customHeight="1" x14ac:dyDescent="0.35">
      <c r="A141" s="114" t="s">
        <v>221</v>
      </c>
      <c r="B141" s="114"/>
      <c r="C141" s="172">
        <f>SUM(C136:D140)</f>
        <v>136</v>
      </c>
      <c r="D141" s="172"/>
      <c r="E141" s="172">
        <f t="shared" ref="E141" si="8">SUM(E136:F140)</f>
        <v>60962.34455999999</v>
      </c>
      <c r="F141" s="172"/>
      <c r="G141" s="172">
        <f t="shared" ref="G141" si="9">SUM(G136:H140)</f>
        <v>88395.399611999979</v>
      </c>
      <c r="H141" s="172"/>
    </row>
    <row r="142" spans="1:20" s="33" customFormat="1" x14ac:dyDescent="0.35">
      <c r="A142" s="108" t="s">
        <v>56</v>
      </c>
      <c r="B142" s="108"/>
      <c r="C142" s="108"/>
      <c r="D142" s="108"/>
      <c r="E142" s="108"/>
      <c r="F142" s="108"/>
      <c r="G142" s="108"/>
      <c r="H142" s="108"/>
      <c r="T142" s="34"/>
    </row>
    <row r="143" spans="1:20" x14ac:dyDescent="0.35">
      <c r="A143" s="132" t="s">
        <v>217</v>
      </c>
      <c r="B143" s="132"/>
      <c r="C143" s="132"/>
      <c r="D143" s="132"/>
      <c r="E143" s="132"/>
      <c r="F143" s="132"/>
      <c r="G143" s="132"/>
      <c r="H143" s="132"/>
      <c r="T143" s="34"/>
    </row>
    <row r="144" spans="1:20" ht="47.25" hidden="1" customHeight="1" x14ac:dyDescent="0.35">
      <c r="A144" s="173" t="s">
        <v>201</v>
      </c>
      <c r="B144" s="173" t="s">
        <v>202</v>
      </c>
      <c r="C144" s="173" t="s">
        <v>57</v>
      </c>
      <c r="D144" s="175" t="s">
        <v>203</v>
      </c>
      <c r="E144" s="177" t="s">
        <v>204</v>
      </c>
      <c r="F144" s="173" t="s">
        <v>58</v>
      </c>
      <c r="G144" s="177" t="s">
        <v>59</v>
      </c>
      <c r="H144" s="61" t="s">
        <v>142</v>
      </c>
      <c r="T144" s="34"/>
    </row>
    <row r="145" spans="1:20" s="36" customFormat="1" hidden="1" x14ac:dyDescent="0.35">
      <c r="A145" s="174"/>
      <c r="B145" s="174"/>
      <c r="C145" s="174"/>
      <c r="D145" s="176"/>
      <c r="E145" s="178"/>
      <c r="F145" s="174"/>
      <c r="G145" s="178"/>
      <c r="H145" s="62">
        <v>0.45</v>
      </c>
      <c r="T145" s="34"/>
    </row>
    <row r="146" spans="1:20" s="36" customFormat="1" hidden="1" x14ac:dyDescent="0.35">
      <c r="A146" s="165" t="s">
        <v>205</v>
      </c>
      <c r="B146" s="166"/>
      <c r="C146" s="166"/>
      <c r="D146" s="166"/>
      <c r="E146" s="166"/>
      <c r="F146" s="166"/>
      <c r="G146" s="166"/>
      <c r="H146" s="167"/>
      <c r="J146" s="35"/>
      <c r="T146" s="34"/>
    </row>
    <row r="147" spans="1:20" s="36" customFormat="1" ht="15.75" hidden="1" customHeight="1" x14ac:dyDescent="0.35">
      <c r="A147" s="168">
        <v>1</v>
      </c>
      <c r="B147" s="169"/>
      <c r="C147" s="48"/>
      <c r="D147" s="48">
        <v>0</v>
      </c>
      <c r="E147" s="48">
        <v>0</v>
      </c>
      <c r="F147" s="48">
        <f>D147+(IF(E147&lt;201,E147,IF(E147&lt;301,E147/2,E147/3)))</f>
        <v>0</v>
      </c>
      <c r="G147" s="63">
        <v>0</v>
      </c>
      <c r="H147" s="48">
        <f>(F147+(IF(G147&lt;101,G147,IF(G147&lt;201,G147/2,IF(G147&lt;=301,G147/3,G147/4)))))*(($H$145)+1)</f>
        <v>0</v>
      </c>
      <c r="I147" s="35"/>
      <c r="L147" s="180"/>
      <c r="M147" s="180"/>
      <c r="N147" s="35"/>
      <c r="T147" s="34"/>
    </row>
    <row r="148" spans="1:20" s="36" customFormat="1" ht="15.75" hidden="1" customHeight="1" x14ac:dyDescent="0.35">
      <c r="A148" s="168">
        <f>A147+1</f>
        <v>2</v>
      </c>
      <c r="B148" s="169"/>
      <c r="C148" s="48"/>
      <c r="D148" s="48"/>
      <c r="E148" s="48">
        <v>0</v>
      </c>
      <c r="F148" s="48">
        <f t="shared" ref="F148:F150" si="10">D148+(IF(E148&lt;201,E148,IF(E148&lt;301,E148/2,E148/3)))</f>
        <v>0</v>
      </c>
      <c r="G148" s="48">
        <v>0</v>
      </c>
      <c r="H148" s="48">
        <f t="shared" ref="H148:H150" si="11">(F148+(IF(G148&lt;101,G148,IF(G148&lt;201,G148/2,IF(G148&lt;=301,G148/3,G148/4)))))*(($H$145)+1)</f>
        <v>0</v>
      </c>
      <c r="I148" s="35"/>
      <c r="L148" s="180"/>
      <c r="M148" s="180"/>
      <c r="N148" s="35"/>
      <c r="T148" s="33"/>
    </row>
    <row r="149" spans="1:20" s="36" customFormat="1" ht="15.75" hidden="1" customHeight="1" x14ac:dyDescent="0.35">
      <c r="A149" s="168">
        <f>A148+1</f>
        <v>3</v>
      </c>
      <c r="B149" s="169"/>
      <c r="C149" s="48"/>
      <c r="D149" s="48"/>
      <c r="E149" s="48">
        <v>0</v>
      </c>
      <c r="F149" s="48">
        <f t="shared" si="10"/>
        <v>0</v>
      </c>
      <c r="G149" s="48">
        <v>0</v>
      </c>
      <c r="H149" s="48">
        <f t="shared" si="11"/>
        <v>0</v>
      </c>
      <c r="I149" s="35"/>
      <c r="L149" s="180"/>
      <c r="M149" s="180"/>
      <c r="N149" s="35"/>
      <c r="T149" s="20"/>
    </row>
    <row r="150" spans="1:20" s="36" customFormat="1" ht="15.75" hidden="1" customHeight="1" x14ac:dyDescent="0.35">
      <c r="A150" s="168">
        <f>A149+1</f>
        <v>4</v>
      </c>
      <c r="B150" s="169"/>
      <c r="C150" s="48"/>
      <c r="D150" s="48"/>
      <c r="E150" s="48">
        <v>0</v>
      </c>
      <c r="F150" s="48">
        <f t="shared" si="10"/>
        <v>0</v>
      </c>
      <c r="G150" s="48">
        <v>0</v>
      </c>
      <c r="H150" s="48">
        <f t="shared" si="11"/>
        <v>0</v>
      </c>
      <c r="I150" s="35"/>
      <c r="L150" s="180"/>
      <c r="M150" s="180"/>
      <c r="N150" s="35"/>
      <c r="T150" s="20"/>
    </row>
    <row r="151" spans="1:20" s="36" customFormat="1" hidden="1" x14ac:dyDescent="0.35">
      <c r="A151" s="168"/>
      <c r="B151" s="181"/>
      <c r="C151" s="181"/>
      <c r="D151" s="181"/>
      <c r="E151" s="181"/>
      <c r="F151" s="181"/>
      <c r="G151" s="181"/>
      <c r="H151" s="169"/>
      <c r="I151" s="35"/>
      <c r="N151" s="35"/>
    </row>
    <row r="152" spans="1:20" ht="47.25" customHeight="1" x14ac:dyDescent="0.35">
      <c r="A152" s="182" t="s">
        <v>113</v>
      </c>
      <c r="B152" s="173" t="s">
        <v>206</v>
      </c>
      <c r="C152" s="173" t="s">
        <v>57</v>
      </c>
      <c r="D152" s="184" t="s">
        <v>207</v>
      </c>
      <c r="E152" s="184" t="s">
        <v>209</v>
      </c>
      <c r="F152" s="173" t="s">
        <v>58</v>
      </c>
      <c r="G152" s="177" t="s">
        <v>59</v>
      </c>
      <c r="H152" s="59" t="s">
        <v>142</v>
      </c>
      <c r="I152" s="35"/>
      <c r="T152" s="36"/>
    </row>
    <row r="153" spans="1:20" s="36" customFormat="1" x14ac:dyDescent="0.35">
      <c r="A153" s="183"/>
      <c r="B153" s="174"/>
      <c r="C153" s="174"/>
      <c r="D153" s="185"/>
      <c r="E153" s="185"/>
      <c r="F153" s="174"/>
      <c r="G153" s="178"/>
      <c r="H153" s="64">
        <v>0.45</v>
      </c>
      <c r="I153" s="35"/>
    </row>
    <row r="154" spans="1:20" s="36" customFormat="1" x14ac:dyDescent="0.35">
      <c r="A154" s="179" t="s">
        <v>211</v>
      </c>
      <c r="B154" s="179"/>
      <c r="C154" s="179"/>
      <c r="D154" s="179"/>
      <c r="E154" s="179"/>
      <c r="F154" s="179"/>
      <c r="G154" s="179"/>
      <c r="H154" s="179"/>
      <c r="J154" s="35"/>
    </row>
    <row r="155" spans="1:20" s="36" customFormat="1" x14ac:dyDescent="0.35">
      <c r="A155" s="170" t="s">
        <v>199</v>
      </c>
      <c r="B155" s="170"/>
      <c r="C155" s="170"/>
      <c r="D155" s="170"/>
      <c r="E155" s="170"/>
      <c r="F155" s="170"/>
      <c r="G155" s="170"/>
      <c r="H155" s="170"/>
      <c r="J155" s="35"/>
    </row>
    <row r="156" spans="1:20" s="36" customFormat="1" x14ac:dyDescent="0.35">
      <c r="A156" s="170" t="s">
        <v>200</v>
      </c>
      <c r="B156" s="170"/>
      <c r="C156" s="170"/>
      <c r="D156" s="170"/>
      <c r="E156" s="170"/>
      <c r="F156" s="170"/>
      <c r="G156" s="170"/>
      <c r="H156" s="170"/>
      <c r="J156" s="35">
        <f>2.9*3.85+2.3*2+2.9*2+1.2*2.15+2.15*1.2+2.15*0.6</f>
        <v>28.014999999999993</v>
      </c>
      <c r="K156" s="36">
        <f>1.2*2.9+2.3+2.9</f>
        <v>8.68</v>
      </c>
    </row>
    <row r="157" spans="1:20" s="36" customFormat="1" ht="15.75" customHeight="1" x14ac:dyDescent="0.35">
      <c r="A157" s="102">
        <v>1</v>
      </c>
      <c r="B157" s="102"/>
      <c r="C157" s="66" t="s">
        <v>208</v>
      </c>
      <c r="D157" s="66">
        <f>(30.46)*10.764</f>
        <v>327.87144000000001</v>
      </c>
      <c r="E157" s="66">
        <f>(9.16)*10.764</f>
        <v>98.59823999999999</v>
      </c>
      <c r="F157" s="66">
        <f>D157+E157</f>
        <v>426.46967999999998</v>
      </c>
      <c r="G157" s="66">
        <v>0</v>
      </c>
      <c r="H157" s="66">
        <f>F157*(($H$153)+1)+(IF(G157&lt;101,G157,IF(G157&lt;201,G157/2,IF(G157&lt;=301,G157/3,G157/4))))</f>
        <v>618.38103599999999</v>
      </c>
      <c r="I157" s="35"/>
      <c r="J157" s="35">
        <f>2.9*4.1+2.3*2.75+2.9*2.75+2.15*1.2+1.2*2.15</f>
        <v>31.349999999999994</v>
      </c>
      <c r="K157" s="51">
        <f>2.9+2.3+2.9</f>
        <v>8.1</v>
      </c>
      <c r="L157" s="180"/>
      <c r="M157" s="180"/>
      <c r="N157" s="35"/>
    </row>
    <row r="158" spans="1:20" s="36" customFormat="1" ht="15.75" customHeight="1" x14ac:dyDescent="0.35">
      <c r="A158" s="102">
        <f>A157+1</f>
        <v>2</v>
      </c>
      <c r="B158" s="102"/>
      <c r="C158" s="66" t="s">
        <v>208</v>
      </c>
      <c r="D158" s="66">
        <f>(34.44)*10.764</f>
        <v>370.71215999999993</v>
      </c>
      <c r="E158" s="66">
        <f>(8.55)*10.764</f>
        <v>92.032200000000003</v>
      </c>
      <c r="F158" s="66">
        <f>D158+E158</f>
        <v>462.74435999999992</v>
      </c>
      <c r="G158" s="66">
        <v>0</v>
      </c>
      <c r="H158" s="66">
        <f t="shared" ref="H158:H160" si="12">F158*(($H$153)+1)+(IF(G158&lt;101,G158,IF(G158&lt;201,G158/2,IF(G158&lt;=301,G158/3,G158/4))))</f>
        <v>670.97932199999991</v>
      </c>
      <c r="I158" s="35"/>
      <c r="L158" s="180"/>
      <c r="M158" s="180"/>
      <c r="N158" s="35"/>
    </row>
    <row r="159" spans="1:20" s="36" customFormat="1" ht="15.75" customHeight="1" x14ac:dyDescent="0.35">
      <c r="A159" s="102">
        <f>A158+1</f>
        <v>3</v>
      </c>
      <c r="B159" s="102"/>
      <c r="C159" s="66" t="s">
        <v>208</v>
      </c>
      <c r="D159" s="66">
        <f>(38.71)*10.764</f>
        <v>416.67444</v>
      </c>
      <c r="E159" s="66">
        <f>(13.43)*10.764</f>
        <v>144.56052</v>
      </c>
      <c r="F159" s="66">
        <f>D159+E159</f>
        <v>561.23496</v>
      </c>
      <c r="G159" s="66">
        <v>0</v>
      </c>
      <c r="H159" s="66">
        <f t="shared" si="12"/>
        <v>813.79069199999992</v>
      </c>
      <c r="I159" s="35"/>
      <c r="L159" s="180"/>
      <c r="M159" s="180"/>
      <c r="N159" s="35"/>
    </row>
    <row r="160" spans="1:20" s="36" customFormat="1" ht="15.75" customHeight="1" x14ac:dyDescent="0.35">
      <c r="A160" s="102">
        <f>A159+1</f>
        <v>4</v>
      </c>
      <c r="B160" s="102"/>
      <c r="C160" s="66" t="s">
        <v>208</v>
      </c>
      <c r="D160" s="66">
        <f>(32.11)*10.764</f>
        <v>345.63203999999996</v>
      </c>
      <c r="E160" s="66">
        <f>(9.13)*10.764</f>
        <v>98.275320000000008</v>
      </c>
      <c r="F160" s="66">
        <f>D160+E160</f>
        <v>443.90735999999998</v>
      </c>
      <c r="G160" s="66">
        <v>0</v>
      </c>
      <c r="H160" s="66">
        <f t="shared" si="12"/>
        <v>643.66567199999997</v>
      </c>
      <c r="I160" s="35"/>
      <c r="L160" s="180"/>
      <c r="M160" s="180"/>
      <c r="N160" s="35"/>
      <c r="T160" s="20"/>
    </row>
    <row r="161" spans="1:20" s="36" customFormat="1" x14ac:dyDescent="0.35">
      <c r="A161" s="123" t="s">
        <v>210</v>
      </c>
      <c r="B161" s="123"/>
      <c r="C161" s="123"/>
      <c r="D161" s="123"/>
      <c r="E161" s="123"/>
      <c r="F161" s="123"/>
      <c r="G161" s="123"/>
      <c r="H161" s="123"/>
      <c r="J161" s="35"/>
    </row>
    <row r="162" spans="1:20" s="36" customFormat="1" x14ac:dyDescent="0.35">
      <c r="A162" s="170" t="s">
        <v>173</v>
      </c>
      <c r="B162" s="170"/>
      <c r="C162" s="170"/>
      <c r="D162" s="170"/>
      <c r="E162" s="170"/>
      <c r="F162" s="170"/>
      <c r="G162" s="170"/>
      <c r="H162" s="170"/>
      <c r="J162" s="35"/>
      <c r="M162" s="48">
        <v>10.763999999999999</v>
      </c>
    </row>
    <row r="163" spans="1:20" s="36" customFormat="1" x14ac:dyDescent="0.35">
      <c r="A163" s="170" t="s">
        <v>175</v>
      </c>
      <c r="B163" s="170"/>
      <c r="C163" s="170"/>
      <c r="D163" s="170"/>
      <c r="E163" s="170"/>
      <c r="F163" s="170"/>
      <c r="G163" s="170"/>
      <c r="H163" s="170"/>
      <c r="J163" s="35"/>
    </row>
    <row r="164" spans="1:20" s="36" customFormat="1" ht="15.75" customHeight="1" x14ac:dyDescent="0.35">
      <c r="A164" s="102">
        <v>1</v>
      </c>
      <c r="B164" s="102"/>
      <c r="C164" s="66" t="s">
        <v>208</v>
      </c>
      <c r="D164" s="66">
        <f>(32.11)*10.764</f>
        <v>345.63203999999996</v>
      </c>
      <c r="E164" s="66">
        <f>(8.83)*10.764</f>
        <v>95.046120000000002</v>
      </c>
      <c r="F164" s="66">
        <f>D164+E164</f>
        <v>440.67815999999993</v>
      </c>
      <c r="G164" s="66">
        <v>0</v>
      </c>
      <c r="H164" s="66">
        <f>F164*(($H$153)+1)+(IF(G164&lt;101,G164,IF(G164&lt;201,G164/2,IF(G164&lt;=301,G164/3,G164/4))))</f>
        <v>638.9833319999999</v>
      </c>
      <c r="I164" s="35"/>
      <c r="J164" s="60">
        <f>2.9*3.95+2.3*2.75+2.9*2.75+1.2*0.95+1.2*1.5+0.3*1.2</f>
        <v>29.055000000000003</v>
      </c>
      <c r="K164" s="60">
        <f>1.2*2.9+1*2.3+2.9</f>
        <v>8.68</v>
      </c>
      <c r="L164" s="180"/>
      <c r="M164" s="180"/>
      <c r="N164" s="35"/>
    </row>
    <row r="165" spans="1:20" s="36" customFormat="1" ht="15.75" customHeight="1" x14ac:dyDescent="0.35">
      <c r="A165" s="168">
        <f>A164+1</f>
        <v>2</v>
      </c>
      <c r="B165" s="169"/>
      <c r="C165" s="48" t="s">
        <v>214</v>
      </c>
      <c r="D165" s="48">
        <f>(38.71)*10.764</f>
        <v>416.67444</v>
      </c>
      <c r="E165" s="48">
        <f>(11.18)*10.764</f>
        <v>120.34151999999999</v>
      </c>
      <c r="F165" s="48">
        <f>D165+E165</f>
        <v>537.01595999999995</v>
      </c>
      <c r="G165" s="48">
        <v>0</v>
      </c>
      <c r="H165" s="48">
        <f t="shared" ref="H165:H167" si="13">F165*(($H$153)+1)+(IF(G165&lt;101,G165,IF(G165&lt;201,G165/2,IF(G165&lt;=301,G165/3,G165/4))))</f>
        <v>778.67314199999987</v>
      </c>
      <c r="I165" s="35">
        <f>2.9*2.75*10.764</f>
        <v>85.842899999999986</v>
      </c>
      <c r="J165" s="36">
        <f>3.15*3*10.764</f>
        <v>101.71979999999999</v>
      </c>
      <c r="L165" s="180"/>
      <c r="M165" s="180"/>
      <c r="N165" s="35"/>
    </row>
    <row r="166" spans="1:20" s="36" customFormat="1" ht="15.75" customHeight="1" x14ac:dyDescent="0.35">
      <c r="A166" s="168">
        <f>A165+1</f>
        <v>3</v>
      </c>
      <c r="B166" s="169"/>
      <c r="C166" s="48" t="s">
        <v>208</v>
      </c>
      <c r="D166" s="48">
        <f>(33.85)*10.764</f>
        <v>364.3614</v>
      </c>
      <c r="E166" s="48">
        <f>(8.98)*10.764</f>
        <v>96.660719999999998</v>
      </c>
      <c r="F166" s="48">
        <f>D166+E166</f>
        <v>461.02211999999997</v>
      </c>
      <c r="G166" s="48">
        <v>0</v>
      </c>
      <c r="H166" s="48">
        <f t="shared" si="13"/>
        <v>668.4820739999999</v>
      </c>
      <c r="I166" s="35"/>
      <c r="L166" s="180"/>
      <c r="M166" s="180"/>
      <c r="N166" s="35"/>
    </row>
    <row r="167" spans="1:20" s="36" customFormat="1" ht="15.75" customHeight="1" x14ac:dyDescent="0.35">
      <c r="A167" s="168">
        <f>A166+1</f>
        <v>4</v>
      </c>
      <c r="B167" s="169"/>
      <c r="C167" s="48" t="s">
        <v>208</v>
      </c>
      <c r="D167" s="48">
        <f>(29.43)*10.764</f>
        <v>316.78451999999999</v>
      </c>
      <c r="E167" s="48">
        <f>(8.4)*10.764</f>
        <v>90.417599999999993</v>
      </c>
      <c r="F167" s="48">
        <f>D167+E167</f>
        <v>407.20211999999998</v>
      </c>
      <c r="G167" s="48">
        <v>0</v>
      </c>
      <c r="H167" s="48">
        <f t="shared" si="13"/>
        <v>590.44307399999991</v>
      </c>
      <c r="I167" s="35"/>
      <c r="L167" s="180"/>
      <c r="M167" s="180"/>
      <c r="N167" s="35"/>
      <c r="T167" s="20"/>
    </row>
    <row r="168" spans="1:20" s="36" customFormat="1" x14ac:dyDescent="0.35">
      <c r="A168" s="165" t="s">
        <v>174</v>
      </c>
      <c r="B168" s="166"/>
      <c r="C168" s="166"/>
      <c r="D168" s="166"/>
      <c r="E168" s="166"/>
      <c r="F168" s="166"/>
      <c r="G168" s="166"/>
      <c r="H168" s="167"/>
      <c r="J168" s="35"/>
    </row>
    <row r="169" spans="1:20" s="36" customFormat="1" ht="15.75" customHeight="1" x14ac:dyDescent="0.35">
      <c r="A169" s="168">
        <v>1</v>
      </c>
      <c r="B169" s="169"/>
      <c r="C169" s="48" t="s">
        <v>208</v>
      </c>
      <c r="D169" s="48">
        <f>(32.11)*10.764</f>
        <v>345.63203999999996</v>
      </c>
      <c r="E169" s="48">
        <f>(8.83)*10.764</f>
        <v>95.046120000000002</v>
      </c>
      <c r="F169" s="48">
        <f>D169+E169</f>
        <v>440.67815999999993</v>
      </c>
      <c r="G169" s="48">
        <v>0</v>
      </c>
      <c r="H169" s="48">
        <f>F169*(($H$153)+1)+(IF(G169&lt;101,G169,IF(G169&lt;201,G169/2,IF(G169&lt;=301,G169/3,G169/4))))</f>
        <v>638.9833319999999</v>
      </c>
      <c r="I169" s="35"/>
      <c r="L169" s="180"/>
      <c r="M169" s="180"/>
      <c r="N169" s="35"/>
    </row>
    <row r="170" spans="1:20" s="36" customFormat="1" ht="15.75" customHeight="1" x14ac:dyDescent="0.35">
      <c r="A170" s="168">
        <f>A169+1</f>
        <v>2</v>
      </c>
      <c r="B170" s="169"/>
      <c r="C170" s="48" t="s">
        <v>214</v>
      </c>
      <c r="D170" s="48">
        <f>(38.71)*10.764</f>
        <v>416.67444</v>
      </c>
      <c r="E170" s="48">
        <f>(11.18)*10.764</f>
        <v>120.34151999999999</v>
      </c>
      <c r="F170" s="48">
        <f>D170+E170</f>
        <v>537.01595999999995</v>
      </c>
      <c r="G170" s="48">
        <v>0</v>
      </c>
      <c r="H170" s="48">
        <f t="shared" ref="H170:H172" si="14">F170*(($H$153)+1)+(IF(G170&lt;101,G170,IF(G170&lt;201,G170/2,IF(G170&lt;=301,G170/3,G170/4))))</f>
        <v>778.67314199999987</v>
      </c>
      <c r="I170" s="35"/>
      <c r="L170" s="180"/>
      <c r="M170" s="180"/>
      <c r="N170" s="35"/>
    </row>
    <row r="171" spans="1:20" s="36" customFormat="1" ht="15.75" customHeight="1" x14ac:dyDescent="0.35">
      <c r="A171" s="168">
        <f>A170+1</f>
        <v>3</v>
      </c>
      <c r="B171" s="169"/>
      <c r="C171" s="48" t="s">
        <v>208</v>
      </c>
      <c r="D171" s="48">
        <f>(33.85)*10.764</f>
        <v>364.3614</v>
      </c>
      <c r="E171" s="48">
        <f>(8.98)*10.764</f>
        <v>96.660719999999998</v>
      </c>
      <c r="F171" s="48">
        <f>D171+E171</f>
        <v>461.02211999999997</v>
      </c>
      <c r="G171" s="48">
        <v>0</v>
      </c>
      <c r="H171" s="48">
        <f t="shared" si="14"/>
        <v>668.4820739999999</v>
      </c>
      <c r="I171" s="35"/>
      <c r="L171" s="180"/>
      <c r="M171" s="180"/>
      <c r="N171" s="35"/>
    </row>
    <row r="172" spans="1:20" s="36" customFormat="1" ht="15.75" customHeight="1" x14ac:dyDescent="0.35">
      <c r="A172" s="168">
        <f>A171+1</f>
        <v>4</v>
      </c>
      <c r="B172" s="169"/>
      <c r="C172" s="48" t="s">
        <v>208</v>
      </c>
      <c r="D172" s="48">
        <f>(29.43)*10.764</f>
        <v>316.78451999999999</v>
      </c>
      <c r="E172" s="48">
        <f>(8.4)*10.764</f>
        <v>90.417599999999993</v>
      </c>
      <c r="F172" s="48">
        <f>D172+E172</f>
        <v>407.20211999999998</v>
      </c>
      <c r="G172" s="48">
        <v>0</v>
      </c>
      <c r="H172" s="48">
        <f t="shared" si="14"/>
        <v>590.44307399999991</v>
      </c>
      <c r="I172" s="35"/>
      <c r="L172" s="180"/>
      <c r="M172" s="180"/>
      <c r="N172" s="35"/>
      <c r="T172" s="20"/>
    </row>
    <row r="173" spans="1:20" s="36" customFormat="1" x14ac:dyDescent="0.35">
      <c r="A173" s="186" t="s">
        <v>213</v>
      </c>
      <c r="B173" s="187"/>
      <c r="C173" s="187"/>
      <c r="D173" s="187"/>
      <c r="E173" s="187"/>
      <c r="F173" s="187"/>
      <c r="G173" s="187"/>
      <c r="H173" s="188"/>
      <c r="J173" s="35"/>
    </row>
    <row r="174" spans="1:20" s="36" customFormat="1" x14ac:dyDescent="0.35">
      <c r="A174" s="165" t="s">
        <v>173</v>
      </c>
      <c r="B174" s="166"/>
      <c r="C174" s="166"/>
      <c r="D174" s="166"/>
      <c r="E174" s="166"/>
      <c r="F174" s="166"/>
      <c r="G174" s="166"/>
      <c r="H174" s="167"/>
      <c r="J174" s="35"/>
      <c r="M174" s="48">
        <v>10.763999999999999</v>
      </c>
    </row>
    <row r="175" spans="1:20" s="36" customFormat="1" x14ac:dyDescent="0.35">
      <c r="A175" s="165" t="s">
        <v>175</v>
      </c>
      <c r="B175" s="166"/>
      <c r="C175" s="166"/>
      <c r="D175" s="166"/>
      <c r="E175" s="166"/>
      <c r="F175" s="166"/>
      <c r="G175" s="166"/>
      <c r="H175" s="167"/>
      <c r="J175" s="35"/>
    </row>
    <row r="176" spans="1:20" s="36" customFormat="1" ht="15.75" customHeight="1" x14ac:dyDescent="0.35">
      <c r="A176" s="168">
        <v>1</v>
      </c>
      <c r="B176" s="169"/>
      <c r="C176" s="48" t="s">
        <v>208</v>
      </c>
      <c r="D176" s="48">
        <f>(32.11)*10.764</f>
        <v>345.63203999999996</v>
      </c>
      <c r="E176" s="48">
        <f>(8.83)*10.764</f>
        <v>95.046120000000002</v>
      </c>
      <c r="F176" s="48">
        <f>D176+E176</f>
        <v>440.67815999999993</v>
      </c>
      <c r="G176" s="48">
        <v>0</v>
      </c>
      <c r="H176" s="48">
        <f>F176*(($H$153)+1)+(IF(G176&lt;101,G176,IF(G176&lt;201,G176/2,IF(G176&lt;=301,G176/3,G176/4))))</f>
        <v>638.9833319999999</v>
      </c>
      <c r="I176" s="51">
        <f>2.9*1.2+2.3+2.9</f>
        <v>8.68</v>
      </c>
      <c r="L176" s="180"/>
      <c r="M176" s="180"/>
      <c r="N176" s="35"/>
    </row>
    <row r="177" spans="1:20" s="36" customFormat="1" ht="15.75" customHeight="1" x14ac:dyDescent="0.35">
      <c r="A177" s="168">
        <f>A176+1</f>
        <v>2</v>
      </c>
      <c r="B177" s="169"/>
      <c r="C177" s="48" t="s">
        <v>214</v>
      </c>
      <c r="D177" s="48">
        <f>(38.71)*10.764</f>
        <v>416.67444</v>
      </c>
      <c r="E177" s="48">
        <f>(11.18)*10.764</f>
        <v>120.34151999999999</v>
      </c>
      <c r="F177" s="48">
        <f>D177+E177</f>
        <v>537.01595999999995</v>
      </c>
      <c r="G177" s="48">
        <v>0</v>
      </c>
      <c r="H177" s="48">
        <f t="shared" ref="H177:H179" si="15">F177*(($H$153)+1)+(IF(G177&lt;101,G177,IF(G177&lt;201,G177/2,IF(G177&lt;=301,G177/3,G177/4))))</f>
        <v>778.67314199999987</v>
      </c>
      <c r="I177" s="35"/>
      <c r="J177" s="51">
        <f>2.9*3.95+2.3*2.75+2.9*2.75+3.15*2+1.2*1.5+1.2*0.95+0.2*1.2</f>
        <v>35.234999999999999</v>
      </c>
      <c r="K177" s="36">
        <f>3.15+1.2*2.9+2.3+2.9</f>
        <v>11.83</v>
      </c>
      <c r="L177" s="180"/>
      <c r="M177" s="180"/>
      <c r="N177" s="35"/>
    </row>
    <row r="178" spans="1:20" s="36" customFormat="1" ht="15.75" customHeight="1" x14ac:dyDescent="0.35">
      <c r="A178" s="168">
        <f>A177+1</f>
        <v>3</v>
      </c>
      <c r="B178" s="169"/>
      <c r="C178" s="48" t="s">
        <v>208</v>
      </c>
      <c r="D178" s="48">
        <f>(32.11)*10.764</f>
        <v>345.63203999999996</v>
      </c>
      <c r="E178" s="48">
        <f>(8.83)*10.764</f>
        <v>95.046120000000002</v>
      </c>
      <c r="F178" s="48">
        <f>D178+E178</f>
        <v>440.67815999999993</v>
      </c>
      <c r="G178" s="48">
        <v>0</v>
      </c>
      <c r="H178" s="48">
        <f t="shared" si="15"/>
        <v>638.9833319999999</v>
      </c>
      <c r="I178" s="35"/>
      <c r="L178" s="180"/>
      <c r="M178" s="180"/>
      <c r="N178" s="35"/>
    </row>
    <row r="179" spans="1:20" s="36" customFormat="1" ht="15.75" customHeight="1" x14ac:dyDescent="0.35">
      <c r="A179" s="168">
        <f>A178+1</f>
        <v>4</v>
      </c>
      <c r="B179" s="169"/>
      <c r="C179" s="48" t="s">
        <v>208</v>
      </c>
      <c r="D179" s="48">
        <f>(32.11)*10.764</f>
        <v>345.63203999999996</v>
      </c>
      <c r="E179" s="48">
        <f>(8.83)*10.764</f>
        <v>95.046120000000002</v>
      </c>
      <c r="F179" s="48">
        <f>D179+E179</f>
        <v>440.67815999999993</v>
      </c>
      <c r="G179" s="48">
        <v>0</v>
      </c>
      <c r="H179" s="48">
        <f t="shared" si="15"/>
        <v>638.9833319999999</v>
      </c>
      <c r="I179" s="35"/>
      <c r="L179" s="180"/>
      <c r="M179" s="180"/>
      <c r="N179" s="35"/>
      <c r="T179" s="20"/>
    </row>
    <row r="180" spans="1:20" s="36" customFormat="1" x14ac:dyDescent="0.35">
      <c r="A180" s="165" t="s">
        <v>174</v>
      </c>
      <c r="B180" s="166"/>
      <c r="C180" s="166"/>
      <c r="D180" s="166"/>
      <c r="E180" s="166"/>
      <c r="F180" s="166"/>
      <c r="G180" s="166"/>
      <c r="H180" s="167"/>
      <c r="J180" s="35"/>
    </row>
    <row r="181" spans="1:20" s="36" customFormat="1" ht="15.75" customHeight="1" x14ac:dyDescent="0.35">
      <c r="A181" s="168">
        <v>1</v>
      </c>
      <c r="B181" s="169"/>
      <c r="C181" s="48" t="s">
        <v>208</v>
      </c>
      <c r="D181" s="48">
        <f>(32.11)*10.764</f>
        <v>345.63203999999996</v>
      </c>
      <c r="E181" s="48">
        <f>(8.83)*10.764</f>
        <v>95.046120000000002</v>
      </c>
      <c r="F181" s="48">
        <f>D181+E181</f>
        <v>440.67815999999993</v>
      </c>
      <c r="G181" s="48">
        <v>0</v>
      </c>
      <c r="H181" s="48">
        <f>F181*(($H$153)+1)+(IF(G181&lt;101,G181,IF(G181&lt;201,G181/2,IF(G181&lt;=301,G181/3,G181/4))))</f>
        <v>638.9833319999999</v>
      </c>
      <c r="I181" s="35"/>
      <c r="L181" s="180"/>
      <c r="M181" s="180"/>
      <c r="N181" s="35"/>
    </row>
    <row r="182" spans="1:20" s="36" customFormat="1" ht="15.75" customHeight="1" x14ac:dyDescent="0.35">
      <c r="A182" s="168">
        <f>A181+1</f>
        <v>2</v>
      </c>
      <c r="B182" s="169"/>
      <c r="C182" s="48" t="s">
        <v>214</v>
      </c>
      <c r="D182" s="48">
        <f>(38.71)*10.764</f>
        <v>416.67444</v>
      </c>
      <c r="E182" s="48">
        <f>(11.18)*10.764</f>
        <v>120.34151999999999</v>
      </c>
      <c r="F182" s="48">
        <f>D182+E182</f>
        <v>537.01595999999995</v>
      </c>
      <c r="G182" s="48">
        <v>0</v>
      </c>
      <c r="H182" s="48">
        <f t="shared" ref="H182:H184" si="16">F182*(($H$153)+1)+(IF(G182&lt;101,G182,IF(G182&lt;201,G182/2,IF(G182&lt;=301,G182/3,G182/4))))</f>
        <v>778.67314199999987</v>
      </c>
      <c r="I182" s="35"/>
      <c r="L182" s="180"/>
      <c r="M182" s="180"/>
      <c r="N182" s="35"/>
    </row>
    <row r="183" spans="1:20" s="36" customFormat="1" ht="15.75" customHeight="1" x14ac:dyDescent="0.35">
      <c r="A183" s="168">
        <f>A182+1</f>
        <v>3</v>
      </c>
      <c r="B183" s="169"/>
      <c r="C183" s="48" t="s">
        <v>208</v>
      </c>
      <c r="D183" s="48">
        <f>(32.11)*10.764</f>
        <v>345.63203999999996</v>
      </c>
      <c r="E183" s="48">
        <f>(8.83)*10.764</f>
        <v>95.046120000000002</v>
      </c>
      <c r="F183" s="48">
        <f>D183+E183</f>
        <v>440.67815999999993</v>
      </c>
      <c r="G183" s="48">
        <v>0</v>
      </c>
      <c r="H183" s="48">
        <f t="shared" si="16"/>
        <v>638.9833319999999</v>
      </c>
      <c r="I183" s="35"/>
      <c r="L183" s="180"/>
      <c r="M183" s="180"/>
      <c r="N183" s="35"/>
    </row>
    <row r="184" spans="1:20" s="36" customFormat="1" ht="15.75" customHeight="1" x14ac:dyDescent="0.35">
      <c r="A184" s="168">
        <f>A183+1</f>
        <v>4</v>
      </c>
      <c r="B184" s="169"/>
      <c r="C184" s="48" t="s">
        <v>208</v>
      </c>
      <c r="D184" s="48">
        <f>(32.11)*10.764</f>
        <v>345.63203999999996</v>
      </c>
      <c r="E184" s="48">
        <f>(8.83)*10.764</f>
        <v>95.046120000000002</v>
      </c>
      <c r="F184" s="48">
        <f>D184+E184</f>
        <v>440.67815999999993</v>
      </c>
      <c r="G184" s="48">
        <v>0</v>
      </c>
      <c r="H184" s="48">
        <f t="shared" si="16"/>
        <v>638.9833319999999</v>
      </c>
      <c r="I184" s="35"/>
      <c r="L184" s="180"/>
      <c r="M184" s="180"/>
      <c r="N184" s="35"/>
      <c r="T184" s="20"/>
    </row>
    <row r="185" spans="1:20" s="36" customFormat="1" x14ac:dyDescent="0.35">
      <c r="A185" s="186" t="s">
        <v>215</v>
      </c>
      <c r="B185" s="187"/>
      <c r="C185" s="187"/>
      <c r="D185" s="187"/>
      <c r="E185" s="187"/>
      <c r="F185" s="187"/>
      <c r="G185" s="187"/>
      <c r="H185" s="188"/>
      <c r="J185" s="35"/>
    </row>
    <row r="186" spans="1:20" s="36" customFormat="1" x14ac:dyDescent="0.35">
      <c r="A186" s="165" t="s">
        <v>173</v>
      </c>
      <c r="B186" s="166"/>
      <c r="C186" s="166"/>
      <c r="D186" s="166"/>
      <c r="E186" s="166"/>
      <c r="F186" s="166"/>
      <c r="G186" s="166"/>
      <c r="H186" s="167"/>
      <c r="J186" s="35"/>
      <c r="M186" s="48">
        <v>10.763999999999999</v>
      </c>
    </row>
    <row r="187" spans="1:20" s="36" customFormat="1" x14ac:dyDescent="0.35">
      <c r="A187" s="165" t="s">
        <v>175</v>
      </c>
      <c r="B187" s="166"/>
      <c r="C187" s="166"/>
      <c r="D187" s="166"/>
      <c r="E187" s="166"/>
      <c r="F187" s="166"/>
      <c r="G187" s="166"/>
      <c r="H187" s="167"/>
      <c r="I187" s="36">
        <v>3400</v>
      </c>
      <c r="J187" s="35">
        <v>235000</v>
      </c>
    </row>
    <row r="188" spans="1:20" s="36" customFormat="1" ht="15.75" customHeight="1" x14ac:dyDescent="0.35">
      <c r="A188" s="168">
        <v>1</v>
      </c>
      <c r="B188" s="169"/>
      <c r="C188" s="48" t="s">
        <v>208</v>
      </c>
      <c r="D188" s="48">
        <f>(32.11)*10.764</f>
        <v>345.63203999999996</v>
      </c>
      <c r="E188" s="48">
        <f>(8.83)*10.764</f>
        <v>95.046120000000002</v>
      </c>
      <c r="F188" s="48">
        <f>D188+E188</f>
        <v>440.67815999999993</v>
      </c>
      <c r="G188" s="48">
        <v>0</v>
      </c>
      <c r="H188" s="48">
        <f>F188*(($H$153)+1)+(IF(G188&lt;101,G188,IF(G188&lt;201,G188/2,IF(G188&lt;=301,G188/3,G188/4))))</f>
        <v>638.9833319999999</v>
      </c>
      <c r="I188" s="35">
        <f>I$187*H188</f>
        <v>2172543.3287999998</v>
      </c>
      <c r="J188" s="35">
        <f>I188+J$187</f>
        <v>2407543.3287999998</v>
      </c>
      <c r="L188" s="180"/>
      <c r="M188" s="180"/>
      <c r="N188" s="35"/>
    </row>
    <row r="189" spans="1:20" s="36" customFormat="1" ht="15.75" customHeight="1" x14ac:dyDescent="0.35">
      <c r="A189" s="168">
        <f>A188+1</f>
        <v>2</v>
      </c>
      <c r="B189" s="169"/>
      <c r="C189" s="48" t="s">
        <v>208</v>
      </c>
      <c r="D189" s="48">
        <f>(27.99)*10.764</f>
        <v>301.28435999999999</v>
      </c>
      <c r="E189" s="48">
        <f>(8.98)*10.764</f>
        <v>96.660719999999998</v>
      </c>
      <c r="F189" s="48">
        <f>D189+E189</f>
        <v>397.94507999999996</v>
      </c>
      <c r="G189" s="48">
        <v>0</v>
      </c>
      <c r="H189" s="48">
        <f t="shared" ref="H189:H191" si="17">F189*(($H$153)+1)+(IF(G189&lt;101,G189,IF(G189&lt;201,G189/2,IF(G189&lt;=301,G189/3,G189/4))))</f>
        <v>577.02036599999997</v>
      </c>
      <c r="I189" s="35">
        <f t="shared" ref="I189:I191" si="18">I$187*H189</f>
        <v>1961869.2444</v>
      </c>
      <c r="J189" s="35">
        <f>I189+J$187</f>
        <v>2196869.2444000002</v>
      </c>
      <c r="L189" s="180"/>
      <c r="M189" s="180"/>
      <c r="N189" s="35"/>
    </row>
    <row r="190" spans="1:20" s="36" customFormat="1" ht="15.75" customHeight="1" x14ac:dyDescent="0.35">
      <c r="A190" s="168">
        <f>A189+1</f>
        <v>3</v>
      </c>
      <c r="B190" s="169"/>
      <c r="C190" s="48" t="s">
        <v>208</v>
      </c>
      <c r="D190" s="48">
        <f>(32.11)*10.764</f>
        <v>345.63203999999996</v>
      </c>
      <c r="E190" s="48">
        <f>(8.83)*10.764</f>
        <v>95.046120000000002</v>
      </c>
      <c r="F190" s="48">
        <f>D190+E190</f>
        <v>440.67815999999993</v>
      </c>
      <c r="G190" s="48">
        <v>0</v>
      </c>
      <c r="H190" s="48">
        <f t="shared" si="17"/>
        <v>638.9833319999999</v>
      </c>
      <c r="I190" s="35">
        <f t="shared" si="18"/>
        <v>2172543.3287999998</v>
      </c>
      <c r="J190" s="35">
        <f t="shared" ref="J190:J191" si="19">I190+J$187</f>
        <v>2407543.3287999998</v>
      </c>
      <c r="L190" s="180"/>
      <c r="M190" s="180"/>
      <c r="N190" s="35"/>
    </row>
    <row r="191" spans="1:20" s="36" customFormat="1" ht="15.75" customHeight="1" x14ac:dyDescent="0.35">
      <c r="A191" s="168">
        <f>A190+1</f>
        <v>4</v>
      </c>
      <c r="B191" s="169"/>
      <c r="C191" s="48" t="s">
        <v>208</v>
      </c>
      <c r="D191" s="48">
        <f>(32.11)*10.764</f>
        <v>345.63203999999996</v>
      </c>
      <c r="E191" s="48">
        <f>(8.83)*10.764</f>
        <v>95.046120000000002</v>
      </c>
      <c r="F191" s="48">
        <f>D191+E191</f>
        <v>440.67815999999993</v>
      </c>
      <c r="G191" s="48">
        <v>0</v>
      </c>
      <c r="H191" s="48">
        <f t="shared" si="17"/>
        <v>638.9833319999999</v>
      </c>
      <c r="I191" s="35">
        <f t="shared" si="18"/>
        <v>2172543.3287999998</v>
      </c>
      <c r="J191" s="35">
        <f t="shared" si="19"/>
        <v>2407543.3287999998</v>
      </c>
      <c r="L191" s="180"/>
      <c r="M191" s="180"/>
      <c r="N191" s="35"/>
      <c r="T191" s="20"/>
    </row>
    <row r="192" spans="1:20" s="36" customFormat="1" x14ac:dyDescent="0.35">
      <c r="A192" s="165" t="s">
        <v>174</v>
      </c>
      <c r="B192" s="166"/>
      <c r="C192" s="166"/>
      <c r="D192" s="166"/>
      <c r="E192" s="166"/>
      <c r="F192" s="166"/>
      <c r="G192" s="166"/>
      <c r="H192" s="167"/>
      <c r="J192" s="35"/>
    </row>
    <row r="193" spans="1:20" s="36" customFormat="1" ht="15.75" customHeight="1" x14ac:dyDescent="0.35">
      <c r="A193" s="168">
        <v>1</v>
      </c>
      <c r="B193" s="169"/>
      <c r="C193" s="48" t="s">
        <v>208</v>
      </c>
      <c r="D193" s="48">
        <f>(32.11)*10.764</f>
        <v>345.63203999999996</v>
      </c>
      <c r="E193" s="48">
        <f>(8.83)*10.764</f>
        <v>95.046120000000002</v>
      </c>
      <c r="F193" s="48">
        <f>D193+E193</f>
        <v>440.67815999999993</v>
      </c>
      <c r="G193" s="48">
        <v>0</v>
      </c>
      <c r="H193" s="48">
        <f>F193*(($H$153)+1)+(IF(G193&lt;101,G193,IF(G193&lt;201,G193/2,IF(G193&lt;=301,G193/3,G193/4))))</f>
        <v>638.9833319999999</v>
      </c>
      <c r="I193" s="35"/>
      <c r="L193" s="180"/>
      <c r="M193" s="180"/>
      <c r="N193" s="35"/>
    </row>
    <row r="194" spans="1:20" s="36" customFormat="1" ht="15.75" customHeight="1" x14ac:dyDescent="0.35">
      <c r="A194" s="168">
        <f>A193+1</f>
        <v>2</v>
      </c>
      <c r="B194" s="169"/>
      <c r="C194" s="48" t="s">
        <v>208</v>
      </c>
      <c r="D194" s="48">
        <f>(27.99)*10.764</f>
        <v>301.28435999999999</v>
      </c>
      <c r="E194" s="48">
        <f>(8.98)*10.764</f>
        <v>96.660719999999998</v>
      </c>
      <c r="F194" s="48">
        <f>D194+E194</f>
        <v>397.94507999999996</v>
      </c>
      <c r="G194" s="48">
        <v>0</v>
      </c>
      <c r="H194" s="48">
        <f t="shared" ref="H194:H196" si="20">F194*(($H$153)+1)+(IF(G194&lt;101,G194,IF(G194&lt;201,G194/2,IF(G194&lt;=301,G194/3,G194/4))))</f>
        <v>577.02036599999997</v>
      </c>
      <c r="I194" s="35"/>
      <c r="L194" s="180"/>
      <c r="M194" s="180"/>
      <c r="N194" s="35"/>
    </row>
    <row r="195" spans="1:20" s="36" customFormat="1" ht="15.75" customHeight="1" x14ac:dyDescent="0.35">
      <c r="A195" s="168">
        <f>A194+1</f>
        <v>3</v>
      </c>
      <c r="B195" s="169"/>
      <c r="C195" s="48" t="s">
        <v>208</v>
      </c>
      <c r="D195" s="48">
        <f>(32.11)*10.764</f>
        <v>345.63203999999996</v>
      </c>
      <c r="E195" s="48">
        <f>(8.83)*10.764</f>
        <v>95.046120000000002</v>
      </c>
      <c r="F195" s="48">
        <f>D195+E195</f>
        <v>440.67815999999993</v>
      </c>
      <c r="G195" s="48">
        <v>0</v>
      </c>
      <c r="H195" s="48">
        <f t="shared" si="20"/>
        <v>638.9833319999999</v>
      </c>
      <c r="I195" s="35"/>
      <c r="L195" s="180"/>
      <c r="M195" s="180"/>
      <c r="N195" s="35"/>
    </row>
    <row r="196" spans="1:20" s="36" customFormat="1" ht="15.75" customHeight="1" x14ac:dyDescent="0.35">
      <c r="A196" s="168">
        <f>A195+1</f>
        <v>4</v>
      </c>
      <c r="B196" s="169"/>
      <c r="C196" s="48" t="s">
        <v>208</v>
      </c>
      <c r="D196" s="48">
        <f>(32.11)*10.764</f>
        <v>345.63203999999996</v>
      </c>
      <c r="E196" s="48">
        <f>(8.83)*10.764</f>
        <v>95.046120000000002</v>
      </c>
      <c r="F196" s="48">
        <f>D196+E196</f>
        <v>440.67815999999993</v>
      </c>
      <c r="G196" s="48">
        <v>0</v>
      </c>
      <c r="H196" s="48">
        <f t="shared" si="20"/>
        <v>638.9833319999999</v>
      </c>
      <c r="I196" s="35"/>
      <c r="L196" s="180"/>
      <c r="M196" s="180"/>
      <c r="N196" s="35"/>
      <c r="T196" s="20"/>
    </row>
    <row r="197" spans="1:20" s="36" customFormat="1" x14ac:dyDescent="0.35">
      <c r="A197" s="123" t="s">
        <v>216</v>
      </c>
      <c r="B197" s="123"/>
      <c r="C197" s="123"/>
      <c r="D197" s="123"/>
      <c r="E197" s="123"/>
      <c r="F197" s="123"/>
      <c r="G197" s="123"/>
      <c r="H197" s="123"/>
      <c r="J197" s="35"/>
    </row>
    <row r="198" spans="1:20" s="36" customFormat="1" x14ac:dyDescent="0.35">
      <c r="A198" s="170" t="s">
        <v>173</v>
      </c>
      <c r="B198" s="170"/>
      <c r="C198" s="170"/>
      <c r="D198" s="170"/>
      <c r="E198" s="170"/>
      <c r="F198" s="170"/>
      <c r="G198" s="170"/>
      <c r="H198" s="170"/>
      <c r="J198" s="35"/>
      <c r="M198" s="48">
        <v>10.763999999999999</v>
      </c>
    </row>
    <row r="199" spans="1:20" s="36" customFormat="1" x14ac:dyDescent="0.35">
      <c r="A199" s="170" t="s">
        <v>175</v>
      </c>
      <c r="B199" s="170"/>
      <c r="C199" s="170"/>
      <c r="D199" s="170"/>
      <c r="E199" s="170"/>
      <c r="F199" s="170"/>
      <c r="G199" s="170"/>
      <c r="H199" s="170"/>
      <c r="J199" s="35"/>
    </row>
    <row r="200" spans="1:20" s="36" customFormat="1" ht="15.75" customHeight="1" x14ac:dyDescent="0.35">
      <c r="A200" s="102">
        <v>1</v>
      </c>
      <c r="B200" s="102"/>
      <c r="C200" s="66" t="s">
        <v>208</v>
      </c>
      <c r="D200" s="66">
        <f>(29.43)*10.764</f>
        <v>316.78451999999999</v>
      </c>
      <c r="E200" s="66">
        <f>(8.4)*10.764</f>
        <v>90.417599999999993</v>
      </c>
      <c r="F200" s="66">
        <f>D200+E200</f>
        <v>407.20211999999998</v>
      </c>
      <c r="G200" s="66">
        <v>0</v>
      </c>
      <c r="H200" s="66">
        <f>F200*(($H$153)+1)+(IF(G200&lt;101,G200,IF(G200&lt;201,G200/2,IF(G200&lt;=301,G200/3,G200/4))))</f>
        <v>590.44307399999991</v>
      </c>
      <c r="I200" s="35"/>
      <c r="L200" s="180"/>
      <c r="M200" s="180"/>
      <c r="N200" s="35"/>
    </row>
    <row r="201" spans="1:20" s="36" customFormat="1" ht="15.75" customHeight="1" x14ac:dyDescent="0.35">
      <c r="A201" s="102">
        <f>A200+1</f>
        <v>2</v>
      </c>
      <c r="B201" s="102"/>
      <c r="C201" s="66" t="s">
        <v>208</v>
      </c>
      <c r="D201" s="66">
        <f>(29.81)*10.764</f>
        <v>320.87483999999995</v>
      </c>
      <c r="E201" s="66">
        <f>(8.83)*10.764</f>
        <v>95.046120000000002</v>
      </c>
      <c r="F201" s="66">
        <f>D201+E201</f>
        <v>415.92095999999992</v>
      </c>
      <c r="G201" s="66">
        <v>0</v>
      </c>
      <c r="H201" s="66">
        <f t="shared" ref="H201:H203" si="21">F201*(($H$153)+1)+(IF(G201&lt;101,G201,IF(G201&lt;201,G201/2,IF(G201&lt;=301,G201/3,G201/4))))</f>
        <v>603.08539199999984</v>
      </c>
      <c r="I201" s="35"/>
      <c r="J201" s="35">
        <f>2.9*3.9+2.3*2.15+2.99*2.15+2.15*1.2+1.2*2.15</f>
        <v>27.843499999999995</v>
      </c>
      <c r="L201" s="180"/>
      <c r="M201" s="180"/>
      <c r="N201" s="35"/>
    </row>
    <row r="202" spans="1:20" s="36" customFormat="1" ht="15.75" customHeight="1" x14ac:dyDescent="0.35">
      <c r="A202" s="102">
        <f>A201+1</f>
        <v>3</v>
      </c>
      <c r="B202" s="102"/>
      <c r="C202" s="66" t="s">
        <v>208</v>
      </c>
      <c r="D202" s="66">
        <f>(27.99)*10.764</f>
        <v>301.28435999999999</v>
      </c>
      <c r="E202" s="66">
        <f>(9.06)*10.764</f>
        <v>97.521839999999997</v>
      </c>
      <c r="F202" s="66">
        <f>D202+E202</f>
        <v>398.80619999999999</v>
      </c>
      <c r="G202" s="66">
        <v>0</v>
      </c>
      <c r="H202" s="66">
        <f t="shared" si="21"/>
        <v>578.26898999999992</v>
      </c>
      <c r="I202" s="35"/>
      <c r="L202" s="180"/>
      <c r="M202" s="180"/>
      <c r="N202" s="35"/>
    </row>
    <row r="203" spans="1:20" s="36" customFormat="1" ht="15.75" customHeight="1" x14ac:dyDescent="0.35">
      <c r="A203" s="102">
        <f>A202+1</f>
        <v>4</v>
      </c>
      <c r="B203" s="102"/>
      <c r="C203" s="66" t="s">
        <v>208</v>
      </c>
      <c r="D203" s="66">
        <f>(32.11)*10.764</f>
        <v>345.63203999999996</v>
      </c>
      <c r="E203" s="66">
        <f>(8.98)*10.764</f>
        <v>96.660719999999998</v>
      </c>
      <c r="F203" s="66">
        <f>D203+E203</f>
        <v>442.29275999999993</v>
      </c>
      <c r="G203" s="66">
        <v>0</v>
      </c>
      <c r="H203" s="66">
        <f t="shared" si="21"/>
        <v>641.32450199999982</v>
      </c>
      <c r="I203" s="35"/>
      <c r="L203" s="180"/>
      <c r="M203" s="180"/>
      <c r="N203" s="35"/>
      <c r="T203" s="20"/>
    </row>
    <row r="204" spans="1:20" s="34" customFormat="1" x14ac:dyDescent="0.35">
      <c r="A204" s="124" t="s">
        <v>67</v>
      </c>
      <c r="B204" s="124"/>
      <c r="C204" s="124"/>
      <c r="D204" s="124"/>
      <c r="E204" s="124"/>
      <c r="F204" s="124"/>
      <c r="G204" s="124"/>
      <c r="H204" s="124"/>
    </row>
    <row r="205" spans="1:20" s="34" customFormat="1" ht="49.5" customHeight="1" x14ac:dyDescent="0.35">
      <c r="A205" s="65" t="s">
        <v>145</v>
      </c>
      <c r="B205" s="115" t="s">
        <v>235</v>
      </c>
      <c r="C205" s="115"/>
      <c r="D205" s="115"/>
      <c r="E205" s="115"/>
      <c r="F205" s="115"/>
      <c r="G205" s="115"/>
      <c r="H205" s="115"/>
    </row>
    <row r="206" spans="1:20" s="34" customFormat="1" x14ac:dyDescent="0.35">
      <c r="A206" s="41" t="s">
        <v>145</v>
      </c>
      <c r="B206" s="116" t="str">
        <f>(IF(H153="Saleable area Loading :","We have considered Saleable area of Flats as per our Calculation.","We considered Saleable area of Flat as per Builder area Sheet."))</f>
        <v>We considered Saleable area of Flat as per Builder area Sheet.</v>
      </c>
      <c r="C206" s="117"/>
      <c r="D206" s="117"/>
      <c r="E206" s="117"/>
      <c r="F206" s="117"/>
      <c r="G206" s="117"/>
      <c r="H206" s="118"/>
    </row>
    <row r="207" spans="1:20" s="34" customFormat="1" x14ac:dyDescent="0.35">
      <c r="A207" s="41" t="s">
        <v>145</v>
      </c>
      <c r="B207" s="119" t="s">
        <v>116</v>
      </c>
      <c r="C207" s="120"/>
      <c r="D207" s="120"/>
      <c r="E207" s="120"/>
      <c r="F207" s="120"/>
      <c r="G207" s="120"/>
      <c r="H207" s="121"/>
    </row>
    <row r="208" spans="1:20" s="34" customFormat="1" x14ac:dyDescent="0.35">
      <c r="A208" s="41" t="s">
        <v>145</v>
      </c>
      <c r="B208" s="119" t="s">
        <v>212</v>
      </c>
      <c r="C208" s="120"/>
      <c r="D208" s="120"/>
      <c r="E208" s="120"/>
      <c r="F208" s="120"/>
      <c r="G208" s="120"/>
      <c r="H208" s="121"/>
    </row>
    <row r="209" spans="1:8" s="34" customFormat="1" x14ac:dyDescent="0.35">
      <c r="A209" s="41" t="s">
        <v>145</v>
      </c>
      <c r="B209" s="119" t="s">
        <v>144</v>
      </c>
      <c r="C209" s="120"/>
      <c r="D209" s="120"/>
      <c r="E209" s="120"/>
      <c r="F209" s="120"/>
      <c r="G209" s="120"/>
      <c r="H209" s="121"/>
    </row>
    <row r="210" spans="1:8" s="34" customFormat="1" x14ac:dyDescent="0.35">
      <c r="A210" s="41" t="s">
        <v>145</v>
      </c>
      <c r="B210" s="119" t="s">
        <v>117</v>
      </c>
      <c r="C210" s="120"/>
      <c r="D210" s="120"/>
      <c r="E210" s="120"/>
      <c r="F210" s="120"/>
      <c r="G210" s="120"/>
      <c r="H210" s="121"/>
    </row>
    <row r="211" spans="1:8" s="34" customFormat="1" ht="32.25" hidden="1" customHeight="1" x14ac:dyDescent="0.35">
      <c r="A211" s="41" t="s">
        <v>145</v>
      </c>
      <c r="B211" s="119" t="s">
        <v>146</v>
      </c>
      <c r="C211" s="120"/>
      <c r="D211" s="120"/>
      <c r="E211" s="120"/>
      <c r="F211" s="120"/>
      <c r="G211" s="120"/>
      <c r="H211" s="121"/>
    </row>
    <row r="212" spans="1:8" s="34" customFormat="1" x14ac:dyDescent="0.35">
      <c r="A212" s="41" t="s">
        <v>145</v>
      </c>
      <c r="B212" s="119" t="s">
        <v>118</v>
      </c>
      <c r="C212" s="120"/>
      <c r="D212" s="120"/>
      <c r="E212" s="120"/>
      <c r="F212" s="120"/>
      <c r="G212" s="120"/>
      <c r="H212" s="121"/>
    </row>
    <row r="213" spans="1:8" s="34" customFormat="1" hidden="1" x14ac:dyDescent="0.35">
      <c r="A213" s="41" t="s">
        <v>145</v>
      </c>
      <c r="B213" s="116" t="s">
        <v>172</v>
      </c>
      <c r="C213" s="117"/>
      <c r="D213" s="117"/>
      <c r="E213" s="117"/>
      <c r="F213" s="117"/>
      <c r="G213" s="117"/>
      <c r="H213" s="118"/>
    </row>
    <row r="214" spans="1:8" s="34" customFormat="1" x14ac:dyDescent="0.35">
      <c r="A214" s="58" t="s">
        <v>145</v>
      </c>
      <c r="B214" s="119" t="s">
        <v>229</v>
      </c>
      <c r="C214" s="120"/>
      <c r="D214" s="120"/>
      <c r="E214" s="120"/>
      <c r="F214" s="120"/>
      <c r="G214" s="120"/>
      <c r="H214" s="121"/>
    </row>
    <row r="215" spans="1:8" x14ac:dyDescent="0.35">
      <c r="A215" s="92" t="s">
        <v>60</v>
      </c>
      <c r="B215" s="92"/>
      <c r="C215" s="92"/>
      <c r="D215" s="92"/>
      <c r="E215" s="92"/>
      <c r="F215" s="92"/>
      <c r="G215" s="92"/>
      <c r="H215" s="92"/>
    </row>
    <row r="216" spans="1:8" x14ac:dyDescent="0.35">
      <c r="A216" s="77" t="s">
        <v>61</v>
      </c>
      <c r="B216" s="77"/>
      <c r="C216" s="77"/>
      <c r="D216" s="77"/>
      <c r="E216" s="77"/>
      <c r="F216" s="77"/>
      <c r="G216" s="77"/>
      <c r="H216" s="77"/>
    </row>
    <row r="217" spans="1:8" ht="15.75" customHeight="1" x14ac:dyDescent="0.35">
      <c r="A217" s="78" t="s">
        <v>62</v>
      </c>
      <c r="B217" s="78"/>
      <c r="C217" s="78"/>
      <c r="D217" s="78"/>
      <c r="E217" s="78"/>
      <c r="F217" s="78"/>
      <c r="G217" s="78"/>
      <c r="H217" s="78"/>
    </row>
    <row r="218" spans="1:8" x14ac:dyDescent="0.35">
      <c r="A218" s="77" t="s">
        <v>63</v>
      </c>
      <c r="B218" s="77"/>
      <c r="C218" s="77"/>
      <c r="D218" s="77"/>
      <c r="E218" s="77"/>
      <c r="F218" s="77"/>
      <c r="G218" s="77"/>
      <c r="H218" s="77"/>
    </row>
    <row r="219" spans="1:8" x14ac:dyDescent="0.35">
      <c r="A219" s="77" t="s">
        <v>64</v>
      </c>
      <c r="B219" s="77"/>
      <c r="C219" s="77"/>
      <c r="D219" s="77"/>
      <c r="E219" s="77"/>
      <c r="F219" s="77"/>
      <c r="G219" s="77"/>
      <c r="H219" s="77"/>
    </row>
    <row r="220" spans="1:8" x14ac:dyDescent="0.35">
      <c r="A220" s="77" t="s">
        <v>119</v>
      </c>
      <c r="B220" s="77"/>
      <c r="C220" s="77"/>
      <c r="D220" s="77"/>
      <c r="E220" s="77"/>
      <c r="F220" s="77"/>
      <c r="G220" s="77"/>
      <c r="H220" s="77"/>
    </row>
    <row r="221" spans="1:8" ht="35.25" customHeight="1" x14ac:dyDescent="0.35">
      <c r="A221" s="93" t="s">
        <v>120</v>
      </c>
      <c r="B221" s="93"/>
      <c r="C221" s="93"/>
      <c r="D221" s="93"/>
      <c r="E221" s="93"/>
      <c r="F221" s="93"/>
      <c r="G221" s="93"/>
      <c r="H221" s="93"/>
    </row>
    <row r="222" spans="1:8" x14ac:dyDescent="0.35">
      <c r="A222" s="112" t="s">
        <v>75</v>
      </c>
      <c r="B222" s="112"/>
      <c r="C222" s="112" t="s">
        <v>233</v>
      </c>
      <c r="D222" s="112"/>
      <c r="E222" s="112" t="s">
        <v>100</v>
      </c>
      <c r="F222" s="112"/>
      <c r="G222" s="112" t="s">
        <v>234</v>
      </c>
      <c r="H222" s="112"/>
    </row>
    <row r="223" spans="1:8" x14ac:dyDescent="0.35">
      <c r="A223" s="111" t="s">
        <v>77</v>
      </c>
      <c r="B223" s="111"/>
      <c r="C223" s="111"/>
      <c r="D223" s="111"/>
      <c r="E223" s="111"/>
      <c r="F223" s="111"/>
      <c r="G223" s="111"/>
      <c r="H223" s="111"/>
    </row>
    <row r="224" spans="1:8" x14ac:dyDescent="0.35">
      <c r="A224" s="111"/>
      <c r="B224" s="111"/>
      <c r="C224" s="111"/>
      <c r="D224" s="111"/>
      <c r="E224" s="111"/>
      <c r="F224" s="111"/>
      <c r="G224" s="111"/>
      <c r="H224" s="111"/>
    </row>
    <row r="225" spans="1:8" x14ac:dyDescent="0.35">
      <c r="A225" s="111"/>
      <c r="B225" s="111"/>
      <c r="C225" s="111"/>
      <c r="D225" s="111"/>
      <c r="E225" s="111"/>
      <c r="F225" s="111"/>
      <c r="G225" s="111"/>
      <c r="H225" s="111"/>
    </row>
    <row r="226" spans="1:8" x14ac:dyDescent="0.35">
      <c r="A226" s="111"/>
      <c r="B226" s="111"/>
      <c r="C226" s="111"/>
      <c r="D226" s="111"/>
      <c r="E226" s="111"/>
      <c r="F226" s="111"/>
      <c r="G226" s="111"/>
      <c r="H226" s="111"/>
    </row>
    <row r="227" spans="1:8" x14ac:dyDescent="0.35">
      <c r="A227" s="37" t="s">
        <v>65</v>
      </c>
      <c r="B227" s="38"/>
      <c r="C227" s="38"/>
      <c r="D227" s="37" t="str">
        <f>E8</f>
        <v>Green Touch</v>
      </c>
      <c r="F227" s="38"/>
      <c r="G227" s="38"/>
      <c r="H227" s="38"/>
    </row>
    <row r="228" spans="1:8" x14ac:dyDescent="0.35">
      <c r="A228" s="38"/>
      <c r="B228" s="38"/>
      <c r="C228" s="38"/>
      <c r="D228" s="38"/>
      <c r="E228" s="38"/>
      <c r="F228" s="38"/>
      <c r="G228" s="38"/>
      <c r="H228" s="38"/>
    </row>
    <row r="229" spans="1:8" x14ac:dyDescent="0.35">
      <c r="A229" s="38"/>
      <c r="B229" s="38"/>
      <c r="C229" s="38"/>
      <c r="D229" s="38"/>
      <c r="E229" s="38"/>
      <c r="F229" s="38"/>
      <c r="G229" s="38"/>
      <c r="H229" s="38"/>
    </row>
    <row r="230" spans="1:8" ht="15" customHeight="1" x14ac:dyDescent="0.35"/>
    <row r="270" spans="1:1" x14ac:dyDescent="0.35">
      <c r="A270" s="40" t="s">
        <v>222</v>
      </c>
    </row>
    <row r="308" spans="1:1" x14ac:dyDescent="0.35">
      <c r="A308" s="40" t="s">
        <v>66</v>
      </c>
    </row>
  </sheetData>
  <mergeCells count="397">
    <mergeCell ref="A10:D10"/>
    <mergeCell ref="E10:H10"/>
    <mergeCell ref="B214:H214"/>
    <mergeCell ref="G141:H141"/>
    <mergeCell ref="A136:B136"/>
    <mergeCell ref="C136:D136"/>
    <mergeCell ref="E136:F136"/>
    <mergeCell ref="G136:H136"/>
    <mergeCell ref="A137:B137"/>
    <mergeCell ref="C137:D137"/>
    <mergeCell ref="E137:F137"/>
    <mergeCell ref="G137:H137"/>
    <mergeCell ref="A138:B138"/>
    <mergeCell ref="C138:D138"/>
    <mergeCell ref="E138:F138"/>
    <mergeCell ref="G138:H138"/>
    <mergeCell ref="A139:B139"/>
    <mergeCell ref="C139:D139"/>
    <mergeCell ref="E139:F139"/>
    <mergeCell ref="G139:H139"/>
    <mergeCell ref="A140:B140"/>
    <mergeCell ref="A198:H198"/>
    <mergeCell ref="A199:H199"/>
    <mergeCell ref="A200:B200"/>
    <mergeCell ref="L200:M200"/>
    <mergeCell ref="A201:B201"/>
    <mergeCell ref="L201:M201"/>
    <mergeCell ref="A202:B202"/>
    <mergeCell ref="L202:M202"/>
    <mergeCell ref="L203:M203"/>
    <mergeCell ref="A192:H192"/>
    <mergeCell ref="A193:B193"/>
    <mergeCell ref="L193:M193"/>
    <mergeCell ref="A194:B194"/>
    <mergeCell ref="L194:M194"/>
    <mergeCell ref="A195:B195"/>
    <mergeCell ref="L195:M195"/>
    <mergeCell ref="A196:B196"/>
    <mergeCell ref="L196:M196"/>
    <mergeCell ref="A187:H187"/>
    <mergeCell ref="A188:B188"/>
    <mergeCell ref="L188:M188"/>
    <mergeCell ref="A189:B189"/>
    <mergeCell ref="L189:M189"/>
    <mergeCell ref="A190:B190"/>
    <mergeCell ref="L190:M190"/>
    <mergeCell ref="A191:B191"/>
    <mergeCell ref="L191:M191"/>
    <mergeCell ref="L181:M181"/>
    <mergeCell ref="A182:B182"/>
    <mergeCell ref="L182:M182"/>
    <mergeCell ref="A183:B183"/>
    <mergeCell ref="L183:M183"/>
    <mergeCell ref="A184:B184"/>
    <mergeCell ref="L184:M184"/>
    <mergeCell ref="A185:H185"/>
    <mergeCell ref="A186:H186"/>
    <mergeCell ref="L169:M169"/>
    <mergeCell ref="L170:M170"/>
    <mergeCell ref="L171:M171"/>
    <mergeCell ref="L172:M172"/>
    <mergeCell ref="L176:M176"/>
    <mergeCell ref="L177:M177"/>
    <mergeCell ref="L178:M178"/>
    <mergeCell ref="A168:H168"/>
    <mergeCell ref="A169:B169"/>
    <mergeCell ref="A170:B170"/>
    <mergeCell ref="A171:B171"/>
    <mergeCell ref="A172:B172"/>
    <mergeCell ref="A173:H173"/>
    <mergeCell ref="A174:H174"/>
    <mergeCell ref="A175:H175"/>
    <mergeCell ref="A176:B176"/>
    <mergeCell ref="L158:M158"/>
    <mergeCell ref="A159:B159"/>
    <mergeCell ref="L159:M159"/>
    <mergeCell ref="A160:B160"/>
    <mergeCell ref="L160:M160"/>
    <mergeCell ref="L164:M164"/>
    <mergeCell ref="L165:M165"/>
    <mergeCell ref="L166:M166"/>
    <mergeCell ref="L167:M167"/>
    <mergeCell ref="A161:H161"/>
    <mergeCell ref="A162:H162"/>
    <mergeCell ref="A163:H163"/>
    <mergeCell ref="A164:B164"/>
    <mergeCell ref="A165:B165"/>
    <mergeCell ref="A166:B166"/>
    <mergeCell ref="A167:B167"/>
    <mergeCell ref="A179:B179"/>
    <mergeCell ref="L179:M179"/>
    <mergeCell ref="A180:H180"/>
    <mergeCell ref="A181:B181"/>
    <mergeCell ref="L147:M147"/>
    <mergeCell ref="A148:B148"/>
    <mergeCell ref="L148:M148"/>
    <mergeCell ref="A149:B149"/>
    <mergeCell ref="L149:M149"/>
    <mergeCell ref="A150:B150"/>
    <mergeCell ref="L150:M150"/>
    <mergeCell ref="A151:H151"/>
    <mergeCell ref="A152:A153"/>
    <mergeCell ref="B152:B153"/>
    <mergeCell ref="C152:C153"/>
    <mergeCell ref="D152:D153"/>
    <mergeCell ref="E152:E153"/>
    <mergeCell ref="F152:F153"/>
    <mergeCell ref="G152:G153"/>
    <mergeCell ref="A157:B157"/>
    <mergeCell ref="A158:B158"/>
    <mergeCell ref="A177:B177"/>
    <mergeCell ref="A178:B178"/>
    <mergeCell ref="L157:M157"/>
    <mergeCell ref="A146:H146"/>
    <mergeCell ref="A147:B147"/>
    <mergeCell ref="A156:H156"/>
    <mergeCell ref="C140:D140"/>
    <mergeCell ref="E140:F140"/>
    <mergeCell ref="G140:H140"/>
    <mergeCell ref="A141:B141"/>
    <mergeCell ref="C141:D141"/>
    <mergeCell ref="E141:F141"/>
    <mergeCell ref="A142:H142"/>
    <mergeCell ref="A143:H143"/>
    <mergeCell ref="A144:A145"/>
    <mergeCell ref="B144:B145"/>
    <mergeCell ref="C144:C145"/>
    <mergeCell ref="D144:D145"/>
    <mergeCell ref="E144:E145"/>
    <mergeCell ref="F144:F145"/>
    <mergeCell ref="G144:G145"/>
    <mergeCell ref="A154:H154"/>
    <mergeCell ref="A155:H155"/>
    <mergeCell ref="A108:B108"/>
    <mergeCell ref="C108:H108"/>
    <mergeCell ref="A110:B110"/>
    <mergeCell ref="C110:H110"/>
    <mergeCell ref="A111:B111"/>
    <mergeCell ref="E111:F111"/>
    <mergeCell ref="G111:H111"/>
    <mergeCell ref="A112:B112"/>
    <mergeCell ref="E112:F121"/>
    <mergeCell ref="G112:H121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A121:B121"/>
    <mergeCell ref="A94:B94"/>
    <mergeCell ref="C94:H94"/>
    <mergeCell ref="A96:B96"/>
    <mergeCell ref="C96:H96"/>
    <mergeCell ref="A97:B97"/>
    <mergeCell ref="E97:F97"/>
    <mergeCell ref="G97:H97"/>
    <mergeCell ref="A98:B98"/>
    <mergeCell ref="E98:F107"/>
    <mergeCell ref="G98:H107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82:B82"/>
    <mergeCell ref="C82:H82"/>
    <mergeCell ref="A83:B83"/>
    <mergeCell ref="E83:F83"/>
    <mergeCell ref="G83:H83"/>
    <mergeCell ref="A84:B84"/>
    <mergeCell ref="E84:F93"/>
    <mergeCell ref="G84:H93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16:B16"/>
    <mergeCell ref="C16:H16"/>
    <mergeCell ref="A38:B38"/>
    <mergeCell ref="C38:H38"/>
    <mergeCell ref="B211:H211"/>
    <mergeCell ref="A47:B47"/>
    <mergeCell ref="C47:H47"/>
    <mergeCell ref="B209:H209"/>
    <mergeCell ref="F124:H124"/>
    <mergeCell ref="A124:E124"/>
    <mergeCell ref="A126:E126"/>
    <mergeCell ref="A40:D40"/>
    <mergeCell ref="E40:H40"/>
    <mergeCell ref="F32:H32"/>
    <mergeCell ref="F33:H33"/>
    <mergeCell ref="A39:H39"/>
    <mergeCell ref="A59:C59"/>
    <mergeCell ref="A60:C60"/>
    <mergeCell ref="D59:H59"/>
    <mergeCell ref="E70:F79"/>
    <mergeCell ref="G70:H79"/>
    <mergeCell ref="A78:B78"/>
    <mergeCell ref="A79:B79"/>
    <mergeCell ref="D60:H60"/>
    <mergeCell ref="A46:H46"/>
    <mergeCell ref="D57:H57"/>
    <mergeCell ref="A57:C57"/>
    <mergeCell ref="G49:H49"/>
    <mergeCell ref="A50:B51"/>
    <mergeCell ref="A76:B76"/>
    <mergeCell ref="A69:B69"/>
    <mergeCell ref="A72:B72"/>
    <mergeCell ref="A68:B68"/>
    <mergeCell ref="A66:B66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D65:H65"/>
    <mergeCell ref="A63:C63"/>
    <mergeCell ref="D63:H63"/>
    <mergeCell ref="A64:C64"/>
    <mergeCell ref="D64:H64"/>
    <mergeCell ref="A36:H36"/>
    <mergeCell ref="A35:B35"/>
    <mergeCell ref="C35:E35"/>
    <mergeCell ref="A42:D42"/>
    <mergeCell ref="E42:H42"/>
    <mergeCell ref="E43:H43"/>
    <mergeCell ref="E44:H44"/>
    <mergeCell ref="E45:H45"/>
    <mergeCell ref="A43:D43"/>
    <mergeCell ref="F35:H35"/>
    <mergeCell ref="A37:B37"/>
    <mergeCell ref="A44:D44"/>
    <mergeCell ref="A45:D45"/>
    <mergeCell ref="E41:H41"/>
    <mergeCell ref="A41:D41"/>
    <mergeCell ref="C37:H37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G20:H20"/>
    <mergeCell ref="E25:H25"/>
    <mergeCell ref="A27:D27"/>
    <mergeCell ref="E27:H27"/>
    <mergeCell ref="A24:D24"/>
    <mergeCell ref="E24:H24"/>
    <mergeCell ref="A28:D28"/>
    <mergeCell ref="E28:H28"/>
    <mergeCell ref="A25:D25"/>
    <mergeCell ref="A13:D13"/>
    <mergeCell ref="A21:D22"/>
    <mergeCell ref="E21:H22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B210:H210"/>
    <mergeCell ref="A197:H197"/>
    <mergeCell ref="A204:H20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F126:H126"/>
    <mergeCell ref="A80:B80"/>
    <mergeCell ref="C80:H80"/>
    <mergeCell ref="A223:H226"/>
    <mergeCell ref="A222:B222"/>
    <mergeCell ref="E222:F222"/>
    <mergeCell ref="C222:D222"/>
    <mergeCell ref="G222:H222"/>
    <mergeCell ref="A132:E132"/>
    <mergeCell ref="F132:H132"/>
    <mergeCell ref="A133:E133"/>
    <mergeCell ref="F133:H133"/>
    <mergeCell ref="A218:H218"/>
    <mergeCell ref="A134:H134"/>
    <mergeCell ref="A221:H221"/>
    <mergeCell ref="A219:H219"/>
    <mergeCell ref="B205:H205"/>
    <mergeCell ref="B206:H206"/>
    <mergeCell ref="B207:H207"/>
    <mergeCell ref="B208:H208"/>
    <mergeCell ref="A216:H216"/>
    <mergeCell ref="E135:F135"/>
    <mergeCell ref="B212:H212"/>
    <mergeCell ref="B213:H213"/>
    <mergeCell ref="G52:H52"/>
    <mergeCell ref="A52:B53"/>
    <mergeCell ref="C53:H53"/>
    <mergeCell ref="C51:H51"/>
    <mergeCell ref="A215:H215"/>
    <mergeCell ref="A203:B203"/>
    <mergeCell ref="C66:H66"/>
    <mergeCell ref="A74:B74"/>
    <mergeCell ref="A77:B77"/>
    <mergeCell ref="A122:E122"/>
    <mergeCell ref="F130:H130"/>
    <mergeCell ref="A131:E131"/>
    <mergeCell ref="F125:H125"/>
    <mergeCell ref="A130:E130"/>
    <mergeCell ref="A127:E127"/>
    <mergeCell ref="A70:B70"/>
    <mergeCell ref="G69:H69"/>
    <mergeCell ref="F129:H129"/>
    <mergeCell ref="A123:E123"/>
    <mergeCell ref="F122:H122"/>
    <mergeCell ref="F127:H127"/>
    <mergeCell ref="A128:E128"/>
    <mergeCell ref="F128:H128"/>
    <mergeCell ref="A129:E129"/>
    <mergeCell ref="A48:B48"/>
    <mergeCell ref="C48:E48"/>
    <mergeCell ref="G48:H48"/>
    <mergeCell ref="G50:H50"/>
    <mergeCell ref="D55:H55"/>
    <mergeCell ref="A220:H220"/>
    <mergeCell ref="A217:H217"/>
    <mergeCell ref="A135:B135"/>
    <mergeCell ref="A75:B75"/>
    <mergeCell ref="F123:H123"/>
    <mergeCell ref="F131:H131"/>
    <mergeCell ref="C135:D135"/>
    <mergeCell ref="G135:H135"/>
    <mergeCell ref="A125:E125"/>
    <mergeCell ref="C50:E50"/>
    <mergeCell ref="A58:C58"/>
    <mergeCell ref="D58:H58"/>
    <mergeCell ref="C49:E49"/>
    <mergeCell ref="C52:E52"/>
    <mergeCell ref="A49:B49"/>
    <mergeCell ref="A54:H54"/>
    <mergeCell ref="A55:C55"/>
    <mergeCell ref="A56:C56"/>
    <mergeCell ref="D56:H56"/>
  </mergeCells>
  <dataValidations count="7">
    <dataValidation type="list" allowBlank="1" showInputMessage="1" showErrorMessage="1" sqref="D144:D145 D152:D153">
      <formula1>"Carpet area,RERA Carpet area"</formula1>
    </dataValidation>
    <dataValidation type="list" allowBlank="1" showInputMessage="1" showErrorMessage="1" sqref="H144 H152">
      <formula1>"Saleable area Loading :,Builder Saleable Area"</formula1>
    </dataValidation>
    <dataValidation type="list" allowBlank="1" showInputMessage="1" showErrorMessage="1" sqref="H145 H153">
      <formula1>".45,.50,.55,.60"</formula1>
    </dataValidation>
    <dataValidation type="list" allowBlank="1" showInputMessage="1" showErrorMessage="1" sqref="E152:E153">
      <formula1>"Fungible area,Balcony + Encl Balcony Area,Chajja Area,Cornice Area,AP Area,WS Area"</formula1>
    </dataValidation>
    <dataValidation type="list" allowBlank="1" showInputMessage="1" showErrorMessage="1" sqref="B152:B153">
      <formula1>"Flat No. (Sale Plan),Sale / Rehab,Sale / Mhada"</formula1>
    </dataValidation>
    <dataValidation type="list" allowBlank="1" showInputMessage="1" showErrorMessage="1" sqref="B144:B145">
      <formula1>"Shop No. (Sale Plan),Sale / Rehab,Sale / Mhada"</formula1>
    </dataValidation>
    <dataValidation type="list" allowBlank="1" showInputMessage="1" showErrorMessage="1" sqref="E144:E145">
      <formula1>"Attached Loft area,Attached Otla area,Attached Mezzanine area"</formula1>
    </dataValidation>
  </dataValidation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65" max="16383" man="1"/>
    <brk id="160" max="7" man="1"/>
    <brk id="203" max="16383" man="1"/>
    <brk id="226" max="16383" man="1"/>
    <brk id="269" max="16383" man="1"/>
    <brk id="307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0" t="s">
        <v>101</v>
      </c>
      <c r="C3" s="190"/>
      <c r="D3" s="190"/>
      <c r="E3" s="190"/>
      <c r="F3" s="190"/>
      <c r="G3" s="190"/>
      <c r="H3" s="190"/>
    </row>
    <row r="4" spans="1:9" x14ac:dyDescent="0.35">
      <c r="A4" s="2"/>
      <c r="B4" s="3" t="s">
        <v>102</v>
      </c>
      <c r="C4" s="3" t="s">
        <v>103</v>
      </c>
      <c r="D4" s="3" t="s">
        <v>68</v>
      </c>
      <c r="E4" s="3" t="s">
        <v>104</v>
      </c>
      <c r="F4" s="3" t="s">
        <v>110</v>
      </c>
      <c r="G4" s="3" t="s">
        <v>111</v>
      </c>
      <c r="H4" s="3" t="s">
        <v>105</v>
      </c>
    </row>
    <row r="5" spans="1:9" ht="15" customHeight="1" x14ac:dyDescent="0.35">
      <c r="A5" s="2"/>
      <c r="B5" s="5" t="s">
        <v>106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106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106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106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106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107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107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108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109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2025-09-09T09:34:49Z</cp:lastPrinted>
  <dcterms:created xsi:type="dcterms:W3CDTF">2019-07-16T09:29:46Z</dcterms:created>
  <dcterms:modified xsi:type="dcterms:W3CDTF">2025-09-09T09:35:24Z</dcterms:modified>
</cp:coreProperties>
</file>