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0-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Report!$A$1:$H$300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1" l="1"/>
  <c r="H69" i="1"/>
  <c r="J68" i="1" l="1"/>
  <c r="J70" i="1" s="1"/>
  <c r="J71" i="1"/>
  <c r="J72" i="1"/>
  <c r="J73" i="1"/>
  <c r="C72" i="1" s="1"/>
  <c r="D72" i="1" s="1"/>
  <c r="D74" i="1"/>
  <c r="J74" i="1"/>
  <c r="J75" i="1" s="1"/>
  <c r="J80" i="1" s="1"/>
  <c r="J81" i="1" s="1"/>
  <c r="C73" i="1" s="1"/>
  <c r="D75" i="1"/>
  <c r="D76" i="1"/>
  <c r="J76" i="1"/>
  <c r="D77" i="1"/>
  <c r="J77" i="1"/>
  <c r="D78" i="1"/>
  <c r="J78" i="1"/>
  <c r="D79" i="1"/>
  <c r="J79" i="1"/>
  <c r="D80" i="1"/>
  <c r="D81" i="1"/>
  <c r="D73" i="1" l="1"/>
  <c r="I69" i="1" s="1"/>
  <c r="I70" i="1" s="1"/>
  <c r="E72" i="1"/>
  <c r="G72" i="1"/>
  <c r="J69" i="1"/>
  <c r="C16" i="1"/>
  <c r="I68" i="1" l="1"/>
  <c r="C70" i="1" s="1"/>
  <c r="I136" i="1"/>
  <c r="D56" i="1" l="1"/>
  <c r="G43" i="1"/>
  <c r="G44" i="1" l="1"/>
  <c r="G45" i="1" s="1"/>
  <c r="E152" i="1" l="1"/>
  <c r="E151" i="1"/>
  <c r="E147" i="1"/>
  <c r="E146" i="1"/>
  <c r="E142" i="1"/>
  <c r="E141" i="1"/>
  <c r="E137" i="1"/>
  <c r="E136" i="1"/>
  <c r="D152" i="1"/>
  <c r="D151" i="1"/>
  <c r="C126" i="1" s="1"/>
  <c r="D147" i="1"/>
  <c r="D146" i="1"/>
  <c r="C125" i="1" s="1"/>
  <c r="D142" i="1"/>
  <c r="D141" i="1"/>
  <c r="D137" i="1"/>
  <c r="D136" i="1"/>
  <c r="C123" i="1" s="1"/>
  <c r="J151" i="1"/>
  <c r="I151" i="1"/>
  <c r="M136" i="1"/>
  <c r="C124" i="1" l="1"/>
  <c r="C127" i="1" s="1"/>
  <c r="C128" i="1" s="1"/>
  <c r="I147" i="1"/>
  <c r="I146" i="1"/>
  <c r="F152" i="1"/>
  <c r="H152" i="1" s="1"/>
  <c r="F151" i="1"/>
  <c r="F147" i="1"/>
  <c r="H147" i="1" s="1"/>
  <c r="J146" i="1"/>
  <c r="F146" i="1"/>
  <c r="E125" i="1" s="1"/>
  <c r="J141" i="1"/>
  <c r="I141" i="1"/>
  <c r="J136" i="1"/>
  <c r="E43" i="1"/>
  <c r="E8" i="1"/>
  <c r="A151" i="1"/>
  <c r="A146" i="1"/>
  <c r="H151" i="1" l="1"/>
  <c r="G126" i="1" s="1"/>
  <c r="E126" i="1"/>
  <c r="H146" i="1"/>
  <c r="G125" i="1" s="1"/>
  <c r="B155" i="1"/>
  <c r="A152" i="1"/>
  <c r="A147" i="1"/>
  <c r="S33" i="1" l="1"/>
  <c r="F11" i="5" l="1"/>
  <c r="G11" i="5" s="1"/>
  <c r="F10" i="5"/>
  <c r="G10" i="5" s="1"/>
  <c r="F9" i="5"/>
  <c r="G9" i="5" s="1"/>
  <c r="F8" i="5"/>
  <c r="G8" i="5" s="1"/>
  <c r="F7" i="5"/>
  <c r="G7" i="5" s="1"/>
  <c r="F6" i="5"/>
  <c r="G6" i="5" s="1"/>
  <c r="F5" i="5"/>
  <c r="G5" i="5" s="1"/>
  <c r="G12" i="5" s="1"/>
  <c r="D174" i="1"/>
  <c r="F142" i="1"/>
  <c r="H142" i="1" s="1"/>
  <c r="F141" i="1"/>
  <c r="F137" i="1"/>
  <c r="H137" i="1" s="1"/>
  <c r="F136" i="1"/>
  <c r="F120" i="1"/>
  <c r="C96" i="1"/>
  <c r="D62" i="1"/>
  <c r="G51" i="1"/>
  <c r="G52" i="1" s="1"/>
  <c r="C51" i="1"/>
  <c r="E44" i="1"/>
  <c r="E45" i="1" s="1"/>
  <c r="E31" i="1"/>
  <c r="E28" i="1"/>
  <c r="E26" i="1"/>
  <c r="I15" i="1"/>
  <c r="Z13" i="1"/>
  <c r="E3" i="1"/>
  <c r="H97" i="1"/>
  <c r="A136" i="1"/>
  <c r="H83" i="1"/>
  <c r="A141" i="1"/>
  <c r="E123" i="1" l="1"/>
  <c r="H141" i="1"/>
  <c r="G124" i="1" s="1"/>
  <c r="E124" i="1"/>
  <c r="E127" i="1" s="1"/>
  <c r="E128" i="1" s="1"/>
  <c r="H136" i="1"/>
  <c r="J82" i="1"/>
  <c r="J84" i="1" s="1"/>
  <c r="J85" i="1"/>
  <c r="J86" i="1"/>
  <c r="J87" i="1"/>
  <c r="C86" i="1" s="1"/>
  <c r="D90" i="1"/>
  <c r="D92" i="1"/>
  <c r="D91" i="1"/>
  <c r="D95" i="1"/>
  <c r="D89" i="1"/>
  <c r="D94" i="1"/>
  <c r="D88" i="1"/>
  <c r="D93" i="1"/>
  <c r="J96" i="1"/>
  <c r="J98" i="1" s="1"/>
  <c r="D105" i="1"/>
  <c r="D107" i="1"/>
  <c r="J101" i="1"/>
  <c r="C100" i="1" s="1"/>
  <c r="D100" i="1" s="1"/>
  <c r="D106" i="1"/>
  <c r="J100" i="1"/>
  <c r="D104" i="1"/>
  <c r="J99" i="1"/>
  <c r="D103" i="1"/>
  <c r="D109" i="1"/>
  <c r="D108" i="1"/>
  <c r="B97" i="1"/>
  <c r="B83" i="1"/>
  <c r="J88" i="1" s="1"/>
  <c r="A142" i="1"/>
  <c r="A137" i="1"/>
  <c r="G123" i="1" l="1"/>
  <c r="G127" i="1" s="1"/>
  <c r="G128" i="1" s="1"/>
  <c r="D86" i="1"/>
  <c r="D102" i="1"/>
  <c r="J107" i="1"/>
  <c r="J104" i="1"/>
  <c r="J106" i="1"/>
  <c r="J105" i="1"/>
  <c r="J102" i="1"/>
  <c r="J103" i="1" s="1"/>
  <c r="J108" i="1" s="1"/>
  <c r="J109" i="1" s="1"/>
  <c r="C101" i="1" s="1"/>
  <c r="J92" i="1"/>
  <c r="J90" i="1"/>
  <c r="J91" i="1"/>
  <c r="J89" i="1"/>
  <c r="J94" i="1" s="1"/>
  <c r="J95" i="1" s="1"/>
  <c r="C87" i="1" s="1"/>
  <c r="J93" i="1"/>
  <c r="J83" i="1" l="1"/>
  <c r="E100" i="1"/>
  <c r="D101" i="1"/>
  <c r="I97" i="1" s="1"/>
  <c r="J97" i="1"/>
  <c r="G100" i="1"/>
  <c r="E86" i="1"/>
  <c r="D87" i="1"/>
  <c r="I83" i="1" s="1"/>
  <c r="G86" i="1"/>
  <c r="D66" i="1" s="1"/>
  <c r="F67" i="1" l="1"/>
  <c r="D67" i="1"/>
  <c r="I98" i="1"/>
  <c r="I96" i="1" s="1"/>
  <c r="C98" i="1" s="1"/>
  <c r="I84" i="1"/>
  <c r="I82" i="1" s="1"/>
  <c r="C8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D56"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1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<sst xmlns="http://schemas.openxmlformats.org/spreadsheetml/2006/main" count="567" uniqueCount="337">
  <si>
    <t xml:space="preserve">Valuation Report </t>
  </si>
  <si>
    <t>Date:</t>
  </si>
  <si>
    <t>CPC Name:</t>
  </si>
  <si>
    <t>Date Of Property Visit</t>
  </si>
  <si>
    <t>Name of the builder group</t>
  </si>
  <si>
    <t>Name of the builder company</t>
  </si>
  <si>
    <t>Name of the Project</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</si>
  <si>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</si>
  <si>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</si>
  <si>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</si>
  <si>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</si>
  <si>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</si>
  <si>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</si>
  <si>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</si>
  <si>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</si>
  <si>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</si>
  <si>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</si>
  <si>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</si>
  <si>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</si>
  <si>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</si>
  <si>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</si>
  <si>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</si>
  <si>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</si>
  <si>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</si>
  <si>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</si>
  <si>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</si>
  <si>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</si>
  <si>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</si>
  <si>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</si>
  <si>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</si>
  <si>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</si>
  <si>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</si>
  <si>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</si>
  <si>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</si>
  <si>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</si>
  <si>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</si>
  <si>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</si>
  <si>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</si>
  <si>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</si>
  <si>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</si>
  <si>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</si>
  <si>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</si>
  <si>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</si>
  <si>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</si>
  <si>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</si>
  <si>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</si>
  <si>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</si>
  <si>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</si>
  <si>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</si>
  <si>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</si>
  <si>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</si>
  <si>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</si>
  <si>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</si>
  <si>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</si>
  <si>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</si>
  <si>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</si>
  <si>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</si>
  <si>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</si>
  <si>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</si>
  <si>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</si>
  <si>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</si>
  <si>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</si>
  <si>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</si>
  <si>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</si>
  <si>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</si>
  <si>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</si>
  <si>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</si>
  <si>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</si>
  <si>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</si>
  <si>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</si>
  <si>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</si>
  <si>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</si>
  <si>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</si>
  <si>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</si>
  <si>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</si>
  <si>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</si>
  <si>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</si>
  <si>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</si>
  <si>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</si>
  <si>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</si>
  <si>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</si>
  <si>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</si>
  <si>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</si>
  <si>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</si>
  <si>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</si>
  <si>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</si>
  <si>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</si>
  <si>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</si>
  <si>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</si>
  <si>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</si>
  <si>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</si>
  <si>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</si>
  <si>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</si>
  <si>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</si>
  <si>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</si>
  <si>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</si>
  <si>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</si>
  <si>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</si>
  <si>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</si>
  <si>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</si>
  <si>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</si>
  <si>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</si>
  <si>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</si>
  <si>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</si>
  <si>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</si>
  <si>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</si>
  <si>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</si>
  <si>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</si>
  <si>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</si>
  <si>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</si>
  <si>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</si>
  <si>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</si>
  <si>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</si>
  <si>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</si>
  <si>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</si>
  <si>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</si>
  <si>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</si>
  <si>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</si>
  <si>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</si>
  <si>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</si>
  <si>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</si>
  <si>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</si>
  <si>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</si>
  <si>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</si>
  <si>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</si>
  <si>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</si>
  <si>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</si>
  <si>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</si>
  <si>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</si>
  <si>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</si>
  <si>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</si>
  <si>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</si>
  <si>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</si>
  <si>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</si>
  <si>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</si>
  <si>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</si>
  <si>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</si>
  <si>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</si>
  <si>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</si>
  <si>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</si>
  <si>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</si>
  <si>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</si>
  <si>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</si>
  <si>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</si>
  <si>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</si>
  <si>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</si>
  <si>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</si>
  <si>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</si>
  <si>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</si>
  <si>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Recommended rate of the Shop Per Sq. Ft.</t>
  </si>
  <si>
    <t>Recommended rate of the Flat Per Sq. Ft.</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</si>
  <si>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</si>
  <si>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</si>
  <si>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</si>
  <si>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</si>
  <si>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</si>
  <si>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</si>
  <si>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</si>
  <si>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</si>
  <si>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</si>
  <si>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</si>
  <si>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</si>
  <si>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</si>
  <si>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</si>
  <si>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</si>
  <si>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</si>
  <si>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</si>
  <si>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</si>
  <si>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</si>
  <si>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</si>
  <si>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</si>
  <si>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</si>
  <si>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</si>
  <si>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</si>
  <si>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</si>
  <si>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</si>
  <si>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</si>
  <si>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</si>
  <si>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</si>
  <si>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</si>
  <si>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</si>
  <si>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</si>
  <si>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</si>
  <si>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</si>
  <si>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</si>
  <si>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</si>
  <si>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</si>
  <si>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</si>
  <si>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</si>
  <si>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</si>
  <si>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</si>
  <si>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</si>
  <si>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</si>
  <si>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</si>
  <si>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</si>
  <si>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</si>
  <si>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</si>
  <si>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</si>
  <si>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</si>
  <si>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</si>
  <si>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</si>
  <si>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</si>
  <si>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</si>
  <si>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</si>
  <si>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</si>
  <si>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</si>
  <si>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</si>
  <si>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</si>
  <si>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</si>
  <si>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</si>
  <si>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</si>
  <si>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</si>
  <si>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</si>
  <si>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</si>
  <si>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</si>
  <si>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</si>
  <si>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</si>
  <si>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</si>
  <si>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</si>
  <si>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</si>
  <si>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</si>
  <si>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</si>
  <si>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</si>
  <si>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</si>
  <si>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</si>
  <si>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</si>
  <si>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</si>
  <si>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</si>
  <si>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</si>
  <si>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</si>
  <si>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</si>
  <si>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</si>
  <si>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</si>
  <si>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</si>
  <si>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</si>
  <si>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</si>
  <si>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</si>
  <si>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</si>
  <si>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</si>
  <si>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</si>
  <si>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</si>
  <si>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</si>
  <si>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</si>
  <si>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</si>
  <si>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</si>
  <si>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</si>
  <si>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</si>
  <si>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</si>
  <si>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</si>
  <si>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</si>
  <si>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</si>
  <si>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</si>
  <si>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</si>
  <si>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</si>
  <si>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</si>
  <si>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</si>
  <si>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</si>
  <si>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</si>
  <si>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</si>
  <si>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</si>
  <si>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</si>
  <si>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</si>
  <si>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</si>
  <si>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</si>
  <si>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</si>
  <si>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</si>
  <si>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</si>
  <si>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</si>
  <si>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</si>
  <si>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</si>
  <si>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</si>
  <si>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</si>
  <si>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</si>
  <si>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</si>
  <si>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</si>
  <si>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</si>
  <si>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</si>
  <si>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</si>
  <si>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</si>
  <si>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</si>
  <si>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</si>
  <si>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</si>
  <si>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</si>
  <si>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</si>
  <si>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Deepali Landscape</t>
  </si>
  <si>
    <t>Jai Ganesh Co-operative Housing Society Ltd</t>
  </si>
  <si>
    <t>Survey No</t>
  </si>
  <si>
    <t>Ground Floor For Parking &amp; Entrance Lobby</t>
  </si>
  <si>
    <t>As per RERA - 31/12/2026</t>
  </si>
  <si>
    <t>KBNP/NRV/BD/123-130</t>
  </si>
  <si>
    <t>K.B.N.P./NRV/B.P./123/2022-23 
Unique No. 130</t>
  </si>
  <si>
    <t>2BHK</t>
  </si>
  <si>
    <t>AP Area</t>
  </si>
  <si>
    <t>Wing B</t>
  </si>
  <si>
    <t xml:space="preserve"> Wing A</t>
  </si>
  <si>
    <t>Wing C</t>
  </si>
  <si>
    <t>1BHK</t>
  </si>
  <si>
    <t>Wing D</t>
  </si>
  <si>
    <t>Flats - 48</t>
  </si>
  <si>
    <t>Gaikwad Nagar</t>
  </si>
  <si>
    <t>Badlapur West</t>
  </si>
  <si>
    <t>1.6 KM from Badlapur Railway Station</t>
  </si>
  <si>
    <t>6 MW Road</t>
  </si>
  <si>
    <t>9 MW Road</t>
  </si>
  <si>
    <t>12 MW Road</t>
  </si>
  <si>
    <t>Houses/ Bunglows</t>
  </si>
  <si>
    <t>Rupali Arcade Apartment</t>
  </si>
  <si>
    <t>https://maps.app.goo.gl/BnuEbx4e1wEwMeGr5</t>
  </si>
  <si>
    <t>19.1610397,73.2358918</t>
  </si>
  <si>
    <t>CCTV Security Systesm, Power Backup For Lifts &amp; Common Areas, Borewell, etc.</t>
  </si>
  <si>
    <t>Approved Plans, CC, Sale Plans, Cost Sheet</t>
  </si>
  <si>
    <t>We considered Gross carpet area = Net carpet + Enclose balcony + A.P Area.</t>
  </si>
  <si>
    <t xml:space="preserve">RERA No. </t>
  </si>
  <si>
    <t>P51700052606</t>
  </si>
  <si>
    <t>Rekha - 9371384763</t>
  </si>
  <si>
    <t>Wing A, B, C, D</t>
  </si>
  <si>
    <t xml:space="preserve">42(Pt) &amp; Plot No. H1 (9 To 16 &amp; 17 To 22) </t>
  </si>
  <si>
    <t>Kulgaon</t>
  </si>
  <si>
    <t>Internal Road</t>
  </si>
  <si>
    <t>04 Wings</t>
  </si>
  <si>
    <t>Wing A &amp; B</t>
  </si>
  <si>
    <t>Wing C &amp; D</t>
  </si>
  <si>
    <t>Area Statement Details :</t>
  </si>
  <si>
    <t xml:space="preserve">Recommended Rates of the Property : </t>
  </si>
  <si>
    <t>On Saleable Area</t>
  </si>
  <si>
    <t>1st to 6th Floor for Residential</t>
  </si>
  <si>
    <t>Other Plot</t>
  </si>
  <si>
    <t>Wing A, B, C, D  =  St + 1st to 6th Floor</t>
  </si>
  <si>
    <r>
      <t xml:space="preserve">Proposed Amenities :                                                                                                                                                                                                                         </t>
    </r>
    <r>
      <rPr>
        <b/>
        <sz val="12"/>
        <rFont val="Times New Roman"/>
        <family val="1"/>
      </rPr>
      <t xml:space="preserve">                                               </t>
    </r>
  </si>
  <si>
    <t>A &amp; B Wing = St + 1st to 6th Floor</t>
  </si>
  <si>
    <t>C &amp; D Wing = G + 1st to 6th Floor</t>
  </si>
  <si>
    <t>Wing A</t>
  </si>
  <si>
    <t>Sudhir Bhosale</t>
  </si>
  <si>
    <t>A Wing = St + 1st to 6th Floor</t>
  </si>
  <si>
    <t>B Wing = St + 1st to 6th Floor</t>
  </si>
  <si>
    <t xml:space="preserve">Wing A &amp; B = Construction work was not active at the time of visit. Work is same as last visit (dtd. 06/06/2025).
Wing C &amp; D = Finishing work is in process.
</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</si>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</sst>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2">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8"/>
      <color rgb="FF000000"/>
      <name val="Calibri"/>
      <family val="2"/>
    </font>
    <font>
      <sz val="18"/>
      <color rgb="FF333333"/>
      <name val="Conv_GothamRoundedBook_2101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1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1" xfId="0" applyFill="1" applyBorder="1" applyAlignment="1"/>
    <xf numFmtId="0" fontId="30" fillId="0" borderId="0" xfId="0" applyFont="1" applyAlignment="1">
      <alignment horizontal="left" vertical="center" readingOrder="1"/>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0" fontId="31" fillId="0" borderId="0" xfId="0" applyFont="1" applyAlignment="1">
      <alignment horizontal="left" vertical="center" readingOrder="1"/>
    </xf>
    <xf numFmtId="0" fontId="10" fillId="0" borderId="0" xfId="1" applyFont="1" applyBorder="1"/>
    <xf numFmtId="0" fontId="7" fillId="0" borderId="0" xfId="1" applyFont="1" applyBorder="1"/>
    <xf numFmtId="0" fontId="7" fillId="0" borderId="0" xfId="1" applyFont="1" applyBorder="1" applyProtection="1">
      <protection hidden="1"/>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68" fontId="6"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lignment horizontal="center" vertical="center"/>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8"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2" fontId="6" fillId="0" borderId="8" xfId="1" applyNumberFormat="1" applyFont="1" applyBorder="1" applyAlignment="1" applyProtection="1">
      <alignment horizontal="left" vertical="top" wrapText="1"/>
      <protection locked="0"/>
    </xf>
    <xf numFmtId="2" fontId="6" fillId="0" borderId="21" xfId="1" applyNumberFormat="1" applyFont="1" applyBorder="1" applyAlignment="1" applyProtection="1">
      <alignment horizontal="left" vertical="top" wrapText="1"/>
      <protection locked="0"/>
    </xf>
    <xf numFmtId="2" fontId="6" fillId="0" borderId="9" xfId="1"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9" fontId="12" fillId="0" borderId="17"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6" fillId="0" borderId="16" xfId="1" applyFont="1" applyBorder="1" applyAlignment="1" applyProtection="1">
      <alignment horizontal="left" vertical="top" wrapText="1"/>
      <protection locked="0"/>
    </xf>
    <xf numFmtId="9" fontId="12" fillId="0" borderId="1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top"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vertical="top"/>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19" xfId="1" applyFont="1" applyBorder="1" applyAlignment="1" applyProtection="1">
      <alignment vertical="top"/>
      <protection locked="0"/>
    </xf>
    <xf numFmtId="0" fontId="12" fillId="0" borderId="2" xfId="1" applyFont="1" applyBorder="1" applyAlignment="1" applyProtection="1">
      <alignment vertical="top"/>
      <protection locked="0"/>
    </xf>
    <xf numFmtId="0" fontId="12" fillId="0" borderId="20" xfId="1" applyFont="1" applyBorder="1" applyAlignment="1" applyProtection="1">
      <alignment vertical="top"/>
      <protection locked="0"/>
    </xf>
    <xf numFmtId="0" fontId="6" fillId="0" borderId="7"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35" xfId="1" applyFont="1" applyBorder="1" applyAlignment="1" applyProtection="1">
      <alignment horizontal="center" vertical="top" wrapText="1"/>
      <protection locked="0"/>
    </xf>
    <xf numFmtId="0" fontId="12" fillId="0" borderId="36" xfId="1" applyFont="1" applyBorder="1" applyAlignment="1" applyProtection="1">
      <alignment horizontal="center" vertical="top" wrapText="1"/>
      <protection locked="0"/>
    </xf>
    <xf numFmtId="0" fontId="12" fillId="0" borderId="37" xfId="1" applyFont="1" applyBorder="1" applyAlignment="1" applyProtection="1">
      <alignment horizontal="center" vertical="top" wrapText="1"/>
      <protection locked="0"/>
    </xf>
    <xf numFmtId="0" fontId="12" fillId="0" borderId="9"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0" fontId="12" fillId="0" borderId="38"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6"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15" fillId="0" borderId="0" xfId="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2" fontId="6" fillId="0" borderId="8" xfId="1" applyNumberFormat="1" applyFont="1" applyBorder="1" applyAlignment="1" applyProtection="1">
      <alignment horizontal="center" vertical="center" wrapText="1"/>
      <protection locked="0"/>
    </xf>
    <xf numFmtId="2" fontId="6" fillId="0" borderId="9" xfId="1" applyNumberFormat="1" applyFont="1" applyBorder="1" applyAlignment="1" applyProtection="1">
      <alignment horizontal="center" vertical="center" wrapText="1"/>
      <protection locked="0"/>
    </xf>
    <xf numFmtId="14" fontId="6" fillId="0" borderId="8" xfId="1" applyNumberFormat="1" applyFont="1" applyBorder="1" applyAlignment="1" applyProtection="1">
      <alignment horizontal="left" vertical="top" wrapText="1"/>
      <protection locked="0"/>
    </xf>
    <xf numFmtId="0" fontId="12" fillId="0" borderId="17" xfId="1" applyFont="1" applyFill="1" applyBorder="1" applyAlignment="1" applyProtection="1">
      <alignment horizontal="left" vertical="top"/>
      <protection locked="0"/>
    </xf>
    <xf numFmtId="0" fontId="12" fillId="0" borderId="24" xfId="1" applyFont="1" applyFill="1" applyBorder="1" applyAlignment="1" applyProtection="1">
      <alignment horizontal="left" vertical="top"/>
      <protection locked="0"/>
    </xf>
    <xf numFmtId="0" fontId="12" fillId="0" borderId="18" xfId="1" applyFont="1" applyFill="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13" fillId="0" borderId="8"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38" xfId="1" applyFont="1" applyBorder="1" applyAlignment="1" applyProtection="1">
      <alignment horizontal="left" vertical="top" wrapText="1"/>
      <protection locked="0"/>
    </xf>
    <xf numFmtId="0" fontId="13" fillId="0" borderId="37"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9" fillId="0" borderId="1" xfId="5" applyFont="1" applyBorder="1" applyAlignment="1">
      <alignment horizontal="left"/>
    </xf>
    <xf numFmtId="0" fontId="8"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center" vertical="center" wrapText="1"/>
      <protection locked="0"/>
    </xf>
    <xf numFmtId="164" fontId="6" fillId="0" borderId="1" xfId="1" applyNumberFormat="1" applyFont="1" applyBorder="1" applyAlignment="1" applyProtection="1">
      <alignment horizontal="center" vertical="center" wrapText="1"/>
      <protection locked="0"/>
    </xf>
    <xf numFmtId="0" fontId="25" fillId="0" borderId="9" xfId="0" applyFont="1" applyBorder="1"/>
    <xf numFmtId="9" fontId="12" fillId="0" borderId="1" xfId="8" applyFont="1" applyFill="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8</xdr:col>
      <xdr:colOff>314325</xdr:colOff>
      <xdr:row>48</xdr:row>
      <xdr:rowOff>83536</xdr:rowOff>
    </xdr:from>
    <xdr:to>
      <xdr:col>14</xdr:col>
      <xdr:colOff>352425</xdr:colOff>
      <xdr:row>52</xdr:row>
      <xdr:rowOff>2194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29400" y="11046811"/>
          <a:ext cx="5219700" cy="1164052"/>
        </a:xfrm>
        <a:prstGeom prst="rect">
          <a:avLst/>
        </a:prstGeom>
      </xdr:spPr>
    </xdr:pic>
    <xdr:clientData/>
  </xdr:twoCellAnchor>
  <xdr:twoCellAnchor editAs="oneCell">
    <xdr:from>
      <xdr:col>0</xdr:col>
      <xdr:colOff>247650</xdr:colOff>
      <xdr:row>257</xdr:row>
      <xdr:rowOff>19050</xdr:rowOff>
    </xdr:from>
    <xdr:to>
      <xdr:col>7</xdr:col>
      <xdr:colOff>561343</xdr:colOff>
      <xdr:row>284</xdr:row>
      <xdr:rowOff>44287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47650" y="64303275"/>
          <a:ext cx="5895343" cy="5425910"/>
        </a:xfrm>
        <a:prstGeom prst="rect">
          <a:avLst/>
        </a:prstGeom>
      </xdr:spPr>
    </xdr:pic>
    <xdr:clientData/>
  </xdr:twoCellAnchor>
  <xdr:twoCellAnchor>
    <xdr:from>
      <xdr:col>1</xdr:col>
      <xdr:colOff>247650</xdr:colOff>
      <xdr:row>284</xdr:row>
      <xdr:rowOff>142875</xdr:rowOff>
    </xdr:from>
    <xdr:to>
      <xdr:col>6</xdr:col>
      <xdr:colOff>510092</xdr:colOff>
      <xdr:row>299</xdr:row>
      <xdr:rowOff>22500</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047750" y="57724675"/>
          <a:ext cx="4548692" cy="2832375"/>
          <a:chOff x="990600" y="69846825"/>
          <a:chExt cx="4348667" cy="2880000"/>
        </a:xfrm>
      </xdr:grpSpPr>
      <xdr:grpSp>
        <xdr:nvGrpSpPr>
          <xdr:cNvPr id="8" name="Group 7">
            <a:extLst>
              <a:ext uri="{FF2B5EF4-FFF2-40B4-BE49-F238E27FC236}">
                <a16:creationId xmlns:a16="http://schemas.microsoft.com/office/drawing/2014/main" id="{00000000-0008-0000-0000-000008000000}"/>
              </a:ext>
            </a:extLst>
          </xdr:cNvPr>
          <xdr:cNvGrpSpPr/>
        </xdr:nvGrpSpPr>
        <xdr:grpSpPr>
          <a:xfrm>
            <a:off x="990600" y="69846825"/>
            <a:ext cx="4348667" cy="2880000"/>
            <a:chOff x="990600" y="69846825"/>
            <a:chExt cx="4348667" cy="2880000"/>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90600" y="69846825"/>
              <a:ext cx="4348667" cy="2880000"/>
            </a:xfrm>
            <a:prstGeom prst="rect">
              <a:avLst/>
            </a:prstGeom>
          </xdr:spPr>
        </xdr:pic>
        <xdr:sp macro="" textlink="">
          <xdr:nvSpPr>
            <xdr:cNvPr id="6" name="TextBox 12">
              <a:extLst>
                <a:ext uri="{FF2B5EF4-FFF2-40B4-BE49-F238E27FC236}">
                  <a16:creationId xmlns:a16="http://schemas.microsoft.com/office/drawing/2014/main" id="{00000000-0008-0000-0000-000006000000}"/>
                </a:ext>
              </a:extLst>
            </xdr:cNvPr>
            <xdr:cNvSpPr txBox="1"/>
          </xdr:nvSpPr>
          <xdr:spPr>
            <a:xfrm rot="21033783">
              <a:off x="2019300" y="70913625"/>
              <a:ext cx="762000" cy="38100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FF00"/>
                  </a:solidFill>
                </a:rPr>
                <a:t>A &amp; B</a:t>
              </a:r>
              <a:endParaRPr lang="en-IN">
                <a:solidFill>
                  <a:srgbClr val="FFFF00"/>
                </a:solidFill>
              </a:endParaRPr>
            </a:p>
          </xdr:txBody>
        </xdr:sp>
      </xdr:grpSp>
      <xdr:sp macro="" textlink="">
        <xdr:nvSpPr>
          <xdr:cNvPr id="7" name="TextBox 13">
            <a:extLst>
              <a:ext uri="{FF2B5EF4-FFF2-40B4-BE49-F238E27FC236}">
                <a16:creationId xmlns:a16="http://schemas.microsoft.com/office/drawing/2014/main" id="{00000000-0008-0000-0000-000007000000}"/>
              </a:ext>
            </a:extLst>
          </xdr:cNvPr>
          <xdr:cNvSpPr txBox="1"/>
        </xdr:nvSpPr>
        <xdr:spPr>
          <a:xfrm rot="20760143">
            <a:off x="3657600" y="70513575"/>
            <a:ext cx="762000" cy="38100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FF00"/>
                </a:solidFill>
              </a:rPr>
              <a:t>C &amp; D</a:t>
            </a:r>
            <a:endParaRPr lang="en-IN">
              <a:solidFill>
                <a:srgbClr val="FFFF00"/>
              </a:solidFill>
            </a:endParaRPr>
          </a:p>
        </xdr:txBody>
      </xdr:sp>
    </xdr:grpSp>
    <xdr:clientData/>
  </xdr:twoCellAnchor>
  <xdr:twoCellAnchor>
    <xdr:from>
      <xdr:col>1</xdr:col>
      <xdr:colOff>416718</xdr:colOff>
      <xdr:row>217</xdr:row>
      <xdr:rowOff>9922</xdr:rowOff>
    </xdr:from>
    <xdr:to>
      <xdr:col>6</xdr:col>
      <xdr:colOff>215105</xdr:colOff>
      <xdr:row>235</xdr:row>
      <xdr:rowOff>38047</xdr:rowOff>
    </xdr:to>
    <xdr:grpSp>
      <xdr:nvGrpSpPr>
        <xdr:cNvPr id="32" name="Group 31">
          <a:extLst>
            <a:ext uri="{FF2B5EF4-FFF2-40B4-BE49-F238E27FC236}">
              <a16:creationId xmlns:a16="http://schemas.microsoft.com/office/drawing/2014/main" id="{00000000-0008-0000-0000-000020000000}"/>
            </a:ext>
          </a:extLst>
        </xdr:cNvPr>
        <xdr:cNvGrpSpPr/>
      </xdr:nvGrpSpPr>
      <xdr:grpSpPr>
        <a:xfrm>
          <a:off x="1216818" y="44402772"/>
          <a:ext cx="4084637" cy="3571425"/>
          <a:chOff x="457200" y="152400"/>
          <a:chExt cx="3886200" cy="5334000"/>
        </a:xfrm>
      </xdr:grpSpPr>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457200" y="152400"/>
            <a:ext cx="3886200" cy="5334000"/>
          </a:xfrm>
          <a:prstGeom prst="rect">
            <a:avLst/>
          </a:prstGeom>
          <a:ln>
            <a:solidFill>
              <a:schemeClr val="tx1"/>
            </a:solidFill>
          </a:ln>
        </xdr:spPr>
      </xdr:pic>
      <xdr:sp macro="" textlink="">
        <xdr:nvSpPr>
          <xdr:cNvPr id="34" name="Rounded Rectangle 33">
            <a:extLst>
              <a:ext uri="{FF2B5EF4-FFF2-40B4-BE49-F238E27FC236}">
                <a16:creationId xmlns:a16="http://schemas.microsoft.com/office/drawing/2014/main" id="{00000000-0008-0000-0000-000022000000}"/>
              </a:ext>
            </a:extLst>
          </xdr:cNvPr>
          <xdr:cNvSpPr/>
        </xdr:nvSpPr>
        <xdr:spPr>
          <a:xfrm rot="21132611">
            <a:off x="1241904" y="3385425"/>
            <a:ext cx="871983" cy="326748"/>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147985</xdr:colOff>
      <xdr:row>237</xdr:row>
      <xdr:rowOff>101486</xdr:rowOff>
    </xdr:from>
    <xdr:to>
      <xdr:col>3</xdr:col>
      <xdr:colOff>803138</xdr:colOff>
      <xdr:row>244</xdr:row>
      <xdr:rowOff>40736</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147985" y="55455343"/>
          <a:ext cx="3063617" cy="1368000"/>
        </a:xfrm>
        <a:prstGeom prst="rect">
          <a:avLst/>
        </a:prstGeom>
        <a:ln>
          <a:solidFill>
            <a:schemeClr val="tx1"/>
          </a:solidFill>
        </a:ln>
      </xdr:spPr>
    </xdr:pic>
    <xdr:clientData/>
  </xdr:twoCellAnchor>
  <xdr:twoCellAnchor>
    <xdr:from>
      <xdr:col>1</xdr:col>
      <xdr:colOff>4721</xdr:colOff>
      <xdr:row>237</xdr:row>
      <xdr:rowOff>114785</xdr:rowOff>
    </xdr:from>
    <xdr:to>
      <xdr:col>2</xdr:col>
      <xdr:colOff>683631</xdr:colOff>
      <xdr:row>239</xdr:row>
      <xdr:rowOff>26897</xdr:rowOff>
    </xdr:to>
    <xdr:sp macro="" textlink="">
      <xdr:nvSpPr>
        <xdr:cNvPr id="38" name="TextBox 7">
          <a:extLst>
            <a:ext uri="{FF2B5EF4-FFF2-40B4-BE49-F238E27FC236}">
              <a16:creationId xmlns:a16="http://schemas.microsoft.com/office/drawing/2014/main" id="{00000000-0008-0000-0000-000026000000}"/>
            </a:ext>
          </a:extLst>
        </xdr:cNvPr>
        <xdr:cNvSpPr txBox="1"/>
      </xdr:nvSpPr>
      <xdr:spPr>
        <a:xfrm>
          <a:off x="766721" y="55468642"/>
          <a:ext cx="1481731" cy="32032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Wing A &amp; B</a:t>
          </a:r>
          <a:endParaRPr lang="en-IN" sz="1400"/>
        </a:p>
      </xdr:txBody>
    </xdr:sp>
    <xdr:clientData/>
  </xdr:twoCellAnchor>
  <xdr:twoCellAnchor>
    <xdr:from>
      <xdr:col>4</xdr:col>
      <xdr:colOff>249475</xdr:colOff>
      <xdr:row>237</xdr:row>
      <xdr:rowOff>53579</xdr:rowOff>
    </xdr:from>
    <xdr:to>
      <xdr:col>7</xdr:col>
      <xdr:colOff>509843</xdr:colOff>
      <xdr:row>245</xdr:row>
      <xdr:rowOff>4722</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569618" y="55407436"/>
          <a:ext cx="2519154" cy="1584000"/>
        </a:xfrm>
        <a:prstGeom prst="rect">
          <a:avLst/>
        </a:prstGeom>
        <a:ln>
          <a:solidFill>
            <a:schemeClr val="tx1"/>
          </a:solidFill>
        </a:ln>
      </xdr:spPr>
    </xdr:pic>
    <xdr:clientData/>
  </xdr:twoCellAnchor>
  <xdr:twoCellAnchor>
    <xdr:from>
      <xdr:col>5</xdr:col>
      <xdr:colOff>204107</xdr:colOff>
      <xdr:row>237</xdr:row>
      <xdr:rowOff>61846</xdr:rowOff>
    </xdr:from>
    <xdr:to>
      <xdr:col>7</xdr:col>
      <xdr:colOff>100138</xdr:colOff>
      <xdr:row>238</xdr:row>
      <xdr:rowOff>170505</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4299857" y="55415703"/>
          <a:ext cx="1379210" cy="312766"/>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Wing C &amp; D</a:t>
          </a:r>
          <a:endParaRPr lang="en-IN" sz="1400"/>
        </a:p>
      </xdr:txBody>
    </xdr:sp>
    <xdr:clientData/>
  </xdr:twoCellAnchor>
  <xdr:twoCellAnchor>
    <xdr:from>
      <xdr:col>14</xdr:col>
      <xdr:colOff>392014</xdr:colOff>
      <xdr:row>234</xdr:row>
      <xdr:rowOff>176407</xdr:rowOff>
    </xdr:from>
    <xdr:to>
      <xdr:col>15</xdr:col>
      <xdr:colOff>512966</xdr:colOff>
      <xdr:row>236</xdr:row>
      <xdr:rowOff>27214</xdr:rowOff>
    </xdr:to>
    <xdr:sp macro="" textlink="">
      <xdr:nvSpPr>
        <xdr:cNvPr id="43" name="Rectangle 42">
          <a:extLst>
            <a:ext uri="{FF2B5EF4-FFF2-40B4-BE49-F238E27FC236}">
              <a16:creationId xmlns:a16="http://schemas.microsoft.com/office/drawing/2014/main" id="{00000000-0008-0000-0000-00002B000000}"/>
            </a:ext>
          </a:extLst>
        </xdr:cNvPr>
        <xdr:cNvSpPr/>
      </xdr:nvSpPr>
      <xdr:spPr>
        <a:xfrm>
          <a:off x="11890050" y="54917943"/>
          <a:ext cx="937380" cy="2590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657225</xdr:colOff>
      <xdr:row>174</xdr:row>
      <xdr:rowOff>114300</xdr:rowOff>
    </xdr:from>
    <xdr:to>
      <xdr:col>14</xdr:col>
      <xdr:colOff>144181</xdr:colOff>
      <xdr:row>215</xdr:row>
      <xdr:rowOff>102074</xdr:rowOff>
    </xdr:to>
    <xdr:grpSp>
      <xdr:nvGrpSpPr>
        <xdr:cNvPr id="3" name="Group 2">
          <a:extLst>
            <a:ext uri="{FF2B5EF4-FFF2-40B4-BE49-F238E27FC236}">
              <a16:creationId xmlns:a16="http://schemas.microsoft.com/office/drawing/2014/main" id="{848D98AA-B50F-4780-B30B-33EF41B1F6D9}"/>
            </a:ext>
          </a:extLst>
        </xdr:cNvPr>
        <xdr:cNvGrpSpPr/>
      </xdr:nvGrpSpPr>
      <xdr:grpSpPr>
        <a:xfrm>
          <a:off x="7788275" y="36048950"/>
          <a:ext cx="4909856" cy="8052274"/>
          <a:chOff x="885825" y="36261675"/>
          <a:chExt cx="4668556" cy="8179274"/>
        </a:xfrm>
      </xdr:grpSpPr>
      <xdr:pic>
        <xdr:nvPicPr>
          <xdr:cNvPr id="48" name="Picture 47">
            <a:extLst>
              <a:ext uri="{FF2B5EF4-FFF2-40B4-BE49-F238E27FC236}">
                <a16:creationId xmlns:a16="http://schemas.microsoft.com/office/drawing/2014/main" id="{5EAD1830-2720-4728-947A-68D9C7175145}"/>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03410" y="36261675"/>
            <a:ext cx="2166025" cy="2880000"/>
          </a:xfrm>
          <a:prstGeom prst="rect">
            <a:avLst/>
          </a:prstGeom>
          <a:ln>
            <a:solidFill>
              <a:schemeClr val="tx1"/>
            </a:solidFill>
          </a:ln>
        </xdr:spPr>
      </xdr:pic>
      <xdr:pic>
        <xdr:nvPicPr>
          <xdr:cNvPr id="49" name="Picture 48">
            <a:extLst>
              <a:ext uri="{FF2B5EF4-FFF2-40B4-BE49-F238E27FC236}">
                <a16:creationId xmlns:a16="http://schemas.microsoft.com/office/drawing/2014/main" id="{8EBB30A5-6F06-46E0-AFCB-4D40F41FFDC2}"/>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272571" y="36261675"/>
            <a:ext cx="2166025" cy="2880000"/>
          </a:xfrm>
          <a:prstGeom prst="rect">
            <a:avLst/>
          </a:prstGeom>
          <a:ln>
            <a:solidFill>
              <a:schemeClr val="tx1"/>
            </a:solidFill>
          </a:ln>
        </xdr:spPr>
      </xdr:pic>
      <xdr:pic>
        <xdr:nvPicPr>
          <xdr:cNvPr id="50" name="Picture 49">
            <a:extLst>
              <a:ext uri="{FF2B5EF4-FFF2-40B4-BE49-F238E27FC236}">
                <a16:creationId xmlns:a16="http://schemas.microsoft.com/office/drawing/2014/main" id="{6D00CC76-BDE7-4DEC-9C8F-1402F96AA9E1}"/>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885825" y="39299823"/>
            <a:ext cx="1489142" cy="1980000"/>
          </a:xfrm>
          <a:prstGeom prst="rect">
            <a:avLst/>
          </a:prstGeom>
          <a:ln>
            <a:solidFill>
              <a:schemeClr val="tx1"/>
            </a:solidFill>
          </a:ln>
        </xdr:spPr>
      </xdr:pic>
      <xdr:pic>
        <xdr:nvPicPr>
          <xdr:cNvPr id="51" name="Picture 50">
            <a:extLst>
              <a:ext uri="{FF2B5EF4-FFF2-40B4-BE49-F238E27FC236}">
                <a16:creationId xmlns:a16="http://schemas.microsoft.com/office/drawing/2014/main" id="{CF025D28-FD85-41D0-8ADF-FC2BF5555A72}"/>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475532" y="39299823"/>
            <a:ext cx="1489142" cy="1980000"/>
          </a:xfrm>
          <a:prstGeom prst="rect">
            <a:avLst/>
          </a:prstGeom>
          <a:ln>
            <a:solidFill>
              <a:schemeClr val="tx1"/>
            </a:solidFill>
          </a:ln>
        </xdr:spPr>
      </xdr:pic>
      <xdr:pic>
        <xdr:nvPicPr>
          <xdr:cNvPr id="52" name="Picture 51">
            <a:extLst>
              <a:ext uri="{FF2B5EF4-FFF2-40B4-BE49-F238E27FC236}">
                <a16:creationId xmlns:a16="http://schemas.microsoft.com/office/drawing/2014/main" id="{1C602533-C857-4FA5-872B-5C63F4A0538A}"/>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065239" y="39299823"/>
            <a:ext cx="1489142" cy="1980000"/>
          </a:xfrm>
          <a:prstGeom prst="rect">
            <a:avLst/>
          </a:prstGeom>
          <a:ln>
            <a:solidFill>
              <a:schemeClr val="tx1"/>
            </a:solidFill>
          </a:ln>
        </xdr:spPr>
      </xdr:pic>
      <xdr:pic>
        <xdr:nvPicPr>
          <xdr:cNvPr id="53" name="Picture 52">
            <a:extLst>
              <a:ext uri="{FF2B5EF4-FFF2-40B4-BE49-F238E27FC236}">
                <a16:creationId xmlns:a16="http://schemas.microsoft.com/office/drawing/2014/main" id="{30DDCC38-A22A-4A1D-A8FC-F1E20ED7D19A}"/>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000203" y="41437971"/>
            <a:ext cx="1353766" cy="1800000"/>
          </a:xfrm>
          <a:prstGeom prst="rect">
            <a:avLst/>
          </a:prstGeom>
          <a:ln>
            <a:solidFill>
              <a:schemeClr val="tx1"/>
            </a:solidFill>
          </a:ln>
        </xdr:spPr>
      </xdr:pic>
      <xdr:pic>
        <xdr:nvPicPr>
          <xdr:cNvPr id="54" name="Picture 53">
            <a:extLst>
              <a:ext uri="{FF2B5EF4-FFF2-40B4-BE49-F238E27FC236}">
                <a16:creationId xmlns:a16="http://schemas.microsoft.com/office/drawing/2014/main" id="{DF97191D-88EB-4070-82A0-1C84D840850E}"/>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91541" y="41437971"/>
            <a:ext cx="1353766" cy="1800000"/>
          </a:xfrm>
          <a:prstGeom prst="rect">
            <a:avLst/>
          </a:prstGeom>
          <a:ln>
            <a:solidFill>
              <a:schemeClr val="tx1"/>
            </a:solidFill>
          </a:ln>
        </xdr:spPr>
      </xdr:pic>
      <xdr:pic>
        <xdr:nvPicPr>
          <xdr:cNvPr id="55" name="Picture 54">
            <a:extLst>
              <a:ext uri="{FF2B5EF4-FFF2-40B4-BE49-F238E27FC236}">
                <a16:creationId xmlns:a16="http://schemas.microsoft.com/office/drawing/2014/main" id="{FED8F13D-C99D-4AAB-A521-B04C283300C5}"/>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545872" y="41437971"/>
            <a:ext cx="1353766" cy="1800000"/>
          </a:xfrm>
          <a:prstGeom prst="rect">
            <a:avLst/>
          </a:prstGeom>
          <a:ln>
            <a:solidFill>
              <a:schemeClr val="tx1"/>
            </a:solidFill>
          </a:ln>
        </xdr:spPr>
      </xdr:pic>
      <xdr:pic>
        <xdr:nvPicPr>
          <xdr:cNvPr id="56" name="Picture 55">
            <a:extLst>
              <a:ext uri="{FF2B5EF4-FFF2-40B4-BE49-F238E27FC236}">
                <a16:creationId xmlns:a16="http://schemas.microsoft.com/office/drawing/2014/main" id="{1CF38A3B-12C1-4252-8EE2-9476ECA2C52A}"/>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721399" y="43360949"/>
            <a:ext cx="1438000" cy="1080000"/>
          </a:xfrm>
          <a:prstGeom prst="rect">
            <a:avLst/>
          </a:prstGeom>
          <a:ln>
            <a:solidFill>
              <a:schemeClr val="tx1"/>
            </a:solidFill>
          </a:ln>
        </xdr:spPr>
      </xdr:pic>
      <xdr:pic>
        <xdr:nvPicPr>
          <xdr:cNvPr id="57" name="Picture 56">
            <a:extLst>
              <a:ext uri="{FF2B5EF4-FFF2-40B4-BE49-F238E27FC236}">
                <a16:creationId xmlns:a16="http://schemas.microsoft.com/office/drawing/2014/main" id="{5A5F5B6B-F3EB-4C73-BCB4-A7E0D46C29B1}"/>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275607" y="43360949"/>
            <a:ext cx="1432694" cy="1080000"/>
          </a:xfrm>
          <a:prstGeom prst="rect">
            <a:avLst/>
          </a:prstGeom>
          <a:ln>
            <a:solidFill>
              <a:schemeClr val="tx1"/>
            </a:solidFill>
          </a:ln>
        </xdr:spPr>
      </xdr:pic>
      <xdr:sp macro="" textlink="">
        <xdr:nvSpPr>
          <xdr:cNvPr id="58" name="TextBox 177">
            <a:extLst>
              <a:ext uri="{FF2B5EF4-FFF2-40B4-BE49-F238E27FC236}">
                <a16:creationId xmlns:a16="http://schemas.microsoft.com/office/drawing/2014/main" id="{F68FA49A-F346-4B83-8043-D62E0D38B06E}"/>
              </a:ext>
            </a:extLst>
          </xdr:cNvPr>
          <xdr:cNvSpPr txBox="1"/>
        </xdr:nvSpPr>
        <xdr:spPr>
          <a:xfrm>
            <a:off x="1630396" y="36261675"/>
            <a:ext cx="127310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&amp; B Wing</a:t>
            </a:r>
            <a:endParaRPr lang="en-IN" b="1">
              <a:solidFill>
                <a:srgbClr val="FF0000"/>
              </a:solidFill>
            </a:endParaRPr>
          </a:p>
        </xdr:txBody>
      </xdr:sp>
      <xdr:sp macro="" textlink="">
        <xdr:nvSpPr>
          <xdr:cNvPr id="59" name="TextBox 178">
            <a:extLst>
              <a:ext uri="{FF2B5EF4-FFF2-40B4-BE49-F238E27FC236}">
                <a16:creationId xmlns:a16="http://schemas.microsoft.com/office/drawing/2014/main" id="{54BDF7D8-EEA2-407D-8C97-70521B384AEF}"/>
              </a:ext>
            </a:extLst>
          </xdr:cNvPr>
          <xdr:cNvSpPr txBox="1"/>
        </xdr:nvSpPr>
        <xdr:spPr>
          <a:xfrm>
            <a:off x="4105918" y="36286807"/>
            <a:ext cx="127150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 &amp; D Wing</a:t>
            </a:r>
            <a:endParaRPr lang="en-IN" b="1">
              <a:solidFill>
                <a:srgbClr val="FF0000"/>
              </a:solidFill>
            </a:endParaRPr>
          </a:p>
        </xdr:txBody>
      </xdr:sp>
      <xdr:sp macro="" textlink="">
        <xdr:nvSpPr>
          <xdr:cNvPr id="60" name="TextBox 179">
            <a:extLst>
              <a:ext uri="{FF2B5EF4-FFF2-40B4-BE49-F238E27FC236}">
                <a16:creationId xmlns:a16="http://schemas.microsoft.com/office/drawing/2014/main" id="{7ECCBF35-A4E4-41CE-A005-E06644677410}"/>
              </a:ext>
            </a:extLst>
          </xdr:cNvPr>
          <xdr:cNvSpPr txBox="1"/>
        </xdr:nvSpPr>
        <xdr:spPr>
          <a:xfrm>
            <a:off x="894328" y="39427512"/>
            <a:ext cx="1372620"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 </a:t>
            </a:r>
          </a:p>
          <a:p>
            <a:r>
              <a:rPr lang="en-US" b="1">
                <a:solidFill>
                  <a:srgbClr val="FF0000"/>
                </a:solidFill>
              </a:rPr>
              <a:t>Door Locked</a:t>
            </a:r>
            <a:endParaRPr lang="en-IN" b="1">
              <a:solidFill>
                <a:srgbClr val="FF0000"/>
              </a:solidFill>
            </a:endParaRPr>
          </a:p>
        </xdr:txBody>
      </xdr:sp>
      <xdr:sp macro="" textlink="">
        <xdr:nvSpPr>
          <xdr:cNvPr id="61" name="TextBox 180">
            <a:extLst>
              <a:ext uri="{FF2B5EF4-FFF2-40B4-BE49-F238E27FC236}">
                <a16:creationId xmlns:a16="http://schemas.microsoft.com/office/drawing/2014/main" id="{B15E791D-9EBA-4E2F-B135-9E610D266C8E}"/>
              </a:ext>
            </a:extLst>
          </xdr:cNvPr>
          <xdr:cNvSpPr txBox="1"/>
        </xdr:nvSpPr>
        <xdr:spPr>
          <a:xfrm>
            <a:off x="2719000" y="39763240"/>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62" name="TextBox 181">
            <a:extLst>
              <a:ext uri="{FF2B5EF4-FFF2-40B4-BE49-F238E27FC236}">
                <a16:creationId xmlns:a16="http://schemas.microsoft.com/office/drawing/2014/main" id="{6864E327-F330-44DE-A6C1-5D921C657C12}"/>
              </a:ext>
            </a:extLst>
          </xdr:cNvPr>
          <xdr:cNvSpPr txBox="1"/>
        </xdr:nvSpPr>
        <xdr:spPr>
          <a:xfrm>
            <a:off x="4511477" y="40212742"/>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63" name="TextBox 182">
            <a:extLst>
              <a:ext uri="{FF2B5EF4-FFF2-40B4-BE49-F238E27FC236}">
                <a16:creationId xmlns:a16="http://schemas.microsoft.com/office/drawing/2014/main" id="{25167549-2F8F-450D-8BF7-EA3C79A7D375}"/>
              </a:ext>
            </a:extLst>
          </xdr:cNvPr>
          <xdr:cNvSpPr txBox="1"/>
        </xdr:nvSpPr>
        <xdr:spPr>
          <a:xfrm>
            <a:off x="1480563" y="42185473"/>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64" name="TextBox 184">
            <a:extLst>
              <a:ext uri="{FF2B5EF4-FFF2-40B4-BE49-F238E27FC236}">
                <a16:creationId xmlns:a16="http://schemas.microsoft.com/office/drawing/2014/main" id="{7BF5DA61-0A90-456C-8E93-DC8DE5052BA4}"/>
              </a:ext>
            </a:extLst>
          </xdr:cNvPr>
          <xdr:cNvSpPr txBox="1"/>
        </xdr:nvSpPr>
        <xdr:spPr>
          <a:xfrm>
            <a:off x="2772578" y="42745462"/>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65" name="TextBox 185">
            <a:extLst>
              <a:ext uri="{FF2B5EF4-FFF2-40B4-BE49-F238E27FC236}">
                <a16:creationId xmlns:a16="http://schemas.microsoft.com/office/drawing/2014/main" id="{85909413-38C7-4F6C-9CC1-058D15FF1850}"/>
              </a:ext>
            </a:extLst>
          </xdr:cNvPr>
          <xdr:cNvSpPr txBox="1"/>
        </xdr:nvSpPr>
        <xdr:spPr>
          <a:xfrm>
            <a:off x="4247649" y="42376130"/>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grpSp>
    <xdr:clientData/>
  </xdr:twoCellAnchor>
  <xdr:twoCellAnchor>
    <xdr:from>
      <xdr:col>0</xdr:col>
      <xdr:colOff>228600</xdr:colOff>
      <xdr:row>174</xdr:row>
      <xdr:rowOff>88900</xdr:rowOff>
    </xdr:from>
    <xdr:to>
      <xdr:col>7</xdr:col>
      <xdr:colOff>1086495</xdr:colOff>
      <xdr:row>212</xdr:row>
      <xdr:rowOff>127886</xdr:rowOff>
    </xdr:to>
    <xdr:grpSp>
      <xdr:nvGrpSpPr>
        <xdr:cNvPr id="10" name="Group 9"/>
        <xdr:cNvGrpSpPr/>
      </xdr:nvGrpSpPr>
      <xdr:grpSpPr>
        <a:xfrm>
          <a:off x="228600" y="36023550"/>
          <a:ext cx="6712595" cy="7512936"/>
          <a:chOff x="228600" y="36023550"/>
          <a:chExt cx="6712595" cy="7512936"/>
        </a:xfrm>
      </xdr:grpSpPr>
      <xdr:pic>
        <xdr:nvPicPr>
          <xdr:cNvPr id="80" name="Picture 7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553372" y="41736486"/>
            <a:ext cx="2387823" cy="1800000"/>
          </a:xfrm>
          <a:prstGeom prst="rect">
            <a:avLst/>
          </a:prstGeom>
          <a:ln>
            <a:solidFill>
              <a:schemeClr val="tx1"/>
            </a:solidFill>
          </a:ln>
        </xdr:spPr>
      </xdr:pic>
      <xdr:pic>
        <xdr:nvPicPr>
          <xdr:cNvPr id="81" name="Picture 8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91230" y="36023550"/>
            <a:ext cx="2057724" cy="2736000"/>
          </a:xfrm>
          <a:prstGeom prst="rect">
            <a:avLst/>
          </a:prstGeom>
          <a:ln>
            <a:solidFill>
              <a:schemeClr val="tx1"/>
            </a:solidFill>
          </a:ln>
        </xdr:spPr>
      </xdr:pic>
      <xdr:pic>
        <xdr:nvPicPr>
          <xdr:cNvPr id="82" name="Picture 8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8600" y="41736486"/>
            <a:ext cx="1353766" cy="1800000"/>
          </a:xfrm>
          <a:prstGeom prst="rect">
            <a:avLst/>
          </a:prstGeom>
          <a:ln>
            <a:solidFill>
              <a:schemeClr val="tx1"/>
            </a:solidFill>
          </a:ln>
        </xdr:spPr>
      </xdr:pic>
      <xdr:pic>
        <xdr:nvPicPr>
          <xdr:cNvPr id="83" name="Picture 8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115542" y="41736486"/>
            <a:ext cx="1348125" cy="1800000"/>
          </a:xfrm>
          <a:prstGeom prst="rect">
            <a:avLst/>
          </a:prstGeom>
          <a:ln>
            <a:solidFill>
              <a:schemeClr val="tx1"/>
            </a:solidFill>
          </a:ln>
        </xdr:spPr>
      </xdr:pic>
      <xdr:pic>
        <xdr:nvPicPr>
          <xdr:cNvPr id="84" name="Picture 8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507448" y="36023550"/>
            <a:ext cx="2057724" cy="2736000"/>
          </a:xfrm>
          <a:prstGeom prst="rect">
            <a:avLst/>
          </a:prstGeom>
          <a:ln>
            <a:solidFill>
              <a:schemeClr val="tx1"/>
            </a:solidFill>
          </a:ln>
        </xdr:spPr>
      </xdr:pic>
      <xdr:pic>
        <xdr:nvPicPr>
          <xdr:cNvPr id="85" name="Picture 8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723666" y="36023550"/>
            <a:ext cx="2057724" cy="2736000"/>
          </a:xfrm>
          <a:prstGeom prst="rect">
            <a:avLst/>
          </a:prstGeom>
          <a:ln>
            <a:solidFill>
              <a:schemeClr val="tx1"/>
            </a:solidFill>
          </a:ln>
        </xdr:spPr>
      </xdr:pic>
      <xdr:pic>
        <xdr:nvPicPr>
          <xdr:cNvPr id="86" name="Picture 85"/>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91230" y="38880018"/>
            <a:ext cx="2057724" cy="2736000"/>
          </a:xfrm>
          <a:prstGeom prst="rect">
            <a:avLst/>
          </a:prstGeom>
          <a:ln>
            <a:solidFill>
              <a:schemeClr val="tx1"/>
            </a:solidFill>
          </a:ln>
        </xdr:spPr>
      </xdr:pic>
      <xdr:pic>
        <xdr:nvPicPr>
          <xdr:cNvPr id="87" name="Picture 86"/>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672071" y="41736486"/>
            <a:ext cx="1353766" cy="1800000"/>
          </a:xfrm>
          <a:prstGeom prst="rect">
            <a:avLst/>
          </a:prstGeom>
          <a:ln>
            <a:solidFill>
              <a:schemeClr val="tx1"/>
            </a:solidFill>
          </a:ln>
        </xdr:spPr>
      </xdr:pic>
      <xdr:pic>
        <xdr:nvPicPr>
          <xdr:cNvPr id="88" name="Picture 87"/>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4723666" y="38880018"/>
            <a:ext cx="2057724" cy="2736000"/>
          </a:xfrm>
          <a:prstGeom prst="rect">
            <a:avLst/>
          </a:prstGeom>
          <a:ln>
            <a:solidFill>
              <a:schemeClr val="tx1"/>
            </a:solidFill>
          </a:ln>
        </xdr:spPr>
      </xdr:pic>
      <xdr:pic>
        <xdr:nvPicPr>
          <xdr:cNvPr id="89" name="Picture 88"/>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2507448" y="38880018"/>
            <a:ext cx="2057724" cy="2736000"/>
          </a:xfrm>
          <a:prstGeom prst="rect">
            <a:avLst/>
          </a:prstGeom>
          <a:ln>
            <a:solidFill>
              <a:schemeClr val="tx1"/>
            </a:solidFill>
          </a:ln>
        </xdr:spPr>
      </xdr:pic>
      <xdr:sp macro="" textlink="">
        <xdr:nvSpPr>
          <xdr:cNvPr id="90" name="TextBox 177">
            <a:extLst>
              <a:ext uri="{FF2B5EF4-FFF2-40B4-BE49-F238E27FC236}">
                <a16:creationId xmlns:a16="http://schemas.microsoft.com/office/drawing/2014/main" id="{F68FA49A-F346-4B83-8043-D62E0D38B06E}"/>
              </a:ext>
            </a:extLst>
          </xdr:cNvPr>
          <xdr:cNvSpPr txBox="1"/>
        </xdr:nvSpPr>
        <xdr:spPr>
          <a:xfrm>
            <a:off x="653180" y="38417500"/>
            <a:ext cx="1338907" cy="36359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&amp; B Wing</a:t>
            </a:r>
            <a:endParaRPr lang="en-IN" b="1">
              <a:solidFill>
                <a:srgbClr val="FF0000"/>
              </a:solidFill>
            </a:endParaRPr>
          </a:p>
        </xdr:txBody>
      </xdr:sp>
      <xdr:sp macro="" textlink="">
        <xdr:nvSpPr>
          <xdr:cNvPr id="91" name="TextBox 177">
            <a:extLst>
              <a:ext uri="{FF2B5EF4-FFF2-40B4-BE49-F238E27FC236}">
                <a16:creationId xmlns:a16="http://schemas.microsoft.com/office/drawing/2014/main" id="{F68FA49A-F346-4B83-8043-D62E0D38B06E}"/>
              </a:ext>
            </a:extLst>
          </xdr:cNvPr>
          <xdr:cNvSpPr txBox="1"/>
        </xdr:nvSpPr>
        <xdr:spPr>
          <a:xfrm>
            <a:off x="1097680" y="39032418"/>
            <a:ext cx="1338907" cy="36359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 &amp; D Wing</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nuEbx4e1wEwMeGr5"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57"/>
  <sheetViews>
    <sheetView tabSelected="1" view="pageBreakPreview" zoomScaleNormal="100" zoomScaleSheetLayoutView="100" zoomScalePageLayoutView="85" workbookViewId="0">
      <selection activeCell="E10" sqref="E10:H10"/>
    </sheetView>
  </sheetViews>
  <sheetFormatPr defaultColWidth="9.1796875" defaultRowHeight="15.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7" width="11" style="37" customWidth="1"/>
    <col min="8" max="8" width="18.26953125"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c r="A1" s="127" t="s">
        <v>154</v>
      </c>
      <c r="B1" s="127"/>
      <c r="C1" s="127"/>
      <c r="D1" s="127"/>
      <c r="E1" s="127"/>
      <c r="F1" s="127"/>
      <c r="G1" s="127"/>
      <c r="H1" s="127"/>
    </row>
    <row r="2" spans="1:26" ht="16.5" customHeight="1">
      <c r="A2" s="128" t="s">
        <v>0</v>
      </c>
      <c r="B2" s="128"/>
      <c r="C2" s="128"/>
      <c r="D2" s="128"/>
      <c r="E2" s="128"/>
      <c r="F2" s="128"/>
      <c r="G2" s="128"/>
      <c r="H2" s="128"/>
    </row>
    <row r="3" spans="1:26">
      <c r="A3" s="100" t="s">
        <v>1</v>
      </c>
      <c r="B3" s="100"/>
      <c r="C3" s="100"/>
      <c r="D3" s="100"/>
      <c r="E3" s="100" t="str">
        <f ca="1">TEXT(TODAY(),"DD/MM/YYYY")</f>
        <v>10/09/2025</v>
      </c>
      <c r="F3" s="100"/>
      <c r="G3" s="100"/>
      <c r="H3" s="100"/>
      <c r="K3" s="49" t="s">
        <v>223</v>
      </c>
      <c r="L3" s="47" t="s">
        <v>221</v>
      </c>
      <c r="M3" s="47" t="s">
        <v>226</v>
      </c>
      <c r="N3" s="47" t="s">
        <v>224</v>
      </c>
      <c r="O3" s="47" t="s">
        <v>225</v>
      </c>
      <c r="P3" s="47" t="s">
        <v>227</v>
      </c>
    </row>
    <row r="4" spans="1:26" ht="15" customHeight="1">
      <c r="A4" s="100" t="s">
        <v>220</v>
      </c>
      <c r="B4" s="100"/>
      <c r="C4" s="100"/>
      <c r="D4" s="100"/>
      <c r="E4" s="100" t="s">
        <v>221</v>
      </c>
      <c r="F4" s="100"/>
      <c r="G4" s="100"/>
      <c r="H4" s="100"/>
      <c r="K4" s="46" t="s">
        <v>222</v>
      </c>
      <c r="L4" s="47" t="s">
        <v>160</v>
      </c>
      <c r="M4" s="47" t="s">
        <v>231</v>
      </c>
      <c r="N4" s="47" t="s">
        <v>233</v>
      </c>
      <c r="O4" s="47" t="s">
        <v>235</v>
      </c>
      <c r="P4" s="47"/>
    </row>
    <row r="5" spans="1:26" ht="15" customHeight="1">
      <c r="A5" s="100" t="s">
        <v>2</v>
      </c>
      <c r="B5" s="100"/>
      <c r="C5" s="100"/>
      <c r="D5" s="100"/>
      <c r="E5" s="100" t="s">
        <v>230</v>
      </c>
      <c r="F5" s="100"/>
      <c r="G5" s="100"/>
      <c r="H5" s="100"/>
      <c r="K5" s="46"/>
      <c r="L5" s="47" t="s">
        <v>228</v>
      </c>
      <c r="M5" s="47" t="s">
        <v>232</v>
      </c>
      <c r="N5" s="47" t="s">
        <v>234</v>
      </c>
      <c r="O5" s="47" t="s">
        <v>236</v>
      </c>
      <c r="P5" s="47"/>
    </row>
    <row r="6" spans="1:26">
      <c r="A6" s="100" t="s">
        <v>3</v>
      </c>
      <c r="B6" s="100"/>
      <c r="C6" s="100"/>
      <c r="D6" s="100"/>
      <c r="E6" s="132">
        <v>45906</v>
      </c>
      <c r="F6" s="100"/>
      <c r="G6" s="100"/>
      <c r="H6" s="100"/>
      <c r="K6" s="46"/>
      <c r="L6" s="47" t="s">
        <v>229</v>
      </c>
      <c r="M6" s="47"/>
      <c r="N6" s="47"/>
      <c r="O6" s="47" t="s">
        <v>237</v>
      </c>
      <c r="P6" s="47"/>
    </row>
    <row r="7" spans="1:26" ht="16.5" customHeight="1">
      <c r="A7" s="100" t="s">
        <v>4</v>
      </c>
      <c r="B7" s="100"/>
      <c r="C7" s="100"/>
      <c r="D7" s="100"/>
      <c r="E7" s="87" t="s">
        <v>284</v>
      </c>
      <c r="F7" s="87"/>
      <c r="G7" s="87"/>
      <c r="H7" s="87"/>
      <c r="I7"/>
      <c r="K7" s="46"/>
      <c r="L7" s="47" t="s">
        <v>230</v>
      </c>
      <c r="M7" s="47"/>
      <c r="N7" s="47"/>
      <c r="O7" s="47" t="s">
        <v>237</v>
      </c>
      <c r="P7" s="47"/>
    </row>
    <row r="8" spans="1:26" ht="15" customHeight="1">
      <c r="A8" s="100" t="s">
        <v>5</v>
      </c>
      <c r="B8" s="100"/>
      <c r="C8" s="100"/>
      <c r="D8" s="100"/>
      <c r="E8" s="100" t="str">
        <f>E7</f>
        <v>Deepali Landscape</v>
      </c>
      <c r="F8" s="100"/>
      <c r="G8" s="100"/>
      <c r="H8" s="100"/>
      <c r="I8" s="59"/>
      <c r="K8" s="46"/>
      <c r="L8" s="47"/>
      <c r="M8" s="47"/>
      <c r="N8" s="47"/>
      <c r="O8" s="47" t="s">
        <v>238</v>
      </c>
      <c r="P8" s="47"/>
    </row>
    <row r="9" spans="1:26">
      <c r="A9" s="100" t="s">
        <v>6</v>
      </c>
      <c r="B9" s="100"/>
      <c r="C9" s="100"/>
      <c r="D9" s="100"/>
      <c r="E9" s="209" t="s">
        <v>285</v>
      </c>
      <c r="F9" s="209"/>
      <c r="G9" s="209"/>
      <c r="H9" s="209"/>
      <c r="K9" s="46"/>
      <c r="L9" s="47"/>
      <c r="M9" s="47"/>
      <c r="N9" s="47"/>
      <c r="O9" s="47" t="s">
        <v>239</v>
      </c>
      <c r="P9" s="47"/>
    </row>
    <row r="10" spans="1:26">
      <c r="A10" s="100" t="s">
        <v>157</v>
      </c>
      <c r="B10" s="100"/>
      <c r="C10" s="100"/>
      <c r="D10" s="100"/>
      <c r="E10" s="87" t="s">
        <v>314</v>
      </c>
      <c r="F10" s="87"/>
      <c r="G10" s="87"/>
      <c r="H10" s="87"/>
      <c r="I10"/>
      <c r="K10" s="46"/>
      <c r="L10" s="47"/>
      <c r="M10" s="47"/>
      <c r="N10" s="47"/>
      <c r="O10" s="47"/>
      <c r="P10" s="47"/>
    </row>
    <row r="11" spans="1:26">
      <c r="A11" s="100" t="s">
        <v>158</v>
      </c>
      <c r="B11" s="100"/>
      <c r="C11" s="100"/>
      <c r="D11" s="100"/>
      <c r="E11" s="87" t="s">
        <v>27</v>
      </c>
      <c r="F11" s="87"/>
      <c r="G11" s="87"/>
      <c r="H11" s="87"/>
    </row>
    <row r="12" spans="1:26">
      <c r="A12" s="100" t="s">
        <v>7</v>
      </c>
      <c r="B12" s="100"/>
      <c r="C12" s="100"/>
      <c r="D12" s="100"/>
      <c r="E12" s="100" t="s">
        <v>315</v>
      </c>
      <c r="F12" s="100"/>
      <c r="G12" s="100"/>
      <c r="H12" s="100"/>
    </row>
    <row r="13" spans="1:26" ht="16.5" customHeight="1">
      <c r="A13" s="100" t="s">
        <v>161</v>
      </c>
      <c r="B13" s="100"/>
      <c r="C13" s="100"/>
      <c r="D13" s="100"/>
      <c r="E13" s="100" t="s">
        <v>27</v>
      </c>
      <c r="F13" s="100"/>
      <c r="G13" s="100"/>
      <c r="H13" s="100"/>
      <c r="I13" s="55"/>
      <c r="J13" s="55"/>
      <c r="S13" s="47" t="s">
        <v>166</v>
      </c>
      <c r="T13" s="47" t="s">
        <v>176</v>
      </c>
      <c r="U13" s="47" t="s">
        <v>162</v>
      </c>
      <c r="V13" s="47" t="s">
        <v>181</v>
      </c>
      <c r="W13" s="47" t="s">
        <v>199</v>
      </c>
      <c r="X13"/>
      <c r="Y13" t="s">
        <v>181</v>
      </c>
      <c r="Z13" t="e">
        <f ca="1">OFFSET($S$13,1,MATCH($G20,$S$13:$W$13,0)-1,15,1)</f>
        <v>#VALUE!</v>
      </c>
    </row>
    <row r="14" spans="1:26" ht="16.5" customHeight="1">
      <c r="A14" s="79" t="s">
        <v>266</v>
      </c>
      <c r="B14" s="79"/>
      <c r="C14" s="79"/>
      <c r="D14" s="79"/>
      <c r="E14" s="87" t="s">
        <v>310</v>
      </c>
      <c r="F14" s="87"/>
      <c r="G14" s="87"/>
      <c r="H14" s="87"/>
      <c r="I14" s="55"/>
      <c r="S14" s="47" t="s">
        <v>167</v>
      </c>
      <c r="T14" s="47" t="s">
        <v>174</v>
      </c>
      <c r="U14" s="47" t="s">
        <v>196</v>
      </c>
      <c r="V14" s="47" t="s">
        <v>182</v>
      </c>
      <c r="W14" s="47" t="s">
        <v>200</v>
      </c>
      <c r="X14"/>
      <c r="Y14"/>
      <c r="Z14"/>
    </row>
    <row r="15" spans="1:26">
      <c r="A15" s="79" t="s">
        <v>312</v>
      </c>
      <c r="B15" s="79"/>
      <c r="C15" s="79"/>
      <c r="D15" s="79"/>
      <c r="E15" s="87" t="s">
        <v>313</v>
      </c>
      <c r="F15" s="100"/>
      <c r="G15" s="100"/>
      <c r="H15" s="100"/>
      <c r="I15" s="182" t="e">
        <f ca="1">OFFSET($D$5,1,MATCH($J13,$D$5:$H$5,0)-1,15,1)</f>
        <v>#N/A</v>
      </c>
      <c r="J15" s="183"/>
      <c r="K15" s="183"/>
      <c r="L15" s="183"/>
      <c r="M15" s="183"/>
      <c r="N15" s="183"/>
      <c r="O15" s="183"/>
      <c r="P15" s="183"/>
      <c r="S15" s="47" t="s">
        <v>168</v>
      </c>
      <c r="T15" s="47" t="s">
        <v>175</v>
      </c>
      <c r="U15" s="47" t="s">
        <v>197</v>
      </c>
      <c r="V15" s="47" t="s">
        <v>183</v>
      </c>
      <c r="W15" s="47" t="s">
        <v>213</v>
      </c>
      <c r="X15"/>
      <c r="Y15"/>
      <c r="Z15"/>
    </row>
    <row r="16" spans="1:26" ht="48.75" customHeight="1">
      <c r="A16" s="87" t="s">
        <v>8</v>
      </c>
      <c r="B16" s="87"/>
      <c r="C16" s="87" t="str">
        <f>CONCATENATE((IF(OR(E9="",E9="NA"),"",E9)),", ",(IF(OR(A17="",A17="NA"),"",A17)),".",(IF(OR(C17="",C17="NA"),"",C17)),", near ",(IF(OR(C22="",C22="NA"),"",C22)),", ",(IF(OR(C19="",C19="NA"),"",C19)),", ",(IF(OR(C18="",C18="NA"),"",C18)),", ",(IF(OR(G19="",G19="NA"),"",G19)),", ",(IF(OR(C20="",C20="NA"),"",C20)),", ",(IF(OR(C21="",C21="NA"),"",C21)),", ",(IF(OR(G20="",G20="NA"),"",G20))," - ",(IF(OR(G21="",G21="NA"),"",G21)),".")</f>
        <v>Jai Ganesh Co-operative Housing Society Ltd, Survey No.42(Pt) &amp; Plot No. H1 (9 To 16 &amp; 17 To 22) , near Rupali Arcade Apartment, Internal Road, Gaikwad Nagar, Kulgaon, Badlapur West, Ambernath, Thane  - 421503.</v>
      </c>
      <c r="D16" s="87"/>
      <c r="E16" s="87"/>
      <c r="F16" s="87"/>
      <c r="G16" s="87"/>
      <c r="H16" s="87"/>
      <c r="I16"/>
      <c r="S16" s="47" t="s">
        <v>169</v>
      </c>
      <c r="T16" s="47" t="s">
        <v>177</v>
      </c>
      <c r="U16" s="47" t="s">
        <v>198</v>
      </c>
      <c r="V16" s="47" t="s">
        <v>184</v>
      </c>
      <c r="W16" s="47" t="s">
        <v>201</v>
      </c>
      <c r="X16"/>
      <c r="Y16"/>
      <c r="Z16"/>
    </row>
    <row r="17" spans="1:26">
      <c r="A17" s="87" t="s">
        <v>286</v>
      </c>
      <c r="B17" s="87"/>
      <c r="C17" s="87" t="s">
        <v>316</v>
      </c>
      <c r="D17" s="87"/>
      <c r="E17" s="87"/>
      <c r="F17" s="87"/>
      <c r="G17" s="87"/>
      <c r="H17" s="87"/>
      <c r="S17" s="47" t="s">
        <v>170</v>
      </c>
      <c r="T17" s="47" t="s">
        <v>178</v>
      </c>
      <c r="U17" s="47" t="s">
        <v>162</v>
      </c>
      <c r="V17" s="47" t="s">
        <v>185</v>
      </c>
      <c r="W17" s="47" t="s">
        <v>202</v>
      </c>
      <c r="X17"/>
      <c r="Y17"/>
      <c r="Z17"/>
    </row>
    <row r="18" spans="1:26" ht="15.75" customHeight="1">
      <c r="A18" s="87" t="s">
        <v>152</v>
      </c>
      <c r="B18" s="87"/>
      <c r="C18" s="87" t="s">
        <v>299</v>
      </c>
      <c r="D18" s="87"/>
      <c r="E18" s="87"/>
      <c r="F18" s="87"/>
      <c r="G18" s="87"/>
      <c r="H18" s="87"/>
      <c r="S18" s="47" t="s">
        <v>171</v>
      </c>
      <c r="T18" s="47" t="s">
        <v>176</v>
      </c>
      <c r="U18" s="47"/>
      <c r="V18" s="47" t="s">
        <v>186</v>
      </c>
      <c r="W18" s="47" t="s">
        <v>203</v>
      </c>
      <c r="X18"/>
      <c r="Y18"/>
      <c r="Z18"/>
    </row>
    <row r="19" spans="1:26" ht="15.75" customHeight="1">
      <c r="A19" s="87" t="s">
        <v>9</v>
      </c>
      <c r="B19" s="87"/>
      <c r="C19" s="100" t="s">
        <v>318</v>
      </c>
      <c r="D19" s="100"/>
      <c r="E19" s="87" t="s">
        <v>68</v>
      </c>
      <c r="F19" s="87"/>
      <c r="G19" s="87" t="s">
        <v>317</v>
      </c>
      <c r="H19" s="87"/>
      <c r="S19" s="47" t="s">
        <v>172</v>
      </c>
      <c r="T19" s="47" t="s">
        <v>179</v>
      </c>
      <c r="U19" s="47"/>
      <c r="V19" s="47" t="s">
        <v>187</v>
      </c>
      <c r="W19" s="47" t="s">
        <v>204</v>
      </c>
      <c r="X19"/>
      <c r="Y19"/>
      <c r="Z19"/>
    </row>
    <row r="20" spans="1:26">
      <c r="A20" s="100" t="s">
        <v>11</v>
      </c>
      <c r="B20" s="100"/>
      <c r="C20" s="87" t="s">
        <v>300</v>
      </c>
      <c r="D20" s="87"/>
      <c r="E20" s="87" t="s">
        <v>10</v>
      </c>
      <c r="F20" s="87"/>
      <c r="G20" s="126" t="s">
        <v>166</v>
      </c>
      <c r="H20" s="126"/>
      <c r="L20"/>
      <c r="S20" s="47" t="s">
        <v>173</v>
      </c>
      <c r="T20" s="47" t="s">
        <v>180</v>
      </c>
      <c r="U20" s="47"/>
      <c r="V20" s="47" t="s">
        <v>188</v>
      </c>
      <c r="W20" s="47" t="s">
        <v>205</v>
      </c>
      <c r="X20"/>
      <c r="Y20"/>
      <c r="Z20"/>
    </row>
    <row r="21" spans="1:26">
      <c r="A21" s="100" t="s">
        <v>69</v>
      </c>
      <c r="B21" s="100"/>
      <c r="C21" s="87" t="s">
        <v>172</v>
      </c>
      <c r="D21" s="87"/>
      <c r="E21" s="87" t="s">
        <v>12</v>
      </c>
      <c r="F21" s="87"/>
      <c r="G21" s="87">
        <v>421503</v>
      </c>
      <c r="H21" s="87"/>
      <c r="S21" s="47"/>
      <c r="T21" s="47"/>
      <c r="U21" s="47"/>
      <c r="V21" s="47" t="s">
        <v>189</v>
      </c>
      <c r="W21" s="47" t="s">
        <v>206</v>
      </c>
      <c r="X21"/>
      <c r="Y21"/>
      <c r="Z21"/>
    </row>
    <row r="22" spans="1:26" ht="32.25" customHeight="1">
      <c r="A22" s="100" t="s">
        <v>115</v>
      </c>
      <c r="B22" s="100"/>
      <c r="C22" s="87" t="s">
        <v>306</v>
      </c>
      <c r="D22" s="87"/>
      <c r="E22" s="87" t="s">
        <v>13</v>
      </c>
      <c r="F22" s="87"/>
      <c r="G22" s="87" t="s">
        <v>301</v>
      </c>
      <c r="H22" s="87"/>
      <c r="S22" s="47"/>
      <c r="T22" s="47"/>
      <c r="U22" s="47"/>
      <c r="V22" s="47" t="s">
        <v>190</v>
      </c>
      <c r="W22" s="47" t="s">
        <v>207</v>
      </c>
      <c r="X22"/>
      <c r="Y22"/>
      <c r="Z22"/>
    </row>
    <row r="23" spans="1:26" ht="15" customHeight="1">
      <c r="A23" s="87" t="s">
        <v>70</v>
      </c>
      <c r="B23" s="87"/>
      <c r="C23" s="87"/>
      <c r="D23" s="87"/>
      <c r="E23" s="100" t="s">
        <v>14</v>
      </c>
      <c r="F23" s="100"/>
      <c r="G23" s="100"/>
      <c r="H23" s="100"/>
      <c r="S23" s="47"/>
      <c r="T23" s="47"/>
      <c r="U23" s="47"/>
      <c r="V23" s="47" t="s">
        <v>191</v>
      </c>
      <c r="W23" s="47" t="s">
        <v>208</v>
      </c>
      <c r="X23"/>
      <c r="Y23"/>
      <c r="Z23"/>
    </row>
    <row r="24" spans="1:26" ht="18.75" customHeight="1">
      <c r="A24" s="87"/>
      <c r="B24" s="87"/>
      <c r="C24" s="87"/>
      <c r="D24" s="87"/>
      <c r="E24" s="100"/>
      <c r="F24" s="100"/>
      <c r="G24" s="100"/>
      <c r="H24" s="100"/>
      <c r="S24" s="47"/>
      <c r="T24" s="47"/>
      <c r="U24" s="47"/>
      <c r="V24" s="47" t="s">
        <v>192</v>
      </c>
      <c r="W24" s="47" t="s">
        <v>209</v>
      </c>
      <c r="X24"/>
      <c r="Y24"/>
      <c r="Z24"/>
    </row>
    <row r="25" spans="1:26" ht="15" customHeight="1">
      <c r="A25" s="109" t="s">
        <v>15</v>
      </c>
      <c r="B25" s="109"/>
      <c r="C25" s="109"/>
      <c r="D25" s="109"/>
      <c r="E25" s="87" t="s">
        <v>16</v>
      </c>
      <c r="F25" s="87"/>
      <c r="G25" s="87"/>
      <c r="H25" s="87"/>
      <c r="S25" s="47"/>
      <c r="T25" s="47"/>
      <c r="U25" s="47"/>
      <c r="V25" s="47" t="s">
        <v>193</v>
      </c>
      <c r="W25" s="47" t="s">
        <v>210</v>
      </c>
      <c r="X25"/>
      <c r="Y25"/>
      <c r="Z25"/>
    </row>
    <row r="26" spans="1:26" ht="15" customHeight="1">
      <c r="A26" s="79" t="s">
        <v>17</v>
      </c>
      <c r="B26" s="79"/>
      <c r="C26" s="79"/>
      <c r="D26" s="79"/>
      <c r="E26" s="87" t="str">
        <f>IF(AND(G20="Mumbai"),"Upper Class","Middle Class")</f>
        <v>Middle Class</v>
      </c>
      <c r="F26" s="87"/>
      <c r="G26" s="87"/>
      <c r="H26" s="87"/>
      <c r="S26" s="47"/>
      <c r="T26" s="47"/>
      <c r="U26" s="47"/>
      <c r="V26" s="47" t="s">
        <v>194</v>
      </c>
      <c r="W26" s="47" t="s">
        <v>211</v>
      </c>
      <c r="X26"/>
      <c r="Y26"/>
      <c r="Z26"/>
    </row>
    <row r="27" spans="1:26">
      <c r="A27" s="79" t="s">
        <v>18</v>
      </c>
      <c r="B27" s="79"/>
      <c r="C27" s="79"/>
      <c r="D27" s="79"/>
      <c r="E27" s="87" t="s">
        <v>19</v>
      </c>
      <c r="F27" s="87"/>
      <c r="G27" s="87"/>
      <c r="H27" s="87"/>
      <c r="S27" s="47"/>
      <c r="T27" s="47"/>
      <c r="U27" s="47"/>
      <c r="V27" s="47" t="s">
        <v>195</v>
      </c>
      <c r="W27" s="47" t="s">
        <v>212</v>
      </c>
      <c r="X27"/>
      <c r="Y27"/>
      <c r="Z27"/>
    </row>
    <row r="28" spans="1:26" ht="15.75" customHeight="1">
      <c r="A28" s="79" t="s">
        <v>20</v>
      </c>
      <c r="B28" s="79"/>
      <c r="C28" s="79"/>
      <c r="D28" s="79"/>
      <c r="E28" s="87" t="str">
        <f>IF(AND(G20="Mumbai"),"Developed","Developing")</f>
        <v>Developing</v>
      </c>
      <c r="F28" s="87"/>
      <c r="G28" s="87"/>
      <c r="H28" s="87"/>
    </row>
    <row r="29" spans="1:26">
      <c r="A29" s="79" t="s">
        <v>21</v>
      </c>
      <c r="B29" s="79"/>
      <c r="C29" s="79"/>
      <c r="D29" s="79"/>
      <c r="E29" s="87" t="s">
        <v>22</v>
      </c>
      <c r="F29" s="87"/>
      <c r="G29" s="87"/>
      <c r="H29" s="87"/>
    </row>
    <row r="30" spans="1:26" ht="15.75" customHeight="1">
      <c r="A30" s="79" t="s">
        <v>75</v>
      </c>
      <c r="B30" s="79"/>
      <c r="C30" s="79"/>
      <c r="D30" s="79"/>
      <c r="E30" s="87" t="s">
        <v>76</v>
      </c>
      <c r="F30" s="87"/>
      <c r="G30" s="87"/>
      <c r="H30" s="87"/>
    </row>
    <row r="31" spans="1:26" ht="15" customHeight="1">
      <c r="A31" s="79" t="s">
        <v>29</v>
      </c>
      <c r="B31" s="79"/>
      <c r="C31" s="79"/>
      <c r="D31" s="79"/>
      <c r="E31" s="87"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v>
      </c>
      <c r="F31" s="87"/>
      <c r="G31" s="87"/>
      <c r="H31" s="87"/>
    </row>
    <row r="32" spans="1:26" ht="15.75" customHeight="1">
      <c r="A32" s="79" t="s">
        <v>87</v>
      </c>
      <c r="B32" s="79"/>
      <c r="C32" s="79"/>
      <c r="D32" s="79"/>
      <c r="E32" s="87" t="s">
        <v>30</v>
      </c>
      <c r="F32" s="87"/>
      <c r="G32" s="87"/>
      <c r="H32" s="87"/>
    </row>
    <row r="33" spans="1:19" s="19" customFormat="1">
      <c r="A33" s="125" t="s">
        <v>88</v>
      </c>
      <c r="B33" s="125"/>
      <c r="C33" s="151" t="s">
        <v>163</v>
      </c>
      <c r="D33" s="151"/>
      <c r="E33" s="151"/>
      <c r="F33" s="151" t="s">
        <v>28</v>
      </c>
      <c r="G33" s="151"/>
      <c r="H33" s="151"/>
      <c r="S33" s="19" t="e">
        <f ca="1">OFFSET($S$13,1,MATCH($G20,$S$13:$W$13,0)-1,15,1)</f>
        <v>#VALUE!</v>
      </c>
    </row>
    <row r="34" spans="1:19" s="19" customFormat="1">
      <c r="A34" s="110" t="s">
        <v>23</v>
      </c>
      <c r="B34" s="110" t="s">
        <v>27</v>
      </c>
      <c r="C34" s="210" t="s">
        <v>302</v>
      </c>
      <c r="D34" s="210"/>
      <c r="E34" s="210"/>
      <c r="F34" s="210" t="s">
        <v>9</v>
      </c>
      <c r="G34" s="210"/>
      <c r="H34" s="210"/>
    </row>
    <row r="35" spans="1:19">
      <c r="A35" s="110" t="s">
        <v>24</v>
      </c>
      <c r="B35" s="110" t="s">
        <v>27</v>
      </c>
      <c r="C35" s="210" t="s">
        <v>304</v>
      </c>
      <c r="D35" s="210"/>
      <c r="E35" s="210"/>
      <c r="F35" s="210" t="s">
        <v>9</v>
      </c>
      <c r="G35" s="210"/>
      <c r="H35" s="210"/>
    </row>
    <row r="36" spans="1:19" s="19" customFormat="1">
      <c r="A36" s="110" t="s">
        <v>26</v>
      </c>
      <c r="B36" s="110" t="s">
        <v>27</v>
      </c>
      <c r="C36" s="210" t="s">
        <v>326</v>
      </c>
      <c r="D36" s="210"/>
      <c r="E36" s="210"/>
      <c r="F36" s="210" t="s">
        <v>305</v>
      </c>
      <c r="G36" s="210"/>
      <c r="H36" s="210"/>
    </row>
    <row r="37" spans="1:19">
      <c r="A37" s="110" t="s">
        <v>25</v>
      </c>
      <c r="B37" s="110" t="s">
        <v>27</v>
      </c>
      <c r="C37" s="210" t="s">
        <v>303</v>
      </c>
      <c r="D37" s="210"/>
      <c r="E37" s="210"/>
      <c r="F37" s="210" t="s">
        <v>9</v>
      </c>
      <c r="G37" s="210"/>
      <c r="H37" s="210"/>
    </row>
    <row r="38" spans="1:19">
      <c r="A38" s="79" t="s">
        <v>267</v>
      </c>
      <c r="B38" s="79"/>
      <c r="C38" s="79"/>
      <c r="D38" s="79"/>
      <c r="E38" s="79"/>
      <c r="F38" s="79"/>
      <c r="G38" s="79"/>
      <c r="H38" s="79"/>
    </row>
    <row r="39" spans="1:19" ht="15.75" customHeight="1">
      <c r="A39" s="79" t="s">
        <v>155</v>
      </c>
      <c r="B39" s="79"/>
      <c r="C39" s="83" t="s">
        <v>308</v>
      </c>
      <c r="D39" s="83"/>
      <c r="E39" s="83"/>
      <c r="F39" s="83"/>
      <c r="G39" s="83"/>
      <c r="H39" s="83"/>
    </row>
    <row r="40" spans="1:19">
      <c r="A40" s="79" t="s">
        <v>151</v>
      </c>
      <c r="B40" s="79"/>
      <c r="C40" s="86" t="s">
        <v>307</v>
      </c>
      <c r="D40" s="87"/>
      <c r="E40" s="87"/>
      <c r="F40" s="87"/>
      <c r="G40" s="87"/>
      <c r="H40" s="87"/>
    </row>
    <row r="41" spans="1:19">
      <c r="A41" s="83" t="s">
        <v>322</v>
      </c>
      <c r="B41" s="83"/>
      <c r="C41" s="83"/>
      <c r="D41" s="83"/>
      <c r="E41" s="128" t="s">
        <v>320</v>
      </c>
      <c r="F41" s="128"/>
      <c r="G41" s="128" t="s">
        <v>321</v>
      </c>
      <c r="H41" s="128"/>
    </row>
    <row r="42" spans="1:19">
      <c r="A42" s="79" t="s">
        <v>31</v>
      </c>
      <c r="B42" s="79"/>
      <c r="C42" s="79"/>
      <c r="D42" s="79"/>
      <c r="E42" s="211">
        <v>677.56</v>
      </c>
      <c r="F42" s="211"/>
      <c r="G42" s="211">
        <v>529.41999999999996</v>
      </c>
      <c r="H42" s="211"/>
    </row>
    <row r="43" spans="1:19">
      <c r="A43" s="79" t="s">
        <v>32</v>
      </c>
      <c r="B43" s="79"/>
      <c r="C43" s="79"/>
      <c r="D43" s="79"/>
      <c r="E43" s="212">
        <f>745.31/E42</f>
        <v>1.0999911446956727</v>
      </c>
      <c r="F43" s="212"/>
      <c r="G43" s="212">
        <f>745.31/G42</f>
        <v>1.4077858788863284</v>
      </c>
      <c r="H43" s="212"/>
    </row>
    <row r="44" spans="1:19">
      <c r="A44" s="79" t="s">
        <v>33</v>
      </c>
      <c r="B44" s="79"/>
      <c r="C44" s="79"/>
      <c r="D44" s="79"/>
      <c r="E44" s="212">
        <f>E46/E42-E43</f>
        <v>1.1238414310171796</v>
      </c>
      <c r="F44" s="212"/>
      <c r="G44" s="212">
        <f>G46/G42-G43</f>
        <v>0.82992709002304443</v>
      </c>
      <c r="H44" s="212"/>
    </row>
    <row r="45" spans="1:19">
      <c r="A45" s="79" t="s">
        <v>34</v>
      </c>
      <c r="B45" s="79"/>
      <c r="C45" s="79"/>
      <c r="D45" s="79"/>
      <c r="E45" s="212">
        <f>E43+E44</f>
        <v>2.2238325757128523</v>
      </c>
      <c r="F45" s="212"/>
      <c r="G45" s="212">
        <f>G43+G44</f>
        <v>2.2377129689093729</v>
      </c>
      <c r="H45" s="212"/>
    </row>
    <row r="46" spans="1:19">
      <c r="A46" s="79" t="s">
        <v>86</v>
      </c>
      <c r="B46" s="79"/>
      <c r="C46" s="79"/>
      <c r="D46" s="79"/>
      <c r="E46" s="196">
        <v>1506.78</v>
      </c>
      <c r="F46" s="197"/>
      <c r="G46" s="196">
        <v>1184.69</v>
      </c>
      <c r="H46" s="197"/>
    </row>
    <row r="47" spans="1:19">
      <c r="A47" s="100" t="s">
        <v>35</v>
      </c>
      <c r="B47" s="100"/>
      <c r="C47" s="100"/>
      <c r="D47" s="100"/>
      <c r="E47" s="106" t="s">
        <v>319</v>
      </c>
      <c r="F47" s="107"/>
      <c r="G47" s="107"/>
      <c r="H47" s="108"/>
    </row>
    <row r="48" spans="1:19">
      <c r="A48" s="83" t="s">
        <v>36</v>
      </c>
      <c r="B48" s="83"/>
      <c r="C48" s="83"/>
      <c r="D48" s="83"/>
      <c r="E48" s="83"/>
      <c r="F48" s="83"/>
      <c r="G48" s="83"/>
      <c r="H48" s="83"/>
    </row>
    <row r="49" spans="1:22" ht="33.75" customHeight="1">
      <c r="A49" s="90" t="s">
        <v>144</v>
      </c>
      <c r="B49" s="91"/>
      <c r="C49" s="92" t="s">
        <v>249</v>
      </c>
      <c r="D49" s="93"/>
      <c r="E49" s="93"/>
      <c r="F49" s="93"/>
      <c r="G49" s="93"/>
      <c r="H49" s="94"/>
      <c r="R49" t="s">
        <v>240</v>
      </c>
      <c r="S49" t="s">
        <v>162</v>
      </c>
      <c r="T49" t="s">
        <v>166</v>
      </c>
      <c r="U49" t="s">
        <v>181</v>
      </c>
      <c r="V49" t="s">
        <v>176</v>
      </c>
    </row>
    <row r="50" spans="1:22" ht="15.75" customHeight="1">
      <c r="A50" s="90" t="s">
        <v>37</v>
      </c>
      <c r="B50" s="91"/>
      <c r="C50" s="90" t="s">
        <v>289</v>
      </c>
      <c r="D50" s="184"/>
      <c r="E50" s="91"/>
      <c r="F50" s="17" t="s">
        <v>38</v>
      </c>
      <c r="G50" s="185">
        <v>44811</v>
      </c>
      <c r="H50" s="186"/>
      <c r="R50"/>
      <c r="S50" t="s">
        <v>241</v>
      </c>
      <c r="T50" t="s">
        <v>246</v>
      </c>
      <c r="U50" t="s">
        <v>257</v>
      </c>
      <c r="V50" t="s">
        <v>262</v>
      </c>
    </row>
    <row r="51" spans="1:22" ht="15.75" customHeight="1">
      <c r="A51" s="90" t="s">
        <v>39</v>
      </c>
      <c r="B51" s="91"/>
      <c r="C51" s="90" t="str">
        <f>C50</f>
        <v>KBNP/NRV/BD/123-130</v>
      </c>
      <c r="D51" s="184"/>
      <c r="E51" s="91"/>
      <c r="F51" s="17" t="s">
        <v>38</v>
      </c>
      <c r="G51" s="185">
        <f>G50</f>
        <v>44811</v>
      </c>
      <c r="H51" s="186"/>
      <c r="R51"/>
      <c r="S51" t="s">
        <v>242</v>
      </c>
      <c r="T51" t="s">
        <v>247</v>
      </c>
      <c r="U51" t="s">
        <v>255</v>
      </c>
      <c r="V51" t="s">
        <v>263</v>
      </c>
    </row>
    <row r="52" spans="1:22" s="20" customFormat="1" ht="33" customHeight="1">
      <c r="A52" s="188" t="s">
        <v>148</v>
      </c>
      <c r="B52" s="189"/>
      <c r="C52" s="90" t="s">
        <v>290</v>
      </c>
      <c r="D52" s="184"/>
      <c r="E52" s="91"/>
      <c r="F52" s="17" t="s">
        <v>38</v>
      </c>
      <c r="G52" s="198">
        <f>G51</f>
        <v>44811</v>
      </c>
      <c r="H52" s="91"/>
      <c r="R52"/>
      <c r="S52" t="s">
        <v>243</v>
      </c>
      <c r="T52" t="s">
        <v>248</v>
      </c>
      <c r="U52" t="s">
        <v>245</v>
      </c>
      <c r="V52" t="s">
        <v>264</v>
      </c>
    </row>
    <row r="53" spans="1:22" s="20" customFormat="1">
      <c r="A53" s="190"/>
      <c r="B53" s="191"/>
      <c r="C53" s="90" t="s">
        <v>327</v>
      </c>
      <c r="D53" s="184"/>
      <c r="E53" s="184"/>
      <c r="F53" s="184"/>
      <c r="G53" s="184"/>
      <c r="H53" s="91"/>
      <c r="R53"/>
      <c r="S53" t="s">
        <v>244</v>
      </c>
      <c r="T53" t="s">
        <v>251</v>
      </c>
      <c r="U53" t="s">
        <v>258</v>
      </c>
    </row>
    <row r="54" spans="1:22">
      <c r="A54" s="129" t="s">
        <v>40</v>
      </c>
      <c r="B54" s="131"/>
      <c r="C54" s="129" t="s">
        <v>100</v>
      </c>
      <c r="D54" s="130"/>
      <c r="E54" s="131"/>
      <c r="F54" s="39" t="s">
        <v>38</v>
      </c>
      <c r="G54" s="194" t="s">
        <v>27</v>
      </c>
      <c r="H54" s="195"/>
      <c r="R54"/>
      <c r="T54" t="s">
        <v>256</v>
      </c>
    </row>
    <row r="55" spans="1:22">
      <c r="A55" s="159" t="s">
        <v>42</v>
      </c>
      <c r="B55" s="159"/>
      <c r="C55" s="159"/>
      <c r="D55" s="159"/>
      <c r="E55" s="159"/>
      <c r="F55" s="159"/>
      <c r="G55" s="159"/>
      <c r="H55" s="159"/>
      <c r="T55" t="s">
        <v>265</v>
      </c>
    </row>
    <row r="56" spans="1:22">
      <c r="A56" s="109" t="s">
        <v>85</v>
      </c>
      <c r="B56" s="109"/>
      <c r="C56" s="109"/>
      <c r="D56" s="207">
        <f>E46+G46</f>
        <v>2691.4700000000003</v>
      </c>
      <c r="E56" s="79"/>
      <c r="F56" s="79"/>
      <c r="G56" s="79"/>
      <c r="H56" s="79"/>
      <c r="R56"/>
    </row>
    <row r="57" spans="1:22">
      <c r="A57" s="87" t="s">
        <v>43</v>
      </c>
      <c r="B57" s="100"/>
      <c r="C57" s="100"/>
      <c r="D57" s="100" t="s">
        <v>298</v>
      </c>
      <c r="E57" s="100"/>
      <c r="F57" s="100"/>
      <c r="G57" s="100"/>
      <c r="H57" s="100"/>
      <c r="I57" s="21"/>
      <c r="R57"/>
    </row>
    <row r="58" spans="1:22" ht="16.5" customHeight="1">
      <c r="A58" s="103" t="s">
        <v>44</v>
      </c>
      <c r="B58" s="104"/>
      <c r="C58" s="105"/>
      <c r="D58" s="101" t="s">
        <v>327</v>
      </c>
      <c r="E58" s="102"/>
      <c r="F58" s="102"/>
      <c r="G58" s="102"/>
      <c r="H58" s="102"/>
      <c r="R58"/>
    </row>
    <row r="59" spans="1:22" ht="15.75" customHeight="1">
      <c r="A59" s="103" t="s">
        <v>83</v>
      </c>
      <c r="B59" s="104"/>
      <c r="C59" s="104"/>
      <c r="D59" s="199" t="s">
        <v>329</v>
      </c>
      <c r="E59" s="200"/>
      <c r="F59" s="200"/>
      <c r="G59" s="200"/>
      <c r="H59" s="201"/>
      <c r="R59"/>
    </row>
    <row r="60" spans="1:22" ht="15.75" customHeight="1">
      <c r="A60" s="169"/>
      <c r="B60" s="170"/>
      <c r="C60" s="170"/>
      <c r="D60" s="171" t="s">
        <v>330</v>
      </c>
      <c r="E60" s="172"/>
      <c r="F60" s="172"/>
      <c r="G60" s="172"/>
      <c r="H60" s="173"/>
      <c r="S60"/>
    </row>
    <row r="61" spans="1:22" ht="15.75" customHeight="1">
      <c r="A61" s="79" t="s">
        <v>41</v>
      </c>
      <c r="B61" s="79"/>
      <c r="C61" s="79"/>
      <c r="D61" s="117" t="s">
        <v>288</v>
      </c>
      <c r="E61" s="117"/>
      <c r="F61" s="117"/>
      <c r="G61" s="117"/>
      <c r="H61" s="117"/>
      <c r="J61" s="22"/>
      <c r="K61" s="21"/>
      <c r="N61" s="21"/>
      <c r="S61"/>
    </row>
    <row r="62" spans="1:22" ht="15.75" customHeight="1">
      <c r="A62" s="79" t="s">
        <v>81</v>
      </c>
      <c r="B62" s="79"/>
      <c r="C62" s="79"/>
      <c r="D62" s="123" t="str">
        <f>(IF(G54="NA","60 Years After Completion",IF(G54&lt;&gt;"NA",""&amp;60-ROUNDDOWN((E3-G54)/360,0)&amp;" Years"," ")))</f>
        <v>60 Years After Completion</v>
      </c>
      <c r="E62" s="123"/>
      <c r="F62" s="123"/>
      <c r="G62" s="123"/>
      <c r="H62" s="123"/>
      <c r="N62" s="21"/>
      <c r="S62"/>
    </row>
    <row r="63" spans="1:22" ht="15.75" customHeight="1">
      <c r="A63" s="79" t="s">
        <v>82</v>
      </c>
      <c r="B63" s="79"/>
      <c r="C63" s="79"/>
      <c r="D63" s="109" t="s">
        <v>22</v>
      </c>
      <c r="E63" s="109"/>
      <c r="F63" s="109"/>
      <c r="G63" s="109"/>
      <c r="H63" s="109"/>
      <c r="J63" s="23"/>
      <c r="K63" s="23"/>
      <c r="S63"/>
    </row>
    <row r="64" spans="1:22" ht="32.25" customHeight="1">
      <c r="A64" s="100" t="s">
        <v>328</v>
      </c>
      <c r="B64" s="100"/>
      <c r="C64" s="100"/>
      <c r="D64" s="87" t="s">
        <v>309</v>
      </c>
      <c r="E64" s="109"/>
      <c r="F64" s="109"/>
      <c r="G64" s="109"/>
      <c r="H64" s="109"/>
      <c r="J64" s="60"/>
      <c r="K64" s="61"/>
      <c r="L64" s="61"/>
      <c r="M64" s="61"/>
      <c r="N64" s="61"/>
      <c r="O64" s="61"/>
      <c r="S64"/>
    </row>
    <row r="65" spans="1:19">
      <c r="A65" s="109" t="s">
        <v>141</v>
      </c>
      <c r="B65" s="109"/>
      <c r="C65" s="109"/>
      <c r="D65" s="109" t="s">
        <v>27</v>
      </c>
      <c r="E65" s="109"/>
      <c r="F65" s="109"/>
      <c r="G65" s="109"/>
      <c r="H65" s="109"/>
      <c r="I65" s="24"/>
      <c r="J65" s="187"/>
      <c r="K65" s="187"/>
      <c r="L65" s="187"/>
      <c r="M65" s="187"/>
      <c r="N65" s="187"/>
      <c r="O65" s="61"/>
    </row>
    <row r="66" spans="1:19" ht="15.75" customHeight="1">
      <c r="A66" s="202" t="s">
        <v>80</v>
      </c>
      <c r="B66" s="202"/>
      <c r="C66" s="202"/>
      <c r="D66" s="101" t="str">
        <f ca="1">(IF(G86&gt;95%,"Nothing",IF(G86&gt;0%,"Cement, Aggregate, Steel, etc",IF(G86=0%,"Work not yet Started"))))</f>
        <v>Cement, Aggregate, Steel, etc</v>
      </c>
      <c r="E66" s="101"/>
      <c r="F66" s="101"/>
      <c r="G66" s="101"/>
      <c r="H66" s="101"/>
      <c r="J66" s="62"/>
      <c r="K66" s="61"/>
      <c r="L66" s="61"/>
      <c r="M66" s="61"/>
      <c r="N66" s="61"/>
      <c r="O66" s="61"/>
      <c r="S66"/>
    </row>
    <row r="67" spans="1:19" ht="33.75" customHeight="1" thickBot="1">
      <c r="A67" s="174" t="s">
        <v>113</v>
      </c>
      <c r="B67" s="174"/>
      <c r="C67" s="174"/>
      <c r="D67" s="175" t="str">
        <f ca="1">(IF(D66="Nothing","Yes",IF(D66="Cement, Aggregate, Steel, etc","Under Construction",IF(D66="Work not yet Started","Work not yet Started"))))</f>
        <v>Under Construction</v>
      </c>
      <c r="E67" s="175"/>
      <c r="F67" s="175" t="str">
        <f ca="1">(IF(D66="Nothing","Yes",IF(D66="Cement, Aggregate, Steel, etc","Under Construction",IF(D66="Work not yet Started","Work not yet Started"))))</f>
        <v>Under Construction</v>
      </c>
      <c r="G67" s="175"/>
      <c r="H67" s="175"/>
      <c r="S67"/>
    </row>
    <row r="68" spans="1:19" ht="15.75" customHeight="1">
      <c r="A68" s="95" t="s">
        <v>133</v>
      </c>
      <c r="B68" s="96"/>
      <c r="C68" s="97" t="s">
        <v>333</v>
      </c>
      <c r="D68" s="98"/>
      <c r="E68" s="98"/>
      <c r="F68" s="98"/>
      <c r="G68" s="98"/>
      <c r="H68" s="99"/>
      <c r="I68" s="41" t="str">
        <f ca="1">IF(D81=100%,"All work Completed. Possession granted to the Building.",IF(D80=100%,"All work Completed, Waiting for OC",I69&amp;""&amp;I70&amp;""&amp;J69&amp;""&amp;J68&amp;" "&amp;J70))</f>
        <v>Excavation, Plinth, RCC Slab, Brickwork, Internal Plaster Completed, External Plaster upto 5 Floor Completed</v>
      </c>
      <c r="J68" s="42" t="str">
        <f ca="1">(IF(C74=(D69+F69+H69),"",IF(C74&gt;0,", RCC upto "&amp;C74&amp;" Slab","")))&amp;(IF(C75=H69,"",IF(C75&gt;0,", Brickwork upto "&amp;C75&amp;" Floor","")))&amp;(IF(C76=H69,"",IF(C76&gt;0,", Internal Plaster upto "&amp;C76&amp;" Floor","")))&amp;(IF(C77=H69,"",IF(C77&gt;0,", External Plaster upto "&amp;C77&amp;" Floor","")))&amp;(IF(C78=H69,"",IF(C78&gt;0,", Flooring upto "&amp;C78&amp;" Floor","")))&amp;(IF(C79=H69,"",IF(C79&gt;0,", Painting upto "&amp;C79&amp;" Floor","")))&amp;(IF(C80=H69,"",IF(C80&gt;0,", Finishing upto "&amp;C80&amp;" Floor","")))&amp;(IF(C81=H69,"",IF(C81&gt;0,", Possession upto "&amp;C81&amp;" Floor","")))</f>
        <v>, External Plaster upto 5 Floor</v>
      </c>
      <c r="S68"/>
    </row>
    <row r="69" spans="1:19">
      <c r="A69" s="15" t="s">
        <v>135</v>
      </c>
      <c r="B69" s="45">
        <f>IF(AND(ISNUMBER(SEARCH("1B",C68))),1,IF(AND(ISNUMBER(SEARCH("2B",C68))),2,IF(AND(ISNUMBER(SEARCH("3B",C68))),3,IF(AND(ISNUMBER(SEARCH("4B",C68))),4,IF(ISNUMBER(SEARCH("5B",C68)),5,0)))))</f>
        <v>0</v>
      </c>
      <c r="C69" s="45" t="s">
        <v>67</v>
      </c>
      <c r="D69" s="45">
        <v>1</v>
      </c>
      <c r="E69" s="45" t="s">
        <v>66</v>
      </c>
      <c r="F69" s="45">
        <v>0</v>
      </c>
      <c r="G69" s="45" t="s">
        <v>74</v>
      </c>
      <c r="H69" s="16">
        <f ca="1">--TRIM(RIGHT(SUBSTITUTE(LEFT(C68,_xlfn.AGGREGATE(16,6,FIND({0,1,2,3,4,5,6,7,8,9},C68,ROW(INDIRECT("1:"&amp;LEN(C68)))),1))," ",REPT(" ",LEN(C68))),LEN(C68)))</f>
        <v>6</v>
      </c>
      <c r="I69" s="43" t="str">
        <f ca="1">IF(D72=100%,"Excavation","")&amp;IF(D73=100%,", Plinth","")&amp;IF(D74=100%,", RCC Slab","")&amp;IF(D75=100%,", Brickwork","")&amp;IF(D76=100%,", Internal Plaster","")&amp;IF(D77=100%,", External Plaster","")&amp;IF(D78=100%,", Flooring","")&amp;IF(D79=100%,", Painting","")&amp;IF(D80=100%,", Building common Amenities","")</f>
        <v>Excavation, Plinth, RCC Slab, Brickwork, Internal Plaster</v>
      </c>
      <c r="J69" s="44" t="str">
        <f ca="1">(IF(C72=0,"Work not yet Started.",IF(D72=25%,"Piling work in process",IF(D72=50%,"Excavation work in process",IF(D72=100%,"","0")))))&amp;(IF(C73=0%,"",IF(C73=J74,", Footing work is process",IF(C73=J75,", Footing work Completed",IF(C73=J76,", 1st Basement Completed",IF(C73=J77,", 1st &amp; 2nd Basement Completed",IF(C73=J78,", 1st to 3rd Basement Completed",IF(C73=J79,", 1st to 4th Basement Completed",IF(C73=J80,", Plinth work is process",IF(C73=J81,"","0"))))))))))</f>
        <v/>
      </c>
      <c r="S69"/>
    </row>
    <row r="70" spans="1:19" ht="33" customHeight="1">
      <c r="A70" s="206" t="s">
        <v>84</v>
      </c>
      <c r="B70" s="94"/>
      <c r="C70" s="203" t="str">
        <f ca="1">I68</f>
        <v>Excavation, Plinth, RCC Slab, Brickwork, Internal Plaster Completed, External Plaster upto 5 Floor Completed</v>
      </c>
      <c r="D70" s="204"/>
      <c r="E70" s="204"/>
      <c r="F70" s="204"/>
      <c r="G70" s="204"/>
      <c r="H70" s="205"/>
      <c r="I70" s="43" t="str">
        <f ca="1">IF(I69&lt;&gt;""," Completed","")</f>
        <v xml:space="preserve"> Completed</v>
      </c>
      <c r="J70" s="44" t="str">
        <f ca="1">IF(J68&lt;&gt;"","Completed","")</f>
        <v>Completed</v>
      </c>
      <c r="S70"/>
    </row>
    <row r="71" spans="1:19" ht="15.75" customHeight="1">
      <c r="A71" s="178" t="s">
        <v>45</v>
      </c>
      <c r="B71" s="179"/>
      <c r="C71" s="72" t="s">
        <v>132</v>
      </c>
      <c r="D71" s="72" t="s">
        <v>77</v>
      </c>
      <c r="E71" s="180" t="s">
        <v>79</v>
      </c>
      <c r="F71" s="179"/>
      <c r="G71" s="180" t="s">
        <v>78</v>
      </c>
      <c r="H71" s="181"/>
      <c r="I71" s="13" t="s">
        <v>134</v>
      </c>
      <c r="J71" s="25">
        <f ca="1">H69*25%</f>
        <v>1.5</v>
      </c>
      <c r="S71"/>
    </row>
    <row r="72" spans="1:19">
      <c r="A72" s="178" t="s">
        <v>121</v>
      </c>
      <c r="B72" s="179"/>
      <c r="C72" s="72">
        <f ca="1">J73</f>
        <v>6</v>
      </c>
      <c r="D72" s="65">
        <f ca="1">((100/H69)*C72)/100</f>
        <v>1</v>
      </c>
      <c r="E72" s="111">
        <f ca="1">(((C73/H69*10)+(40/(D69+F69+H69)*C74)+(7.5/(H69)*C75)+(7.5/(H69)*C76)+(10/H69*C77)+(10/H69*C78)+(5/H69*C79)+(5/H69*C80)+(5/H69*C81))/100)</f>
        <v>0.73333333333333328</v>
      </c>
      <c r="F72" s="118"/>
      <c r="G72" s="111">
        <f ca="1">((((C72/H69)*20)+((C73/H69)*25)+(30/(H69+F69+D69)*C74)+(5/H69*C75)+(5/H69*C76)+(5/H69*C77)+(5/H69*C78)+(0/H69*C79)+(0/H69*C80)+(5/H69*C81))/100)</f>
        <v>0.89166666666666672</v>
      </c>
      <c r="H72" s="112"/>
      <c r="I72" s="13" t="s">
        <v>95</v>
      </c>
      <c r="J72" s="26">
        <f ca="1">H69*50%</f>
        <v>3</v>
      </c>
    </row>
    <row r="73" spans="1:19">
      <c r="A73" s="178" t="s">
        <v>46</v>
      </c>
      <c r="B73" s="179"/>
      <c r="C73" s="72">
        <f ca="1">J81</f>
        <v>6</v>
      </c>
      <c r="D73" s="65">
        <f ca="1">((100/H69)*C73)/100</f>
        <v>1</v>
      </c>
      <c r="E73" s="113"/>
      <c r="F73" s="119"/>
      <c r="G73" s="113"/>
      <c r="H73" s="114"/>
      <c r="I73" s="13" t="s">
        <v>96</v>
      </c>
      <c r="J73" s="26">
        <f ca="1">H69</f>
        <v>6</v>
      </c>
      <c r="S73"/>
    </row>
    <row r="74" spans="1:19" ht="15.75" customHeight="1">
      <c r="A74" s="178" t="s">
        <v>122</v>
      </c>
      <c r="B74" s="179"/>
      <c r="C74" s="72">
        <v>7</v>
      </c>
      <c r="D74" s="65">
        <f ca="1">((100/(D69+F69+H69))*C74)/100</f>
        <v>1</v>
      </c>
      <c r="E74" s="113"/>
      <c r="F74" s="119"/>
      <c r="G74" s="113"/>
      <c r="H74" s="114"/>
      <c r="I74" s="13" t="s">
        <v>97</v>
      </c>
      <c r="J74" s="27">
        <f ca="1">(IF(B69&gt;1,(H69/(B69+2)),H69/4))</f>
        <v>1.5</v>
      </c>
      <c r="S74"/>
    </row>
    <row r="75" spans="1:19" ht="15.75" customHeight="1">
      <c r="A75" s="178" t="s">
        <v>129</v>
      </c>
      <c r="B75" s="179" t="s">
        <v>123</v>
      </c>
      <c r="C75" s="72">
        <v>6</v>
      </c>
      <c r="D75" s="65">
        <f ca="1">((100/H69)*C75)/100</f>
        <v>1</v>
      </c>
      <c r="E75" s="113"/>
      <c r="F75" s="119"/>
      <c r="G75" s="113"/>
      <c r="H75" s="114"/>
      <c r="I75" s="13" t="s">
        <v>98</v>
      </c>
      <c r="J75" s="27">
        <f ca="1">(IF(B69&gt;1,(H69/(B69+2)+J74),H69/4+J74))</f>
        <v>3</v>
      </c>
    </row>
    <row r="76" spans="1:19" ht="15.75" customHeight="1">
      <c r="A76" s="178" t="s">
        <v>130</v>
      </c>
      <c r="B76" s="179" t="s">
        <v>123</v>
      </c>
      <c r="C76" s="72">
        <v>6</v>
      </c>
      <c r="D76" s="65">
        <f ca="1">((100/H69)*C76)/100</f>
        <v>1</v>
      </c>
      <c r="E76" s="113"/>
      <c r="F76" s="119"/>
      <c r="G76" s="113"/>
      <c r="H76" s="114"/>
      <c r="I76" s="13" t="s">
        <v>139</v>
      </c>
      <c r="J76" s="27">
        <f>(IF(B69&gt;1,(H69/(B69+2)+J75),0))</f>
        <v>0</v>
      </c>
    </row>
    <row r="77" spans="1:19" ht="15" customHeight="1">
      <c r="A77" s="178" t="s">
        <v>128</v>
      </c>
      <c r="B77" s="179" t="s">
        <v>125</v>
      </c>
      <c r="C77" s="72">
        <v>5</v>
      </c>
      <c r="D77" s="65">
        <f ca="1">((100/(H69))*C77)/100</f>
        <v>0.83333333333333348</v>
      </c>
      <c r="E77" s="113"/>
      <c r="F77" s="119"/>
      <c r="G77" s="113"/>
      <c r="H77" s="114"/>
      <c r="I77" s="13" t="s">
        <v>136</v>
      </c>
      <c r="J77" s="27">
        <f>(IF(B69&gt;2,(H69/(B69+2)+J76),0))</f>
        <v>0</v>
      </c>
    </row>
    <row r="78" spans="1:19" ht="15.75" customHeight="1">
      <c r="A78" s="178" t="s">
        <v>124</v>
      </c>
      <c r="B78" s="179"/>
      <c r="C78" s="72">
        <v>0</v>
      </c>
      <c r="D78" s="65">
        <f ca="1">((100/H69)*C78)/100</f>
        <v>0</v>
      </c>
      <c r="E78" s="113"/>
      <c r="F78" s="119"/>
      <c r="G78" s="113"/>
      <c r="H78" s="114"/>
      <c r="I78" s="13" t="s">
        <v>137</v>
      </c>
      <c r="J78" s="28">
        <f>(IF(B69&gt;3,(H69/(B69+2)+J77),0))</f>
        <v>0</v>
      </c>
    </row>
    <row r="79" spans="1:19" ht="15.75" customHeight="1">
      <c r="A79" s="178" t="s">
        <v>131</v>
      </c>
      <c r="B79" s="179"/>
      <c r="C79" s="72">
        <v>0</v>
      </c>
      <c r="D79" s="65">
        <f ca="1">((100/H69)*C79)/100</f>
        <v>0</v>
      </c>
      <c r="E79" s="113"/>
      <c r="F79" s="119"/>
      <c r="G79" s="113"/>
      <c r="H79" s="114"/>
      <c r="I79" s="13" t="s">
        <v>138</v>
      </c>
      <c r="J79" s="27">
        <f>(IF(B69&gt;4,(H69/(B69+2)+J78),0))</f>
        <v>0</v>
      </c>
    </row>
    <row r="80" spans="1:19" ht="15.75" customHeight="1">
      <c r="A80" s="178" t="s">
        <v>126</v>
      </c>
      <c r="B80" s="179"/>
      <c r="C80" s="72">
        <v>0</v>
      </c>
      <c r="D80" s="65">
        <f ca="1">((100/(H69))*C80)/100</f>
        <v>0</v>
      </c>
      <c r="E80" s="113"/>
      <c r="F80" s="119"/>
      <c r="G80" s="113"/>
      <c r="H80" s="114"/>
      <c r="I80" s="13" t="s">
        <v>140</v>
      </c>
      <c r="J80" s="27">
        <f ca="1">(IF(B69=1,(H69/(B69+3)+J75),IF(B69=0,(H69/4+J75),IF(B69&gt;1,0))))</f>
        <v>4.5</v>
      </c>
    </row>
    <row r="81" spans="1:19" ht="16" thickBot="1">
      <c r="A81" s="176" t="s">
        <v>127</v>
      </c>
      <c r="B81" s="177"/>
      <c r="C81" s="73">
        <v>0</v>
      </c>
      <c r="D81" s="67">
        <f ca="1">((100/(H69))*C81)/100</f>
        <v>0</v>
      </c>
      <c r="E81" s="115"/>
      <c r="F81" s="120"/>
      <c r="G81" s="115"/>
      <c r="H81" s="116"/>
      <c r="I81" s="14" t="s">
        <v>99</v>
      </c>
      <c r="J81" s="29">
        <f ca="1">(IF(B69&gt;1.5,(H69/(B69+2)+J75+MAX(0,J76-J75)+MAX(0,J77-J76)+MAX(0,J78-J77)+MAX(0,J79-J78)+MAX(0,J80-J79)),IF(B69=1,(H69/(B69+3)+J80),IF(B69=0,H69/4+J80))))</f>
        <v>6</v>
      </c>
    </row>
    <row r="82" spans="1:19" ht="15.75" customHeight="1">
      <c r="A82" s="95" t="s">
        <v>133</v>
      </c>
      <c r="B82" s="96"/>
      <c r="C82" s="97" t="s">
        <v>334</v>
      </c>
      <c r="D82" s="98"/>
      <c r="E82" s="98"/>
      <c r="F82" s="98"/>
      <c r="G82" s="98"/>
      <c r="H82" s="99"/>
      <c r="I82" s="41" t="str">
        <f ca="1">IF(D95=100%,"All work Completed. Possession granted to the Building.",IF(D94=100%,"All work Completed, Waiting for OC",I83&amp;""&amp;I84&amp;""&amp;J83&amp;""&amp;J82&amp;" "&amp;J84))</f>
        <v>Excavation, Plinth, RCC Slab, Brickwork, Internal Plaster Completed, External Plaster upto 5 Floor, Flooring upto 2 Floor Completed</v>
      </c>
      <c r="J82" s="42" t="str">
        <f ca="1">(IF(C88=(D83+F83+H83),"",IF(C88&gt;0,", RCC upto "&amp;C88&amp;" Slab","")))&amp;(IF(C89=H83,"",IF(C89&gt;0,", Brickwork upto "&amp;C89&amp;" Floor","")))&amp;(IF(C90=H83,"",IF(C90&gt;0,", Internal Plaster upto "&amp;C90&amp;" Floor","")))&amp;(IF(C91=H83,"",IF(C91&gt;0,", External Plaster upto "&amp;C91&amp;" Floor","")))&amp;(IF(C92=H83,"",IF(C92&gt;0,", Flooring upto "&amp;C92&amp;" Floor","")))&amp;(IF(C93=H83,"",IF(C93&gt;0,", Painting upto "&amp;C93&amp;" Floor","")))&amp;(IF(C94=H83,"",IF(C94&gt;0,", Finishing upto "&amp;C94&amp;" Floor","")))&amp;(IF(C95=H83,"",IF(C95&gt;0,", Possession upto "&amp;C95&amp;" Floor","")))</f>
        <v>, External Plaster upto 5 Floor, Flooring upto 2 Floor</v>
      </c>
      <c r="S82"/>
    </row>
    <row r="83" spans="1:19">
      <c r="A83" s="15" t="s">
        <v>135</v>
      </c>
      <c r="B83" s="45">
        <f>IF(AND(ISNUMBER(SEARCH("1B",C82))),1,IF(AND(ISNUMBER(SEARCH("2B",C82))),2,IF(AND(ISNUMBER(SEARCH("3B",C82))),3,IF(AND(ISNUMBER(SEARCH("4B",C82))),4,IF(ISNUMBER(SEARCH("5B",C82)),5,0)))))</f>
        <v>0</v>
      </c>
      <c r="C83" s="45" t="s">
        <v>67</v>
      </c>
      <c r="D83" s="45">
        <v>1</v>
      </c>
      <c r="E83" s="45" t="s">
        <v>66</v>
      </c>
      <c r="F83" s="45">
        <v>0</v>
      </c>
      <c r="G83" s="45" t="s">
        <v>74</v>
      </c>
      <c r="H83" s="16">
        <f ca="1">--TRIM(RIGHT(SUBSTITUTE(LEFT(C82,_xlfn.AGGREGATE(16,6,FIND({0,1,2,3,4,5,6,7,8,9},C82,ROW(INDIRECT("1:"&amp;LEN(C82)))),1))," ",REPT(" ",LEN(C82))),LEN(C82)))</f>
        <v>6</v>
      </c>
      <c r="I83" s="43" t="str">
        <f ca="1">IF(D86=100%,"Excavation","")&amp;IF(D87=100%,", Plinth","")&amp;IF(D88=100%,", RCC Slab","")&amp;IF(D89=100%,", Brickwork","")&amp;IF(D90=100%,", Internal Plaster","")&amp;IF(D91=100%,", External Plaster","")&amp;IF(D92=100%,", Flooring","")&amp;IF(D93=100%,", Painting","")&amp;IF(D94=100%,", Building common Amenities","")</f>
        <v>Excavation, Plinth, RCC Slab, Brickwork, Internal Plaster</v>
      </c>
      <c r="J83" s="44" t="str">
        <f ca="1">(IF(C86=0,"Work not yet Started.",IF(D86=25%,"Piling work in process",IF(D86=50%,"Excavation work in process",IF(D86=100%,"","0")))))&amp;(IF(C87=0%,"",IF(C87=J88,", Footing work is process",IF(C87=J89,", Footing work Completed",IF(C87=J90,", 1st Basement Completed",IF(C87=J91,", 1st &amp; 2nd Basement Completed",IF(C87=J92,", 1st to 3rd Basement Completed",IF(C87=J93,", 1st to 4th Basement Completed",IF(C87=J94,", Plinth work is process",IF(C87=J95,"","0"))))))))))</f>
        <v/>
      </c>
      <c r="S83"/>
    </row>
    <row r="84" spans="1:19" ht="33" customHeight="1">
      <c r="A84" s="88" t="s">
        <v>84</v>
      </c>
      <c r="B84" s="89"/>
      <c r="C84" s="192" t="str">
        <f ca="1">I82</f>
        <v>Excavation, Plinth, RCC Slab, Brickwork, Internal Plaster Completed, External Plaster upto 5 Floor, Flooring upto 2 Floor Completed</v>
      </c>
      <c r="D84" s="192"/>
      <c r="E84" s="192"/>
      <c r="F84" s="192"/>
      <c r="G84" s="192"/>
      <c r="H84" s="193"/>
      <c r="I84" s="43" t="str">
        <f ca="1">IF(I83&lt;&gt;""," Completed","")</f>
        <v xml:space="preserve"> Completed</v>
      </c>
      <c r="J84" s="44" t="str">
        <f ca="1">IF(J82&lt;&gt;"","Completed","")</f>
        <v>Completed</v>
      </c>
      <c r="S84"/>
    </row>
    <row r="85" spans="1:19" ht="15.75" customHeight="1">
      <c r="A85" s="76" t="s">
        <v>45</v>
      </c>
      <c r="B85" s="77"/>
      <c r="C85" s="64" t="s">
        <v>132</v>
      </c>
      <c r="D85" s="64" t="s">
        <v>77</v>
      </c>
      <c r="E85" s="77" t="s">
        <v>79</v>
      </c>
      <c r="F85" s="77"/>
      <c r="G85" s="77" t="s">
        <v>78</v>
      </c>
      <c r="H85" s="124"/>
      <c r="I85" s="13" t="s">
        <v>134</v>
      </c>
      <c r="J85" s="25">
        <f ca="1">H83*25%</f>
        <v>1.5</v>
      </c>
      <c r="S85"/>
    </row>
    <row r="86" spans="1:19">
      <c r="A86" s="76" t="s">
        <v>121</v>
      </c>
      <c r="B86" s="77"/>
      <c r="C86" s="64">
        <f ca="1">J87</f>
        <v>6</v>
      </c>
      <c r="D86" s="65">
        <f ca="1">((100/H83)*C86)/100</f>
        <v>1</v>
      </c>
      <c r="E86" s="111">
        <f ca="1">(((C87/H83*10)+(40/(D83+F83+H83)*C88)+(7.5/(H83)*C89)+(7.5/(H83)*C90)+(10/H83*C91)+(10/H83*C92)+(5/H83*C93)+(5/H83*C94)+(5/H83*C95))/100)</f>
        <v>0.76666666666666661</v>
      </c>
      <c r="F86" s="118"/>
      <c r="G86" s="111">
        <f ca="1">((((C86/H83)*20)+((C87/H83)*25)+(30/(H83+F83+D83)*C88)+(5/H83*C89)+(5/H83*C90)+(5/H83*C91)+(5/H83*C92)+(0/H83*C93)+(0/H83*C94)+(5/H83*C95))/100)</f>
        <v>0.90833333333333344</v>
      </c>
      <c r="H86" s="112"/>
      <c r="I86" s="13" t="s">
        <v>95</v>
      </c>
      <c r="J86" s="26">
        <f ca="1">H83*50%</f>
        <v>3</v>
      </c>
    </row>
    <row r="87" spans="1:19">
      <c r="A87" s="76" t="s">
        <v>46</v>
      </c>
      <c r="B87" s="77"/>
      <c r="C87" s="64">
        <f ca="1">J95</f>
        <v>6</v>
      </c>
      <c r="D87" s="65">
        <f ca="1">((100/H83)*C87)/100</f>
        <v>1</v>
      </c>
      <c r="E87" s="113"/>
      <c r="F87" s="119"/>
      <c r="G87" s="113"/>
      <c r="H87" s="114"/>
      <c r="I87" s="13" t="s">
        <v>96</v>
      </c>
      <c r="J87" s="26">
        <f ca="1">H83</f>
        <v>6</v>
      </c>
      <c r="S87"/>
    </row>
    <row r="88" spans="1:19" ht="15.75" customHeight="1">
      <c r="A88" s="76" t="s">
        <v>122</v>
      </c>
      <c r="B88" s="77"/>
      <c r="C88" s="64">
        <v>7</v>
      </c>
      <c r="D88" s="65">
        <f ca="1">((100/(D83+F83+H83))*C88)/100</f>
        <v>1</v>
      </c>
      <c r="E88" s="113"/>
      <c r="F88" s="119"/>
      <c r="G88" s="113"/>
      <c r="H88" s="114"/>
      <c r="I88" s="13" t="s">
        <v>97</v>
      </c>
      <c r="J88" s="27">
        <f ca="1">(IF(B83&gt;1,(H83/(B83+2)),H83/4))</f>
        <v>1.5</v>
      </c>
      <c r="S88"/>
    </row>
    <row r="89" spans="1:19" ht="15.75" customHeight="1">
      <c r="A89" s="76" t="s">
        <v>129</v>
      </c>
      <c r="B89" s="77" t="s">
        <v>123</v>
      </c>
      <c r="C89" s="64">
        <v>6</v>
      </c>
      <c r="D89" s="65">
        <f ca="1">((100/H83)*C89)/100</f>
        <v>1</v>
      </c>
      <c r="E89" s="113"/>
      <c r="F89" s="119"/>
      <c r="G89" s="113"/>
      <c r="H89" s="114"/>
      <c r="I89" s="13" t="s">
        <v>98</v>
      </c>
      <c r="J89" s="27">
        <f ca="1">(IF(B83&gt;1,(H83/(B83+2)+J88),H83/4+J88))</f>
        <v>3</v>
      </c>
    </row>
    <row r="90" spans="1:19" ht="15.75" customHeight="1">
      <c r="A90" s="76" t="s">
        <v>130</v>
      </c>
      <c r="B90" s="77" t="s">
        <v>123</v>
      </c>
      <c r="C90" s="64">
        <v>6</v>
      </c>
      <c r="D90" s="65">
        <f ca="1">((100/H83)*C90)/100</f>
        <v>1</v>
      </c>
      <c r="E90" s="113"/>
      <c r="F90" s="119"/>
      <c r="G90" s="113"/>
      <c r="H90" s="114"/>
      <c r="I90" s="13" t="s">
        <v>139</v>
      </c>
      <c r="J90" s="27">
        <f>(IF(B83&gt;1,(H83/(B83+2)+J89),0))</f>
        <v>0</v>
      </c>
    </row>
    <row r="91" spans="1:19" ht="15" customHeight="1">
      <c r="A91" s="76" t="s">
        <v>128</v>
      </c>
      <c r="B91" s="77" t="s">
        <v>125</v>
      </c>
      <c r="C91" s="64">
        <v>5</v>
      </c>
      <c r="D91" s="65">
        <f ca="1">((100/(H83))*C91)/100</f>
        <v>0.83333333333333348</v>
      </c>
      <c r="E91" s="113"/>
      <c r="F91" s="119"/>
      <c r="G91" s="113"/>
      <c r="H91" s="114"/>
      <c r="I91" s="13" t="s">
        <v>136</v>
      </c>
      <c r="J91" s="27">
        <f>(IF(B83&gt;2,(H83/(B83+2)+J90),0))</f>
        <v>0</v>
      </c>
    </row>
    <row r="92" spans="1:19" ht="15.75" customHeight="1">
      <c r="A92" s="76" t="s">
        <v>124</v>
      </c>
      <c r="B92" s="77" t="s">
        <v>124</v>
      </c>
      <c r="C92" s="64">
        <v>2</v>
      </c>
      <c r="D92" s="65">
        <f ca="1">((100/H83)*C92)/100</f>
        <v>0.33333333333333337</v>
      </c>
      <c r="E92" s="113"/>
      <c r="F92" s="119"/>
      <c r="G92" s="113"/>
      <c r="H92" s="114"/>
      <c r="I92" s="13" t="s">
        <v>137</v>
      </c>
      <c r="J92" s="28">
        <f>(IF(B83&gt;3,(H83/(B83+2)+J91),0))</f>
        <v>0</v>
      </c>
    </row>
    <row r="93" spans="1:19" ht="15.75" customHeight="1">
      <c r="A93" s="76" t="s">
        <v>131</v>
      </c>
      <c r="B93" s="77"/>
      <c r="C93" s="64">
        <v>0</v>
      </c>
      <c r="D93" s="65">
        <f ca="1">((100/H83)*C93)/100</f>
        <v>0</v>
      </c>
      <c r="E93" s="113"/>
      <c r="F93" s="119"/>
      <c r="G93" s="113"/>
      <c r="H93" s="114"/>
      <c r="I93" s="13" t="s">
        <v>138</v>
      </c>
      <c r="J93" s="27">
        <f>(IF(B83&gt;4,(H83/(B83+2)+J92),0))</f>
        <v>0</v>
      </c>
    </row>
    <row r="94" spans="1:19" ht="15.75" customHeight="1">
      <c r="A94" s="76" t="s">
        <v>126</v>
      </c>
      <c r="B94" s="77" t="s">
        <v>126</v>
      </c>
      <c r="C94" s="64">
        <v>0</v>
      </c>
      <c r="D94" s="65">
        <f ca="1">((100/(H83))*C94)/100</f>
        <v>0</v>
      </c>
      <c r="E94" s="113"/>
      <c r="F94" s="119"/>
      <c r="G94" s="113"/>
      <c r="H94" s="114"/>
      <c r="I94" s="13" t="s">
        <v>140</v>
      </c>
      <c r="J94" s="27">
        <f ca="1">(IF(B83=1,(H83/(B83+3)+J89),IF(B83=0,(H83/4+J89),IF(B83&gt;1,0))))</f>
        <v>4.5</v>
      </c>
    </row>
    <row r="95" spans="1:19" ht="16" thickBot="1">
      <c r="A95" s="121" t="s">
        <v>127</v>
      </c>
      <c r="B95" s="122"/>
      <c r="C95" s="66">
        <v>0</v>
      </c>
      <c r="D95" s="67">
        <f ca="1">((100/(H83))*C95)/100</f>
        <v>0</v>
      </c>
      <c r="E95" s="115"/>
      <c r="F95" s="120"/>
      <c r="G95" s="115"/>
      <c r="H95" s="116"/>
      <c r="I95" s="14" t="s">
        <v>99</v>
      </c>
      <c r="J95" s="29">
        <f ca="1">(IF(B83&gt;1.5,(H83/(B83+2)+J89+MAX(0,J90-J89)+MAX(0,J91-J90)+MAX(0,J92-J91)+MAX(0,J93-J92)+MAX(0,J94-J93)),IF(B83=1,(H83/(B83+3)+J94),IF(B83=0,H83/4+J94))))</f>
        <v>6</v>
      </c>
    </row>
    <row r="96" spans="1:19" ht="15.75" customHeight="1">
      <c r="A96" s="95" t="s">
        <v>133</v>
      </c>
      <c r="B96" s="96"/>
      <c r="C96" s="97" t="str">
        <f>D60</f>
        <v>C &amp; D Wing = G + 1st to 6th Floor</v>
      </c>
      <c r="D96" s="98"/>
      <c r="E96" s="98"/>
      <c r="F96" s="98"/>
      <c r="G96" s="98"/>
      <c r="H96" s="99"/>
      <c r="I96" s="41" t="str">
        <f ca="1">IF(D109=100%,"All work Completed. Possession granted to the Building.",IF(D108=100%,"All work Completed, Waiting for OC",I97&amp;""&amp;I98&amp;""&amp;J97&amp;""&amp;J96&amp;" "&amp;J98))</f>
        <v>Excavation, Plinth, RCC Slab, Brickwork, Internal Plaster, External Plaster, Flooring, Painting Completed, Finishing upto 2 Floor Completed</v>
      </c>
      <c r="J96" s="42" t="str">
        <f ca="1">(IF(C102=(D97+F97+H97),"",IF(C102&gt;0,", RCC upto "&amp;C102&amp;" Slab","")))&amp;(IF(C103=H97,"",IF(C103&gt;0,", Brickwork upto "&amp;C103&amp;" Floor","")))&amp;(IF(C104=H97,"",IF(C104&gt;0,", Internal Plaster upto "&amp;C104&amp;" Floor","")))&amp;(IF(C105=H97,"",IF(C105&gt;0,", External Plaster upto "&amp;C105&amp;" Floor","")))&amp;(IF(C106=H97,"",IF(C106&gt;0,", Flooring upto "&amp;C106&amp;" Floor","")))&amp;(IF(C107=H97,"",IF(C107&gt;0,", Painting upto "&amp;C107&amp;" Floor","")))&amp;(IF(C108=H97,"",IF(C108&gt;0,", Finishing upto "&amp;C108&amp;" Floor","")))&amp;(IF(C109=H97,"",IF(C109&gt;0,", Possession upto "&amp;C109&amp;" Floor","")))</f>
        <v>, Finishing upto 2 Floor</v>
      </c>
    </row>
    <row r="97" spans="1:22">
      <c r="A97" s="15" t="s">
        <v>135</v>
      </c>
      <c r="B97" s="45">
        <f>IF(AND(ISNUMBER(SEARCH("1B",C96))),1,IF(AND(ISNUMBER(SEARCH("2B",C96))),2,IF(AND(ISNUMBER(SEARCH("3B",C96))),3,IF(AND(ISNUMBER(SEARCH("4B",C96))),4,IF(ISNUMBER(SEARCH("5B",C96)),5,0)))))</f>
        <v>0</v>
      </c>
      <c r="C97" s="45" t="s">
        <v>67</v>
      </c>
      <c r="D97" s="45">
        <v>1</v>
      </c>
      <c r="E97" s="45" t="s">
        <v>66</v>
      </c>
      <c r="F97" s="45">
        <v>0</v>
      </c>
      <c r="G97" s="45" t="s">
        <v>74</v>
      </c>
      <c r="H97" s="16">
        <f ca="1">--TRIM(RIGHT(SUBSTITUTE(LEFT(C96,_xlfn.AGGREGATE(16,6,FIND({0,1,2,3,4,5,6,7,8,9},C96,ROW(INDIRECT("1:"&amp;LEN(C96)))),1))," ",REPT(" ",LEN(C96))),LEN(C96)))</f>
        <v>6</v>
      </c>
      <c r="I97" s="43" t="str">
        <f ca="1">IF(D100=100%,"Excavation","")&amp;IF(D101=100%,", Plinth","")&amp;IF(D102=100%,", RCC Slab","")&amp;IF(D103=100%,", Brickwork","")&amp;IF(D104=100%,", Internal Plaster","")&amp;IF(D105=100%,", External Plaster","")&amp;IF(D106=100%,", Flooring","")&amp;IF(D107=100%,", Painting","")&amp;IF(D108=100%,", Building common Amenities","")</f>
        <v>Excavation, Plinth, RCC Slab, Brickwork, Internal Plaster, External Plaster, Flooring, Painting</v>
      </c>
      <c r="J97" s="44" t="str">
        <f ca="1">(IF(C100=0,"Work not yet Started.",IF(D100=25%,"Piling work in process",IF(D100=50%,"Excavation work in process",IF(D100=100%,"","0")))))&amp;(IF(C101=0%,"",IF(C101=J102,", Footing work is process",IF(C101=J103,", Footing work Completed",IF(C101=J104,", 1st Basement Completed",IF(C101=J105,", 1st &amp; 2nd Basement Completed",IF(C101=J106,", 1st to 3rd Basement Completed",IF(C101=J107,", 1st to 4th Basement Completed",IF(C101=J108,", Plinth work is process",IF(C101=J109,"","0"))))))))))</f>
        <v/>
      </c>
    </row>
    <row r="98" spans="1:22" ht="33" customHeight="1">
      <c r="A98" s="89" t="s">
        <v>84</v>
      </c>
      <c r="B98" s="89"/>
      <c r="C98" s="192" t="str">
        <f ca="1">(IF($G$54="NA",I96,"All work Completed. OC Received."))</f>
        <v>Excavation, Plinth, RCC Slab, Brickwork, Internal Plaster, External Plaster, Flooring, Painting Completed, Finishing upto 2 Floor Completed</v>
      </c>
      <c r="D98" s="192"/>
      <c r="E98" s="192"/>
      <c r="F98" s="192"/>
      <c r="G98" s="192"/>
      <c r="H98" s="192"/>
      <c r="I98" s="213" t="str">
        <f ca="1">IF(I97&lt;&gt;""," Completed","")</f>
        <v xml:space="preserve"> Completed</v>
      </c>
      <c r="J98" s="44" t="str">
        <f ca="1">IF(J96&lt;&gt;"","Completed","")</f>
        <v>Completed</v>
      </c>
    </row>
    <row r="99" spans="1:22" ht="15.75" customHeight="1">
      <c r="A99" s="77" t="s">
        <v>45</v>
      </c>
      <c r="B99" s="77"/>
      <c r="C99" s="74" t="s">
        <v>132</v>
      </c>
      <c r="D99" s="74" t="s">
        <v>77</v>
      </c>
      <c r="E99" s="77" t="s">
        <v>79</v>
      </c>
      <c r="F99" s="77"/>
      <c r="G99" s="77" t="s">
        <v>78</v>
      </c>
      <c r="H99" s="77"/>
      <c r="I99" s="13" t="s">
        <v>134</v>
      </c>
      <c r="J99" s="25">
        <f ca="1">H97*25%</f>
        <v>1.5</v>
      </c>
    </row>
    <row r="100" spans="1:22">
      <c r="A100" s="77" t="s">
        <v>121</v>
      </c>
      <c r="B100" s="77"/>
      <c r="C100" s="74">
        <f ca="1">J101</f>
        <v>6</v>
      </c>
      <c r="D100" s="65">
        <f ca="1">((100/H97)*C100)/100</f>
        <v>1</v>
      </c>
      <c r="E100" s="214">
        <f ca="1">(((C101/H97*10)+(40/(D97+F97+H97)*C102)+(7.5/(H97)*C103)+(7.5/(H97)*C104)+(10/H97*C105)+(10/H97*C106)+(5/H97*C107)+(5/H97*C108)+(5/H97*C109))/100)</f>
        <v>0.91666666666666674</v>
      </c>
      <c r="F100" s="214"/>
      <c r="G100" s="214">
        <f ca="1">((((C100/H97)*20)+((C101/H97)*25)+(30/(H97+F97+D97)*C102)+(5/H97*C103)+(5/H97*C104)+(5/H97*C105)+(5/H97*C106)+(0/H97*C107)+(0/H97*C108)+(5/H97*C109))/100)</f>
        <v>0.95</v>
      </c>
      <c r="H100" s="214"/>
      <c r="I100" s="13" t="s">
        <v>95</v>
      </c>
      <c r="J100" s="26">
        <f ca="1">H97*50%</f>
        <v>3</v>
      </c>
    </row>
    <row r="101" spans="1:22">
      <c r="A101" s="77" t="s">
        <v>46</v>
      </c>
      <c r="B101" s="77"/>
      <c r="C101" s="74">
        <f ca="1">J109</f>
        <v>6</v>
      </c>
      <c r="D101" s="65">
        <f ca="1">((100/H97)*C101)/100</f>
        <v>1</v>
      </c>
      <c r="E101" s="214"/>
      <c r="F101" s="214"/>
      <c r="G101" s="214"/>
      <c r="H101" s="214"/>
      <c r="I101" s="13" t="s">
        <v>96</v>
      </c>
      <c r="J101" s="26">
        <f ca="1">H97</f>
        <v>6</v>
      </c>
    </row>
    <row r="102" spans="1:22" ht="15.75" customHeight="1">
      <c r="A102" s="77" t="s">
        <v>122</v>
      </c>
      <c r="B102" s="77"/>
      <c r="C102" s="74">
        <v>7</v>
      </c>
      <c r="D102" s="65">
        <f ca="1">((100/(D97+F97+H97))*C102)/100</f>
        <v>1</v>
      </c>
      <c r="E102" s="214"/>
      <c r="F102" s="214"/>
      <c r="G102" s="214"/>
      <c r="H102" s="214"/>
      <c r="I102" s="13" t="s">
        <v>97</v>
      </c>
      <c r="J102" s="27">
        <f ca="1">(IF(B97&gt;1,(H97/(B97+2)),H97/4))</f>
        <v>1.5</v>
      </c>
    </row>
    <row r="103" spans="1:22" ht="15.75" customHeight="1">
      <c r="A103" s="77" t="s">
        <v>129</v>
      </c>
      <c r="B103" s="77" t="s">
        <v>123</v>
      </c>
      <c r="C103" s="74">
        <v>6</v>
      </c>
      <c r="D103" s="65">
        <f ca="1">((100/H97)*C103)/100</f>
        <v>1</v>
      </c>
      <c r="E103" s="214"/>
      <c r="F103" s="214"/>
      <c r="G103" s="214"/>
      <c r="H103" s="214"/>
      <c r="I103" s="13" t="s">
        <v>98</v>
      </c>
      <c r="J103" s="27">
        <f ca="1">(IF(B97&gt;1,(H97/(B97+2)+J102),H97/4+J102))</f>
        <v>3</v>
      </c>
    </row>
    <row r="104" spans="1:22" ht="15.75" customHeight="1">
      <c r="A104" s="77" t="s">
        <v>130</v>
      </c>
      <c r="B104" s="77" t="s">
        <v>123</v>
      </c>
      <c r="C104" s="74">
        <v>6</v>
      </c>
      <c r="D104" s="65">
        <f ca="1">((100/H97)*C104)/100</f>
        <v>1</v>
      </c>
      <c r="E104" s="214"/>
      <c r="F104" s="214"/>
      <c r="G104" s="214"/>
      <c r="H104" s="214"/>
      <c r="I104" s="13" t="s">
        <v>139</v>
      </c>
      <c r="J104" s="27">
        <f>(IF(B97&gt;1,(H97/(B97+2)+J103),0))</f>
        <v>0</v>
      </c>
    </row>
    <row r="105" spans="1:22" ht="15" customHeight="1">
      <c r="A105" s="77" t="s">
        <v>128</v>
      </c>
      <c r="B105" s="77" t="s">
        <v>125</v>
      </c>
      <c r="C105" s="74">
        <v>6</v>
      </c>
      <c r="D105" s="65">
        <f ca="1">((100/(H97))*C105)/100</f>
        <v>1</v>
      </c>
      <c r="E105" s="214"/>
      <c r="F105" s="214"/>
      <c r="G105" s="214"/>
      <c r="H105" s="214"/>
      <c r="I105" s="13" t="s">
        <v>136</v>
      </c>
      <c r="J105" s="27">
        <f>(IF(B97&gt;2,(H97/(B97+2)+J104),0))</f>
        <v>0</v>
      </c>
    </row>
    <row r="106" spans="1:22" ht="15.75" customHeight="1">
      <c r="A106" s="77" t="s">
        <v>124</v>
      </c>
      <c r="B106" s="77" t="s">
        <v>124</v>
      </c>
      <c r="C106" s="74">
        <v>6</v>
      </c>
      <c r="D106" s="65">
        <f ca="1">((100/H97)*C106)/100</f>
        <v>1</v>
      </c>
      <c r="E106" s="214"/>
      <c r="F106" s="214"/>
      <c r="G106" s="214"/>
      <c r="H106" s="214"/>
      <c r="I106" s="13" t="s">
        <v>137</v>
      </c>
      <c r="J106" s="28">
        <f>(IF(B97&gt;3,(H97/(B97+2)+J105),0))</f>
        <v>0</v>
      </c>
    </row>
    <row r="107" spans="1:22" ht="15.75" customHeight="1">
      <c r="A107" s="77" t="s">
        <v>131</v>
      </c>
      <c r="B107" s="77"/>
      <c r="C107" s="74">
        <v>6</v>
      </c>
      <c r="D107" s="65">
        <f ca="1">((100/H97)*C107)/100</f>
        <v>1</v>
      </c>
      <c r="E107" s="214"/>
      <c r="F107" s="214"/>
      <c r="G107" s="214"/>
      <c r="H107" s="214"/>
      <c r="I107" s="13" t="s">
        <v>138</v>
      </c>
      <c r="J107" s="27">
        <f>(IF(B97&gt;4,(H97/(B97+2)+J106),0))</f>
        <v>0</v>
      </c>
    </row>
    <row r="108" spans="1:22" ht="15.75" customHeight="1">
      <c r="A108" s="77" t="s">
        <v>126</v>
      </c>
      <c r="B108" s="77" t="s">
        <v>126</v>
      </c>
      <c r="C108" s="74">
        <v>2</v>
      </c>
      <c r="D108" s="65">
        <f ca="1">((100/(H97))*C108)/100</f>
        <v>0.33333333333333337</v>
      </c>
      <c r="E108" s="214"/>
      <c r="F108" s="214"/>
      <c r="G108" s="214"/>
      <c r="H108" s="214"/>
      <c r="I108" s="13" t="s">
        <v>140</v>
      </c>
      <c r="J108" s="27">
        <f ca="1">(IF(B97=1,(H97/(B97+3)+J103),IF(B97=0,(H97/4+J103),IF(B97&gt;1,0))))</f>
        <v>4.5</v>
      </c>
    </row>
    <row r="109" spans="1:22" ht="16" thickBot="1">
      <c r="A109" s="77" t="s">
        <v>127</v>
      </c>
      <c r="B109" s="77"/>
      <c r="C109" s="74">
        <v>0</v>
      </c>
      <c r="D109" s="65">
        <f ca="1">((100/(H97))*C109)/100</f>
        <v>0</v>
      </c>
      <c r="E109" s="214"/>
      <c r="F109" s="214"/>
      <c r="G109" s="214"/>
      <c r="H109" s="214"/>
      <c r="I109" s="14" t="s">
        <v>99</v>
      </c>
      <c r="J109" s="29">
        <f ca="1">(IF(B97&gt;1.5,(H97/(B97+2)+J103+MAX(0,J104-J103)+MAX(0,J105-J104)+MAX(0,J106-J105)+MAX(0,J107-J106)+MAX(0,J108-J107)),IF(B97=1,(H97/(B97+3)+J108),IF(B97=0,H97/4+J108))))</f>
        <v>6</v>
      </c>
    </row>
    <row r="110" spans="1:22">
      <c r="A110" s="83" t="s">
        <v>323</v>
      </c>
      <c r="B110" s="83"/>
      <c r="C110" s="83"/>
      <c r="D110" s="83"/>
      <c r="E110" s="83"/>
      <c r="F110" s="128" t="s">
        <v>324</v>
      </c>
      <c r="G110" s="128"/>
      <c r="H110" s="128"/>
      <c r="R110"/>
      <c r="S110">
        <v>900000</v>
      </c>
      <c r="T110">
        <v>200000</v>
      </c>
      <c r="U110">
        <v>150000</v>
      </c>
      <c r="V110">
        <v>150000</v>
      </c>
    </row>
    <row r="111" spans="1:22">
      <c r="A111" s="79" t="s">
        <v>150</v>
      </c>
      <c r="B111" s="79"/>
      <c r="C111" s="79"/>
      <c r="D111" s="79"/>
      <c r="E111" s="79"/>
      <c r="F111" s="78">
        <v>4700</v>
      </c>
      <c r="G111" s="78"/>
      <c r="H111" s="78"/>
      <c r="R111"/>
      <c r="S111">
        <v>800000</v>
      </c>
      <c r="T111">
        <v>300000</v>
      </c>
      <c r="U111">
        <v>100000</v>
      </c>
      <c r="V111">
        <v>100000</v>
      </c>
    </row>
    <row r="112" spans="1:22" hidden="1">
      <c r="A112" s="79" t="s">
        <v>149</v>
      </c>
      <c r="B112" s="79"/>
      <c r="C112" s="79"/>
      <c r="D112" s="79"/>
      <c r="E112" s="79"/>
      <c r="F112" s="78"/>
      <c r="G112" s="78"/>
      <c r="H112" s="78"/>
      <c r="R112"/>
      <c r="S112">
        <v>900000</v>
      </c>
      <c r="T112">
        <v>350000</v>
      </c>
      <c r="U112">
        <v>150000</v>
      </c>
      <c r="V112">
        <v>150000</v>
      </c>
    </row>
    <row r="113" spans="1:22" s="30" customFormat="1">
      <c r="A113" s="79" t="s">
        <v>89</v>
      </c>
      <c r="B113" s="79"/>
      <c r="C113" s="79"/>
      <c r="D113" s="79"/>
      <c r="E113" s="79"/>
      <c r="F113" s="78">
        <v>250000</v>
      </c>
      <c r="G113" s="78"/>
      <c r="H113" s="78"/>
      <c r="R113"/>
      <c r="S113">
        <v>1200000</v>
      </c>
      <c r="T113">
        <v>600000</v>
      </c>
      <c r="U113">
        <v>300000</v>
      </c>
      <c r="V113">
        <v>300000</v>
      </c>
    </row>
    <row r="114" spans="1:22" s="30" customFormat="1" hidden="1">
      <c r="A114" s="79" t="s">
        <v>90</v>
      </c>
      <c r="B114" s="79"/>
      <c r="C114" s="79"/>
      <c r="D114" s="79"/>
      <c r="E114" s="79"/>
      <c r="F114" s="78"/>
      <c r="G114" s="78"/>
      <c r="H114" s="78"/>
      <c r="R114"/>
      <c r="S114">
        <v>1300000</v>
      </c>
      <c r="T114">
        <v>700000</v>
      </c>
      <c r="U114">
        <v>350000</v>
      </c>
      <c r="V114" s="20">
        <v>400000</v>
      </c>
    </row>
    <row r="115" spans="1:22" s="30" customFormat="1" hidden="1">
      <c r="A115" s="79" t="s">
        <v>91</v>
      </c>
      <c r="B115" s="79"/>
      <c r="C115" s="79"/>
      <c r="D115" s="79"/>
      <c r="E115" s="79"/>
      <c r="F115" s="78"/>
      <c r="G115" s="78"/>
      <c r="H115" s="78"/>
      <c r="R115"/>
      <c r="S115">
        <v>1400000</v>
      </c>
      <c r="T115">
        <v>800000</v>
      </c>
      <c r="U115">
        <v>400000</v>
      </c>
      <c r="V115"/>
    </row>
    <row r="116" spans="1:22" s="30" customFormat="1" hidden="1">
      <c r="A116" s="79" t="s">
        <v>92</v>
      </c>
      <c r="B116" s="79"/>
      <c r="C116" s="79"/>
      <c r="D116" s="79"/>
      <c r="E116" s="79"/>
      <c r="F116" s="78"/>
      <c r="G116" s="78"/>
      <c r="H116" s="78"/>
      <c r="R116"/>
      <c r="S116">
        <v>1500000</v>
      </c>
      <c r="T116">
        <v>900000</v>
      </c>
      <c r="U116">
        <v>500000</v>
      </c>
      <c r="V116" s="20"/>
    </row>
    <row r="117" spans="1:22" s="30" customFormat="1" hidden="1">
      <c r="A117" s="79" t="s">
        <v>93</v>
      </c>
      <c r="B117" s="79"/>
      <c r="C117" s="79"/>
      <c r="D117" s="79"/>
      <c r="E117" s="79"/>
      <c r="F117" s="78"/>
      <c r="G117" s="78"/>
      <c r="H117" s="78"/>
      <c r="R117"/>
      <c r="S117">
        <v>1600000</v>
      </c>
      <c r="T117">
        <v>1000000</v>
      </c>
      <c r="U117">
        <v>600000</v>
      </c>
      <c r="V117"/>
    </row>
    <row r="118" spans="1:22" s="30" customFormat="1" hidden="1">
      <c r="A118" s="79" t="s">
        <v>94</v>
      </c>
      <c r="B118" s="79"/>
      <c r="C118" s="79"/>
      <c r="D118" s="79"/>
      <c r="E118" s="79"/>
      <c r="F118" s="78"/>
      <c r="G118" s="78"/>
      <c r="H118" s="78"/>
      <c r="R118"/>
      <c r="S118">
        <v>1700000</v>
      </c>
      <c r="T118"/>
      <c r="U118"/>
      <c r="V118" s="20"/>
    </row>
    <row r="119" spans="1:22">
      <c r="A119" s="79" t="s">
        <v>47</v>
      </c>
      <c r="B119" s="79"/>
      <c r="C119" s="79"/>
      <c r="D119" s="79"/>
      <c r="E119" s="79"/>
      <c r="F119" s="78">
        <v>200000</v>
      </c>
      <c r="G119" s="78"/>
      <c r="H119" s="78"/>
      <c r="R119"/>
      <c r="S119">
        <v>1800000</v>
      </c>
      <c r="T119"/>
      <c r="U119"/>
    </row>
    <row r="120" spans="1:22" s="31" customFormat="1">
      <c r="A120" s="83" t="s">
        <v>48</v>
      </c>
      <c r="B120" s="83"/>
      <c r="C120" s="83"/>
      <c r="D120" s="83"/>
      <c r="E120" s="83"/>
      <c r="F120" s="78">
        <f>F111*0.8</f>
        <v>3760</v>
      </c>
      <c r="G120" s="78"/>
      <c r="H120" s="78"/>
      <c r="R120" s="18"/>
      <c r="S120" s="18"/>
      <c r="T120"/>
      <c r="U120"/>
      <c r="V120" s="18"/>
    </row>
    <row r="121" spans="1:22" s="32" customFormat="1">
      <c r="A121" s="84" t="s">
        <v>65</v>
      </c>
      <c r="B121" s="84"/>
      <c r="C121" s="84"/>
      <c r="D121" s="84"/>
      <c r="E121" s="84"/>
      <c r="F121" s="84"/>
      <c r="G121" s="84"/>
      <c r="H121" s="84"/>
      <c r="T121"/>
    </row>
    <row r="122" spans="1:22" s="32" customFormat="1" ht="15.75" customHeight="1">
      <c r="A122" s="85" t="s">
        <v>49</v>
      </c>
      <c r="B122" s="85"/>
      <c r="C122" s="82" t="s">
        <v>72</v>
      </c>
      <c r="D122" s="82"/>
      <c r="E122" s="139" t="s">
        <v>50</v>
      </c>
      <c r="F122" s="139"/>
      <c r="G122" s="85" t="s">
        <v>51</v>
      </c>
      <c r="H122" s="85"/>
      <c r="T122"/>
    </row>
    <row r="123" spans="1:22" s="32" customFormat="1">
      <c r="A123" s="80" t="s">
        <v>331</v>
      </c>
      <c r="B123" s="80"/>
      <c r="C123" s="81">
        <f>COUNT(D136:D137)*6</f>
        <v>12</v>
      </c>
      <c r="D123" s="81"/>
      <c r="E123" s="81">
        <f>SUM(F136:F137)*6</f>
        <v>7876.0188000000007</v>
      </c>
      <c r="F123" s="81"/>
      <c r="G123" s="81">
        <f>SUM(H136:H137)*6</f>
        <v>11420.22726</v>
      </c>
      <c r="H123" s="81"/>
      <c r="T123"/>
    </row>
    <row r="124" spans="1:22" s="32" customFormat="1" ht="15.75" customHeight="1">
      <c r="A124" s="80" t="s">
        <v>293</v>
      </c>
      <c r="B124" s="80"/>
      <c r="C124" s="81">
        <f>COUNT(D141:D142)*6</f>
        <v>12</v>
      </c>
      <c r="D124" s="81"/>
      <c r="E124" s="81">
        <f>SUM(F141:F142)*6</f>
        <v>7879.2480000000005</v>
      </c>
      <c r="F124" s="81"/>
      <c r="G124" s="81">
        <f>SUM(H141:H142)*6</f>
        <v>11424.909600000001</v>
      </c>
      <c r="H124" s="81"/>
    </row>
    <row r="125" spans="1:22" s="32" customFormat="1">
      <c r="A125" s="80" t="s">
        <v>295</v>
      </c>
      <c r="B125" s="80"/>
      <c r="C125" s="81">
        <f>COUNT(D146:D147)*6</f>
        <v>12</v>
      </c>
      <c r="D125" s="81"/>
      <c r="E125" s="81">
        <f>SUM(F146:F147)*6</f>
        <v>6402.2119199999997</v>
      </c>
      <c r="F125" s="81"/>
      <c r="G125" s="81">
        <f>SUM(H146:H147)*6</f>
        <v>9283.2072839999983</v>
      </c>
      <c r="H125" s="81"/>
      <c r="T125"/>
    </row>
    <row r="126" spans="1:22" s="32" customFormat="1" ht="15.75" customHeight="1">
      <c r="A126" s="80" t="s">
        <v>297</v>
      </c>
      <c r="B126" s="80"/>
      <c r="C126" s="81">
        <f>COUNT(D151:D152)*6</f>
        <v>12</v>
      </c>
      <c r="D126" s="81"/>
      <c r="E126" s="81">
        <f>SUM(F151:F152)*6</f>
        <v>5005.2599999999993</v>
      </c>
      <c r="F126" s="81"/>
      <c r="G126" s="81">
        <f>SUM(H151:H152)*6</f>
        <v>7257.6269999999995</v>
      </c>
      <c r="H126" s="81"/>
    </row>
    <row r="127" spans="1:22" s="32" customFormat="1" ht="16" thickBot="1">
      <c r="A127" s="133" t="s">
        <v>143</v>
      </c>
      <c r="B127" s="133"/>
      <c r="C127" s="161">
        <f>SUM(C123:C126)</f>
        <v>48</v>
      </c>
      <c r="D127" s="162"/>
      <c r="E127" s="134">
        <f>SUM(E123:E126)</f>
        <v>27162.738719999998</v>
      </c>
      <c r="F127" s="135"/>
      <c r="G127" s="147">
        <f>SUM(G123:G126)</f>
        <v>39385.971143999996</v>
      </c>
      <c r="H127" s="147"/>
    </row>
    <row r="128" spans="1:22" s="32" customFormat="1" ht="16" thickBot="1">
      <c r="A128" s="163" t="s">
        <v>156</v>
      </c>
      <c r="B128" s="164"/>
      <c r="C128" s="165">
        <f>SUM(C127)</f>
        <v>48</v>
      </c>
      <c r="D128" s="166"/>
      <c r="E128" s="167">
        <f>SUM(E127)</f>
        <v>27162.738719999998</v>
      </c>
      <c r="F128" s="168"/>
      <c r="G128" s="154">
        <f>SUM(G127)</f>
        <v>39385.971143999996</v>
      </c>
      <c r="H128" s="155"/>
    </row>
    <row r="129" spans="1:20" s="31" customFormat="1">
      <c r="A129" s="140" t="s">
        <v>52</v>
      </c>
      <c r="B129" s="140"/>
      <c r="C129" s="140"/>
      <c r="D129" s="140"/>
      <c r="E129" s="140"/>
      <c r="F129" s="140"/>
      <c r="G129" s="140"/>
      <c r="H129" s="140"/>
      <c r="T129" s="32"/>
    </row>
    <row r="130" spans="1:20" s="31" customFormat="1">
      <c r="A130" s="151" t="s">
        <v>164</v>
      </c>
      <c r="B130" s="151"/>
      <c r="C130" s="151"/>
      <c r="D130" s="151"/>
      <c r="E130" s="151"/>
      <c r="F130" s="151"/>
      <c r="G130" s="151"/>
      <c r="H130" s="151"/>
      <c r="T130" s="32"/>
    </row>
    <row r="131" spans="1:20" ht="47.25" customHeight="1">
      <c r="A131" s="141" t="s">
        <v>114</v>
      </c>
      <c r="B131" s="143" t="s">
        <v>165</v>
      </c>
      <c r="C131" s="143" t="s">
        <v>53</v>
      </c>
      <c r="D131" s="143" t="s">
        <v>219</v>
      </c>
      <c r="E131" s="143" t="s">
        <v>292</v>
      </c>
      <c r="F131" s="143" t="s">
        <v>54</v>
      </c>
      <c r="G131" s="152" t="s">
        <v>55</v>
      </c>
      <c r="H131" s="48" t="s">
        <v>142</v>
      </c>
      <c r="I131" s="33"/>
      <c r="T131" s="34"/>
    </row>
    <row r="132" spans="1:20" s="34" customFormat="1">
      <c r="A132" s="142"/>
      <c r="B132" s="144"/>
      <c r="C132" s="144"/>
      <c r="D132" s="144"/>
      <c r="E132" s="144"/>
      <c r="F132" s="144"/>
      <c r="G132" s="153"/>
      <c r="H132" s="71">
        <v>0.45</v>
      </c>
      <c r="I132" s="33"/>
    </row>
    <row r="133" spans="1:20">
      <c r="A133" s="151" t="s">
        <v>294</v>
      </c>
      <c r="B133" s="151"/>
      <c r="C133" s="151"/>
      <c r="D133" s="151"/>
      <c r="E133" s="151"/>
      <c r="F133" s="151"/>
      <c r="G133" s="151"/>
      <c r="H133" s="151"/>
      <c r="T133" s="32"/>
    </row>
    <row r="134" spans="1:20" s="31" customFormat="1">
      <c r="A134" s="148" t="s">
        <v>287</v>
      </c>
      <c r="B134" s="149"/>
      <c r="C134" s="149"/>
      <c r="D134" s="149"/>
      <c r="E134" s="149"/>
      <c r="F134" s="149"/>
      <c r="G134" s="149"/>
      <c r="H134" s="150"/>
      <c r="T134" s="32"/>
    </row>
    <row r="135" spans="1:20" s="34" customFormat="1">
      <c r="A135" s="148" t="s">
        <v>325</v>
      </c>
      <c r="B135" s="149"/>
      <c r="C135" s="149"/>
      <c r="D135" s="149"/>
      <c r="E135" s="149"/>
      <c r="F135" s="149"/>
      <c r="G135" s="149"/>
      <c r="H135" s="150"/>
      <c r="I135" s="33"/>
    </row>
    <row r="136" spans="1:20" s="34" customFormat="1" ht="15.75" customHeight="1">
      <c r="A136" s="145" t="str">
        <f ca="1">(SUMPRODUCT(MID(0&amp;(LEFT(A135,SUM(LEN(A135)-LEN(SUBSTITUTE(A135,{"0","1","2"},""))))), LARGE(INDEX(ISNUMBER(--MID((LEFT(A135,SUM(LEN(A135)-LEN(SUBSTITUTE(A135,{"0","1","2"},""))))), ROW(INDIRECT("1:"&amp;LEN((LEFT(A135,SUM(LEN(A135)-LEN(SUBSTITUTE(A135,{"0","1","2"},"")))))))), 1)) * ROW(INDIRECT("1:"&amp;LEN((LEFT(A135,SUM(LEN(A135)-LEN(SUBSTITUTE(A135,{"0","1","2"},"")))))))), 0), ROW(INDIRECT("1:"&amp;LEN((LEFT(A135,SUM(LEN(A135)-LEN(SUBSTITUTE(A135,{"0","1","2"},"")))))))))+1, 1) * 10^ROW(INDIRECT("1:"&amp;LEN((LEFT(A135,SUM(LEN(A135)-LEN(SUBSTITUTE(A135,{"0","1","2"},""))))))))/10))*100+1&amp;""&amp;" to "&amp;""&amp;(SUMPRODUCT(MID(0&amp;(--TRIM(RIGHT(SUBSTITUTE(LEFT(A135,_xlfn.AGGREGATE(16,6,FIND({0,1,2,3,4,5,6,7,8,9},A135,ROW(INDIRECT("1:"&amp;LEN(A135)))),1))," ",REPT(" ",LEN(A135))),LEN(A135)))), LARGE(INDEX(ISNUMBER(--MID((--TRIM(RIGHT(SUBSTITUTE(LEFT(A135,_xlfn.AGGREGATE(16,6,FIND({0,1,2,3,4,5,6,7,8,9},A135,ROW(INDIRECT("1:"&amp;LEN(A135)))),1))," ",REPT(" ",LEN(A135))),LEN(A135)))), ROW(INDIRECT("1:"&amp;LEN((--TRIM(RIGHT(SUBSTITUTE(LEFT(A135,_xlfn.AGGREGATE(16,6,FIND({0,1,2,3,4,5,6,7,8,9},A135,ROW(INDIRECT("1:"&amp;LEN(A135)))),1))," ",REPT(" ",LEN(A135))),LEN(A135))))))), 1)) * ROW(INDIRECT("1:"&amp;LEN((--TRIM(RIGHT(SUBSTITUTE(LEFT(A135,_xlfn.AGGREGATE(16,6,FIND({0,1,2,3,4,5,6,7,8,9},A135,ROW(INDIRECT("1:"&amp;LEN(A135)))),1))," ",REPT(" ",LEN(A135))),LEN(A135))))))), 0), ROW(INDIRECT("1:"&amp;LEN((--TRIM(RIGHT(SUBSTITUTE(LEFT(A135,_xlfn.AGGREGATE(16,6,FIND({0,1,2,3,4,5,6,7,8,9},A135,ROW(INDIRECT("1:"&amp;LEN(A135)))),1))," ",REPT(" ",LEN(A135))),LEN(A135))))))))+1, 1) * 10^ROW(INDIRECT("1:"&amp;LEN((--TRIM(RIGHT(SUBSTITUTE(LEFT(A135,_xlfn.AGGREGATE(16,6,FIND({0,1,2,3,4,5,6,7,8,9},A135,ROW(INDIRECT("1:"&amp;LEN(A135)))),1))," ",REPT(" ",LEN(A135))),LEN(A135)))))))/10))*100+1</f>
        <v>101 to 601</v>
      </c>
      <c r="B136" s="146"/>
      <c r="C136" s="69" t="s">
        <v>291</v>
      </c>
      <c r="D136" s="70">
        <f>50.35*(10.764)</f>
        <v>541.9674</v>
      </c>
      <c r="E136" s="70">
        <f>(1*(2.85+2.1+2.75+2.95))*(10.764)</f>
        <v>114.6366</v>
      </c>
      <c r="F136" s="69">
        <f>D136+E136</f>
        <v>656.60400000000004</v>
      </c>
      <c r="G136" s="69">
        <v>0</v>
      </c>
      <c r="H136" s="69">
        <f>F136*(($H$132)+1)+(IF(G136&lt;101,G136,IF(G136&lt;201,G136/2,IF(G136&lt;=301,G136/3,G136/4))))</f>
        <v>952.07580000000007</v>
      </c>
      <c r="I136" s="68">
        <f>(2.85*3.75+2.85*1.3+2.1*2.75+2.75*2.75+2.85*3.5+1.8*1.2+1.95*1.2+1.1*1.2+5.2*0.9)</f>
        <v>48.204999999999998</v>
      </c>
      <c r="J136" s="56">
        <f>1*(2.85+2.1+2.75+2.95)</f>
        <v>10.65</v>
      </c>
      <c r="M136" s="63">
        <f>10.764</f>
        <v>10.763999999999999</v>
      </c>
    </row>
    <row r="137" spans="1:20" s="34" customFormat="1" ht="15.75" customHeight="1">
      <c r="A137" s="145" t="str">
        <f ca="1">(SUMPRODUCT(MID(0&amp;(LEFT(A136,SUM(LEN(A136)-LEN(SUBSTITUTE(A136,{"0","1","2"},""))))), LARGE(INDEX(ISNUMBER(--MID((LEFT(A136,SUM(LEN(A136)-LEN(SUBSTITUTE(A136,{"0","1","2"},""))))), ROW(INDIRECT("1:"&amp;LEN((LEFT(A136,SUM(LEN(A136)-LEN(SUBSTITUTE(A136,{"0","1","2"},"")))))))), 1)) * ROW(INDIRECT("1:"&amp;LEN((LEFT(A136,SUM(LEN(A136)-LEN(SUBSTITUTE(A136,{"0","1","2"},"")))))))), 0), ROW(INDIRECT("1:"&amp;LEN((LEFT(A136,SUM(LEN(A136)-LEN(SUBSTITUTE(A136,{"0","1","2"},"")))))))))+1, 1) * 10^ROW(INDIRECT("1:"&amp;LEN((LEFT(A136,SUM(LEN(A136)-LEN(SUBSTITUTE(A136,{"0","1","2"},""))))))))/10))*1+1&amp;""&amp;" to "&amp;""&amp;(SUMPRODUCT(MID(0&amp;(--TRIM(RIGHT(SUBSTITUTE(LEFT(A136,_xlfn.AGGREGATE(16,6,FIND({0,1,2,3,4,5,6,7,8,9},A136,ROW(INDIRECT("1:"&amp;LEN(A136)))),1))," ",REPT(" ",LEN(A136))),LEN(A136)))), LARGE(INDEX(ISNUMBER(--MID((--TRIM(RIGHT(SUBSTITUTE(LEFT(A136,_xlfn.AGGREGATE(16,6,FIND({0,1,2,3,4,5,6,7,8,9},A136,ROW(INDIRECT("1:"&amp;LEN(A136)))),1))," ",REPT(" ",LEN(A136))),LEN(A136)))), ROW(INDIRECT("1:"&amp;LEN((--TRIM(RIGHT(SUBSTITUTE(LEFT(A136,_xlfn.AGGREGATE(16,6,FIND({0,1,2,3,4,5,6,7,8,9},A136,ROW(INDIRECT("1:"&amp;LEN(A136)))),1))," ",REPT(" ",LEN(A136))),LEN(A136))))))), 1)) * ROW(INDIRECT("1:"&amp;LEN((--TRIM(RIGHT(SUBSTITUTE(LEFT(A136,_xlfn.AGGREGATE(16,6,FIND({0,1,2,3,4,5,6,7,8,9},A136,ROW(INDIRECT("1:"&amp;LEN(A136)))),1))," ",REPT(" ",LEN(A136))),LEN(A136))))))), 0), ROW(INDIRECT("1:"&amp;LEN((--TRIM(RIGHT(SUBSTITUTE(LEFT(A136,_xlfn.AGGREGATE(16,6,FIND({0,1,2,3,4,5,6,7,8,9},A136,ROW(INDIRECT("1:"&amp;LEN(A136)))),1))," ",REPT(" ",LEN(A136))),LEN(A136))))))))+1, 1) * 10^ROW(INDIRECT("1:"&amp;LEN((--TRIM(RIGHT(SUBSTITUTE(LEFT(A136,_xlfn.AGGREGATE(16,6,FIND({0,1,2,3,4,5,6,7,8,9},A136,ROW(INDIRECT("1:"&amp;LEN(A136)))),1))," ",REPT(" ",LEN(A136))),LEN(A136)))))))/10))*1+1</f>
        <v>102 to 602</v>
      </c>
      <c r="B137" s="146"/>
      <c r="C137" s="69" t="s">
        <v>291</v>
      </c>
      <c r="D137" s="70">
        <f>50.35*(10.764)</f>
        <v>541.9674</v>
      </c>
      <c r="E137" s="70">
        <f>(1*(2.85+2.1+2.75+2.9))*(10.764)</f>
        <v>114.09839999999998</v>
      </c>
      <c r="F137" s="69">
        <f>D137+E137</f>
        <v>656.06579999999997</v>
      </c>
      <c r="G137" s="69">
        <v>0</v>
      </c>
      <c r="H137" s="69">
        <f>F137*(($H$132)+1)+(IF(G137&lt;101,G137,IF(G137&lt;201,G137/2,IF(G137&lt;=301,G137/3,G137/4))))</f>
        <v>951.29540999999995</v>
      </c>
      <c r="I137" s="33"/>
    </row>
    <row r="138" spans="1:20" s="57" customFormat="1" ht="15.75" customHeight="1">
      <c r="A138" s="151" t="s">
        <v>293</v>
      </c>
      <c r="B138" s="151"/>
      <c r="C138" s="151"/>
      <c r="D138" s="151"/>
      <c r="E138" s="151"/>
      <c r="F138" s="151"/>
      <c r="G138" s="151"/>
      <c r="H138" s="151"/>
      <c r="I138" s="33"/>
    </row>
    <row r="139" spans="1:20" s="31" customFormat="1">
      <c r="A139" s="148" t="s">
        <v>287</v>
      </c>
      <c r="B139" s="149"/>
      <c r="C139" s="149"/>
      <c r="D139" s="149"/>
      <c r="E139" s="149"/>
      <c r="F139" s="149"/>
      <c r="G139" s="149"/>
      <c r="H139" s="150"/>
      <c r="T139" s="32"/>
    </row>
    <row r="140" spans="1:20" s="34" customFormat="1" ht="15.75" customHeight="1">
      <c r="A140" s="148" t="s">
        <v>325</v>
      </c>
      <c r="B140" s="149"/>
      <c r="C140" s="149"/>
      <c r="D140" s="149"/>
      <c r="E140" s="149"/>
      <c r="F140" s="149"/>
      <c r="G140" s="149"/>
      <c r="H140" s="150"/>
      <c r="I140" s="33"/>
    </row>
    <row r="141" spans="1:20" s="34" customFormat="1" ht="15.75" customHeight="1">
      <c r="A141" s="145" t="str">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10^ROW(INDIRECT("1:"&amp;LEN((LEFT(A140,SUM(LEN(A140)-LEN(SUBSTITUTE(A140,{"0","1","2"},""))))))))/10))*100+1&amp;""&amp;" &amp;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",LEN(A140))),LEN(A140)))))))/10))*100+1</f>
        <v>101 &amp; 601</v>
      </c>
      <c r="B141" s="146"/>
      <c r="C141" s="69" t="s">
        <v>291</v>
      </c>
      <c r="D141" s="70">
        <f>50.35*(10.764)</f>
        <v>541.9674</v>
      </c>
      <c r="E141" s="70">
        <f>(1*(2.85+2.1+2.75+2.95))*(10.764)</f>
        <v>114.6366</v>
      </c>
      <c r="F141" s="69">
        <f>D141+E141</f>
        <v>656.60400000000004</v>
      </c>
      <c r="G141" s="69">
        <v>0</v>
      </c>
      <c r="H141" s="69">
        <f>F141*(($H$132)+1)+(IF(G141&lt;101,G141,IF(G141&lt;201,G141/2,IF(G141&lt;=301,G141/3,G141/4))))</f>
        <v>952.07580000000007</v>
      </c>
      <c r="I141" s="56">
        <f>(2.85*3.75+2.85*1.3+2.1*2.75+2.75*2.75+2.85*3.5+1.8*1.2+1.95*1.2+1.1*1.2+5.2*0.9)</f>
        <v>48.204999999999998</v>
      </c>
      <c r="J141" s="56">
        <f>1*(2.85+2.1+2.75+2.95)</f>
        <v>10.65</v>
      </c>
    </row>
    <row r="142" spans="1:20" s="34" customFormat="1" ht="15.75" customHeight="1">
      <c r="A142" s="145"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&amp;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102 &amp; 602</v>
      </c>
      <c r="B142" s="146"/>
      <c r="C142" s="69" t="s">
        <v>291</v>
      </c>
      <c r="D142" s="70">
        <f>50.35*(10.764)</f>
        <v>541.9674</v>
      </c>
      <c r="E142" s="70">
        <f>(1*(2.85+2.1+2.75+2.95))*(10.764)</f>
        <v>114.6366</v>
      </c>
      <c r="F142" s="69">
        <f>D142+E142</f>
        <v>656.60400000000004</v>
      </c>
      <c r="G142" s="69">
        <v>0</v>
      </c>
      <c r="H142" s="69">
        <f>F142*(($H$132)+1)+(IF(G142&lt;101,G142,IF(G142&lt;201,G142/2,IF(G142&lt;=301,G142/3,G142/4))))</f>
        <v>952.07580000000007</v>
      </c>
      <c r="I142" s="33"/>
    </row>
    <row r="143" spans="1:20" s="57" customFormat="1" ht="15.75" customHeight="1">
      <c r="A143" s="151" t="s">
        <v>295</v>
      </c>
      <c r="B143" s="151"/>
      <c r="C143" s="151"/>
      <c r="D143" s="151"/>
      <c r="E143" s="151"/>
      <c r="F143" s="151"/>
      <c r="G143" s="151"/>
      <c r="H143" s="151"/>
      <c r="I143" s="33"/>
    </row>
    <row r="144" spans="1:20" s="57" customFormat="1" ht="15.75" customHeight="1">
      <c r="A144" s="148" t="s">
        <v>287</v>
      </c>
      <c r="B144" s="149"/>
      <c r="C144" s="149"/>
      <c r="D144" s="149"/>
      <c r="E144" s="149"/>
      <c r="F144" s="149"/>
      <c r="G144" s="149"/>
      <c r="H144" s="150"/>
      <c r="I144" s="33"/>
    </row>
    <row r="145" spans="1:20" s="57" customFormat="1" ht="15.75" customHeight="1">
      <c r="A145" s="148" t="s">
        <v>325</v>
      </c>
      <c r="B145" s="149"/>
      <c r="C145" s="149"/>
      <c r="D145" s="149"/>
      <c r="E145" s="149"/>
      <c r="F145" s="149"/>
      <c r="G145" s="149"/>
      <c r="H145" s="150"/>
      <c r="I145" s="33"/>
    </row>
    <row r="146" spans="1:20" s="57" customFormat="1" ht="15.75" customHeight="1">
      <c r="A146" s="145"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10^ROW(INDIRECT("1:"&amp;LEN((LEFT(A145,SUM(LEN(A145)-LEN(SUBSTITUTE(A145,{"0","1","2"},""))))))))/10))*100+1&amp;""&amp;" to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",LEN(A145))),LEN(A145)))))))/10))*100+1</f>
        <v>101 to 601</v>
      </c>
      <c r="B146" s="146"/>
      <c r="C146" s="69" t="s">
        <v>291</v>
      </c>
      <c r="D146" s="70">
        <f>(49.93)*(10.764)</f>
        <v>537.44651999999996</v>
      </c>
      <c r="E146" s="70">
        <f>(1*(2.85+2.75+2.1+2.85))*(10.764)</f>
        <v>113.56019999999998</v>
      </c>
      <c r="F146" s="69">
        <f>D146+E146</f>
        <v>651.00671999999997</v>
      </c>
      <c r="G146" s="69">
        <v>0</v>
      </c>
      <c r="H146" s="69">
        <f>F146*(($H$132)+1)+(IF(G146&lt;101,G146,IF(G146&lt;201,G146/2,IF(G146&lt;=301,G146/3,G146/4))))</f>
        <v>943.95974399999989</v>
      </c>
      <c r="I146" s="58">
        <f>(2.85*3.75+2.85*1.3+2.1*2.75+2.75*2.75+2.85*3.35+1.95*1.2+1.8*1.2+0.9*5.25+1*1.3)</f>
        <v>47.802500000000002</v>
      </c>
      <c r="J146" s="56">
        <f>1*(2.85+2.1+2.75+2.95)</f>
        <v>10.65</v>
      </c>
    </row>
    <row r="147" spans="1:20" s="57" customFormat="1" ht="15.75" customHeight="1">
      <c r="A147" s="145"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to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102 to 602</v>
      </c>
      <c r="B147" s="146"/>
      <c r="C147" s="69" t="s">
        <v>296</v>
      </c>
      <c r="D147" s="70">
        <f>34.65*(10.764)</f>
        <v>372.97259999999994</v>
      </c>
      <c r="E147" s="70">
        <f>(1*(1.9+2.1))*(10.764)</f>
        <v>43.055999999999997</v>
      </c>
      <c r="F147" s="69">
        <f>D147+E147</f>
        <v>416.02859999999993</v>
      </c>
      <c r="G147" s="69">
        <v>0</v>
      </c>
      <c r="H147" s="69">
        <f>F147*(($H$132)+1)+(IF(G147&lt;101,G147,IF(G147&lt;201,G147/2,IF(G147&lt;=301,G147/3,G147/4))))</f>
        <v>603.24146999999982</v>
      </c>
      <c r="I147" s="56">
        <f>(2.85*3.9+0.75*1.85+2.1*2.45+3.25*3.15+1.2*1.65+1.1*1.2+2*0.9+0.4*0.8)</f>
        <v>33.305</v>
      </c>
    </row>
    <row r="148" spans="1:20" s="57" customFormat="1" ht="15.75" customHeight="1">
      <c r="A148" s="151" t="s">
        <v>297</v>
      </c>
      <c r="B148" s="151"/>
      <c r="C148" s="151"/>
      <c r="D148" s="151"/>
      <c r="E148" s="151"/>
      <c r="F148" s="151"/>
      <c r="G148" s="151"/>
      <c r="H148" s="151"/>
    </row>
    <row r="149" spans="1:20" s="57" customFormat="1" ht="15.75" customHeight="1">
      <c r="A149" s="148" t="s">
        <v>287</v>
      </c>
      <c r="B149" s="149"/>
      <c r="C149" s="149"/>
      <c r="D149" s="149"/>
      <c r="E149" s="149"/>
      <c r="F149" s="149"/>
      <c r="G149" s="149"/>
      <c r="H149" s="150"/>
      <c r="I149" s="33"/>
    </row>
    <row r="150" spans="1:20" s="57" customFormat="1" ht="15.75" customHeight="1">
      <c r="A150" s="215" t="s">
        <v>325</v>
      </c>
      <c r="B150" s="215"/>
      <c r="C150" s="215"/>
      <c r="D150" s="215"/>
      <c r="E150" s="215"/>
      <c r="F150" s="215"/>
      <c r="G150" s="215"/>
      <c r="H150" s="215"/>
      <c r="I150" s="33"/>
    </row>
    <row r="151" spans="1:20" s="57" customFormat="1" ht="15.75" customHeight="1">
      <c r="A151" s="216"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10^ROW(INDIRECT("1:"&amp;LEN((LEFT(A150,SUM(LEN(A150)-LEN(SUBSTITUTE(A150,{"0","1","2"},""))))))))/10))*100+1&amp;""&amp;" to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",LEN(A150))),LEN(A150)))))))/10))*100+1</f>
        <v>101 to 601</v>
      </c>
      <c r="B151" s="216"/>
      <c r="C151" s="69" t="s">
        <v>296</v>
      </c>
      <c r="D151" s="70">
        <f>34.65*(10.764)</f>
        <v>372.97259999999994</v>
      </c>
      <c r="E151" s="70">
        <f>(2.1*1+2*1)*(10.764)</f>
        <v>44.132399999999997</v>
      </c>
      <c r="F151" s="69">
        <f>D151+E151</f>
        <v>417.10499999999996</v>
      </c>
      <c r="G151" s="69">
        <v>0</v>
      </c>
      <c r="H151" s="69">
        <f>F151*(($H$132)+1)+(IF(G151&lt;101,G151,IF(G151&lt;201,G151/2,IF(G151&lt;=301,G151/3,G151/4))))</f>
        <v>604.80224999999996</v>
      </c>
      <c r="I151" s="56">
        <f>(2.85*4.9+2*0.75+3.25*3.15+2.1*2.45+1.2*1.65+1.1*1.2+0.75*1.2+1.35*0.85)</f>
        <v>36.195</v>
      </c>
      <c r="J151" s="56">
        <f>2.1*1+2*1</f>
        <v>4.0999999999999996</v>
      </c>
    </row>
    <row r="152" spans="1:20" s="57" customFormat="1" ht="15.75" customHeight="1">
      <c r="A152" s="216"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to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102 to 602</v>
      </c>
      <c r="B152" s="216"/>
      <c r="C152" s="69" t="s">
        <v>296</v>
      </c>
      <c r="D152" s="70">
        <f>34.65*(10.764)</f>
        <v>372.97259999999994</v>
      </c>
      <c r="E152" s="70">
        <f>(2.1*1+2*1)*(10.764)</f>
        <v>44.132399999999997</v>
      </c>
      <c r="F152" s="69">
        <f>D152+E152</f>
        <v>417.10499999999996</v>
      </c>
      <c r="G152" s="69">
        <v>0</v>
      </c>
      <c r="H152" s="69">
        <f>F152*(($H$132)+1)+(IF(G152&lt;101,G152,IF(G152&lt;201,G152/2,IF(G152&lt;=301,G152/3,G152/4))))</f>
        <v>604.80224999999996</v>
      </c>
      <c r="I152" s="33"/>
    </row>
    <row r="153" spans="1:20" s="32" customFormat="1">
      <c r="A153" s="156" t="s">
        <v>63</v>
      </c>
      <c r="B153" s="156"/>
      <c r="C153" s="156"/>
      <c r="D153" s="156"/>
      <c r="E153" s="156"/>
      <c r="F153" s="156"/>
      <c r="G153" s="156"/>
      <c r="H153" s="156"/>
      <c r="T153" s="34"/>
    </row>
    <row r="154" spans="1:20" s="32" customFormat="1" ht="47.5" customHeight="1">
      <c r="A154" s="75" t="s">
        <v>146</v>
      </c>
      <c r="B154" s="217" t="s">
        <v>335</v>
      </c>
      <c r="C154" s="217"/>
      <c r="D154" s="217"/>
      <c r="E154" s="217"/>
      <c r="F154" s="217"/>
      <c r="G154" s="217"/>
      <c r="H154" s="217"/>
      <c r="T154" s="34"/>
    </row>
    <row r="155" spans="1:20" s="32" customFormat="1">
      <c r="A155" s="75" t="s">
        <v>146</v>
      </c>
      <c r="B155" s="217" t="str">
        <f>(IF(H131="Saleable area Loading :","We have considered Saleable area of Flats as per our Calculation.","We considered Saleable area of Flat as per Builder area Sheet."))</f>
        <v>We have considered Saleable area of Flats as per our Calculation.</v>
      </c>
      <c r="C155" s="217"/>
      <c r="D155" s="217"/>
      <c r="E155" s="217"/>
      <c r="F155" s="217"/>
      <c r="G155" s="217"/>
      <c r="H155" s="217"/>
      <c r="T155" s="34"/>
    </row>
    <row r="156" spans="1:20" s="32" customFormat="1">
      <c r="A156" s="40" t="s">
        <v>146</v>
      </c>
      <c r="B156" s="136" t="s">
        <v>116</v>
      </c>
      <c r="C156" s="137"/>
      <c r="D156" s="137"/>
      <c r="E156" s="137"/>
      <c r="F156" s="137"/>
      <c r="G156" s="137"/>
      <c r="H156" s="138"/>
    </row>
    <row r="157" spans="1:20" s="32" customFormat="1">
      <c r="A157" s="40" t="s">
        <v>146</v>
      </c>
      <c r="B157" s="136" t="s">
        <v>311</v>
      </c>
      <c r="C157" s="137"/>
      <c r="D157" s="137"/>
      <c r="E157" s="137"/>
      <c r="F157" s="137"/>
      <c r="G157" s="137"/>
      <c r="H157" s="138"/>
    </row>
    <row r="158" spans="1:20" s="32" customFormat="1">
      <c r="A158" s="40" t="s">
        <v>146</v>
      </c>
      <c r="B158" s="136" t="s">
        <v>145</v>
      </c>
      <c r="C158" s="137"/>
      <c r="D158" s="137"/>
      <c r="E158" s="137"/>
      <c r="F158" s="137"/>
      <c r="G158" s="137"/>
      <c r="H158" s="138"/>
    </row>
    <row r="159" spans="1:20" s="32" customFormat="1">
      <c r="A159" s="40" t="s">
        <v>146</v>
      </c>
      <c r="B159" s="136" t="s">
        <v>117</v>
      </c>
      <c r="C159" s="137"/>
      <c r="D159" s="137"/>
      <c r="E159" s="137"/>
      <c r="F159" s="137"/>
      <c r="G159" s="137"/>
      <c r="H159" s="138"/>
    </row>
    <row r="160" spans="1:20" s="32" customFormat="1" ht="34.5" hidden="1" customHeight="1">
      <c r="A160" s="40" t="s">
        <v>146</v>
      </c>
      <c r="B160" s="136" t="s">
        <v>147</v>
      </c>
      <c r="C160" s="137"/>
      <c r="D160" s="137"/>
      <c r="E160" s="137"/>
      <c r="F160" s="137"/>
      <c r="G160" s="137"/>
      <c r="H160" s="138"/>
    </row>
    <row r="161" spans="1:20" s="32" customFormat="1">
      <c r="A161" s="40" t="s">
        <v>146</v>
      </c>
      <c r="B161" s="136" t="s">
        <v>118</v>
      </c>
      <c r="C161" s="137"/>
      <c r="D161" s="137"/>
      <c r="E161" s="137"/>
      <c r="F161" s="137"/>
      <c r="G161" s="137"/>
      <c r="H161" s="138"/>
    </row>
    <row r="162" spans="1:20">
      <c r="A162" s="159" t="s">
        <v>56</v>
      </c>
      <c r="B162" s="159"/>
      <c r="C162" s="159"/>
      <c r="D162" s="159"/>
      <c r="E162" s="159"/>
      <c r="F162" s="159"/>
      <c r="G162" s="159"/>
      <c r="H162" s="159"/>
      <c r="T162" s="32"/>
    </row>
    <row r="163" spans="1:20">
      <c r="A163" s="79" t="s">
        <v>57</v>
      </c>
      <c r="B163" s="79"/>
      <c r="C163" s="79"/>
      <c r="D163" s="79"/>
      <c r="E163" s="79"/>
      <c r="F163" s="79"/>
      <c r="G163" s="79"/>
      <c r="H163" s="79"/>
      <c r="T163" s="32"/>
    </row>
    <row r="164" spans="1:20" ht="15.75" customHeight="1">
      <c r="A164" s="160" t="s">
        <v>58</v>
      </c>
      <c r="B164" s="160"/>
      <c r="C164" s="160"/>
      <c r="D164" s="160"/>
      <c r="E164" s="160"/>
      <c r="F164" s="160"/>
      <c r="G164" s="160"/>
      <c r="H164" s="160"/>
      <c r="T164" s="32"/>
    </row>
    <row r="165" spans="1:20">
      <c r="A165" s="79" t="s">
        <v>59</v>
      </c>
      <c r="B165" s="79"/>
      <c r="C165" s="79"/>
      <c r="D165" s="79"/>
      <c r="E165" s="79"/>
      <c r="F165" s="79"/>
      <c r="G165" s="79"/>
      <c r="H165" s="79"/>
    </row>
    <row r="166" spans="1:20">
      <c r="A166" s="79" t="s">
        <v>60</v>
      </c>
      <c r="B166" s="79"/>
      <c r="C166" s="79"/>
      <c r="D166" s="79"/>
      <c r="E166" s="79"/>
      <c r="F166" s="79"/>
      <c r="G166" s="79"/>
      <c r="H166" s="79"/>
    </row>
    <row r="167" spans="1:20" hidden="1">
      <c r="A167" s="79" t="s">
        <v>119</v>
      </c>
      <c r="B167" s="79"/>
      <c r="C167" s="79"/>
      <c r="D167" s="79"/>
      <c r="E167" s="79"/>
      <c r="F167" s="79"/>
      <c r="G167" s="79"/>
      <c r="H167" s="79"/>
    </row>
    <row r="168" spans="1:20" ht="34" hidden="1" customHeight="1">
      <c r="A168" s="109" t="s">
        <v>120</v>
      </c>
      <c r="B168" s="109"/>
      <c r="C168" s="109"/>
      <c r="D168" s="109"/>
      <c r="E168" s="109"/>
      <c r="F168" s="109"/>
      <c r="G168" s="109"/>
      <c r="H168" s="109"/>
    </row>
    <row r="169" spans="1:20">
      <c r="A169" s="158" t="s">
        <v>71</v>
      </c>
      <c r="B169" s="158"/>
      <c r="C169" s="158" t="s">
        <v>332</v>
      </c>
      <c r="D169" s="158"/>
      <c r="E169" s="158" t="s">
        <v>101</v>
      </c>
      <c r="F169" s="158"/>
      <c r="G169" s="158" t="s">
        <v>336</v>
      </c>
      <c r="H169" s="158"/>
    </row>
    <row r="170" spans="1:20">
      <c r="A170" s="157" t="s">
        <v>73</v>
      </c>
      <c r="B170" s="157"/>
      <c r="C170" s="157"/>
      <c r="D170" s="157"/>
      <c r="E170" s="157"/>
      <c r="F170" s="157"/>
      <c r="G170" s="157"/>
      <c r="H170" s="157"/>
    </row>
    <row r="171" spans="1:20">
      <c r="A171" s="157"/>
      <c r="B171" s="157"/>
      <c r="C171" s="157"/>
      <c r="D171" s="157"/>
      <c r="E171" s="157"/>
      <c r="F171" s="157"/>
      <c r="G171" s="157"/>
      <c r="H171" s="157"/>
    </row>
    <row r="172" spans="1:20">
      <c r="A172" s="157"/>
      <c r="B172" s="157"/>
      <c r="C172" s="157"/>
      <c r="D172" s="157"/>
      <c r="E172" s="157"/>
      <c r="F172" s="157"/>
      <c r="G172" s="157"/>
      <c r="H172" s="157"/>
    </row>
    <row r="173" spans="1:20">
      <c r="A173" s="157"/>
      <c r="B173" s="157"/>
      <c r="C173" s="157"/>
      <c r="D173" s="157"/>
      <c r="E173" s="157"/>
      <c r="F173" s="157"/>
      <c r="G173" s="157"/>
      <c r="H173" s="157"/>
    </row>
    <row r="174" spans="1:20">
      <c r="A174" s="35" t="s">
        <v>61</v>
      </c>
      <c r="B174" s="36"/>
      <c r="C174" s="36"/>
      <c r="D174" s="35" t="str">
        <f>E9</f>
        <v>Jai Ganesh Co-operative Housing Society Ltd</v>
      </c>
      <c r="F174" s="36"/>
      <c r="G174" s="36"/>
      <c r="H174" s="36"/>
    </row>
    <row r="175" spans="1:20">
      <c r="A175" s="36"/>
      <c r="B175" s="36"/>
      <c r="C175" s="36"/>
      <c r="D175" s="36"/>
      <c r="E175" s="36"/>
      <c r="F175" s="36"/>
      <c r="G175" s="36"/>
      <c r="H175" s="36"/>
    </row>
    <row r="176" spans="1:20" ht="15" customHeight="1"/>
    <row r="217" spans="1:1">
      <c r="A217" s="38" t="s">
        <v>153</v>
      </c>
    </row>
    <row r="257" spans="1:1">
      <c r="A257" s="38" t="s">
        <v>62</v>
      </c>
    </row>
  </sheetData>
  <mergeCells count="308">
    <mergeCell ref="C70:H70"/>
    <mergeCell ref="A70:B70"/>
    <mergeCell ref="C68:H68"/>
    <mergeCell ref="A68:B68"/>
    <mergeCell ref="C51:E51"/>
    <mergeCell ref="D56:H56"/>
    <mergeCell ref="D63:H63"/>
    <mergeCell ref="C84:H84"/>
    <mergeCell ref="G54:H54"/>
    <mergeCell ref="A80:B80"/>
    <mergeCell ref="A89:B89"/>
    <mergeCell ref="E85:F85"/>
    <mergeCell ref="A41:D41"/>
    <mergeCell ref="E41:F41"/>
    <mergeCell ref="G41:H41"/>
    <mergeCell ref="E42:F42"/>
    <mergeCell ref="E43:F43"/>
    <mergeCell ref="E44:F44"/>
    <mergeCell ref="E45:F45"/>
    <mergeCell ref="E46:F46"/>
    <mergeCell ref="G42:H42"/>
    <mergeCell ref="G43:H43"/>
    <mergeCell ref="G44:H44"/>
    <mergeCell ref="G45:H45"/>
    <mergeCell ref="G46:H46"/>
    <mergeCell ref="G52:H52"/>
    <mergeCell ref="A51:B51"/>
    <mergeCell ref="A57:C57"/>
    <mergeCell ref="G51:H51"/>
    <mergeCell ref="D59:H59"/>
    <mergeCell ref="D65:H65"/>
    <mergeCell ref="A66:C66"/>
    <mergeCell ref="D57:H57"/>
    <mergeCell ref="A71:B71"/>
    <mergeCell ref="A55:H55"/>
    <mergeCell ref="A56:C56"/>
    <mergeCell ref="I15:P15"/>
    <mergeCell ref="F118:H118"/>
    <mergeCell ref="F116:H116"/>
    <mergeCell ref="A43:D43"/>
    <mergeCell ref="A50:B50"/>
    <mergeCell ref="C50:E50"/>
    <mergeCell ref="G50:H50"/>
    <mergeCell ref="J65:N65"/>
    <mergeCell ref="A52:B53"/>
    <mergeCell ref="C52:E52"/>
    <mergeCell ref="C53:H53"/>
    <mergeCell ref="E99:F99"/>
    <mergeCell ref="C98:H98"/>
    <mergeCell ref="A99:B99"/>
    <mergeCell ref="A110:E110"/>
    <mergeCell ref="F110:H110"/>
    <mergeCell ref="A25:D25"/>
    <mergeCell ref="C35:E35"/>
    <mergeCell ref="F34:H34"/>
    <mergeCell ref="A54:B54"/>
    <mergeCell ref="C54:E54"/>
    <mergeCell ref="A87:B87"/>
    <mergeCell ref="A91:B91"/>
    <mergeCell ref="A59:C60"/>
    <mergeCell ref="D60:H60"/>
    <mergeCell ref="A67:C67"/>
    <mergeCell ref="D67:H67"/>
    <mergeCell ref="A65:C65"/>
    <mergeCell ref="D66:H66"/>
    <mergeCell ref="A86:B86"/>
    <mergeCell ref="G85:H85"/>
    <mergeCell ref="A85:B85"/>
    <mergeCell ref="A81:B81"/>
    <mergeCell ref="A79:B79"/>
    <mergeCell ref="A77:B77"/>
    <mergeCell ref="A76:B76"/>
    <mergeCell ref="A75:B75"/>
    <mergeCell ref="A74:B74"/>
    <mergeCell ref="A73:B73"/>
    <mergeCell ref="G72:H81"/>
    <mergeCell ref="E72:F81"/>
    <mergeCell ref="A72:B72"/>
    <mergeCell ref="G71:H71"/>
    <mergeCell ref="E71:F71"/>
    <mergeCell ref="A63:C63"/>
    <mergeCell ref="A78:B78"/>
    <mergeCell ref="A106:B106"/>
    <mergeCell ref="F111:H111"/>
    <mergeCell ref="A109:B109"/>
    <mergeCell ref="F115:H115"/>
    <mergeCell ref="C127:D127"/>
    <mergeCell ref="A128:B128"/>
    <mergeCell ref="C128:D128"/>
    <mergeCell ref="A114:E114"/>
    <mergeCell ref="F114:H114"/>
    <mergeCell ref="A116:E116"/>
    <mergeCell ref="A115:E115"/>
    <mergeCell ref="E100:F109"/>
    <mergeCell ref="A100:B100"/>
    <mergeCell ref="A113:E113"/>
    <mergeCell ref="E128:F128"/>
    <mergeCell ref="A101:B101"/>
    <mergeCell ref="B154:H154"/>
    <mergeCell ref="B155:H155"/>
    <mergeCell ref="B156:H156"/>
    <mergeCell ref="B157:H157"/>
    <mergeCell ref="A153:H153"/>
    <mergeCell ref="A135:H135"/>
    <mergeCell ref="A146:B146"/>
    <mergeCell ref="A170:H173"/>
    <mergeCell ref="A169:B169"/>
    <mergeCell ref="E169:F169"/>
    <mergeCell ref="C169:D169"/>
    <mergeCell ref="G169:H169"/>
    <mergeCell ref="A168:H168"/>
    <mergeCell ref="A166:H166"/>
    <mergeCell ref="A165:H165"/>
    <mergeCell ref="A162:H162"/>
    <mergeCell ref="A163:H163"/>
    <mergeCell ref="A167:H167"/>
    <mergeCell ref="A164:H164"/>
    <mergeCell ref="A151:B151"/>
    <mergeCell ref="A152:B152"/>
    <mergeCell ref="B161:H161"/>
    <mergeCell ref="B159:H159"/>
    <mergeCell ref="A134:H134"/>
    <mergeCell ref="A138:H138"/>
    <mergeCell ref="B131:B132"/>
    <mergeCell ref="A136:B136"/>
    <mergeCell ref="C131:C132"/>
    <mergeCell ref="G131:G132"/>
    <mergeCell ref="G128:H128"/>
    <mergeCell ref="A144:H144"/>
    <mergeCell ref="A143:H143"/>
    <mergeCell ref="A140:H140"/>
    <mergeCell ref="A141:B141"/>
    <mergeCell ref="A142:B142"/>
    <mergeCell ref="D131:D132"/>
    <mergeCell ref="E131:E132"/>
    <mergeCell ref="A127:B127"/>
    <mergeCell ref="E127:F127"/>
    <mergeCell ref="B160:H160"/>
    <mergeCell ref="E122:F122"/>
    <mergeCell ref="A129:H129"/>
    <mergeCell ref="A131:A132"/>
    <mergeCell ref="F131:F132"/>
    <mergeCell ref="A137:B137"/>
    <mergeCell ref="G127:H127"/>
    <mergeCell ref="C123:D123"/>
    <mergeCell ref="E123:F123"/>
    <mergeCell ref="A145:H145"/>
    <mergeCell ref="A147:B147"/>
    <mergeCell ref="A148:H148"/>
    <mergeCell ref="B158:H158"/>
    <mergeCell ref="A126:B126"/>
    <mergeCell ref="C126:D126"/>
    <mergeCell ref="E126:F126"/>
    <mergeCell ref="G126:H126"/>
    <mergeCell ref="A150:H150"/>
    <mergeCell ref="A139:H139"/>
    <mergeCell ref="A149:H149"/>
    <mergeCell ref="A133:H133"/>
    <mergeCell ref="A130:H13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F35:H35"/>
    <mergeCell ref="A34:B34"/>
    <mergeCell ref="A33:B33"/>
    <mergeCell ref="C34:E34"/>
    <mergeCell ref="A35:B35"/>
    <mergeCell ref="A38:H38"/>
    <mergeCell ref="A37:B37"/>
    <mergeCell ref="C37:E37"/>
    <mergeCell ref="G100:H109"/>
    <mergeCell ref="A42:D42"/>
    <mergeCell ref="A61:C61"/>
    <mergeCell ref="A62:C62"/>
    <mergeCell ref="D61:H61"/>
    <mergeCell ref="E86:F95"/>
    <mergeCell ref="G86:H95"/>
    <mergeCell ref="A94:B94"/>
    <mergeCell ref="A95:B95"/>
    <mergeCell ref="D62:H62"/>
    <mergeCell ref="A44:D44"/>
    <mergeCell ref="G99:H99"/>
    <mergeCell ref="A98:B98"/>
    <mergeCell ref="A88:B88"/>
    <mergeCell ref="A39:B39"/>
    <mergeCell ref="C39:H39"/>
    <mergeCell ref="A46:D46"/>
    <mergeCell ref="A93:B93"/>
    <mergeCell ref="A45:D45"/>
    <mergeCell ref="F37:H37"/>
    <mergeCell ref="A64:C64"/>
    <mergeCell ref="A40:B40"/>
    <mergeCell ref="C40:H40"/>
    <mergeCell ref="A84:B84"/>
    <mergeCell ref="C124:D124"/>
    <mergeCell ref="G124:H124"/>
    <mergeCell ref="A124:B124"/>
    <mergeCell ref="E124:F124"/>
    <mergeCell ref="A49:B49"/>
    <mergeCell ref="C49:H49"/>
    <mergeCell ref="A82:B82"/>
    <mergeCell ref="C82:H82"/>
    <mergeCell ref="A90:B90"/>
    <mergeCell ref="G123:H123"/>
    <mergeCell ref="A111:E111"/>
    <mergeCell ref="A96:B96"/>
    <mergeCell ref="C96:H96"/>
    <mergeCell ref="A47:D47"/>
    <mergeCell ref="A48:H48"/>
    <mergeCell ref="D58:H58"/>
    <mergeCell ref="A58:C58"/>
    <mergeCell ref="A92:B92"/>
    <mergeCell ref="A118:E118"/>
    <mergeCell ref="E47:H47"/>
    <mergeCell ref="D64:H64"/>
    <mergeCell ref="A102:B102"/>
    <mergeCell ref="F112:H112"/>
    <mergeCell ref="A112:E112"/>
    <mergeCell ref="A105:B105"/>
    <mergeCell ref="A107:B107"/>
    <mergeCell ref="A108:B108"/>
    <mergeCell ref="A125:B125"/>
    <mergeCell ref="C125:D125"/>
    <mergeCell ref="E125:F125"/>
    <mergeCell ref="G125:H125"/>
    <mergeCell ref="A123:B123"/>
    <mergeCell ref="A117:E117"/>
    <mergeCell ref="F117:H117"/>
    <mergeCell ref="C122:D122"/>
    <mergeCell ref="A120:E120"/>
    <mergeCell ref="F120:H120"/>
    <mergeCell ref="A103:B103"/>
    <mergeCell ref="A104:B104"/>
    <mergeCell ref="F113:H113"/>
    <mergeCell ref="A119:E119"/>
    <mergeCell ref="F119:H119"/>
    <mergeCell ref="A121:H121"/>
    <mergeCell ref="G122:H122"/>
    <mergeCell ref="A122:B122"/>
  </mergeCells>
  <dataValidations count="11">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B131:B13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1:E132">
      <formula1>"Fungible area,Balcony Area,Chajja Area,Cornice Area,AP Area,WS Area"</formula1>
    </dataValidation>
    <dataValidation type="list" allowBlank="1" showInputMessage="1" showErrorMessage="1" sqref="H13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F110:H110">
      <formula1>"On Saleable Area,On Builtup Area,On Carpet Area,On Plot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6" fitToHeight="0" orientation="portrait" r:id="rId2"/>
  <headerFooter>
    <oddHeader>&amp;C&amp;G</oddHeader>
    <oddFooter>&amp;L&amp;"Times New Roman,Bold"&amp;12Ref No: &amp;F&amp;C&amp;G&amp;R&amp;"Times New Roman,Bold"&amp;12&amp;P</oddFooter>
  </headerFooter>
  <rowBreaks count="5" manualBreakCount="5">
    <brk id="67" max="16383" man="1"/>
    <brk id="152" max="16383" man="1"/>
    <brk id="173" max="16383" man="1"/>
    <brk id="216" max="16383" man="1"/>
    <brk id="25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row r="2" spans="1:9" ht="15" customHeight="1">
      <c r="A2" s="2"/>
      <c r="B2" s="2"/>
      <c r="C2" s="2"/>
      <c r="D2" s="2"/>
      <c r="E2" s="2"/>
      <c r="F2" s="2"/>
      <c r="G2" s="2"/>
      <c r="H2" s="2"/>
    </row>
    <row r="3" spans="1:9" ht="15.75" customHeight="1">
      <c r="A3" s="2"/>
      <c r="B3" s="208" t="s">
        <v>102</v>
      </c>
      <c r="C3" s="208"/>
      <c r="D3" s="208"/>
      <c r="E3" s="208"/>
      <c r="F3" s="208"/>
      <c r="G3" s="208"/>
      <c r="H3" s="208"/>
    </row>
    <row r="4" spans="1:9">
      <c r="A4" s="2"/>
      <c r="B4" s="3" t="s">
        <v>103</v>
      </c>
      <c r="C4" s="3" t="s">
        <v>104</v>
      </c>
      <c r="D4" s="3" t="s">
        <v>64</v>
      </c>
      <c r="E4" s="3" t="s">
        <v>105</v>
      </c>
      <c r="F4" s="3" t="s">
        <v>111</v>
      </c>
      <c r="G4" s="3" t="s">
        <v>112</v>
      </c>
      <c r="H4" s="3" t="s">
        <v>106</v>
      </c>
    </row>
    <row r="5" spans="1:9" ht="15" customHeight="1">
      <c r="A5" s="2"/>
      <c r="B5" s="5" t="s">
        <v>107</v>
      </c>
      <c r="C5" s="6"/>
      <c r="D5" s="5"/>
      <c r="E5" s="5"/>
      <c r="F5" s="7">
        <f>E5*1.6</f>
        <v>0</v>
      </c>
      <c r="G5" s="7" t="e">
        <f>H5/F5</f>
        <v>#DIV/0!</v>
      </c>
      <c r="H5" s="8"/>
    </row>
    <row r="6" spans="1:9">
      <c r="A6" s="2"/>
      <c r="B6" s="5" t="s">
        <v>107</v>
      </c>
      <c r="C6" s="9"/>
      <c r="D6" s="5"/>
      <c r="E6" s="5"/>
      <c r="F6" s="7">
        <f t="shared" ref="F6:F11" si="0">E6*1.6</f>
        <v>0</v>
      </c>
      <c r="G6" s="7" t="e">
        <f t="shared" ref="G6:G11" si="1">H6/F6</f>
        <v>#DIV/0!</v>
      </c>
      <c r="H6" s="8"/>
    </row>
    <row r="7" spans="1:9" ht="15" customHeight="1">
      <c r="A7" s="2"/>
      <c r="B7" s="5" t="s">
        <v>107</v>
      </c>
      <c r="C7" s="6"/>
      <c r="D7" s="5"/>
      <c r="E7" s="5"/>
      <c r="F7" s="7">
        <f t="shared" si="0"/>
        <v>0</v>
      </c>
      <c r="G7" s="7" t="e">
        <f t="shared" si="1"/>
        <v>#DIV/0!</v>
      </c>
      <c r="H7" s="8"/>
    </row>
    <row r="8" spans="1:9">
      <c r="A8" s="2"/>
      <c r="B8" s="5" t="s">
        <v>107</v>
      </c>
      <c r="C8" s="9"/>
      <c r="D8" s="5"/>
      <c r="E8" s="5"/>
      <c r="F8" s="7">
        <f t="shared" si="0"/>
        <v>0</v>
      </c>
      <c r="G8" s="7" t="e">
        <f t="shared" si="1"/>
        <v>#DIV/0!</v>
      </c>
      <c r="H8" s="8"/>
    </row>
    <row r="9" spans="1:9" ht="15" customHeight="1">
      <c r="A9" s="2"/>
      <c r="B9" s="5" t="s">
        <v>107</v>
      </c>
      <c r="C9" s="9"/>
      <c r="D9" s="5"/>
      <c r="E9" s="5"/>
      <c r="F9" s="7">
        <f t="shared" si="0"/>
        <v>0</v>
      </c>
      <c r="G9" s="7" t="e">
        <f t="shared" si="1"/>
        <v>#DIV/0!</v>
      </c>
      <c r="H9" s="8"/>
    </row>
    <row r="10" spans="1:9" ht="15" customHeight="1">
      <c r="A10" s="2"/>
      <c r="B10" s="5" t="s">
        <v>108</v>
      </c>
      <c r="C10" s="6"/>
      <c r="D10" s="5"/>
      <c r="E10" s="5"/>
      <c r="F10" s="7">
        <f t="shared" si="0"/>
        <v>0</v>
      </c>
      <c r="G10" s="7" t="e">
        <f t="shared" si="1"/>
        <v>#DIV/0!</v>
      </c>
      <c r="H10" s="8"/>
    </row>
    <row r="11" spans="1:9" ht="15" customHeight="1">
      <c r="A11" s="2"/>
      <c r="B11" s="5" t="s">
        <v>108</v>
      </c>
      <c r="C11" s="6"/>
      <c r="D11" s="5"/>
      <c r="E11" s="5"/>
      <c r="F11" s="7">
        <f t="shared" si="0"/>
        <v>0</v>
      </c>
      <c r="G11" s="7" t="e">
        <f t="shared" si="1"/>
        <v>#DIV/0!</v>
      </c>
      <c r="H11" s="8"/>
    </row>
    <row r="12" spans="1:9" ht="15" customHeight="1">
      <c r="A12" s="2"/>
      <c r="B12" s="10" t="s">
        <v>109</v>
      </c>
      <c r="C12" s="5"/>
      <c r="D12" s="5"/>
      <c r="E12" s="5"/>
      <c r="F12" s="5"/>
      <c r="G12" s="11" t="e">
        <f>AVERAGE(G5:G11)</f>
        <v>#DIV/0!</v>
      </c>
      <c r="H12" s="5"/>
    </row>
    <row r="13" spans="1:9" ht="15" customHeight="1">
      <c r="B13" s="10" t="s">
        <v>110</v>
      </c>
      <c r="C13" s="5"/>
      <c r="D13" s="5"/>
      <c r="E13" s="5"/>
      <c r="F13" s="12"/>
      <c r="G13" s="10"/>
      <c r="H13" s="10"/>
      <c r="I13" s="4"/>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c r="J3">
        <v>1</v>
      </c>
      <c r="K3">
        <v>2</v>
      </c>
    </row>
    <row r="4" spans="2:11">
      <c r="B4" s="46"/>
      <c r="C4" s="46" t="s">
        <v>10</v>
      </c>
      <c r="D4" s="47" t="s">
        <v>166</v>
      </c>
      <c r="E4" s="47" t="s">
        <v>176</v>
      </c>
      <c r="F4" s="47" t="s">
        <v>162</v>
      </c>
      <c r="G4" s="47" t="s">
        <v>181</v>
      </c>
      <c r="H4" s="47" t="s">
        <v>199</v>
      </c>
      <c r="J4" t="s">
        <v>181</v>
      </c>
      <c r="K4" t="s">
        <v>197</v>
      </c>
    </row>
    <row r="5" spans="2:11">
      <c r="B5" s="46"/>
      <c r="C5" s="46"/>
      <c r="D5" s="47" t="s">
        <v>167</v>
      </c>
      <c r="E5" s="47" t="s">
        <v>174</v>
      </c>
      <c r="F5" s="47" t="s">
        <v>196</v>
      </c>
      <c r="G5" s="47" t="s">
        <v>182</v>
      </c>
      <c r="H5" s="47" t="s">
        <v>200</v>
      </c>
    </row>
    <row r="6" spans="2:11">
      <c r="B6" s="46"/>
      <c r="C6" s="46"/>
      <c r="D6" s="47" t="s">
        <v>168</v>
      </c>
      <c r="E6" s="47" t="s">
        <v>175</v>
      </c>
      <c r="F6" s="47" t="s">
        <v>197</v>
      </c>
      <c r="G6" s="47" t="s">
        <v>183</v>
      </c>
      <c r="H6" s="47" t="s">
        <v>213</v>
      </c>
    </row>
    <row r="7" spans="2:11">
      <c r="B7" s="46"/>
      <c r="C7" s="46"/>
      <c r="D7" s="47" t="s">
        <v>169</v>
      </c>
      <c r="E7" s="47" t="s">
        <v>177</v>
      </c>
      <c r="F7" s="47" t="s">
        <v>198</v>
      </c>
      <c r="G7" s="47" t="s">
        <v>184</v>
      </c>
      <c r="H7" s="47" t="s">
        <v>201</v>
      </c>
    </row>
    <row r="8" spans="2:11">
      <c r="B8" s="46"/>
      <c r="C8" s="46"/>
      <c r="D8" s="47" t="s">
        <v>170</v>
      </c>
      <c r="E8" s="47" t="s">
        <v>178</v>
      </c>
      <c r="F8" s="47"/>
      <c r="G8" s="47" t="s">
        <v>185</v>
      </c>
      <c r="H8" s="47" t="s">
        <v>202</v>
      </c>
    </row>
    <row r="9" spans="2:11">
      <c r="B9" s="46"/>
      <c r="C9" s="46"/>
      <c r="D9" s="47" t="s">
        <v>171</v>
      </c>
      <c r="E9" s="47" t="s">
        <v>176</v>
      </c>
      <c r="F9" s="47"/>
      <c r="G9" s="47" t="s">
        <v>186</v>
      </c>
      <c r="H9" s="47" t="s">
        <v>203</v>
      </c>
    </row>
    <row r="10" spans="2:11">
      <c r="B10" s="46"/>
      <c r="C10" s="46"/>
      <c r="D10" s="47" t="s">
        <v>172</v>
      </c>
      <c r="E10" s="47" t="s">
        <v>179</v>
      </c>
      <c r="F10" s="47"/>
      <c r="G10" s="47" t="s">
        <v>187</v>
      </c>
      <c r="H10" s="47" t="s">
        <v>204</v>
      </c>
    </row>
    <row r="11" spans="2:11">
      <c r="B11" s="46"/>
      <c r="C11" s="46"/>
      <c r="D11" s="47" t="s">
        <v>173</v>
      </c>
      <c r="E11" s="47" t="s">
        <v>180</v>
      </c>
      <c r="F11" s="47"/>
      <c r="G11" s="47" t="s">
        <v>188</v>
      </c>
      <c r="H11" s="47" t="s">
        <v>205</v>
      </c>
    </row>
    <row r="12" spans="2:11">
      <c r="B12" s="46"/>
      <c r="C12" s="46"/>
      <c r="D12" s="47"/>
      <c r="E12" s="47"/>
      <c r="F12" s="47"/>
      <c r="G12" s="47" t="s">
        <v>189</v>
      </c>
      <c r="H12" s="47" t="s">
        <v>206</v>
      </c>
    </row>
    <row r="13" spans="2:11">
      <c r="B13" s="46"/>
      <c r="C13" s="46"/>
      <c r="D13" s="47"/>
      <c r="E13" s="47"/>
      <c r="F13" s="47"/>
      <c r="G13" s="47" t="s">
        <v>190</v>
      </c>
      <c r="H13" s="47" t="s">
        <v>207</v>
      </c>
    </row>
    <row r="14" spans="2:11">
      <c r="B14" s="46"/>
      <c r="C14" s="46"/>
      <c r="D14" s="47"/>
      <c r="E14" s="47"/>
      <c r="F14" s="47"/>
      <c r="G14" s="47" t="s">
        <v>191</v>
      </c>
      <c r="H14" s="47" t="s">
        <v>208</v>
      </c>
    </row>
    <row r="15" spans="2:11">
      <c r="B15" s="46"/>
      <c r="C15" s="46"/>
      <c r="D15" s="47"/>
      <c r="E15" s="47"/>
      <c r="F15" s="47"/>
      <c r="G15" s="47" t="s">
        <v>192</v>
      </c>
      <c r="H15" s="47" t="s">
        <v>209</v>
      </c>
    </row>
    <row r="16" spans="2:11">
      <c r="B16" s="46"/>
      <c r="C16" s="46"/>
      <c r="D16" s="47"/>
      <c r="E16" s="47"/>
      <c r="F16" s="47"/>
      <c r="G16" s="47" t="s">
        <v>193</v>
      </c>
      <c r="H16" s="47" t="s">
        <v>210</v>
      </c>
    </row>
    <row r="17" spans="2:8">
      <c r="B17" s="46"/>
      <c r="C17" s="46"/>
      <c r="D17" s="47"/>
      <c r="E17" s="47"/>
      <c r="F17" s="47"/>
      <c r="G17" s="47" t="s">
        <v>194</v>
      </c>
      <c r="H17" s="47" t="s">
        <v>211</v>
      </c>
    </row>
    <row r="18" spans="2:8">
      <c r="B18" s="46"/>
      <c r="C18" s="46"/>
      <c r="D18" s="47"/>
      <c r="E18" s="47"/>
      <c r="F18" s="47"/>
      <c r="G18" s="47" t="s">
        <v>195</v>
      </c>
      <c r="H18" s="47" t="s">
        <v>212</v>
      </c>
    </row>
    <row r="24" spans="2:8">
      <c r="C24" t="s">
        <v>159</v>
      </c>
    </row>
    <row r="25" spans="2:8">
      <c r="C25" t="s">
        <v>214</v>
      </c>
    </row>
    <row r="26" spans="2:8">
      <c r="C26" t="s">
        <v>215</v>
      </c>
    </row>
    <row r="27" spans="2:8">
      <c r="C27" t="s">
        <v>216</v>
      </c>
    </row>
    <row r="28" spans="2:8">
      <c r="C28" t="s">
        <v>217</v>
      </c>
    </row>
    <row r="29" spans="2:8">
      <c r="C29" t="s">
        <v>218</v>
      </c>
    </row>
    <row r="30" spans="2:8">
      <c r="C30" t="s">
        <v>159</v>
      </c>
    </row>
    <row r="33" spans="3:11">
      <c r="J33">
        <v>1</v>
      </c>
      <c r="K33">
        <v>2</v>
      </c>
    </row>
    <row r="34" spans="3:11">
      <c r="C34" s="49" t="s">
        <v>223</v>
      </c>
      <c r="D34" s="47" t="s">
        <v>221</v>
      </c>
      <c r="E34" s="47" t="s">
        <v>226</v>
      </c>
      <c r="F34" s="47" t="s">
        <v>224</v>
      </c>
      <c r="G34" s="47" t="s">
        <v>225</v>
      </c>
      <c r="H34" s="47" t="s">
        <v>227</v>
      </c>
      <c r="J34" t="s">
        <v>181</v>
      </c>
      <c r="K34" t="s">
        <v>197</v>
      </c>
    </row>
    <row r="35" spans="3:11">
      <c r="C35" s="46" t="s">
        <v>222</v>
      </c>
      <c r="D35" s="47" t="s">
        <v>160</v>
      </c>
      <c r="E35" s="47" t="s">
        <v>231</v>
      </c>
      <c r="F35" s="47" t="s">
        <v>233</v>
      </c>
      <c r="G35" s="47" t="s">
        <v>235</v>
      </c>
      <c r="H35" s="47"/>
    </row>
    <row r="36" spans="3:11">
      <c r="C36" s="46"/>
      <c r="D36" s="47" t="s">
        <v>228</v>
      </c>
      <c r="E36" s="47" t="s">
        <v>232</v>
      </c>
      <c r="F36" s="47" t="s">
        <v>234</v>
      </c>
      <c r="G36" s="47" t="s">
        <v>236</v>
      </c>
      <c r="H36" s="47"/>
    </row>
    <row r="37" spans="3:11">
      <c r="C37" s="46"/>
      <c r="D37" s="47" t="s">
        <v>229</v>
      </c>
      <c r="E37" s="47"/>
      <c r="F37" s="47"/>
      <c r="G37" s="47" t="s">
        <v>237</v>
      </c>
      <c r="H37" s="47"/>
    </row>
    <row r="38" spans="3:11">
      <c r="C38" s="46"/>
      <c r="D38" s="47" t="s">
        <v>230</v>
      </c>
      <c r="E38" s="47"/>
      <c r="F38" s="47"/>
      <c r="G38" s="47" t="s">
        <v>237</v>
      </c>
      <c r="H38" s="47"/>
    </row>
    <row r="39" spans="3:11">
      <c r="C39" s="46"/>
      <c r="D39" s="47"/>
      <c r="E39" s="47"/>
      <c r="F39" s="47"/>
      <c r="G39" s="47" t="s">
        <v>238</v>
      </c>
      <c r="H39" s="47"/>
    </row>
    <row r="40" spans="3:11">
      <c r="C40" s="46"/>
      <c r="D40" s="47"/>
      <c r="E40" s="47"/>
      <c r="F40" s="47"/>
      <c r="G40" s="47" t="s">
        <v>239</v>
      </c>
      <c r="H40" s="47"/>
    </row>
    <row r="41" spans="3:11">
      <c r="C41" s="46"/>
      <c r="D41" s="47"/>
      <c r="E41" s="47"/>
      <c r="F41" s="47"/>
      <c r="G41" s="47"/>
      <c r="H41" s="47"/>
    </row>
    <row r="43" spans="3:11">
      <c r="C43" t="s">
        <v>240</v>
      </c>
    </row>
    <row r="44" spans="3:11">
      <c r="C44" t="s">
        <v>162</v>
      </c>
      <c r="D44" t="s">
        <v>241</v>
      </c>
    </row>
    <row r="45" spans="3:11">
      <c r="D45" t="s">
        <v>242</v>
      </c>
    </row>
    <row r="46" spans="3:11">
      <c r="D46" t="s">
        <v>243</v>
      </c>
    </row>
    <row r="47" spans="3:11">
      <c r="D47" t="s">
        <v>244</v>
      </c>
    </row>
    <row r="48" spans="3:11">
      <c r="D48" t="s">
        <v>245</v>
      </c>
    </row>
    <row r="49" spans="3:4">
      <c r="C49" t="s">
        <v>166</v>
      </c>
      <c r="D49" t="s">
        <v>246</v>
      </c>
    </row>
    <row r="50" spans="3:4">
      <c r="D50" t="s">
        <v>247</v>
      </c>
    </row>
    <row r="51" spans="3:4">
      <c r="D51" t="s">
        <v>248</v>
      </c>
    </row>
    <row r="52" spans="3:4">
      <c r="D52" t="s">
        <v>251</v>
      </c>
    </row>
    <row r="53" spans="3:4">
      <c r="D53" t="s">
        <v>249</v>
      </c>
    </row>
    <row r="54" spans="3:4">
      <c r="D54" t="s">
        <v>250</v>
      </c>
    </row>
    <row r="55" spans="3:4">
      <c r="D55" t="s">
        <v>252</v>
      </c>
    </row>
    <row r="56" spans="3:4">
      <c r="D56" t="s">
        <v>253</v>
      </c>
    </row>
    <row r="57" spans="3:4">
      <c r="D57" t="s">
        <v>254</v>
      </c>
    </row>
    <row r="58" spans="3:4">
      <c r="D58" t="s">
        <v>256</v>
      </c>
    </row>
    <row r="59" spans="3:4">
      <c r="D59" t="s">
        <v>265</v>
      </c>
    </row>
    <row r="60" spans="3:4">
      <c r="C60" t="s">
        <v>181</v>
      </c>
      <c r="D60" t="s">
        <v>257</v>
      </c>
    </row>
    <row r="61" spans="3:4">
      <c r="D61" t="s">
        <v>255</v>
      </c>
    </row>
    <row r="62" spans="3:4">
      <c r="D62" t="s">
        <v>245</v>
      </c>
    </row>
    <row r="63" spans="3:4">
      <c r="D63" t="s">
        <v>258</v>
      </c>
    </row>
    <row r="64" spans="3:4">
      <c r="D64" t="s">
        <v>259</v>
      </c>
    </row>
    <row r="65" spans="3:4">
      <c r="D65" t="s">
        <v>260</v>
      </c>
    </row>
    <row r="66" spans="3:4">
      <c r="D66" t="s">
        <v>261</v>
      </c>
    </row>
    <row r="67" spans="3:4">
      <c r="C67" t="s">
        <v>176</v>
      </c>
      <c r="D67" t="s">
        <v>262</v>
      </c>
    </row>
    <row r="68" spans="3:4">
      <c r="D68" t="s">
        <v>263</v>
      </c>
    </row>
    <row r="69" spans="3:4">
      <c r="D69" t="s">
        <v>264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6" sqref="C16"/>
    </sheetView>
  </sheetViews>
  <sheetFormatPr defaultRowHeight="14.5"/>
  <cols>
    <col min="2" max="2" width="3" bestFit="1" customWidth="1"/>
    <col min="3" max="3" width="167.1796875" customWidth="1"/>
  </cols>
  <sheetData>
    <row r="2" spans="2:3" ht="15" customHeight="1">
      <c r="B2" s="50">
        <v>1</v>
      </c>
      <c r="C2" s="53" t="s">
        <v>268</v>
      </c>
    </row>
    <row r="3" spans="2:3">
      <c r="B3" s="50">
        <v>2</v>
      </c>
      <c r="C3" s="51" t="s">
        <v>269</v>
      </c>
    </row>
    <row r="4" spans="2:3">
      <c r="B4" s="50">
        <v>3</v>
      </c>
      <c r="C4" s="52" t="s">
        <v>270</v>
      </c>
    </row>
    <row r="5" spans="2:3">
      <c r="B5" s="50">
        <v>4</v>
      </c>
      <c r="C5" s="51" t="s">
        <v>271</v>
      </c>
    </row>
    <row r="6" spans="2:3">
      <c r="B6" s="50">
        <v>5</v>
      </c>
      <c r="C6" s="52" t="s">
        <v>272</v>
      </c>
    </row>
    <row r="7" spans="2:3">
      <c r="B7" s="50">
        <v>6</v>
      </c>
      <c r="C7" s="51" t="s">
        <v>273</v>
      </c>
    </row>
    <row r="8" spans="2:3" ht="72.5">
      <c r="B8" s="50">
        <v>7</v>
      </c>
      <c r="C8" s="51" t="s">
        <v>274</v>
      </c>
    </row>
    <row r="9" spans="2:3">
      <c r="B9" s="50">
        <v>8</v>
      </c>
      <c r="C9" s="52" t="s">
        <v>275</v>
      </c>
    </row>
    <row r="10" spans="2:3">
      <c r="B10" s="50">
        <v>9</v>
      </c>
      <c r="C10" s="52" t="s">
        <v>276</v>
      </c>
    </row>
    <row r="11" spans="2:3">
      <c r="B11" s="50">
        <v>10</v>
      </c>
      <c r="C11" s="52" t="s">
        <v>277</v>
      </c>
    </row>
    <row r="12" spans="2:3">
      <c r="B12" s="50">
        <v>11</v>
      </c>
      <c r="C12" s="52" t="s">
        <v>278</v>
      </c>
    </row>
    <row r="13" spans="2:3">
      <c r="B13" s="50">
        <v>12</v>
      </c>
      <c r="C13" s="52" t="s">
        <v>279</v>
      </c>
    </row>
    <row r="14" spans="2:3">
      <c r="B14" s="50">
        <v>13</v>
      </c>
      <c r="C14" s="52" t="s">
        <v>280</v>
      </c>
    </row>
    <row r="15" spans="2:3">
      <c r="B15" s="50">
        <v>14</v>
      </c>
      <c r="C15" s="52" t="s">
        <v>281</v>
      </c>
    </row>
    <row r="16" spans="2:3">
      <c r="B16" s="50">
        <v>15</v>
      </c>
      <c r="C16" s="52" t="s">
        <v>282</v>
      </c>
    </row>
    <row r="17" spans="2:3">
      <c r="B17" s="50">
        <v>16</v>
      </c>
      <c r="C17" s="54" t="s">
        <v>283</v>
      </c>
    </row>
    <row r="18" spans="2:3">
      <c r="B18" s="50">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2025-06-07T06:18:46Z</cp:lastPrinted>
  <dcterms:created xsi:type="dcterms:W3CDTF">2019-07-16T09:29:46Z</dcterms:created>
  <dcterms:modified xsi:type="dcterms:W3CDTF">2025-09-10T12:24:49Z</dcterms:modified>
</cp:coreProperties>
</file>