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Sept 2025\11-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51" i="1" l="1"/>
  <c r="I201" i="1" l="1"/>
  <c r="I198" i="1"/>
  <c r="I176" i="1"/>
  <c r="I178" i="1"/>
  <c r="E209" i="1" l="1"/>
  <c r="E208" i="1"/>
  <c r="E207" i="1"/>
  <c r="E206" i="1"/>
  <c r="E205" i="1"/>
  <c r="E204" i="1"/>
  <c r="E203" i="1"/>
  <c r="E202" i="1"/>
  <c r="E201" i="1"/>
  <c r="E200" i="1"/>
  <c r="E199" i="1"/>
  <c r="E198" i="1"/>
  <c r="D209" i="1"/>
  <c r="D208" i="1"/>
  <c r="F208" i="1" s="1"/>
  <c r="H208" i="1" s="1"/>
  <c r="D207" i="1"/>
  <c r="F207" i="1" s="1"/>
  <c r="H207" i="1" s="1"/>
  <c r="D206" i="1"/>
  <c r="D205" i="1"/>
  <c r="D204" i="1"/>
  <c r="D203" i="1"/>
  <c r="D202" i="1"/>
  <c r="D201" i="1"/>
  <c r="D200" i="1"/>
  <c r="F200" i="1" s="1"/>
  <c r="D199" i="1"/>
  <c r="F199" i="1" s="1"/>
  <c r="D198" i="1"/>
  <c r="E194" i="1"/>
  <c r="E193" i="1"/>
  <c r="E192" i="1"/>
  <c r="E191" i="1"/>
  <c r="E190" i="1"/>
  <c r="E189" i="1"/>
  <c r="E188" i="1"/>
  <c r="E187" i="1"/>
  <c r="D194" i="1"/>
  <c r="F194" i="1" s="1"/>
  <c r="H194" i="1" s="1"/>
  <c r="D193" i="1"/>
  <c r="F193" i="1" s="1"/>
  <c r="H193" i="1" s="1"/>
  <c r="D192" i="1"/>
  <c r="F192" i="1" s="1"/>
  <c r="H192" i="1" s="1"/>
  <c r="D191" i="1"/>
  <c r="F191" i="1" s="1"/>
  <c r="H191" i="1" s="1"/>
  <c r="D190" i="1"/>
  <c r="F190" i="1" s="1"/>
  <c r="H190" i="1" s="1"/>
  <c r="D189" i="1"/>
  <c r="F189" i="1" s="1"/>
  <c r="H189" i="1" s="1"/>
  <c r="D188" i="1"/>
  <c r="D187" i="1"/>
  <c r="A199" i="1"/>
  <c r="A200" i="1" s="1"/>
  <c r="A201" i="1" s="1"/>
  <c r="A202" i="1" s="1"/>
  <c r="A203" i="1" s="1"/>
  <c r="A204" i="1" s="1"/>
  <c r="A205" i="1" s="1"/>
  <c r="A206" i="1" s="1"/>
  <c r="A207" i="1" s="1"/>
  <c r="A208" i="1" s="1"/>
  <c r="A209" i="1" s="1"/>
  <c r="A188" i="1"/>
  <c r="A189" i="1" s="1"/>
  <c r="A190" i="1" s="1"/>
  <c r="A191" i="1" s="1"/>
  <c r="A192" i="1" s="1"/>
  <c r="A193" i="1" s="1"/>
  <c r="A194" i="1" s="1"/>
  <c r="E183" i="1"/>
  <c r="E182" i="1"/>
  <c r="E181" i="1"/>
  <c r="E180" i="1"/>
  <c r="E179" i="1"/>
  <c r="E178" i="1"/>
  <c r="E177" i="1"/>
  <c r="E176" i="1"/>
  <c r="D183" i="1"/>
  <c r="F183" i="1" s="1"/>
  <c r="H183" i="1" s="1"/>
  <c r="D182" i="1"/>
  <c r="D181" i="1"/>
  <c r="D180" i="1"/>
  <c r="F180" i="1" s="1"/>
  <c r="H180" i="1" s="1"/>
  <c r="D179" i="1"/>
  <c r="D178" i="1"/>
  <c r="D177" i="1"/>
  <c r="D176" i="1"/>
  <c r="D168" i="1"/>
  <c r="F168" i="1" s="1"/>
  <c r="H168" i="1" s="1"/>
  <c r="D167" i="1"/>
  <c r="F167" i="1" s="1"/>
  <c r="H167" i="1" s="1"/>
  <c r="D166" i="1"/>
  <c r="F166" i="1" s="1"/>
  <c r="H166" i="1" s="1"/>
  <c r="D165" i="1"/>
  <c r="D164" i="1"/>
  <c r="D163" i="1"/>
  <c r="D162" i="1"/>
  <c r="F209" i="1" l="1"/>
  <c r="H209" i="1" s="1"/>
  <c r="F201" i="1"/>
  <c r="H201" i="1" s="1"/>
  <c r="F182" i="1"/>
  <c r="H182" i="1" s="1"/>
  <c r="C148" i="1"/>
  <c r="C153" i="1"/>
  <c r="F204" i="1"/>
  <c r="H204" i="1" s="1"/>
  <c r="F181" i="1"/>
  <c r="H181" i="1" s="1"/>
  <c r="C152" i="1"/>
  <c r="H199" i="1"/>
  <c r="N199" i="1"/>
  <c r="H200" i="1"/>
  <c r="N200" i="1"/>
  <c r="F205" i="1"/>
  <c r="H205" i="1" s="1"/>
  <c r="C151" i="1"/>
  <c r="F198" i="1"/>
  <c r="N198" i="1" s="1"/>
  <c r="F206" i="1"/>
  <c r="H206" i="1" s="1"/>
  <c r="F188" i="1"/>
  <c r="H188" i="1" s="1"/>
  <c r="F202" i="1"/>
  <c r="F203" i="1"/>
  <c r="H203" i="1" s="1"/>
  <c r="F187" i="1"/>
  <c r="N201" i="1" l="1"/>
  <c r="C154" i="1"/>
  <c r="C155" i="1" s="1"/>
  <c r="H202" i="1"/>
  <c r="N202" i="1"/>
  <c r="H187" i="1"/>
  <c r="G152" i="1" s="1"/>
  <c r="E152" i="1"/>
  <c r="H198" i="1"/>
  <c r="G153" i="1" s="1"/>
  <c r="E153" i="1"/>
  <c r="C119" i="1" l="1"/>
  <c r="E44" i="1"/>
  <c r="C17" i="1"/>
  <c r="C105" i="1" l="1"/>
  <c r="C91" i="1"/>
  <c r="F162" i="1" l="1"/>
  <c r="H162" i="1" l="1"/>
  <c r="E32" i="1"/>
  <c r="E27" i="1"/>
  <c r="F176" i="1" l="1"/>
  <c r="H176" i="1" l="1"/>
  <c r="L38" i="7"/>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L42" i="7" l="1"/>
  <c r="K42" i="7" s="1"/>
  <c r="I42" i="7"/>
  <c r="H42" i="7" s="1"/>
  <c r="E42" i="7"/>
  <c r="E44" i="7" s="1"/>
  <c r="D42" i="7" l="1"/>
  <c r="D44" i="7" s="1"/>
  <c r="B212" i="1"/>
  <c r="F163" i="1" l="1"/>
  <c r="F164" i="1"/>
  <c r="H164" i="1" s="1"/>
  <c r="F165" i="1"/>
  <c r="H165" i="1" s="1"/>
  <c r="E148" i="1" l="1"/>
  <c r="H163" i="1"/>
  <c r="G148" i="1" s="1"/>
  <c r="G59" i="1"/>
  <c r="C59" i="1"/>
  <c r="G57" i="1"/>
  <c r="C57" i="1"/>
  <c r="C55" i="1"/>
  <c r="S34" i="1" l="1"/>
  <c r="F11" i="5" l="1"/>
  <c r="G11" i="5" s="1"/>
  <c r="F10" i="5"/>
  <c r="G10" i="5" s="1"/>
  <c r="F9" i="5"/>
  <c r="G9" i="5" s="1"/>
  <c r="F8" i="5"/>
  <c r="G8" i="5" s="1"/>
  <c r="F7" i="5"/>
  <c r="G7" i="5" s="1"/>
  <c r="F6" i="5"/>
  <c r="G6" i="5" s="1"/>
  <c r="F5" i="5"/>
  <c r="G5" i="5" s="1"/>
  <c r="G12" i="5" s="1"/>
  <c r="D235" i="1"/>
  <c r="B213" i="1"/>
  <c r="F179" i="1"/>
  <c r="H179" i="1" s="1"/>
  <c r="F178" i="1"/>
  <c r="H178" i="1" s="1"/>
  <c r="F177" i="1"/>
  <c r="A177" i="1"/>
  <c r="A178" i="1" s="1"/>
  <c r="A179" i="1" s="1"/>
  <c r="A180" i="1" s="1"/>
  <c r="A181" i="1" s="1"/>
  <c r="A182" i="1" s="1"/>
  <c r="A183" i="1" s="1"/>
  <c r="A163" i="1"/>
  <c r="A164" i="1" s="1"/>
  <c r="A165" i="1" s="1"/>
  <c r="A166" i="1" s="1"/>
  <c r="A167" i="1" s="1"/>
  <c r="A168" i="1" s="1"/>
  <c r="F145" i="1"/>
  <c r="C77" i="1"/>
  <c r="B78" i="1" s="1"/>
  <c r="D63" i="1"/>
  <c r="G52" i="1"/>
  <c r="C52" i="1"/>
  <c r="E45" i="1"/>
  <c r="E46" i="1" s="1"/>
  <c r="E29" i="1"/>
  <c r="I16" i="1"/>
  <c r="Z14" i="1"/>
  <c r="E8" i="1"/>
  <c r="E3" i="1"/>
  <c r="D71" i="1" s="1"/>
  <c r="H78" i="1"/>
  <c r="H177" i="1" l="1"/>
  <c r="G151" i="1" s="1"/>
  <c r="G154" i="1" s="1"/>
  <c r="G155" i="1" s="1"/>
  <c r="E151" i="1"/>
  <c r="E154" i="1" s="1"/>
  <c r="E155" i="1" s="1"/>
  <c r="J77" i="1"/>
  <c r="J79" i="1" s="1"/>
  <c r="J80" i="1"/>
  <c r="J81" i="1"/>
  <c r="J82" i="1"/>
  <c r="C81" i="1" s="1"/>
  <c r="D85" i="1"/>
  <c r="D87" i="1"/>
  <c r="D86" i="1"/>
  <c r="D90" i="1"/>
  <c r="D84" i="1"/>
  <c r="D89" i="1"/>
  <c r="D83" i="1"/>
  <c r="D88" i="1"/>
  <c r="J83" i="1"/>
  <c r="D81" i="1" l="1"/>
  <c r="J87" i="1"/>
  <c r="J85" i="1"/>
  <c r="J86" i="1"/>
  <c r="J84" i="1"/>
  <c r="J89" i="1" s="1"/>
  <c r="J90" i="1" s="1"/>
  <c r="C82" i="1" s="1"/>
  <c r="J88" i="1"/>
  <c r="B92" i="1" l="1"/>
  <c r="J78" i="1"/>
  <c r="E81" i="1"/>
  <c r="D82" i="1"/>
  <c r="G81" i="1"/>
  <c r="D75" i="1" s="1"/>
  <c r="H92" i="1"/>
  <c r="B120" i="1" l="1"/>
  <c r="I78" i="1"/>
  <c r="I79" i="1" s="1"/>
  <c r="I77" i="1" s="1"/>
  <c r="C79" i="1" s="1"/>
  <c r="J94" i="1"/>
  <c r="D104" i="1"/>
  <c r="D98" i="1"/>
  <c r="J96" i="1"/>
  <c r="C95" i="1" s="1"/>
  <c r="D102" i="1"/>
  <c r="J91" i="1"/>
  <c r="J93" i="1" s="1"/>
  <c r="D99" i="1"/>
  <c r="D103" i="1"/>
  <c r="D97" i="1"/>
  <c r="D101" i="1"/>
  <c r="J95" i="1"/>
  <c r="D100" i="1"/>
  <c r="J97" i="1"/>
  <c r="J98" i="1" s="1"/>
  <c r="J103" i="1" s="1"/>
  <c r="J102" i="1"/>
  <c r="J101" i="1"/>
  <c r="J100" i="1"/>
  <c r="J99" i="1"/>
  <c r="F76" i="1"/>
  <c r="D76" i="1"/>
  <c r="H120" i="1"/>
  <c r="J104" i="1" l="1"/>
  <c r="C96" i="1" s="1"/>
  <c r="E95" i="1" s="1"/>
  <c r="J122" i="1"/>
  <c r="D132" i="1"/>
  <c r="D128" i="1"/>
  <c r="D129" i="1"/>
  <c r="D125" i="1"/>
  <c r="D126" i="1"/>
  <c r="D131" i="1"/>
  <c r="D127" i="1"/>
  <c r="J123" i="1"/>
  <c r="J119" i="1"/>
  <c r="J121" i="1" s="1"/>
  <c r="D130" i="1"/>
  <c r="J124" i="1"/>
  <c r="C123" i="1" s="1"/>
  <c r="D123" i="1" s="1"/>
  <c r="J128" i="1"/>
  <c r="J127" i="1"/>
  <c r="J125" i="1"/>
  <c r="J126" i="1" s="1"/>
  <c r="J131" i="1" s="1"/>
  <c r="J132" i="1" s="1"/>
  <c r="C124" i="1" s="1"/>
  <c r="J130" i="1"/>
  <c r="J129" i="1"/>
  <c r="B106" i="1"/>
  <c r="D95" i="1"/>
  <c r="H106" i="1"/>
  <c r="G95" i="1" l="1"/>
  <c r="D96" i="1"/>
  <c r="I92" i="1" s="1"/>
  <c r="I93" i="1" s="1"/>
  <c r="E123" i="1"/>
  <c r="D124" i="1"/>
  <c r="I120" i="1" s="1"/>
  <c r="J120" i="1"/>
  <c r="G123" i="1"/>
  <c r="J108" i="1"/>
  <c r="D117" i="1"/>
  <c r="J110" i="1"/>
  <c r="C109" i="1" s="1"/>
  <c r="D109" i="1" s="1"/>
  <c r="D116" i="1"/>
  <c r="D115" i="1"/>
  <c r="J109" i="1"/>
  <c r="J105" i="1"/>
  <c r="J107" i="1" s="1"/>
  <c r="D113" i="1"/>
  <c r="D118" i="1"/>
  <c r="D112" i="1"/>
  <c r="D111" i="1"/>
  <c r="D114" i="1"/>
  <c r="J115" i="1"/>
  <c r="J113" i="1"/>
  <c r="J111" i="1"/>
  <c r="J112" i="1" s="1"/>
  <c r="J117" i="1" s="1"/>
  <c r="J118" i="1" s="1"/>
  <c r="C110" i="1" s="1"/>
  <c r="J116" i="1"/>
  <c r="J114" i="1"/>
  <c r="J92" i="1"/>
  <c r="I121" i="1" l="1"/>
  <c r="I119" i="1" s="1"/>
  <c r="C121" i="1" s="1"/>
  <c r="I91" i="1"/>
  <c r="C93" i="1" s="1"/>
  <c r="E109" i="1"/>
  <c r="D110" i="1"/>
  <c r="I106" i="1" s="1"/>
  <c r="I107" i="1" s="1"/>
  <c r="J106" i="1"/>
  <c r="G109" i="1"/>
  <c r="I105" i="1" l="1"/>
  <c r="C107" i="1" s="1"/>
</calcChain>
</file>

<file path=xl/comments1.xml><?xml version="1.0" encoding="utf-8"?>
<comments xmlns="http://schemas.openxmlformats.org/spreadsheetml/2006/main">
  <authors>
    <author>Sachin</author>
    <author>SACHIN</author>
  </authors>
  <commentList>
    <comment ref="E13" authorId="0" shapeId="0">
      <text>
        <r>
          <rPr>
            <b/>
            <sz val="9"/>
            <color indexed="81"/>
            <rFont val="Tahoma"/>
            <family val="2"/>
          </rPr>
          <t>Sachin:</t>
        </r>
        <r>
          <rPr>
            <sz val="9"/>
            <color indexed="81"/>
            <rFont val="Tahoma"/>
            <family val="2"/>
          </rPr>
          <t xml:space="preserve">
Building No. 
Tower No.
Wing 
Bunglow No., etc</t>
        </r>
      </text>
    </comment>
    <comment ref="E14" authorId="0" shapeId="0">
      <text>
        <r>
          <rPr>
            <b/>
            <sz val="9"/>
            <color indexed="81"/>
            <rFont val="Tahoma"/>
            <family val="2"/>
          </rPr>
          <t>Sachin:</t>
        </r>
        <r>
          <rPr>
            <sz val="9"/>
            <color indexed="81"/>
            <rFont val="Tahoma"/>
            <family val="2"/>
          </rPr>
          <t xml:space="preserve">
If exisiting Building is provided write it or else
NA</t>
        </r>
      </text>
    </comment>
    <comment ref="C56" authorId="1" shapeId="0">
      <text>
        <r>
          <rPr>
            <b/>
            <sz val="9"/>
            <color indexed="81"/>
            <rFont val="Tahoma"/>
            <family val="2"/>
          </rPr>
          <t>SACHIN:</t>
        </r>
        <r>
          <rPr>
            <sz val="9"/>
            <color indexed="81"/>
            <rFont val="Tahoma"/>
            <family val="2"/>
          </rPr>
          <t xml:space="preserve">
Floor with height</t>
        </r>
      </text>
    </comment>
    <comment ref="C58" authorId="1" shapeId="0">
      <text>
        <r>
          <rPr>
            <b/>
            <sz val="9"/>
            <color indexed="81"/>
            <rFont val="Tahoma"/>
            <family val="2"/>
          </rPr>
          <t>SACHIN:</t>
        </r>
        <r>
          <rPr>
            <sz val="9"/>
            <color indexed="81"/>
            <rFont val="Tahoma"/>
            <family val="2"/>
          </rPr>
          <t xml:space="preserve">
Survey Nos.</t>
        </r>
      </text>
    </comment>
    <comment ref="C60" authorId="1" shapeId="0">
      <text>
        <r>
          <rPr>
            <b/>
            <sz val="9"/>
            <color indexed="81"/>
            <rFont val="Tahoma"/>
            <family val="2"/>
          </rPr>
          <t>SACHIN:</t>
        </r>
        <r>
          <rPr>
            <sz val="9"/>
            <color indexed="81"/>
            <rFont val="Tahoma"/>
            <family val="2"/>
          </rPr>
          <t xml:space="preserve">
Height from AMSL</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3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72"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<sst xmlns="http://schemas.openxmlformats.org/spreadsheetml/2006/main" count="752" uniqueCount="413">
  <si>
    <t xml:space="preserve">Valuation Report </t>
  </si>
  <si>
    <t>Date:</t>
  </si>
  <si>
    <t>CPC Name:</t>
  </si>
  <si>
    <t>Date Of Property Visit</t>
  </si>
  <si>
    <t>Name of the builder group</t>
  </si>
  <si>
    <t>Name of the builder company</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</si>
  <si>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</si>
  <si>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</si>
  <si>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</si>
  <si>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</si>
  <si>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</si>
  <si>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</si>
  <si>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</si>
  <si>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</si>
  <si>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</si>
  <si>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</si>
  <si>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</si>
  <si>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</si>
  <si>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</si>
  <si>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</si>
  <si>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</si>
  <si>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</si>
  <si>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</si>
  <si>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</si>
  <si>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</si>
  <si>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</si>
  <si>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</si>
  <si>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</si>
  <si>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</si>
  <si>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</si>
  <si>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</si>
  <si>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</si>
  <si>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</si>
  <si>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</si>
  <si>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</si>
  <si>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</si>
  <si>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</si>
  <si>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</si>
  <si>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</si>
  <si>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</si>
  <si>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</si>
  <si>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</si>
  <si>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</si>
  <si>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</si>
  <si>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</si>
  <si>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</si>
  <si>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</si>
  <si>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</si>
  <si>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</si>
  <si>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</si>
  <si>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</si>
  <si>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</si>
  <si>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</si>
  <si>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</si>
  <si>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</si>
  <si>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</si>
  <si>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</si>
  <si>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</si>
  <si>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</si>
  <si>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</si>
  <si>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</si>
  <si>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</si>
  <si>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</si>
  <si>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</si>
  <si>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</si>
  <si>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</si>
  <si>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</si>
  <si>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</si>
  <si>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</si>
  <si>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</si>
  <si>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</si>
  <si>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</si>
  <si>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</si>
  <si>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</si>
  <si>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</si>
  <si>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</si>
  <si>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</si>
  <si>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</si>
  <si>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</si>
  <si>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</si>
  <si>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</si>
  <si>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</si>
  <si>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</si>
  <si>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</si>
  <si>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</si>
  <si>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</si>
  <si>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</si>
  <si>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</si>
  <si>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</si>
  <si>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</si>
  <si>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</si>
  <si>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</si>
  <si>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</si>
  <si>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</si>
  <si>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</si>
  <si>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</si>
  <si>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</si>
  <si>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</si>
  <si>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</si>
  <si>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</si>
  <si>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</si>
  <si>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</si>
  <si>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</si>
  <si>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</si>
  <si>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</si>
  <si>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</si>
  <si>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</si>
  <si>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</si>
  <si>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</si>
  <si>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</si>
  <si>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</si>
  <si>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</si>
  <si>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</si>
  <si>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</si>
  <si>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</si>
  <si>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</si>
  <si>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</si>
  <si>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</si>
  <si>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</si>
  <si>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</si>
  <si>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</si>
  <si>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</si>
  <si>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</si>
  <si>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</si>
  <si>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</si>
  <si>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</si>
  <si>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</si>
  <si>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</si>
  <si>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</si>
  <si>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</si>
  <si>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</si>
  <si>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</si>
  <si>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</si>
  <si>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</si>
  <si>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</si>
  <si>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</si>
  <si>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</si>
  <si>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</si>
  <si>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</si>
  <si>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</si>
  <si>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</si>
  <si>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</si>
  <si>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</si>
  <si>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</si>
  <si>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</si>
  <si>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</si>
  <si>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</si>
  <si>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</si>
  <si>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</si>
  <si>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</si>
  <si>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</si>
  <si>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</si>
  <si>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</si>
  <si>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</si>
  <si>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</si>
  <si>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</si>
  <si>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</si>
  <si>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</si>
  <si>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</si>
  <si>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</si>
  <si>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</si>
  <si>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</si>
  <si>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</si>
  <si>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</si>
  <si>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</si>
  <si>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</si>
  <si>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</si>
  <si>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</si>
  <si>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</si>
  <si>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</si>
  <si>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</si>
  <si>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</si>
  <si>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</si>
  <si>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</si>
  <si>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</si>
  <si>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</si>
  <si>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</si>
  <si>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</si>
  <si>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</si>
  <si>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</si>
  <si>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</si>
  <si>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</si>
  <si>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</si>
  <si>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</si>
  <si>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</si>
  <si>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</si>
  <si>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</si>
  <si>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</si>
  <si>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</si>
  <si>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</si>
  <si>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</si>
  <si>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</si>
  <si>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</si>
  <si>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</si>
  <si>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</si>
  <si>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</si>
  <si>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</si>
  <si>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</si>
  <si>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</si>
  <si>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</si>
  <si>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</si>
  <si>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</si>
  <si>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</si>
  <si>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</si>
  <si>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</si>
  <si>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</si>
  <si>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</si>
  <si>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</si>
  <si>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</si>
  <si>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</si>
  <si>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</si>
  <si>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</si>
  <si>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</si>
  <si>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</si>
  <si>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</si>
  <si>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</si>
  <si>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</si>
  <si>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</si>
  <si>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</si>
  <si>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</si>
  <si>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</si>
  <si>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</si>
  <si>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</si>
  <si>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</si>
  <si>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</si>
  <si>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</si>
  <si>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</si>
  <si>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</si>
  <si>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</si>
  <si>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</si>
  <si>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</si>
  <si>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</si>
  <si>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</si>
  <si>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</si>
  <si>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</si>
  <si>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</si>
  <si>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</si>
  <si>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</si>
  <si>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</si>
  <si>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</si>
  <si>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</si>
  <si>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</si>
  <si>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</si>
  <si>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</si>
  <si>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</si>
  <si>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</si>
  <si>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</si>
  <si>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</si>
  <si>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</si>
  <si>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</si>
  <si>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</si>
  <si>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</si>
  <si>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</si>
  <si>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</si>
  <si>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</si>
  <si>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</si>
  <si>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</si>
  <si>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</si>
  <si>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</si>
  <si>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</si>
  <si>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</si>
  <si>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</si>
  <si>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</si>
  <si>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</si>
  <si>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</si>
  <si>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</si>
  <si>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</si>
  <si>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</si>
  <si>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</si>
  <si>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</si>
  <si>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</si>
  <si>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</si>
  <si>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</si>
  <si>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</si>
  <si>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</si>
  <si>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</si>
  <si>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</si>
  <si>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</si>
  <si>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</si>
  <si>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</si>
  <si>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</si>
  <si>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</si>
  <si>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</si>
  <si>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</si>
  <si>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</si>
  <si>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</si>
  <si>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</si>
  <si>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</si>
  <si>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</si>
  <si>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</si>
  <si>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</si>
  <si>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</si>
  <si>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</si>
  <si>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</si>
  <si>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</si>
  <si>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</si>
  <si>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</si>
  <si>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</si>
  <si>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</si>
  <si>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</si>
  <si>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</si>
  <si>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</si>
  <si>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</si>
  <si>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</si>
  <si>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</si>
  <si>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</si>
  <si>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</si>
  <si>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</si>
  <si>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</si>
  <si>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</si>
  <si>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</si>
  <si>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</si>
  <si>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</si>
  <si>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</si>
  <si>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</si>
  <si>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</si>
  <si>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</si>
  <si>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</si>
  <si>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</si>
  <si>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</si>
  <si>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</si>
  <si>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</si>
  <si>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</si>
  <si>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</si>
  <si>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</si>
  <si>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</si>
  <si>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</si>
  <si>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</si>
  <si>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</si>
  <si>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</si>
  <si>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</si>
  <si>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</si>
  <si>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</si>
  <si>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</si>
  <si>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</si>
  <si>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</si>
  <si>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</si>
  <si>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</si>
  <si>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</si>
  <si>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</si>
  <si>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</si>
  <si>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</si>
  <si>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</si>
  <si>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</si>
  <si>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</si>
  <si>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</si>
  <si>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Heramb Enterprises</t>
  </si>
  <si>
    <t>Name of the Project as per RERA</t>
  </si>
  <si>
    <t>Name of the Project</t>
  </si>
  <si>
    <t>Heramb Enterprises 9160655000</t>
  </si>
  <si>
    <t>Mr. Dhanudas Gaikwad 9321991143</t>
  </si>
  <si>
    <t xml:space="preserve">Heramb Aarambha Wing C And Amenity
Building = P51700048576
Heramb Aarambha - Phase 2 = P51700051941
</t>
  </si>
  <si>
    <t>Gut No</t>
  </si>
  <si>
    <t>Heramb Aarambha - C Wing And Amenity Building &amp; Heramb Aarambha - Phase 2</t>
  </si>
  <si>
    <t>19.088222,73.300819</t>
  </si>
  <si>
    <t>https://maps.app.goo.gl/3MeiGyZgHmeqMKRu5</t>
  </si>
  <si>
    <t>Internal Road/Open Plot</t>
  </si>
  <si>
    <t>Open Plot</t>
  </si>
  <si>
    <t>Building</t>
  </si>
  <si>
    <t>Gurudham society</t>
  </si>
  <si>
    <t>Nala/ Gut No. 146 &amp; 164</t>
  </si>
  <si>
    <t>Gut No. 160 &amp; 161</t>
  </si>
  <si>
    <t>Gut No. 148</t>
  </si>
  <si>
    <t>Gut No. 163</t>
  </si>
  <si>
    <t>Neral Badlapur Road</t>
  </si>
  <si>
    <t>Vangani</t>
  </si>
  <si>
    <t>Vangani East</t>
  </si>
  <si>
    <t>Dolphin English High School</t>
  </si>
  <si>
    <t>0.90KM from Vangani Railway Station</t>
  </si>
  <si>
    <t>04 Buildings</t>
  </si>
  <si>
    <t>BS/Rekhankan/BP./Mauje Vangani/Taluka
Ambernath/SSThane/2098</t>
  </si>
  <si>
    <t>Mouje Vangani, Tal.Ambernath G. No. 161, 162 Plot 54340 Sqm Mahasul/Kaksh-1/T-14/B.P./SR-04/2022</t>
  </si>
  <si>
    <t>Building Type A, B &amp; C = Gr + St + 1st to 7th Floor
Aminity Building = Gr + 1st to 2nd Floor</t>
  </si>
  <si>
    <t>Building Type A = Gr + St + 1st to 7th Floor</t>
  </si>
  <si>
    <t>Building Type B = Gr + St + 1st to 7th Floor</t>
  </si>
  <si>
    <t>Building Type C = Gr + St + 1st to 7th Floor</t>
  </si>
  <si>
    <t>As per RERA - 
Heramb Aarambha - C Wing And Amenity Building = 31/12/2025
Heramb Aarambha - Phase 2 = 31/12/2027</t>
  </si>
  <si>
    <t>Gymnasium, Kids' Play Areas / Sand Pits, jogging / Cycle
Track, Yoga Areas, Indoor games, etc.</t>
  </si>
  <si>
    <r>
      <t xml:space="preserve">Proposed Amenities :                                                                                                                                                                                                                         </t>
    </r>
    <r>
      <rPr>
        <b/>
        <sz val="12"/>
        <rFont val="Times New Roman"/>
        <family val="1"/>
      </rPr>
      <t xml:space="preserve">                                               </t>
    </r>
  </si>
  <si>
    <t>Shop</t>
  </si>
  <si>
    <t>Amenity Building</t>
  </si>
  <si>
    <t>Ground Floor for Commercial</t>
  </si>
  <si>
    <t>1st &amp; 2nd Floor For Pre Primary/Nursery</t>
  </si>
  <si>
    <t>Building Type A</t>
  </si>
  <si>
    <t>Ground Floor For Society Office, Drivers Room, Entrance Lobby &amp; Parking</t>
  </si>
  <si>
    <t>1st to 7th Floor</t>
  </si>
  <si>
    <t>1BHK</t>
  </si>
  <si>
    <t>2BHK</t>
  </si>
  <si>
    <t>Chajja Area</t>
  </si>
  <si>
    <t>Building Type B</t>
  </si>
  <si>
    <t>Ground Floor For Entrance Lobby &amp; Parking</t>
  </si>
  <si>
    <t>Building Type C</t>
  </si>
  <si>
    <t>1RK</t>
  </si>
  <si>
    <t>Type A</t>
  </si>
  <si>
    <t>Type B</t>
  </si>
  <si>
    <t>Type C</t>
  </si>
  <si>
    <t>Flats - 196, Shops - 07</t>
  </si>
  <si>
    <t>We considered Gross carpet area = Net carpet + Chajja Area.</t>
  </si>
  <si>
    <t xml:space="preserve">Nala is located on East side of the project.
</t>
  </si>
  <si>
    <t>Naynesh Sunil Lovanshi</t>
  </si>
  <si>
    <t>161, 162</t>
  </si>
  <si>
    <t>Heramb Aarambha (Type A. B, C &amp; Amenity Building)</t>
  </si>
  <si>
    <t>Type A, B, C &amp;  Amenity Building</t>
  </si>
  <si>
    <t xml:space="preserve">We have added Building Type A &amp; B on 27/09/2024.
</t>
  </si>
  <si>
    <t>Gut No.­ 161 and Gut No.­ 162 a</t>
  </si>
  <si>
    <t>GUT NO 161/4 AND 162/5</t>
  </si>
  <si>
    <t>The approved plan consisit Gut No. 161 &amp; 162, but 
As per RERA Certificate, Type C &amp; Amenity Building consist of Gut No. 161/4 and 162/5, and Type A &amp; B consist of Gut No. 161 &amp; 162. 
Please check from your end.</t>
  </si>
  <si>
    <t>Approved Plans, CC, Builder Saleable Area, Cost Sheet</t>
  </si>
  <si>
    <t>Mrs. Vaishali Deshmukh 8421391599</t>
  </si>
  <si>
    <t>Construction work is in process at the time of Visit.</t>
  </si>
  <si>
    <t>Pooja Kawale</t>
  </si>
  <si>
    <t>Amenity Building = Gr + 1st to 2nd Floor</t>
  </si>
  <si>
    <t>Building Type A, B, C = Gr + St + 1st to 7th Floor
Amenity Building = Gr + 1st to 2nd Floor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</si>
</sst>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38">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3"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1"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5" fillId="0" borderId="1" xfId="1" applyNumberFormat="1" applyFont="1" applyBorder="1" applyAlignment="1" applyProtection="1">
      <alignment horizontal="center" vertical="center" wrapText="1"/>
      <protection locked="0"/>
    </xf>
    <xf numFmtId="1" fontId="5"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5" fillId="0" borderId="0" xfId="0" applyFont="1" applyFill="1"/>
    <xf numFmtId="168" fontId="6" fillId="0" borderId="0" xfId="1" applyNumberFormat="1" applyFont="1" applyAlignment="1">
      <alignment horizontal="center" vertical="center"/>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1" fillId="0" borderId="5" xfId="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5" fillId="0" borderId="1" xfId="1" applyFont="1" applyBorder="1" applyAlignment="1" applyProtection="1">
      <alignment horizontal="left" vertical="top"/>
      <protection locked="0"/>
    </xf>
    <xf numFmtId="1" fontId="7" fillId="0" borderId="3" xfId="1" applyNumberFormat="1" applyFont="1" applyBorder="1" applyAlignment="1" applyProtection="1">
      <alignment horizontal="center" vertical="top" wrapText="1"/>
      <protection locked="0"/>
    </xf>
    <xf numFmtId="1" fontId="7" fillId="0" borderId="16" xfId="1" applyNumberFormat="1" applyFont="1" applyBorder="1" applyAlignment="1" applyProtection="1">
      <alignment horizontal="center"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center" vertical="top"/>
      <protection locked="0"/>
    </xf>
    <xf numFmtId="1" fontId="7" fillId="0" borderId="17" xfId="1" applyNumberFormat="1" applyFont="1" applyBorder="1" applyAlignment="1" applyProtection="1">
      <alignment horizontal="center" vertical="top" wrapText="1"/>
      <protection locked="0"/>
    </xf>
    <xf numFmtId="1" fontId="7" fillId="0" borderId="19" xfId="1" applyNumberFormat="1" applyFont="1" applyBorder="1" applyAlignment="1" applyProtection="1">
      <alignment horizontal="center" vertical="top" wrapText="1"/>
      <protection locked="0"/>
    </xf>
    <xf numFmtId="0" fontId="26"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6" fillId="0" borderId="0" xfId="1" applyFont="1" applyAlignment="1">
      <alignment horizontal="center" vertical="center"/>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167" fontId="11" fillId="0" borderId="1" xfId="9" applyNumberFormat="1" applyFont="1" applyFill="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1" fillId="0" borderId="8" xfId="1" applyFont="1" applyBorder="1" applyAlignment="1" applyProtection="1">
      <alignment horizontal="center" vertical="top" wrapText="1"/>
      <protection locked="0"/>
    </xf>
    <xf numFmtId="0" fontId="12"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13" fillId="0" borderId="1" xfId="0" applyNumberFormat="1" applyFont="1" applyFill="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top" wrapText="1"/>
      <protection locked="0"/>
    </xf>
    <xf numFmtId="0" fontId="6" fillId="0" borderId="25" xfId="1" applyFont="1" applyBorder="1" applyAlignment="1">
      <alignment horizontal="center"/>
    </xf>
    <xf numFmtId="0" fontId="6" fillId="0" borderId="0" xfId="1" applyFont="1" applyAlignment="1">
      <alignment horizontal="center"/>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0" fontId="7" fillId="0" borderId="24" xfId="1" applyFont="1" applyBorder="1" applyAlignment="1" applyProtection="1">
      <alignment horizontal="center" vertical="top" wrapText="1"/>
      <protection locked="0"/>
    </xf>
    <xf numFmtId="1" fontId="7"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1" fontId="9" fillId="0" borderId="1" xfId="0" applyNumberFormat="1" applyFont="1" applyBorder="1" applyAlignment="1" applyProtection="1">
      <alignment horizontal="center" vertical="center"/>
      <protection locked="0"/>
    </xf>
    <xf numFmtId="1" fontId="7" fillId="0" borderId="1"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1" fontId="30" fillId="0" borderId="1" xfId="1" applyNumberFormat="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png"/><Relationship Id="rId21" Type="http://schemas.openxmlformats.org/officeDocument/2006/relationships/image" Target="../media/image21.jpe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8</xdr:col>
      <xdr:colOff>400050</xdr:colOff>
      <xdr:row>44</xdr:row>
      <xdr:rowOff>76200</xdr:rowOff>
    </xdr:from>
    <xdr:to>
      <xdr:col>12</xdr:col>
      <xdr:colOff>447225</xdr:colOff>
      <xdr:row>52</xdr:row>
      <xdr:rowOff>70343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715125" y="11268075"/>
          <a:ext cx="3600000" cy="2251568"/>
        </a:xfrm>
        <a:prstGeom prst="rect">
          <a:avLst/>
        </a:prstGeom>
        <a:ln>
          <a:solidFill>
            <a:sysClr val="windowText" lastClr="000000"/>
          </a:solidFill>
        </a:ln>
      </xdr:spPr>
    </xdr:pic>
    <xdr:clientData/>
  </xdr:twoCellAnchor>
  <xdr:twoCellAnchor editAs="oneCell">
    <xdr:from>
      <xdr:col>8</xdr:col>
      <xdr:colOff>323850</xdr:colOff>
      <xdr:row>52</xdr:row>
      <xdr:rowOff>171450</xdr:rowOff>
    </xdr:from>
    <xdr:to>
      <xdr:col>11</xdr:col>
      <xdr:colOff>574950</xdr:colOff>
      <xdr:row>53</xdr:row>
      <xdr:rowOff>402780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638925" y="13620750"/>
          <a:ext cx="2880000" cy="840930"/>
        </a:xfrm>
        <a:prstGeom prst="rect">
          <a:avLst/>
        </a:prstGeom>
        <a:ln>
          <a:solidFill>
            <a:sysClr val="windowText" lastClr="000000"/>
          </a:solidFill>
        </a:ln>
      </xdr:spPr>
    </xdr:pic>
    <xdr:clientData/>
  </xdr:twoCellAnchor>
  <xdr:twoCellAnchor>
    <xdr:from>
      <xdr:col>0</xdr:col>
      <xdr:colOff>581025</xdr:colOff>
      <xdr:row>279</xdr:row>
      <xdr:rowOff>28575</xdr:rowOff>
    </xdr:from>
    <xdr:to>
      <xdr:col>7</xdr:col>
      <xdr:colOff>318247</xdr:colOff>
      <xdr:row>316</xdr:row>
      <xdr:rowOff>79650</xdr:rowOff>
    </xdr:to>
    <xdr:grpSp>
      <xdr:nvGrpSpPr>
        <xdr:cNvPr id="19" name="Group 18">
          <a:extLst>
            <a:ext uri="{FF2B5EF4-FFF2-40B4-BE49-F238E27FC236}">
              <a16:creationId xmlns:a16="http://schemas.microsoft.com/office/drawing/2014/main" id="{00000000-0008-0000-0000-000013000000}"/>
            </a:ext>
          </a:extLst>
        </xdr:cNvPr>
        <xdr:cNvGrpSpPr/>
      </xdr:nvGrpSpPr>
      <xdr:grpSpPr>
        <a:xfrm>
          <a:off x="581025" y="59470925"/>
          <a:ext cx="5591922" cy="7334525"/>
          <a:chOff x="767603" y="67713225"/>
          <a:chExt cx="5318872" cy="7452000"/>
        </a:xfrm>
      </xdr:grpSpPr>
      <xdr:grpSp>
        <xdr:nvGrpSpPr>
          <xdr:cNvPr id="20" name="Group 19">
            <a:extLst>
              <a:ext uri="{FF2B5EF4-FFF2-40B4-BE49-F238E27FC236}">
                <a16:creationId xmlns:a16="http://schemas.microsoft.com/office/drawing/2014/main" id="{00000000-0008-0000-0000-000014000000}"/>
              </a:ext>
            </a:extLst>
          </xdr:cNvPr>
          <xdr:cNvGrpSpPr/>
        </xdr:nvGrpSpPr>
        <xdr:grpSpPr>
          <a:xfrm>
            <a:off x="767603" y="67713225"/>
            <a:ext cx="5318872" cy="4320000"/>
            <a:chOff x="767603" y="67713225"/>
            <a:chExt cx="5318872" cy="4320000"/>
          </a:xfrm>
        </xdr:grpSpPr>
        <xdr:pic>
          <xdr:nvPicPr>
            <xdr:cNvPr id="22" name="Picture 21">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767603" y="67713225"/>
              <a:ext cx="5133250" cy="4320000"/>
            </a:xfrm>
            <a:prstGeom prst="rect">
              <a:avLst/>
            </a:prstGeom>
            <a:ln>
              <a:solidFill>
                <a:schemeClr val="tx1"/>
              </a:solidFill>
            </a:ln>
          </xdr:spPr>
        </xdr:pic>
        <xdr:sp macro="" textlink="">
          <xdr:nvSpPr>
            <xdr:cNvPr id="23" name="Rectangle 22">
              <a:extLst>
                <a:ext uri="{FF2B5EF4-FFF2-40B4-BE49-F238E27FC236}">
                  <a16:creationId xmlns:a16="http://schemas.microsoft.com/office/drawing/2014/main" id="{00000000-0008-0000-0000-000017000000}"/>
                </a:ext>
              </a:extLst>
            </xdr:cNvPr>
            <xdr:cNvSpPr/>
          </xdr:nvSpPr>
          <xdr:spPr>
            <a:xfrm rot="757783">
              <a:off x="1321787" y="68942748"/>
              <a:ext cx="907521" cy="18363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4" name="Freeform 23">
              <a:extLst>
                <a:ext uri="{FF2B5EF4-FFF2-40B4-BE49-F238E27FC236}">
                  <a16:creationId xmlns:a16="http://schemas.microsoft.com/office/drawing/2014/main" id="{00000000-0008-0000-0000-000018000000}"/>
                </a:ext>
              </a:extLst>
            </xdr:cNvPr>
            <xdr:cNvSpPr/>
          </xdr:nvSpPr>
          <xdr:spPr>
            <a:xfrm>
              <a:off x="3972486" y="68407990"/>
              <a:ext cx="1019735" cy="986117"/>
            </a:xfrm>
            <a:custGeom>
              <a:avLst/>
              <a:gdLst>
                <a:gd name="connsiteX0" fmla="*/ 324970 w 1120588"/>
                <a:gd name="connsiteY0" fmla="*/ 0 h 986117"/>
                <a:gd name="connsiteX1" fmla="*/ 0 w 1120588"/>
                <a:gd name="connsiteY1" fmla="*/ 582706 h 986117"/>
                <a:gd name="connsiteX2" fmla="*/ 773205 w 1120588"/>
                <a:gd name="connsiteY2" fmla="*/ 986117 h 986117"/>
                <a:gd name="connsiteX3" fmla="*/ 1120588 w 1120588"/>
                <a:gd name="connsiteY3" fmla="*/ 941294 h 986117"/>
                <a:gd name="connsiteX4" fmla="*/ 997323 w 1120588"/>
                <a:gd name="connsiteY4" fmla="*/ 280147 h 986117"/>
                <a:gd name="connsiteX5" fmla="*/ 324970 w 1120588"/>
                <a:gd name="connsiteY5" fmla="*/ 0 h 98611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1120588" h="986117">
                  <a:moveTo>
                    <a:pt x="324970" y="0"/>
                  </a:moveTo>
                  <a:lnTo>
                    <a:pt x="0" y="582706"/>
                  </a:lnTo>
                  <a:lnTo>
                    <a:pt x="773205" y="986117"/>
                  </a:lnTo>
                  <a:lnTo>
                    <a:pt x="1120588" y="941294"/>
                  </a:lnTo>
                  <a:lnTo>
                    <a:pt x="997323" y="280147"/>
                  </a:lnTo>
                  <a:lnTo>
                    <a:pt x="324970" y="0"/>
                  </a:lnTo>
                  <a:close/>
                </a:path>
              </a:pathLst>
            </a:cu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5" name="Rectangle 24">
              <a:extLst>
                <a:ext uri="{FF2B5EF4-FFF2-40B4-BE49-F238E27FC236}">
                  <a16:creationId xmlns:a16="http://schemas.microsoft.com/office/drawing/2014/main" id="{00000000-0008-0000-0000-000019000000}"/>
                </a:ext>
              </a:extLst>
            </xdr:cNvPr>
            <xdr:cNvSpPr/>
          </xdr:nvSpPr>
          <xdr:spPr>
            <a:xfrm>
              <a:off x="1351990" y="70786439"/>
              <a:ext cx="791135" cy="3272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Type C</a:t>
              </a:r>
            </a:p>
          </xdr:txBody>
        </xdr:sp>
        <xdr:sp macro="" textlink="">
          <xdr:nvSpPr>
            <xdr:cNvPr id="26" name="Rectangle 25">
              <a:extLst>
                <a:ext uri="{FF2B5EF4-FFF2-40B4-BE49-F238E27FC236}">
                  <a16:creationId xmlns:a16="http://schemas.microsoft.com/office/drawing/2014/main" id="{00000000-0008-0000-0000-00001A000000}"/>
                </a:ext>
              </a:extLst>
            </xdr:cNvPr>
            <xdr:cNvSpPr/>
          </xdr:nvSpPr>
          <xdr:spPr>
            <a:xfrm>
              <a:off x="4198846" y="67807913"/>
              <a:ext cx="1887629" cy="4006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Amenities Building</a:t>
              </a:r>
            </a:p>
          </xdr:txBody>
        </xdr:sp>
        <xdr:cxnSp macro="">
          <xdr:nvCxnSpPr>
            <xdr:cNvPr id="27" name="Straight Arrow Connector 26">
              <a:extLst>
                <a:ext uri="{FF2B5EF4-FFF2-40B4-BE49-F238E27FC236}">
                  <a16:creationId xmlns:a16="http://schemas.microsoft.com/office/drawing/2014/main" id="{00000000-0008-0000-0000-00001B000000}"/>
                </a:ext>
              </a:extLst>
            </xdr:cNvPr>
            <xdr:cNvCxnSpPr/>
          </xdr:nvCxnSpPr>
          <xdr:spPr>
            <a:xfrm flipH="1">
              <a:off x="4665009" y="68116637"/>
              <a:ext cx="282388" cy="549088"/>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sp macro="" textlink="">
          <xdr:nvSpPr>
            <xdr:cNvPr id="28" name="Rectangle 27">
              <a:extLst>
                <a:ext uri="{FF2B5EF4-FFF2-40B4-BE49-F238E27FC236}">
                  <a16:creationId xmlns:a16="http://schemas.microsoft.com/office/drawing/2014/main" id="{00000000-0008-0000-0000-00001C000000}"/>
                </a:ext>
              </a:extLst>
            </xdr:cNvPr>
            <xdr:cNvSpPr/>
          </xdr:nvSpPr>
          <xdr:spPr>
            <a:xfrm>
              <a:off x="1819275" y="68122800"/>
              <a:ext cx="1905000" cy="7810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9" name="Rectangle 28">
              <a:extLst>
                <a:ext uri="{FF2B5EF4-FFF2-40B4-BE49-F238E27FC236}">
                  <a16:creationId xmlns:a16="http://schemas.microsoft.com/office/drawing/2014/main" id="{00000000-0008-0000-0000-00001D000000}"/>
                </a:ext>
              </a:extLst>
            </xdr:cNvPr>
            <xdr:cNvSpPr/>
          </xdr:nvSpPr>
          <xdr:spPr>
            <a:xfrm rot="1676040">
              <a:off x="3228975" y="69484875"/>
              <a:ext cx="1885950" cy="10191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0" name="Rectangle 29">
              <a:extLst>
                <a:ext uri="{FF2B5EF4-FFF2-40B4-BE49-F238E27FC236}">
                  <a16:creationId xmlns:a16="http://schemas.microsoft.com/office/drawing/2014/main" id="{00000000-0008-0000-0000-00001E000000}"/>
                </a:ext>
              </a:extLst>
            </xdr:cNvPr>
            <xdr:cNvSpPr/>
          </xdr:nvSpPr>
          <xdr:spPr>
            <a:xfrm>
              <a:off x="2504515" y="68881439"/>
              <a:ext cx="791135" cy="3272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Type B</a:t>
              </a:r>
            </a:p>
          </xdr:txBody>
        </xdr:sp>
        <xdr:sp macro="" textlink="">
          <xdr:nvSpPr>
            <xdr:cNvPr id="31" name="Rectangle 30">
              <a:extLst>
                <a:ext uri="{FF2B5EF4-FFF2-40B4-BE49-F238E27FC236}">
                  <a16:creationId xmlns:a16="http://schemas.microsoft.com/office/drawing/2014/main" id="{00000000-0008-0000-0000-00001F000000}"/>
                </a:ext>
              </a:extLst>
            </xdr:cNvPr>
            <xdr:cNvSpPr/>
          </xdr:nvSpPr>
          <xdr:spPr>
            <a:xfrm>
              <a:off x="4276165" y="70824539"/>
              <a:ext cx="791135" cy="3272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600" b="1">
                  <a:solidFill>
                    <a:srgbClr val="C00000"/>
                  </a:solidFill>
                </a:rPr>
                <a:t>Type A</a:t>
              </a:r>
            </a:p>
          </xdr:txBody>
        </xdr:sp>
      </xdr:grpSp>
      <xdr:pic>
        <xdr:nvPicPr>
          <xdr:cNvPr id="21" name="Picture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2390775" y="72285225"/>
            <a:ext cx="1944000" cy="2880000"/>
          </a:xfrm>
          <a:prstGeom prst="rect">
            <a:avLst/>
          </a:prstGeom>
          <a:ln>
            <a:solidFill>
              <a:schemeClr val="tx1"/>
            </a:solidFill>
          </a:ln>
        </xdr:spPr>
      </xdr:pic>
    </xdr:grpSp>
    <xdr:clientData/>
  </xdr:twoCellAnchor>
  <xdr:twoCellAnchor editAs="oneCell">
    <xdr:from>
      <xdr:col>9</xdr:col>
      <xdr:colOff>685802</xdr:colOff>
      <xdr:row>170</xdr:row>
      <xdr:rowOff>371475</xdr:rowOff>
    </xdr:from>
    <xdr:to>
      <xdr:col>11</xdr:col>
      <xdr:colOff>703615</xdr:colOff>
      <xdr:row>183</xdr:row>
      <xdr:rowOff>71100</xdr:rowOff>
    </xdr:to>
    <xdr:pic>
      <xdr:nvPicPr>
        <xdr:cNvPr id="36" name="Picture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5"/>
        <a:stretch>
          <a:fillRect/>
        </a:stretch>
      </xdr:blipFill>
      <xdr:spPr>
        <a:xfrm>
          <a:off x="8162927" y="37176075"/>
          <a:ext cx="1484663" cy="2700000"/>
        </a:xfrm>
        <a:prstGeom prst="rect">
          <a:avLst/>
        </a:prstGeom>
      </xdr:spPr>
    </xdr:pic>
    <xdr:clientData/>
  </xdr:twoCellAnchor>
  <xdr:twoCellAnchor editAs="oneCell">
    <xdr:from>
      <xdr:col>9</xdr:col>
      <xdr:colOff>0</xdr:colOff>
      <xdr:row>183</xdr:row>
      <xdr:rowOff>152400</xdr:rowOff>
    </xdr:from>
    <xdr:to>
      <xdr:col>10</xdr:col>
      <xdr:colOff>354000</xdr:colOff>
      <xdr:row>193</xdr:row>
      <xdr:rowOff>186380</xdr:rowOff>
    </xdr:to>
    <xdr:pic>
      <xdr:nvPicPr>
        <xdr:cNvPr id="37" name="Picture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6"/>
        <a:stretch>
          <a:fillRect/>
        </a:stretch>
      </xdr:blipFill>
      <xdr:spPr>
        <a:xfrm>
          <a:off x="7477125" y="40395525"/>
          <a:ext cx="1116000" cy="2034230"/>
        </a:xfrm>
        <a:prstGeom prst="rect">
          <a:avLst/>
        </a:prstGeom>
      </xdr:spPr>
    </xdr:pic>
    <xdr:clientData/>
  </xdr:twoCellAnchor>
  <xdr:twoCellAnchor>
    <xdr:from>
      <xdr:col>0</xdr:col>
      <xdr:colOff>628650</xdr:colOff>
      <xdr:row>323</xdr:row>
      <xdr:rowOff>28575</xdr:rowOff>
    </xdr:from>
    <xdr:to>
      <xdr:col>7</xdr:col>
      <xdr:colOff>66675</xdr:colOff>
      <xdr:row>362</xdr:row>
      <xdr:rowOff>104775</xdr:rowOff>
    </xdr:to>
    <xdr:grpSp>
      <xdr:nvGrpSpPr>
        <xdr:cNvPr id="38" name="Group 37">
          <a:extLst>
            <a:ext uri="{FF2B5EF4-FFF2-40B4-BE49-F238E27FC236}">
              <a16:creationId xmlns:a16="http://schemas.microsoft.com/office/drawing/2014/main" id="{00000000-0008-0000-0000-000026000000}"/>
            </a:ext>
          </a:extLst>
        </xdr:cNvPr>
        <xdr:cNvGrpSpPr/>
      </xdr:nvGrpSpPr>
      <xdr:grpSpPr>
        <a:xfrm>
          <a:off x="628650" y="68132325"/>
          <a:ext cx="5292725" cy="7753350"/>
          <a:chOff x="658600" y="245835"/>
          <a:chExt cx="4980199" cy="8098065"/>
        </a:xfrm>
      </xdr:grpSpPr>
      <xdr:pic>
        <xdr:nvPicPr>
          <xdr:cNvPr id="39" name="Picture 38">
            <a:extLst>
              <a:ext uri="{FF2B5EF4-FFF2-40B4-BE49-F238E27FC236}">
                <a16:creationId xmlns:a16="http://schemas.microsoft.com/office/drawing/2014/main" id="{00000000-0008-0000-0000-000027000000}"/>
              </a:ext>
            </a:extLst>
          </xdr:cNvPr>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988700" y="245835"/>
            <a:ext cx="4320000" cy="3527340"/>
          </a:xfrm>
          <a:prstGeom prst="rect">
            <a:avLst/>
          </a:prstGeom>
          <a:ln>
            <a:solidFill>
              <a:schemeClr val="tx1"/>
            </a:solidFill>
          </a:ln>
        </xdr:spPr>
      </xdr:pic>
      <xdr:grpSp>
        <xdr:nvGrpSpPr>
          <xdr:cNvPr id="40" name="Group 39">
            <a:extLst>
              <a:ext uri="{FF2B5EF4-FFF2-40B4-BE49-F238E27FC236}">
                <a16:creationId xmlns:a16="http://schemas.microsoft.com/office/drawing/2014/main" id="{00000000-0008-0000-0000-000028000000}"/>
              </a:ext>
            </a:extLst>
          </xdr:cNvPr>
          <xdr:cNvGrpSpPr/>
        </xdr:nvGrpSpPr>
        <xdr:grpSpPr>
          <a:xfrm>
            <a:off x="658600" y="3927247"/>
            <a:ext cx="4980199" cy="4416653"/>
            <a:chOff x="-5673256" y="1622197"/>
            <a:chExt cx="4145611" cy="3575353"/>
          </a:xfrm>
        </xdr:grpSpPr>
        <xdr:pic>
          <xdr:nvPicPr>
            <xdr:cNvPr id="41" name="Picture 40">
              <a:extLst>
                <a:ext uri="{FF2B5EF4-FFF2-40B4-BE49-F238E27FC236}">
                  <a16:creationId xmlns:a16="http://schemas.microsoft.com/office/drawing/2014/main" id="{00000000-0008-0000-0000-000029000000}"/>
                </a:ext>
              </a:extLst>
            </xdr:cNvPr>
            <xdr:cNvPicPr>
              <a:picLocks noChangeAspect="1"/>
            </xdr:cNvPicPr>
          </xdr:nvPicPr>
          <xdr:blipFill rotWithShape="1">
            <a:blip xmlns:r="http://schemas.openxmlformats.org/officeDocument/2006/relationships" r:embed="rId8" cstate="screen">
              <a:extLst>
                <a:ext uri="{28A0092B-C50C-407E-A947-70E740481C1C}">
                  <a14:useLocalDpi xmlns:a14="http://schemas.microsoft.com/office/drawing/2010/main"/>
                </a:ext>
              </a:extLst>
            </a:blip>
            <a:srcRect/>
            <a:stretch/>
          </xdr:blipFill>
          <xdr:spPr>
            <a:xfrm>
              <a:off x="-5673256" y="1622197"/>
              <a:ext cx="4145611" cy="3569150"/>
            </a:xfrm>
            <a:prstGeom prst="rect">
              <a:avLst/>
            </a:prstGeom>
            <a:ln>
              <a:solidFill>
                <a:schemeClr val="tx1"/>
              </a:solidFill>
            </a:ln>
          </xdr:spPr>
        </xdr:pic>
        <xdr:sp macro="" textlink="">
          <xdr:nvSpPr>
            <xdr:cNvPr id="42" name="Freeform 41">
              <a:extLst>
                <a:ext uri="{FF2B5EF4-FFF2-40B4-BE49-F238E27FC236}">
                  <a16:creationId xmlns:a16="http://schemas.microsoft.com/office/drawing/2014/main" id="{00000000-0008-0000-0000-00002A000000}"/>
                </a:ext>
              </a:extLst>
            </xdr:cNvPr>
            <xdr:cNvSpPr/>
          </xdr:nvSpPr>
          <xdr:spPr>
            <a:xfrm>
              <a:off x="-4684557" y="3692670"/>
              <a:ext cx="1647493" cy="1504880"/>
            </a:xfrm>
            <a:custGeom>
              <a:avLst/>
              <a:gdLst>
                <a:gd name="connsiteX0" fmla="*/ 526676 w 1826559"/>
                <a:gd name="connsiteY0" fmla="*/ 1378324 h 1546412"/>
                <a:gd name="connsiteX1" fmla="*/ 0 w 1826559"/>
                <a:gd name="connsiteY1" fmla="*/ 1131794 h 1546412"/>
                <a:gd name="connsiteX2" fmla="*/ 224117 w 1826559"/>
                <a:gd name="connsiteY2" fmla="*/ 190500 h 1546412"/>
                <a:gd name="connsiteX3" fmla="*/ 1736911 w 1826559"/>
                <a:gd name="connsiteY3" fmla="*/ 0 h 1546412"/>
                <a:gd name="connsiteX4" fmla="*/ 1826559 w 1826559"/>
                <a:gd name="connsiteY4" fmla="*/ 649941 h 1546412"/>
                <a:gd name="connsiteX5" fmla="*/ 1815353 w 1826559"/>
                <a:gd name="connsiteY5" fmla="*/ 885265 h 1546412"/>
                <a:gd name="connsiteX6" fmla="*/ 1714500 w 1826559"/>
                <a:gd name="connsiteY6" fmla="*/ 1467971 h 1546412"/>
                <a:gd name="connsiteX7" fmla="*/ 1501588 w 1826559"/>
                <a:gd name="connsiteY7" fmla="*/ 1546412 h 1546412"/>
                <a:gd name="connsiteX8" fmla="*/ 1143000 w 1826559"/>
                <a:gd name="connsiteY8" fmla="*/ 1042147 h 1546412"/>
                <a:gd name="connsiteX9" fmla="*/ 896470 w 1826559"/>
                <a:gd name="connsiteY9" fmla="*/ 705971 h 1546412"/>
                <a:gd name="connsiteX10" fmla="*/ 672353 w 1826559"/>
                <a:gd name="connsiteY10" fmla="*/ 717177 h 1546412"/>
                <a:gd name="connsiteX11" fmla="*/ 526676 w 1826559"/>
                <a:gd name="connsiteY11" fmla="*/ 1378324 h 15464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826559" h="1546412">
                  <a:moveTo>
                    <a:pt x="526676" y="1378324"/>
                  </a:moveTo>
                  <a:lnTo>
                    <a:pt x="0" y="1131794"/>
                  </a:lnTo>
                  <a:lnTo>
                    <a:pt x="224117" y="190500"/>
                  </a:lnTo>
                  <a:lnTo>
                    <a:pt x="1736911" y="0"/>
                  </a:lnTo>
                  <a:lnTo>
                    <a:pt x="1826559" y="649941"/>
                  </a:lnTo>
                  <a:lnTo>
                    <a:pt x="1815353" y="885265"/>
                  </a:lnTo>
                  <a:lnTo>
                    <a:pt x="1714500" y="1467971"/>
                  </a:lnTo>
                  <a:lnTo>
                    <a:pt x="1501588" y="1546412"/>
                  </a:lnTo>
                  <a:lnTo>
                    <a:pt x="1143000" y="1042147"/>
                  </a:lnTo>
                  <a:lnTo>
                    <a:pt x="896470" y="705971"/>
                  </a:lnTo>
                  <a:lnTo>
                    <a:pt x="672353" y="717177"/>
                  </a:lnTo>
                  <a:lnTo>
                    <a:pt x="526676" y="1378324"/>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grpSp>
    </xdr:grpSp>
    <xdr:clientData/>
  </xdr:twoCellAnchor>
  <xdr:twoCellAnchor editAs="oneCell">
    <xdr:from>
      <xdr:col>10</xdr:col>
      <xdr:colOff>695325</xdr:colOff>
      <xdr:row>196</xdr:row>
      <xdr:rowOff>171450</xdr:rowOff>
    </xdr:from>
    <xdr:to>
      <xdr:col>14</xdr:col>
      <xdr:colOff>37775</xdr:colOff>
      <xdr:row>212</xdr:row>
      <xdr:rowOff>37717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9"/>
        <a:stretch>
          <a:fillRect/>
        </a:stretch>
      </xdr:blipFill>
      <xdr:spPr>
        <a:xfrm>
          <a:off x="8934450" y="42672000"/>
          <a:ext cx="2600000" cy="3066667"/>
        </a:xfrm>
        <a:prstGeom prst="rect">
          <a:avLst/>
        </a:prstGeom>
      </xdr:spPr>
    </xdr:pic>
    <xdr:clientData/>
  </xdr:twoCellAnchor>
  <xdr:twoCellAnchor>
    <xdr:from>
      <xdr:col>8</xdr:col>
      <xdr:colOff>857250</xdr:colOff>
      <xdr:row>239</xdr:row>
      <xdr:rowOff>123825</xdr:rowOff>
    </xdr:from>
    <xdr:to>
      <xdr:col>9</xdr:col>
      <xdr:colOff>526646</xdr:colOff>
      <xdr:row>241</xdr:row>
      <xdr:rowOff>93107</xdr:rowOff>
    </xdr:to>
    <xdr:sp macro="" textlink="">
      <xdr:nvSpPr>
        <xdr:cNvPr id="49" name="TextBox 14">
          <a:extLst>
            <a:ext uri="{FF2B5EF4-FFF2-40B4-BE49-F238E27FC236}">
              <a16:creationId xmlns:a16="http://schemas.microsoft.com/office/drawing/2014/main" id="{00000000-0008-0000-0000-000031000000}"/>
            </a:ext>
          </a:extLst>
        </xdr:cNvPr>
        <xdr:cNvSpPr txBox="1"/>
      </xdr:nvSpPr>
      <xdr:spPr>
        <a:xfrm>
          <a:off x="7677150" y="52882800"/>
          <a:ext cx="831446"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Type A</a:t>
          </a:r>
          <a:endParaRPr lang="en-IN" b="1"/>
        </a:p>
      </xdr:txBody>
    </xdr:sp>
    <xdr:clientData/>
  </xdr:twoCellAnchor>
  <xdr:twoCellAnchor>
    <xdr:from>
      <xdr:col>12</xdr:col>
      <xdr:colOff>323850</xdr:colOff>
      <xdr:row>239</xdr:row>
      <xdr:rowOff>38100</xdr:rowOff>
    </xdr:from>
    <xdr:to>
      <xdr:col>13</xdr:col>
      <xdr:colOff>364721</xdr:colOff>
      <xdr:row>241</xdr:row>
      <xdr:rowOff>7382</xdr:rowOff>
    </xdr:to>
    <xdr:sp macro="" textlink="">
      <xdr:nvSpPr>
        <xdr:cNvPr id="50" name="TextBox 14">
          <a:extLst>
            <a:ext uri="{FF2B5EF4-FFF2-40B4-BE49-F238E27FC236}">
              <a16:creationId xmlns:a16="http://schemas.microsoft.com/office/drawing/2014/main" id="{00000000-0008-0000-0000-000032000000}"/>
            </a:ext>
          </a:extLst>
        </xdr:cNvPr>
        <xdr:cNvSpPr txBox="1"/>
      </xdr:nvSpPr>
      <xdr:spPr>
        <a:xfrm>
          <a:off x="10696575" y="52797075"/>
          <a:ext cx="831446"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Type B</a:t>
          </a:r>
          <a:endParaRPr lang="en-IN" b="1"/>
        </a:p>
      </xdr:txBody>
    </xdr:sp>
    <xdr:clientData/>
  </xdr:twoCellAnchor>
  <xdr:twoCellAnchor>
    <xdr:from>
      <xdr:col>14</xdr:col>
      <xdr:colOff>85725</xdr:colOff>
      <xdr:row>239</xdr:row>
      <xdr:rowOff>9525</xdr:rowOff>
    </xdr:from>
    <xdr:to>
      <xdr:col>15</xdr:col>
      <xdr:colOff>107546</xdr:colOff>
      <xdr:row>240</xdr:row>
      <xdr:rowOff>178832</xdr:rowOff>
    </xdr:to>
    <xdr:sp macro="" textlink="">
      <xdr:nvSpPr>
        <xdr:cNvPr id="51" name="TextBox 14">
          <a:extLst>
            <a:ext uri="{FF2B5EF4-FFF2-40B4-BE49-F238E27FC236}">
              <a16:creationId xmlns:a16="http://schemas.microsoft.com/office/drawing/2014/main" id="{00000000-0008-0000-0000-000033000000}"/>
            </a:ext>
          </a:extLst>
        </xdr:cNvPr>
        <xdr:cNvSpPr txBox="1"/>
      </xdr:nvSpPr>
      <xdr:spPr>
        <a:xfrm>
          <a:off x="12087225" y="52768500"/>
          <a:ext cx="831446" cy="369332"/>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Type C</a:t>
          </a:r>
          <a:endParaRPr lang="en-IN" b="1"/>
        </a:p>
      </xdr:txBody>
    </xdr:sp>
    <xdr:clientData/>
  </xdr:twoCellAnchor>
  <xdr:twoCellAnchor>
    <xdr:from>
      <xdr:col>8</xdr:col>
      <xdr:colOff>723900</xdr:colOff>
      <xdr:row>234</xdr:row>
      <xdr:rowOff>342900</xdr:rowOff>
    </xdr:from>
    <xdr:to>
      <xdr:col>16</xdr:col>
      <xdr:colOff>540507</xdr:colOff>
      <xdr:row>275</xdr:row>
      <xdr:rowOff>169057</xdr:rowOff>
    </xdr:to>
    <xdr:grpSp>
      <xdr:nvGrpSpPr>
        <xdr:cNvPr id="55" name="Group 54">
          <a:extLst>
            <a:ext uri="{FF2B5EF4-FFF2-40B4-BE49-F238E27FC236}">
              <a16:creationId xmlns:a16="http://schemas.microsoft.com/office/drawing/2014/main" id="{2FE25EF1-D7DE-4245-B356-1493B86F7D70}"/>
            </a:ext>
          </a:extLst>
        </xdr:cNvPr>
        <xdr:cNvGrpSpPr/>
      </xdr:nvGrpSpPr>
      <xdr:grpSpPr>
        <a:xfrm>
          <a:off x="7874000" y="50673000"/>
          <a:ext cx="6909557" cy="8151007"/>
          <a:chOff x="134559" y="473512"/>
          <a:chExt cx="6588882" cy="8274832"/>
        </a:xfrm>
      </xdr:grpSpPr>
      <xdr:pic>
        <xdr:nvPicPr>
          <xdr:cNvPr id="56" name="Picture 55">
            <a:extLst>
              <a:ext uri="{FF2B5EF4-FFF2-40B4-BE49-F238E27FC236}">
                <a16:creationId xmlns:a16="http://schemas.microsoft.com/office/drawing/2014/main" id="{9C9D59D4-50C5-44E7-AFBB-2E61FEFABFA6}"/>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134559" y="473512"/>
            <a:ext cx="2157750" cy="2880000"/>
          </a:xfrm>
          <a:prstGeom prst="rect">
            <a:avLst/>
          </a:prstGeom>
          <a:ln>
            <a:solidFill>
              <a:schemeClr val="tx1"/>
            </a:solidFill>
          </a:ln>
        </xdr:spPr>
      </xdr:pic>
      <xdr:pic>
        <xdr:nvPicPr>
          <xdr:cNvPr id="57" name="Picture 56">
            <a:extLst>
              <a:ext uri="{FF2B5EF4-FFF2-40B4-BE49-F238E27FC236}">
                <a16:creationId xmlns:a16="http://schemas.microsoft.com/office/drawing/2014/main" id="{8C0E9090-5D92-473E-BDAA-12BFCBEBA1D8}"/>
              </a:ext>
            </a:extLst>
          </xdr:cNvPr>
          <xdr:cNvPicPr>
            <a:picLocks noChangeAspect="1"/>
          </xdr:cNvPicPr>
        </xdr:nvPicPr>
        <xdr:blipFill>
          <a:blip xmlns:r="http://schemas.openxmlformats.org/officeDocument/2006/relationships" r:embed="rId11" cstate="screen">
            <a:extLst>
              <a:ext uri="{28A0092B-C50C-407E-A947-70E740481C1C}">
                <a14:useLocalDpi xmlns:a14="http://schemas.microsoft.com/office/drawing/2010/main"/>
              </a:ext>
            </a:extLst>
          </a:blip>
          <a:stretch>
            <a:fillRect/>
          </a:stretch>
        </xdr:blipFill>
        <xdr:spPr>
          <a:xfrm>
            <a:off x="2350125" y="473512"/>
            <a:ext cx="2157750" cy="2880000"/>
          </a:xfrm>
          <a:prstGeom prst="rect">
            <a:avLst/>
          </a:prstGeom>
          <a:ln>
            <a:solidFill>
              <a:schemeClr val="tx1"/>
            </a:solidFill>
          </a:ln>
        </xdr:spPr>
      </xdr:pic>
      <xdr:pic>
        <xdr:nvPicPr>
          <xdr:cNvPr id="58" name="Picture 57">
            <a:extLst>
              <a:ext uri="{FF2B5EF4-FFF2-40B4-BE49-F238E27FC236}">
                <a16:creationId xmlns:a16="http://schemas.microsoft.com/office/drawing/2014/main" id="{A0496354-1622-4785-BBE9-4230978098E5}"/>
              </a:ext>
            </a:extLst>
          </xdr:cNvPr>
          <xdr:cNvPicPr>
            <a:picLocks noChangeAspect="1"/>
          </xdr:cNvPicPr>
        </xdr:nvPicPr>
        <xdr:blipFill>
          <a:blip xmlns:r="http://schemas.openxmlformats.org/officeDocument/2006/relationships" r:embed="rId12" cstate="screen">
            <a:extLst>
              <a:ext uri="{28A0092B-C50C-407E-A947-70E740481C1C}">
                <a14:useLocalDpi xmlns:a14="http://schemas.microsoft.com/office/drawing/2010/main"/>
              </a:ext>
            </a:extLst>
          </a:blip>
          <a:stretch>
            <a:fillRect/>
          </a:stretch>
        </xdr:blipFill>
        <xdr:spPr>
          <a:xfrm>
            <a:off x="4565691" y="473512"/>
            <a:ext cx="2157750" cy="2880000"/>
          </a:xfrm>
          <a:prstGeom prst="rect">
            <a:avLst/>
          </a:prstGeom>
          <a:ln>
            <a:solidFill>
              <a:schemeClr val="tx1"/>
            </a:solidFill>
          </a:ln>
        </xdr:spPr>
      </xdr:pic>
      <xdr:pic>
        <xdr:nvPicPr>
          <xdr:cNvPr id="59" name="Picture 58">
            <a:extLst>
              <a:ext uri="{FF2B5EF4-FFF2-40B4-BE49-F238E27FC236}">
                <a16:creationId xmlns:a16="http://schemas.microsoft.com/office/drawing/2014/main" id="{315E49B6-5B09-441E-879B-AA23730F2E21}"/>
              </a:ext>
            </a:extLst>
          </xdr:cNvPr>
          <xdr:cNvPicPr>
            <a:picLocks noChangeAspect="1"/>
          </xdr:cNvPicPr>
        </xdr:nvPicPr>
        <xdr:blipFill>
          <a:blip xmlns:r="http://schemas.openxmlformats.org/officeDocument/2006/relationships" r:embed="rId13" cstate="screen">
            <a:extLst>
              <a:ext uri="{28A0092B-C50C-407E-A947-70E740481C1C}">
                <a14:useLocalDpi xmlns:a14="http://schemas.microsoft.com/office/drawing/2010/main"/>
              </a:ext>
            </a:extLst>
          </a:blip>
          <a:stretch>
            <a:fillRect/>
          </a:stretch>
        </xdr:blipFill>
        <xdr:spPr>
          <a:xfrm>
            <a:off x="588788" y="3466436"/>
            <a:ext cx="1348594" cy="1800000"/>
          </a:xfrm>
          <a:prstGeom prst="rect">
            <a:avLst/>
          </a:prstGeom>
          <a:ln>
            <a:solidFill>
              <a:schemeClr val="tx1"/>
            </a:solidFill>
          </a:ln>
        </xdr:spPr>
      </xdr:pic>
      <xdr:pic>
        <xdr:nvPicPr>
          <xdr:cNvPr id="60" name="Picture 59">
            <a:extLst>
              <a:ext uri="{FF2B5EF4-FFF2-40B4-BE49-F238E27FC236}">
                <a16:creationId xmlns:a16="http://schemas.microsoft.com/office/drawing/2014/main" id="{EAD797C6-6AE4-4BB7-AA28-422AD0134792}"/>
              </a:ext>
            </a:extLst>
          </xdr:cNvPr>
          <xdr:cNvPicPr>
            <a:picLocks noChangeAspect="1"/>
          </xdr:cNvPicPr>
        </xdr:nvPicPr>
        <xdr:blipFill>
          <a:blip xmlns:r="http://schemas.openxmlformats.org/officeDocument/2006/relationships" r:embed="rId14" cstate="screen">
            <a:extLst>
              <a:ext uri="{28A0092B-C50C-407E-A947-70E740481C1C}">
                <a14:useLocalDpi xmlns:a14="http://schemas.microsoft.com/office/drawing/2010/main"/>
              </a:ext>
            </a:extLst>
          </a:blip>
          <a:stretch>
            <a:fillRect/>
          </a:stretch>
        </xdr:blipFill>
        <xdr:spPr>
          <a:xfrm>
            <a:off x="3482028" y="5387390"/>
            <a:ext cx="1348594" cy="1800000"/>
          </a:xfrm>
          <a:prstGeom prst="rect">
            <a:avLst/>
          </a:prstGeom>
          <a:ln>
            <a:solidFill>
              <a:schemeClr val="tx1"/>
            </a:solidFill>
          </a:ln>
        </xdr:spPr>
      </xdr:pic>
      <xdr:pic>
        <xdr:nvPicPr>
          <xdr:cNvPr id="61" name="Picture 60">
            <a:extLst>
              <a:ext uri="{FF2B5EF4-FFF2-40B4-BE49-F238E27FC236}">
                <a16:creationId xmlns:a16="http://schemas.microsoft.com/office/drawing/2014/main" id="{FC43459B-573B-4A4F-BC6D-86BDE7D529BA}"/>
              </a:ext>
            </a:extLst>
          </xdr:cNvPr>
          <xdr:cNvPicPr>
            <a:picLocks noChangeAspect="1"/>
          </xdr:cNvPicPr>
        </xdr:nvPicPr>
        <xdr:blipFill>
          <a:blip xmlns:r="http://schemas.openxmlformats.org/officeDocument/2006/relationships" r:embed="rId15" cstate="screen">
            <a:extLst>
              <a:ext uri="{28A0092B-C50C-407E-A947-70E740481C1C}">
                <a14:useLocalDpi xmlns:a14="http://schemas.microsoft.com/office/drawing/2010/main"/>
              </a:ext>
            </a:extLst>
          </a:blip>
          <a:stretch>
            <a:fillRect/>
          </a:stretch>
        </xdr:blipFill>
        <xdr:spPr>
          <a:xfrm>
            <a:off x="2043047" y="3466436"/>
            <a:ext cx="1348594" cy="1800000"/>
          </a:xfrm>
          <a:prstGeom prst="rect">
            <a:avLst/>
          </a:prstGeom>
          <a:ln>
            <a:solidFill>
              <a:schemeClr val="tx1"/>
            </a:solidFill>
          </a:ln>
        </xdr:spPr>
      </xdr:pic>
      <xdr:pic>
        <xdr:nvPicPr>
          <xdr:cNvPr id="62" name="Picture 61">
            <a:extLst>
              <a:ext uri="{FF2B5EF4-FFF2-40B4-BE49-F238E27FC236}">
                <a16:creationId xmlns:a16="http://schemas.microsoft.com/office/drawing/2014/main" id="{CEEF28B3-1F23-4B2E-A85D-1E94A0BDAB5C}"/>
              </a:ext>
            </a:extLst>
          </xdr:cNvPr>
          <xdr:cNvPicPr>
            <a:picLocks noChangeAspect="1"/>
          </xdr:cNvPicPr>
        </xdr:nvPicPr>
        <xdr:blipFill>
          <a:blip xmlns:r="http://schemas.openxmlformats.org/officeDocument/2006/relationships" r:embed="rId16" cstate="screen">
            <a:extLst>
              <a:ext uri="{28A0092B-C50C-407E-A947-70E740481C1C}">
                <a14:useLocalDpi xmlns:a14="http://schemas.microsoft.com/office/drawing/2010/main"/>
              </a:ext>
            </a:extLst>
          </a:blip>
          <a:stretch>
            <a:fillRect/>
          </a:stretch>
        </xdr:blipFill>
        <xdr:spPr>
          <a:xfrm>
            <a:off x="3497306" y="3466436"/>
            <a:ext cx="1348594" cy="1800000"/>
          </a:xfrm>
          <a:prstGeom prst="rect">
            <a:avLst/>
          </a:prstGeom>
          <a:ln>
            <a:solidFill>
              <a:schemeClr val="tx1"/>
            </a:solidFill>
          </a:ln>
        </xdr:spPr>
      </xdr:pic>
      <xdr:pic>
        <xdr:nvPicPr>
          <xdr:cNvPr id="63" name="Picture 62">
            <a:extLst>
              <a:ext uri="{FF2B5EF4-FFF2-40B4-BE49-F238E27FC236}">
                <a16:creationId xmlns:a16="http://schemas.microsoft.com/office/drawing/2014/main" id="{A46BAB16-90A5-4E76-9E41-FA449A5126A3}"/>
              </a:ext>
            </a:extLst>
          </xdr:cNvPr>
          <xdr:cNvPicPr>
            <a:picLocks noChangeAspect="1"/>
          </xdr:cNvPicPr>
        </xdr:nvPicPr>
        <xdr:blipFill>
          <a:blip xmlns:r="http://schemas.openxmlformats.org/officeDocument/2006/relationships" r:embed="rId17" cstate="screen">
            <a:extLst>
              <a:ext uri="{28A0092B-C50C-407E-A947-70E740481C1C}">
                <a14:useLocalDpi xmlns:a14="http://schemas.microsoft.com/office/drawing/2010/main"/>
              </a:ext>
            </a:extLst>
          </a:blip>
          <a:stretch>
            <a:fillRect/>
          </a:stretch>
        </xdr:blipFill>
        <xdr:spPr>
          <a:xfrm>
            <a:off x="4929338" y="3466436"/>
            <a:ext cx="1348594" cy="1800000"/>
          </a:xfrm>
          <a:prstGeom prst="rect">
            <a:avLst/>
          </a:prstGeom>
          <a:ln>
            <a:solidFill>
              <a:schemeClr val="tx1"/>
            </a:solidFill>
          </a:ln>
        </xdr:spPr>
      </xdr:pic>
      <xdr:pic>
        <xdr:nvPicPr>
          <xdr:cNvPr id="64" name="Picture 63">
            <a:extLst>
              <a:ext uri="{FF2B5EF4-FFF2-40B4-BE49-F238E27FC236}">
                <a16:creationId xmlns:a16="http://schemas.microsoft.com/office/drawing/2014/main" id="{ECAD3E23-5BA7-4099-BE4A-D447A01A53F9}"/>
              </a:ext>
            </a:extLst>
          </xdr:cNvPr>
          <xdr:cNvPicPr>
            <a:picLocks noChangeAspect="1"/>
          </xdr:cNvPicPr>
        </xdr:nvPicPr>
        <xdr:blipFill>
          <a:blip xmlns:r="http://schemas.openxmlformats.org/officeDocument/2006/relationships" r:embed="rId18" cstate="screen">
            <a:extLst>
              <a:ext uri="{28A0092B-C50C-407E-A947-70E740481C1C}">
                <a14:useLocalDpi xmlns:a14="http://schemas.microsoft.com/office/drawing/2010/main"/>
              </a:ext>
            </a:extLst>
          </a:blip>
          <a:stretch>
            <a:fillRect/>
          </a:stretch>
        </xdr:blipFill>
        <xdr:spPr>
          <a:xfrm>
            <a:off x="2065256" y="5379360"/>
            <a:ext cx="1348594" cy="1800000"/>
          </a:xfrm>
          <a:prstGeom prst="rect">
            <a:avLst/>
          </a:prstGeom>
          <a:ln>
            <a:solidFill>
              <a:schemeClr val="tx1"/>
            </a:solidFill>
          </a:ln>
        </xdr:spPr>
      </xdr:pic>
      <xdr:pic>
        <xdr:nvPicPr>
          <xdr:cNvPr id="65" name="Picture 64">
            <a:extLst>
              <a:ext uri="{FF2B5EF4-FFF2-40B4-BE49-F238E27FC236}">
                <a16:creationId xmlns:a16="http://schemas.microsoft.com/office/drawing/2014/main" id="{0BCFC57C-EC2B-43A2-8782-758789B89E4D}"/>
              </a:ext>
            </a:extLst>
          </xdr:cNvPr>
          <xdr:cNvPicPr>
            <a:picLocks noChangeAspect="1"/>
          </xdr:cNvPicPr>
        </xdr:nvPicPr>
        <xdr:blipFill>
          <a:blip xmlns:r="http://schemas.openxmlformats.org/officeDocument/2006/relationships" r:embed="rId19" cstate="screen">
            <a:extLst>
              <a:ext uri="{28A0092B-C50C-407E-A947-70E740481C1C}">
                <a14:useLocalDpi xmlns:a14="http://schemas.microsoft.com/office/drawing/2010/main"/>
              </a:ext>
            </a:extLst>
          </a:blip>
          <a:stretch>
            <a:fillRect/>
          </a:stretch>
        </xdr:blipFill>
        <xdr:spPr>
          <a:xfrm>
            <a:off x="648483" y="5387390"/>
            <a:ext cx="1348594" cy="1800000"/>
          </a:xfrm>
          <a:prstGeom prst="rect">
            <a:avLst/>
          </a:prstGeom>
          <a:ln>
            <a:solidFill>
              <a:schemeClr val="tx1"/>
            </a:solidFill>
          </a:ln>
        </xdr:spPr>
      </xdr:pic>
      <xdr:pic>
        <xdr:nvPicPr>
          <xdr:cNvPr id="66" name="Picture 65">
            <a:extLst>
              <a:ext uri="{FF2B5EF4-FFF2-40B4-BE49-F238E27FC236}">
                <a16:creationId xmlns:a16="http://schemas.microsoft.com/office/drawing/2014/main" id="{6000E269-C032-409F-A37F-B914317AACED}"/>
              </a:ext>
            </a:extLst>
          </xdr:cNvPr>
          <xdr:cNvPicPr>
            <a:picLocks noChangeAspect="1"/>
          </xdr:cNvPicPr>
        </xdr:nvPicPr>
        <xdr:blipFill>
          <a:blip xmlns:r="http://schemas.openxmlformats.org/officeDocument/2006/relationships" r:embed="rId20" cstate="screen">
            <a:extLst>
              <a:ext uri="{28A0092B-C50C-407E-A947-70E740481C1C}">
                <a14:useLocalDpi xmlns:a14="http://schemas.microsoft.com/office/drawing/2010/main"/>
              </a:ext>
            </a:extLst>
          </a:blip>
          <a:stretch>
            <a:fillRect/>
          </a:stretch>
        </xdr:blipFill>
        <xdr:spPr>
          <a:xfrm>
            <a:off x="4898799" y="5387390"/>
            <a:ext cx="1348594" cy="1800000"/>
          </a:xfrm>
          <a:prstGeom prst="rect">
            <a:avLst/>
          </a:prstGeom>
          <a:ln>
            <a:solidFill>
              <a:schemeClr val="tx1"/>
            </a:solidFill>
          </a:ln>
        </xdr:spPr>
      </xdr:pic>
      <xdr:pic>
        <xdr:nvPicPr>
          <xdr:cNvPr id="67" name="Picture 66">
            <a:extLst>
              <a:ext uri="{FF2B5EF4-FFF2-40B4-BE49-F238E27FC236}">
                <a16:creationId xmlns:a16="http://schemas.microsoft.com/office/drawing/2014/main" id="{3C75A431-C82D-4C34-BF90-16995B4F3A75}"/>
              </a:ext>
            </a:extLst>
          </xdr:cNvPr>
          <xdr:cNvPicPr>
            <a:picLocks noChangeAspect="1"/>
          </xdr:cNvPicPr>
        </xdr:nvPicPr>
        <xdr:blipFill>
          <a:blip xmlns:r="http://schemas.openxmlformats.org/officeDocument/2006/relationships" r:embed="rId21" cstate="screen">
            <a:extLst>
              <a:ext uri="{28A0092B-C50C-407E-A947-70E740481C1C}">
                <a14:useLocalDpi xmlns:a14="http://schemas.microsoft.com/office/drawing/2010/main"/>
              </a:ext>
            </a:extLst>
          </a:blip>
          <a:stretch>
            <a:fillRect/>
          </a:stretch>
        </xdr:blipFill>
        <xdr:spPr>
          <a:xfrm>
            <a:off x="1758398" y="7308344"/>
            <a:ext cx="1078875" cy="1440000"/>
          </a:xfrm>
          <a:prstGeom prst="rect">
            <a:avLst/>
          </a:prstGeom>
          <a:ln>
            <a:solidFill>
              <a:schemeClr val="tx1"/>
            </a:solidFill>
          </a:ln>
        </xdr:spPr>
      </xdr:pic>
      <xdr:pic>
        <xdr:nvPicPr>
          <xdr:cNvPr id="68" name="Picture 67">
            <a:extLst>
              <a:ext uri="{FF2B5EF4-FFF2-40B4-BE49-F238E27FC236}">
                <a16:creationId xmlns:a16="http://schemas.microsoft.com/office/drawing/2014/main" id="{C753230B-3CDD-47BD-BC65-E983E9DBD7F6}"/>
              </a:ext>
            </a:extLst>
          </xdr:cNvPr>
          <xdr:cNvPicPr>
            <a:picLocks noChangeAspect="1"/>
          </xdr:cNvPicPr>
        </xdr:nvPicPr>
        <xdr:blipFill>
          <a:blip xmlns:r="http://schemas.openxmlformats.org/officeDocument/2006/relationships" r:embed="rId22" cstate="screen">
            <a:extLst>
              <a:ext uri="{28A0092B-C50C-407E-A947-70E740481C1C}">
                <a14:useLocalDpi xmlns:a14="http://schemas.microsoft.com/office/drawing/2010/main"/>
              </a:ext>
            </a:extLst>
          </a:blip>
          <a:stretch>
            <a:fillRect/>
          </a:stretch>
        </xdr:blipFill>
        <xdr:spPr>
          <a:xfrm>
            <a:off x="2926249" y="7308344"/>
            <a:ext cx="1078875" cy="1440000"/>
          </a:xfrm>
          <a:prstGeom prst="rect">
            <a:avLst/>
          </a:prstGeom>
          <a:ln>
            <a:solidFill>
              <a:schemeClr val="tx1"/>
            </a:solidFill>
          </a:ln>
        </xdr:spPr>
      </xdr:pic>
      <xdr:pic>
        <xdr:nvPicPr>
          <xdr:cNvPr id="69" name="Picture 68">
            <a:extLst>
              <a:ext uri="{FF2B5EF4-FFF2-40B4-BE49-F238E27FC236}">
                <a16:creationId xmlns:a16="http://schemas.microsoft.com/office/drawing/2014/main" id="{9CFEBCBD-65FC-4E47-9F70-6A153AB29642}"/>
              </a:ext>
            </a:extLst>
          </xdr:cNvPr>
          <xdr:cNvPicPr>
            <a:picLocks noChangeAspect="1"/>
          </xdr:cNvPicPr>
        </xdr:nvPicPr>
        <xdr:blipFill>
          <a:blip xmlns:r="http://schemas.openxmlformats.org/officeDocument/2006/relationships" r:embed="rId23" cstate="screen">
            <a:extLst>
              <a:ext uri="{28A0092B-C50C-407E-A947-70E740481C1C}">
                <a14:useLocalDpi xmlns:a14="http://schemas.microsoft.com/office/drawing/2010/main"/>
              </a:ext>
            </a:extLst>
          </a:blip>
          <a:stretch>
            <a:fillRect/>
          </a:stretch>
        </xdr:blipFill>
        <xdr:spPr>
          <a:xfrm>
            <a:off x="4094100" y="7300314"/>
            <a:ext cx="1078875" cy="1440000"/>
          </a:xfrm>
          <a:prstGeom prst="rect">
            <a:avLst/>
          </a:prstGeom>
          <a:ln>
            <a:solidFill>
              <a:schemeClr val="tx1"/>
            </a:solidFill>
          </a:ln>
        </xdr:spPr>
      </xdr:pic>
      <xdr:sp macro="" textlink="">
        <xdr:nvSpPr>
          <xdr:cNvPr id="70" name="TextBox 82">
            <a:extLst>
              <a:ext uri="{FF2B5EF4-FFF2-40B4-BE49-F238E27FC236}">
                <a16:creationId xmlns:a16="http://schemas.microsoft.com/office/drawing/2014/main" id="{BB2EB236-11A8-44D3-9CDE-D794BD02CB8B}"/>
              </a:ext>
            </a:extLst>
          </xdr:cNvPr>
          <xdr:cNvSpPr txBox="1"/>
        </xdr:nvSpPr>
        <xdr:spPr>
          <a:xfrm>
            <a:off x="359818" y="624278"/>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71" name="TextBox 83">
            <a:extLst>
              <a:ext uri="{FF2B5EF4-FFF2-40B4-BE49-F238E27FC236}">
                <a16:creationId xmlns:a16="http://schemas.microsoft.com/office/drawing/2014/main" id="{D6F0A4A0-70FB-44EF-8690-797BA222A7BD}"/>
              </a:ext>
            </a:extLst>
          </xdr:cNvPr>
          <xdr:cNvSpPr txBox="1"/>
        </xdr:nvSpPr>
        <xdr:spPr>
          <a:xfrm>
            <a:off x="2991219" y="624278"/>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sp macro="" textlink="">
        <xdr:nvSpPr>
          <xdr:cNvPr id="72" name="TextBox 84">
            <a:extLst>
              <a:ext uri="{FF2B5EF4-FFF2-40B4-BE49-F238E27FC236}">
                <a16:creationId xmlns:a16="http://schemas.microsoft.com/office/drawing/2014/main" id="{251BBD85-3C95-41D4-835F-C52FA601FAFF}"/>
              </a:ext>
            </a:extLst>
          </xdr:cNvPr>
          <xdr:cNvSpPr txBox="1"/>
        </xdr:nvSpPr>
        <xdr:spPr>
          <a:xfrm>
            <a:off x="4752788" y="514360"/>
            <a:ext cx="857927"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73" name="TextBox 85">
            <a:extLst>
              <a:ext uri="{FF2B5EF4-FFF2-40B4-BE49-F238E27FC236}">
                <a16:creationId xmlns:a16="http://schemas.microsoft.com/office/drawing/2014/main" id="{9A844B3D-6125-47DC-AFD9-831CC259D5B6}"/>
              </a:ext>
            </a:extLst>
          </xdr:cNvPr>
          <xdr:cNvSpPr txBox="1"/>
        </xdr:nvSpPr>
        <xdr:spPr>
          <a:xfrm>
            <a:off x="505051" y="3455924"/>
            <a:ext cx="146065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Amenity bldg</a:t>
            </a:r>
            <a:endParaRPr lang="en-IN" b="1">
              <a:solidFill>
                <a:srgbClr val="FF0000"/>
              </a:solidFill>
            </a:endParaRPr>
          </a:p>
        </xdr:txBody>
      </xdr:sp>
    </xdr:grpSp>
    <xdr:clientData/>
  </xdr:twoCellAnchor>
  <xdr:oneCellAnchor>
    <xdr:from>
      <xdr:col>9</xdr:col>
      <xdr:colOff>450850</xdr:colOff>
      <xdr:row>234</xdr:row>
      <xdr:rowOff>0</xdr:rowOff>
    </xdr:from>
    <xdr:ext cx="708912" cy="311496"/>
    <xdr:sp macro="" textlink="">
      <xdr:nvSpPr>
        <xdr:cNvPr id="5" name="TextBox 4"/>
        <xdr:cNvSpPr txBox="1"/>
      </xdr:nvSpPr>
      <xdr:spPr>
        <a:xfrm>
          <a:off x="8820150" y="504825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A</a:t>
          </a:r>
        </a:p>
      </xdr:txBody>
    </xdr:sp>
    <xdr:clientData/>
  </xdr:oneCellAnchor>
  <xdr:oneCellAnchor>
    <xdr:from>
      <xdr:col>6</xdr:col>
      <xdr:colOff>637621</xdr:colOff>
      <xdr:row>257</xdr:row>
      <xdr:rowOff>58120</xdr:rowOff>
    </xdr:from>
    <xdr:ext cx="708912" cy="311496"/>
    <xdr:sp macro="" textlink="">
      <xdr:nvSpPr>
        <xdr:cNvPr id="106" name="TextBox 105"/>
        <xdr:cNvSpPr txBox="1"/>
      </xdr:nvSpPr>
      <xdr:spPr>
        <a:xfrm>
          <a:off x="5723971" y="5546187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A</a:t>
          </a:r>
        </a:p>
      </xdr:txBody>
    </xdr:sp>
    <xdr:clientData/>
  </xdr:oneCellAnchor>
  <xdr:twoCellAnchor>
    <xdr:from>
      <xdr:col>0</xdr:col>
      <xdr:colOff>349250</xdr:colOff>
      <xdr:row>235</xdr:row>
      <xdr:rowOff>19050</xdr:rowOff>
    </xdr:from>
    <xdr:to>
      <xdr:col>7</xdr:col>
      <xdr:colOff>935196</xdr:colOff>
      <xdr:row>276</xdr:row>
      <xdr:rowOff>55810</xdr:rowOff>
    </xdr:to>
    <xdr:grpSp>
      <xdr:nvGrpSpPr>
        <xdr:cNvPr id="6" name="Group 5"/>
        <xdr:cNvGrpSpPr/>
      </xdr:nvGrpSpPr>
      <xdr:grpSpPr>
        <a:xfrm>
          <a:off x="349250" y="50806350"/>
          <a:ext cx="6440646" cy="8101260"/>
          <a:chOff x="349250" y="51098450"/>
          <a:chExt cx="6440646" cy="8101260"/>
        </a:xfrm>
      </xdr:grpSpPr>
      <xdr:pic>
        <xdr:nvPicPr>
          <xdr:cNvPr id="88" name="Picture 87"/>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a:ext>
            </a:extLst>
          </a:blip>
          <a:stretch>
            <a:fillRect/>
          </a:stretch>
        </xdr:blipFill>
        <xdr:spPr>
          <a:xfrm>
            <a:off x="4862263" y="57579710"/>
            <a:ext cx="1213735" cy="1620000"/>
          </a:xfrm>
          <a:prstGeom prst="rect">
            <a:avLst/>
          </a:prstGeom>
          <a:ln>
            <a:solidFill>
              <a:schemeClr val="tx1"/>
            </a:solidFill>
          </a:ln>
        </xdr:spPr>
      </xdr:pic>
      <xdr:pic>
        <xdr:nvPicPr>
          <xdr:cNvPr id="89" name="Picture 88"/>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a:ext>
            </a:extLst>
          </a:blip>
          <a:stretch>
            <a:fillRect/>
          </a:stretch>
        </xdr:blipFill>
        <xdr:spPr>
          <a:xfrm>
            <a:off x="351731" y="53931520"/>
            <a:ext cx="1510425" cy="2016000"/>
          </a:xfrm>
          <a:prstGeom prst="rect">
            <a:avLst/>
          </a:prstGeom>
          <a:ln>
            <a:solidFill>
              <a:schemeClr val="tx1"/>
            </a:solidFill>
          </a:ln>
        </xdr:spPr>
      </xdr:pic>
      <xdr:pic>
        <xdr:nvPicPr>
          <xdr:cNvPr id="90" name="Picture 89"/>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a:ext>
            </a:extLst>
          </a:blip>
          <a:stretch>
            <a:fillRect/>
          </a:stretch>
        </xdr:blipFill>
        <xdr:spPr>
          <a:xfrm>
            <a:off x="4736338" y="51098450"/>
            <a:ext cx="2049863" cy="2736000"/>
          </a:xfrm>
          <a:prstGeom prst="rect">
            <a:avLst/>
          </a:prstGeom>
          <a:ln>
            <a:solidFill>
              <a:schemeClr val="tx1"/>
            </a:solidFill>
          </a:ln>
        </xdr:spPr>
      </xdr:pic>
      <xdr:pic>
        <xdr:nvPicPr>
          <xdr:cNvPr id="91" name="Picture 90"/>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a:ext>
            </a:extLst>
          </a:blip>
          <a:stretch>
            <a:fillRect/>
          </a:stretch>
        </xdr:blipFill>
        <xdr:spPr>
          <a:xfrm>
            <a:off x="2156143" y="57579710"/>
            <a:ext cx="1213735" cy="1620000"/>
          </a:xfrm>
          <a:prstGeom prst="rect">
            <a:avLst/>
          </a:prstGeom>
          <a:ln>
            <a:solidFill>
              <a:schemeClr val="tx1"/>
            </a:solidFill>
          </a:ln>
        </xdr:spPr>
      </xdr:pic>
      <xdr:pic>
        <xdr:nvPicPr>
          <xdr:cNvPr id="92" name="Picture 91"/>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a:ext>
            </a:extLst>
          </a:blip>
          <a:stretch>
            <a:fillRect/>
          </a:stretch>
        </xdr:blipFill>
        <xdr:spPr>
          <a:xfrm>
            <a:off x="1994311" y="53931520"/>
            <a:ext cx="1510425" cy="2016000"/>
          </a:xfrm>
          <a:prstGeom prst="rect">
            <a:avLst/>
          </a:prstGeom>
          <a:ln>
            <a:solidFill>
              <a:schemeClr val="tx1"/>
            </a:solidFill>
          </a:ln>
        </xdr:spPr>
      </xdr:pic>
      <xdr:pic>
        <xdr:nvPicPr>
          <xdr:cNvPr id="93" name="Picture 92"/>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a:ext>
            </a:extLst>
          </a:blip>
          <a:stretch>
            <a:fillRect/>
          </a:stretch>
        </xdr:blipFill>
        <xdr:spPr>
          <a:xfrm>
            <a:off x="349250" y="51098450"/>
            <a:ext cx="2049863" cy="2736000"/>
          </a:xfrm>
          <a:prstGeom prst="rect">
            <a:avLst/>
          </a:prstGeom>
          <a:ln>
            <a:solidFill>
              <a:schemeClr val="tx1"/>
            </a:solidFill>
          </a:ln>
        </xdr:spPr>
      </xdr:pic>
      <xdr:pic>
        <xdr:nvPicPr>
          <xdr:cNvPr id="94" name="Picture 93"/>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a:ext>
            </a:extLst>
          </a:blip>
          <a:stretch>
            <a:fillRect/>
          </a:stretch>
        </xdr:blipFill>
        <xdr:spPr>
          <a:xfrm>
            <a:off x="5279471" y="53931520"/>
            <a:ext cx="1510425" cy="2016000"/>
          </a:xfrm>
          <a:prstGeom prst="rect">
            <a:avLst/>
          </a:prstGeom>
          <a:ln>
            <a:solidFill>
              <a:schemeClr val="tx1"/>
            </a:solidFill>
          </a:ln>
        </xdr:spPr>
      </xdr:pic>
      <xdr:pic>
        <xdr:nvPicPr>
          <xdr:cNvPr id="95" name="Picture 94"/>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a:ext>
            </a:extLst>
          </a:blip>
          <a:stretch>
            <a:fillRect/>
          </a:stretch>
        </xdr:blipFill>
        <xdr:spPr>
          <a:xfrm>
            <a:off x="3636891" y="53931520"/>
            <a:ext cx="1510425" cy="2016000"/>
          </a:xfrm>
          <a:prstGeom prst="rect">
            <a:avLst/>
          </a:prstGeom>
          <a:ln>
            <a:solidFill>
              <a:schemeClr val="tx1"/>
            </a:solidFill>
          </a:ln>
        </xdr:spPr>
      </xdr:pic>
      <xdr:pic>
        <xdr:nvPicPr>
          <xdr:cNvPr id="96" name="Picture 95"/>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a:ext>
            </a:extLst>
          </a:blip>
          <a:stretch>
            <a:fillRect/>
          </a:stretch>
        </xdr:blipFill>
        <xdr:spPr>
          <a:xfrm>
            <a:off x="3518209" y="56044590"/>
            <a:ext cx="1213735" cy="1454660"/>
          </a:xfrm>
          <a:prstGeom prst="rect">
            <a:avLst/>
          </a:prstGeom>
          <a:ln>
            <a:solidFill>
              <a:schemeClr val="tx1"/>
            </a:solidFill>
          </a:ln>
        </xdr:spPr>
      </xdr:pic>
      <xdr:pic>
        <xdr:nvPicPr>
          <xdr:cNvPr id="97" name="Picture 96"/>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a:ext>
            </a:extLst>
          </a:blip>
          <a:stretch>
            <a:fillRect/>
          </a:stretch>
        </xdr:blipFill>
        <xdr:spPr>
          <a:xfrm>
            <a:off x="2542794" y="51098450"/>
            <a:ext cx="2049863" cy="2736000"/>
          </a:xfrm>
          <a:prstGeom prst="rect">
            <a:avLst/>
          </a:prstGeom>
          <a:ln>
            <a:solidFill>
              <a:schemeClr val="tx1"/>
            </a:solidFill>
          </a:ln>
        </xdr:spPr>
      </xdr:pic>
      <xdr:pic>
        <xdr:nvPicPr>
          <xdr:cNvPr id="98" name="Picture 97"/>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a:ext>
            </a:extLst>
          </a:blip>
          <a:stretch>
            <a:fillRect/>
          </a:stretch>
        </xdr:blipFill>
        <xdr:spPr>
          <a:xfrm>
            <a:off x="2167805" y="56044590"/>
            <a:ext cx="1213735" cy="1454660"/>
          </a:xfrm>
          <a:prstGeom prst="rect">
            <a:avLst/>
          </a:prstGeom>
          <a:ln>
            <a:solidFill>
              <a:schemeClr val="tx1"/>
            </a:solidFill>
          </a:ln>
        </xdr:spPr>
      </xdr:pic>
      <xdr:pic>
        <xdr:nvPicPr>
          <xdr:cNvPr id="99" name="Picture 98"/>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a:ext>
            </a:extLst>
          </a:blip>
          <a:stretch>
            <a:fillRect/>
          </a:stretch>
        </xdr:blipFill>
        <xdr:spPr>
          <a:xfrm>
            <a:off x="817401" y="56044590"/>
            <a:ext cx="1213735" cy="1454660"/>
          </a:xfrm>
          <a:prstGeom prst="rect">
            <a:avLst/>
          </a:prstGeom>
          <a:ln>
            <a:solidFill>
              <a:schemeClr val="tx1"/>
            </a:solidFill>
          </a:ln>
        </xdr:spPr>
      </xdr:pic>
      <xdr:pic>
        <xdr:nvPicPr>
          <xdr:cNvPr id="100" name="Picture 99"/>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a:ext>
            </a:extLst>
          </a:blip>
          <a:stretch>
            <a:fillRect/>
          </a:stretch>
        </xdr:blipFill>
        <xdr:spPr>
          <a:xfrm>
            <a:off x="814185" y="57579710"/>
            <a:ext cx="1213735" cy="1620000"/>
          </a:xfrm>
          <a:prstGeom prst="rect">
            <a:avLst/>
          </a:prstGeom>
          <a:ln>
            <a:solidFill>
              <a:schemeClr val="tx1"/>
            </a:solidFill>
          </a:ln>
        </xdr:spPr>
      </xdr:pic>
      <xdr:pic>
        <xdr:nvPicPr>
          <xdr:cNvPr id="101" name="Picture 100"/>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a:ext>
            </a:extLst>
          </a:blip>
          <a:stretch>
            <a:fillRect/>
          </a:stretch>
        </xdr:blipFill>
        <xdr:spPr>
          <a:xfrm>
            <a:off x="4862263" y="56044590"/>
            <a:ext cx="1213735" cy="1454660"/>
          </a:xfrm>
          <a:prstGeom prst="rect">
            <a:avLst/>
          </a:prstGeom>
          <a:ln>
            <a:solidFill>
              <a:schemeClr val="tx1"/>
            </a:solidFill>
          </a:ln>
        </xdr:spPr>
      </xdr:pic>
      <xdr:pic>
        <xdr:nvPicPr>
          <xdr:cNvPr id="102" name="Picture 101"/>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a:ext>
            </a:extLst>
          </a:blip>
          <a:stretch>
            <a:fillRect/>
          </a:stretch>
        </xdr:blipFill>
        <xdr:spPr>
          <a:xfrm>
            <a:off x="3519728" y="57579710"/>
            <a:ext cx="1213735" cy="1620000"/>
          </a:xfrm>
          <a:prstGeom prst="rect">
            <a:avLst/>
          </a:prstGeom>
          <a:ln>
            <a:solidFill>
              <a:schemeClr val="tx1"/>
            </a:solidFill>
          </a:ln>
        </xdr:spPr>
      </xdr:pic>
      <xdr:sp macro="" textlink="">
        <xdr:nvSpPr>
          <xdr:cNvPr id="103" name="TextBox 102"/>
          <xdr:cNvSpPr txBox="1"/>
        </xdr:nvSpPr>
        <xdr:spPr>
          <a:xfrm>
            <a:off x="1092200" y="5330190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A</a:t>
            </a:r>
          </a:p>
        </xdr:txBody>
      </xdr:sp>
      <xdr:sp macro="" textlink="">
        <xdr:nvSpPr>
          <xdr:cNvPr id="104" name="TextBox 103"/>
          <xdr:cNvSpPr txBox="1"/>
        </xdr:nvSpPr>
        <xdr:spPr>
          <a:xfrm>
            <a:off x="3495294" y="5305425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B</a:t>
            </a:r>
          </a:p>
        </xdr:txBody>
      </xdr:sp>
      <xdr:sp macro="" textlink="">
        <xdr:nvSpPr>
          <xdr:cNvPr id="105" name="TextBox 104"/>
          <xdr:cNvSpPr txBox="1"/>
        </xdr:nvSpPr>
        <xdr:spPr>
          <a:xfrm>
            <a:off x="5523738" y="5314315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C</a:t>
            </a:r>
          </a:p>
        </xdr:txBody>
      </xdr:sp>
      <xdr:sp macro="" textlink="">
        <xdr:nvSpPr>
          <xdr:cNvPr id="107" name="TextBox 106"/>
          <xdr:cNvSpPr txBox="1"/>
        </xdr:nvSpPr>
        <xdr:spPr>
          <a:xfrm>
            <a:off x="1049135" y="58678260"/>
            <a:ext cx="708912"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400" b="0" cap="none" spc="0">
                <a:ln w="0"/>
                <a:solidFill>
                  <a:srgbClr val="FFFF00"/>
                </a:solidFill>
                <a:effectLst>
                  <a:outerShdw blurRad="38100" dist="25400" dir="5400000" algn="ctr" rotWithShape="0">
                    <a:srgbClr val="6E747A">
                      <a:alpha val="43000"/>
                    </a:srgbClr>
                  </a:outerShdw>
                </a:effectLst>
              </a:rPr>
              <a:t>Wing C</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3MeiGyZgHmeqMKRu5"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22"/>
  <sheetViews>
    <sheetView tabSelected="1" view="pageBreakPreview" zoomScaleNormal="100" zoomScaleSheetLayoutView="100" zoomScalePageLayoutView="85" workbookViewId="0">
      <selection activeCell="E12" sqref="E12:H12"/>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7" width="11" style="37" customWidth="1"/>
    <col min="8" max="8" width="18.54296875"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183" t="s">
        <v>160</v>
      </c>
      <c r="B1" s="183"/>
      <c r="C1" s="183"/>
      <c r="D1" s="183"/>
      <c r="E1" s="183"/>
      <c r="F1" s="183"/>
      <c r="G1" s="183"/>
      <c r="H1" s="183"/>
    </row>
    <row r="2" spans="1:26" ht="16.5" customHeight="1" x14ac:dyDescent="0.35">
      <c r="A2" s="184" t="s">
        <v>0</v>
      </c>
      <c r="B2" s="184"/>
      <c r="C2" s="184"/>
      <c r="D2" s="184"/>
      <c r="E2" s="184"/>
      <c r="F2" s="184"/>
      <c r="G2" s="184"/>
      <c r="H2" s="184"/>
    </row>
    <row r="3" spans="1:26" x14ac:dyDescent="0.35">
      <c r="A3" s="91" t="s">
        <v>1</v>
      </c>
      <c r="B3" s="91"/>
      <c r="C3" s="91"/>
      <c r="D3" s="91"/>
      <c r="E3" s="91" t="str">
        <f ca="1">TEXT(TODAY(),"DD/MM/YYYY")</f>
        <v>11/09/2025</v>
      </c>
      <c r="F3" s="91"/>
      <c r="G3" s="91"/>
      <c r="H3" s="91"/>
      <c r="K3" s="52" t="s">
        <v>232</v>
      </c>
      <c r="L3" s="49" t="s">
        <v>230</v>
      </c>
      <c r="M3" s="49" t="s">
        <v>235</v>
      </c>
      <c r="N3" s="49" t="s">
        <v>233</v>
      </c>
      <c r="O3" s="49" t="s">
        <v>338</v>
      </c>
      <c r="P3" s="49" t="s">
        <v>236</v>
      </c>
    </row>
    <row r="4" spans="1:26" ht="15" customHeight="1" x14ac:dyDescent="0.35">
      <c r="A4" s="91" t="s">
        <v>229</v>
      </c>
      <c r="B4" s="91"/>
      <c r="C4" s="91"/>
      <c r="D4" s="91"/>
      <c r="E4" s="91" t="s">
        <v>230</v>
      </c>
      <c r="F4" s="91"/>
      <c r="G4" s="91"/>
      <c r="H4" s="91"/>
      <c r="K4" s="48" t="s">
        <v>231</v>
      </c>
      <c r="L4" s="49" t="s">
        <v>166</v>
      </c>
      <c r="M4" s="49" t="s">
        <v>240</v>
      </c>
      <c r="N4" s="49" t="s">
        <v>242</v>
      </c>
      <c r="O4" s="49" t="s">
        <v>339</v>
      </c>
      <c r="P4" s="49"/>
    </row>
    <row r="5" spans="1:26" ht="15" customHeight="1" x14ac:dyDescent="0.35">
      <c r="A5" s="91" t="s">
        <v>2</v>
      </c>
      <c r="B5" s="91"/>
      <c r="C5" s="91"/>
      <c r="D5" s="91"/>
      <c r="E5" s="91" t="s">
        <v>239</v>
      </c>
      <c r="F5" s="91"/>
      <c r="G5" s="91"/>
      <c r="H5" s="91"/>
      <c r="K5" s="48"/>
      <c r="L5" s="49" t="s">
        <v>237</v>
      </c>
      <c r="M5" s="49" t="s">
        <v>241</v>
      </c>
      <c r="N5" s="49" t="s">
        <v>243</v>
      </c>
      <c r="O5" s="49" t="s">
        <v>340</v>
      </c>
      <c r="P5" s="49"/>
    </row>
    <row r="6" spans="1:26" x14ac:dyDescent="0.35">
      <c r="A6" s="91" t="s">
        <v>3</v>
      </c>
      <c r="B6" s="91"/>
      <c r="C6" s="91"/>
      <c r="D6" s="91"/>
      <c r="E6" s="185">
        <v>45908</v>
      </c>
      <c r="F6" s="91"/>
      <c r="G6" s="91"/>
      <c r="H6" s="91"/>
      <c r="K6" s="48"/>
      <c r="L6" s="49" t="s">
        <v>238</v>
      </c>
      <c r="M6" s="49"/>
      <c r="N6" s="49"/>
      <c r="O6" s="49" t="s">
        <v>341</v>
      </c>
      <c r="P6" s="49"/>
    </row>
    <row r="7" spans="1:26" ht="16.5" customHeight="1" x14ac:dyDescent="0.35">
      <c r="A7" s="91" t="s">
        <v>4</v>
      </c>
      <c r="B7" s="91"/>
      <c r="C7" s="91"/>
      <c r="D7" s="91"/>
      <c r="E7" s="91" t="s">
        <v>346</v>
      </c>
      <c r="F7" s="91"/>
      <c r="G7" s="91"/>
      <c r="H7" s="91"/>
      <c r="K7" s="48"/>
      <c r="L7" s="49" t="s">
        <v>239</v>
      </c>
      <c r="M7" s="49"/>
      <c r="N7" s="49"/>
      <c r="O7" s="49" t="s">
        <v>341</v>
      </c>
      <c r="P7" s="49"/>
    </row>
    <row r="8" spans="1:26" ht="15" customHeight="1" x14ac:dyDescent="0.35">
      <c r="A8" s="91" t="s">
        <v>5</v>
      </c>
      <c r="B8" s="91"/>
      <c r="C8" s="91"/>
      <c r="D8" s="91"/>
      <c r="E8" s="91" t="str">
        <f>E7</f>
        <v>Heramb Enterprises</v>
      </c>
      <c r="F8" s="91"/>
      <c r="G8" s="91"/>
      <c r="H8" s="91"/>
      <c r="K8" s="48"/>
      <c r="L8" s="49"/>
      <c r="M8" s="49"/>
      <c r="N8" s="49"/>
      <c r="O8" s="49" t="s">
        <v>342</v>
      </c>
      <c r="P8" s="49"/>
    </row>
    <row r="9" spans="1:26" x14ac:dyDescent="0.35">
      <c r="A9" s="91" t="s">
        <v>348</v>
      </c>
      <c r="B9" s="91"/>
      <c r="C9" s="91"/>
      <c r="D9" s="91"/>
      <c r="E9" s="142" t="s">
        <v>401</v>
      </c>
      <c r="F9" s="133"/>
      <c r="G9" s="133"/>
      <c r="H9" s="133"/>
      <c r="K9" s="48"/>
      <c r="L9" s="49"/>
      <c r="M9" s="49"/>
      <c r="N9" s="49"/>
      <c r="O9" s="49" t="s">
        <v>343</v>
      </c>
      <c r="P9" s="49"/>
    </row>
    <row r="10" spans="1:26" ht="33" customHeight="1" x14ac:dyDescent="0.35">
      <c r="A10" s="91" t="s">
        <v>347</v>
      </c>
      <c r="B10" s="91"/>
      <c r="C10" s="91"/>
      <c r="D10" s="91"/>
      <c r="E10" s="142" t="s">
        <v>353</v>
      </c>
      <c r="F10" s="133"/>
      <c r="G10" s="133"/>
      <c r="H10" s="133"/>
      <c r="K10" s="48"/>
      <c r="L10" s="49"/>
      <c r="M10" s="49"/>
      <c r="N10" s="49"/>
      <c r="O10" s="49" t="s">
        <v>343</v>
      </c>
      <c r="P10" s="49"/>
    </row>
    <row r="11" spans="1:26" x14ac:dyDescent="0.35">
      <c r="A11" s="91" t="s">
        <v>163</v>
      </c>
      <c r="B11" s="91"/>
      <c r="C11" s="91"/>
      <c r="D11" s="91"/>
      <c r="E11" s="91" t="s">
        <v>349</v>
      </c>
      <c r="F11" s="91"/>
      <c r="G11" s="91"/>
      <c r="H11" s="91"/>
      <c r="K11" s="48"/>
      <c r="L11" s="49"/>
      <c r="M11" s="49"/>
      <c r="N11" s="49"/>
      <c r="O11" s="49" t="s">
        <v>344</v>
      </c>
      <c r="P11" s="49"/>
    </row>
    <row r="12" spans="1:26" x14ac:dyDescent="0.35">
      <c r="A12" s="91" t="s">
        <v>164</v>
      </c>
      <c r="B12" s="91"/>
      <c r="C12" s="91"/>
      <c r="D12" s="91"/>
      <c r="E12" s="91" t="s">
        <v>408</v>
      </c>
      <c r="F12" s="91"/>
      <c r="G12" s="91"/>
      <c r="H12" s="91"/>
      <c r="I12" s="91" t="s">
        <v>350</v>
      </c>
      <c r="J12" s="91"/>
      <c r="K12" s="91"/>
      <c r="L12" s="91"/>
      <c r="O12" s="49" t="s">
        <v>345</v>
      </c>
    </row>
    <row r="13" spans="1:26" x14ac:dyDescent="0.35">
      <c r="A13" s="91" t="s">
        <v>6</v>
      </c>
      <c r="B13" s="91"/>
      <c r="C13" s="91"/>
      <c r="D13" s="91"/>
      <c r="E13" s="125" t="s">
        <v>402</v>
      </c>
      <c r="F13" s="91"/>
      <c r="G13" s="91"/>
      <c r="H13" s="91"/>
      <c r="I13" s="91" t="s">
        <v>408</v>
      </c>
      <c r="J13" s="91"/>
      <c r="K13" s="91"/>
      <c r="L13" s="91"/>
    </row>
    <row r="14" spans="1:26" x14ac:dyDescent="0.35">
      <c r="A14" s="91" t="s">
        <v>167</v>
      </c>
      <c r="B14" s="91"/>
      <c r="C14" s="91"/>
      <c r="D14" s="91"/>
      <c r="E14" s="91" t="s">
        <v>27</v>
      </c>
      <c r="F14" s="91"/>
      <c r="G14" s="91"/>
      <c r="H14" s="91"/>
      <c r="S14" s="49" t="s">
        <v>175</v>
      </c>
      <c r="T14" s="49" t="s">
        <v>184</v>
      </c>
      <c r="U14" s="49" t="s">
        <v>168</v>
      </c>
      <c r="V14" s="49" t="s">
        <v>189</v>
      </c>
      <c r="W14" s="49" t="s">
        <v>207</v>
      </c>
      <c r="X14"/>
      <c r="Y14" t="s">
        <v>189</v>
      </c>
      <c r="Z14" t="e">
        <f ca="1">OFFSET($S$14,1,MATCH($G21,$S$14:$W$14,0)-1,15,1)</f>
        <v>#VALUE!</v>
      </c>
    </row>
    <row r="15" spans="1:26" ht="32.25" customHeight="1" x14ac:dyDescent="0.35">
      <c r="A15" s="100" t="s">
        <v>275</v>
      </c>
      <c r="B15" s="100"/>
      <c r="C15" s="100"/>
      <c r="D15" s="100"/>
      <c r="E15" s="125" t="s">
        <v>407</v>
      </c>
      <c r="F15" s="125"/>
      <c r="G15" s="125"/>
      <c r="H15" s="125"/>
      <c r="S15" s="49" t="s">
        <v>175</v>
      </c>
      <c r="T15" s="49" t="s">
        <v>182</v>
      </c>
      <c r="U15" s="49" t="s">
        <v>204</v>
      </c>
      <c r="V15" s="49" t="s">
        <v>190</v>
      </c>
      <c r="W15" s="49" t="s">
        <v>208</v>
      </c>
      <c r="X15"/>
      <c r="Y15"/>
      <c r="Z15"/>
    </row>
    <row r="16" spans="1:26" ht="50.25" customHeight="1" x14ac:dyDescent="0.35">
      <c r="A16" s="100" t="s">
        <v>7</v>
      </c>
      <c r="B16" s="100"/>
      <c r="C16" s="100"/>
      <c r="D16" s="100"/>
      <c r="E16" s="125" t="s">
        <v>351</v>
      </c>
      <c r="F16" s="91"/>
      <c r="G16" s="91"/>
      <c r="H16" s="91"/>
      <c r="I16" s="196" t="e">
        <f ca="1">OFFSET($D$5,1,MATCH($J14,$D$5:$H$5,0)-1,15,1)</f>
        <v>#N/A</v>
      </c>
      <c r="J16" s="197"/>
      <c r="K16" s="197"/>
      <c r="L16" s="197"/>
      <c r="M16" s="197"/>
      <c r="N16" s="197"/>
      <c r="O16" s="197"/>
      <c r="P16" s="197"/>
      <c r="S16" s="49" t="s">
        <v>176</v>
      </c>
      <c r="T16" s="49" t="s">
        <v>183</v>
      </c>
      <c r="U16" s="49" t="s">
        <v>205</v>
      </c>
      <c r="V16" s="49" t="s">
        <v>191</v>
      </c>
      <c r="W16" s="49" t="s">
        <v>221</v>
      </c>
      <c r="X16"/>
      <c r="Y16"/>
      <c r="Z16"/>
    </row>
    <row r="17" spans="1:26" ht="48.75" customHeight="1" x14ac:dyDescent="0.35">
      <c r="A17" s="175" t="s">
        <v>8</v>
      </c>
      <c r="B17" s="175"/>
      <c r="C17" s="175" t="str">
        <f>CONCATENATE((IF(OR(E10="",E10="NA"),"",E10)),", ",(IF(OR(A18="",A18="NA"),"",A18)),".",(IF(OR(C18="",C18="NA"),"",C18)),", near ",(IF(OR(C23="",C23="NA"),"",C23)),", ",(IF(OR(C20="",C20="NA"),"",C20)),", ",(IF(OR(C19="",C19="NA"),"",C19)),", ",(IF(OR(G20="",G20="NA"),"",G20)),", ",(IF(OR(C21="",C21="NA"),"",C21)),", ",(IF(OR(C22="",C22="NA"),"",C22)),", ",(IF(OR(G21="",G21="NA"),"",G21))," - ",(IF(OR(G22="",G22="NA"),"",G22)),".")</f>
        <v>Heramb Aarambha - C Wing And Amenity Building &amp; Heramb Aarambha - Phase 2, Gut No.161, 162, near Dolphin English High School, Neral Badlapur Road, Vangani, Vangani, Vangani East, Ambernath, Thane - 421503.</v>
      </c>
      <c r="D17" s="175"/>
      <c r="E17" s="175"/>
      <c r="F17" s="175"/>
      <c r="G17" s="175"/>
      <c r="H17" s="175"/>
      <c r="S17" s="49" t="s">
        <v>177</v>
      </c>
      <c r="T17" s="49" t="s">
        <v>185</v>
      </c>
      <c r="U17" s="49" t="s">
        <v>206</v>
      </c>
      <c r="V17" s="49" t="s">
        <v>192</v>
      </c>
      <c r="W17" s="49" t="s">
        <v>209</v>
      </c>
      <c r="X17"/>
      <c r="Y17"/>
      <c r="Z17"/>
    </row>
    <row r="18" spans="1:26" x14ac:dyDescent="0.35">
      <c r="A18" s="125" t="s">
        <v>352</v>
      </c>
      <c r="B18" s="125"/>
      <c r="C18" s="181" t="s">
        <v>400</v>
      </c>
      <c r="D18" s="181"/>
      <c r="E18" s="181"/>
      <c r="F18" s="181"/>
      <c r="G18" s="181"/>
      <c r="H18" s="181"/>
      <c r="I18" s="18" t="s">
        <v>405</v>
      </c>
      <c r="S18" s="49" t="s">
        <v>178</v>
      </c>
      <c r="T18" s="49" t="s">
        <v>186</v>
      </c>
      <c r="U18" s="49" t="s">
        <v>168</v>
      </c>
      <c r="V18" s="49" t="s">
        <v>193</v>
      </c>
      <c r="W18" s="49" t="s">
        <v>210</v>
      </c>
      <c r="X18"/>
      <c r="Y18"/>
      <c r="Z18"/>
    </row>
    <row r="19" spans="1:26" ht="15.75" customHeight="1" x14ac:dyDescent="0.35">
      <c r="A19" s="125" t="s">
        <v>158</v>
      </c>
      <c r="B19" s="125"/>
      <c r="C19" s="125" t="s">
        <v>365</v>
      </c>
      <c r="D19" s="125"/>
      <c r="E19" s="125"/>
      <c r="F19" s="125"/>
      <c r="G19" s="125"/>
      <c r="H19" s="125"/>
      <c r="I19" s="18" t="s">
        <v>404</v>
      </c>
      <c r="S19" s="49" t="s">
        <v>179</v>
      </c>
      <c r="T19" s="49" t="s">
        <v>184</v>
      </c>
      <c r="U19" s="49"/>
      <c r="V19" s="49" t="s">
        <v>194</v>
      </c>
      <c r="W19" s="49" t="s">
        <v>211</v>
      </c>
      <c r="X19"/>
      <c r="Y19"/>
      <c r="Z19"/>
    </row>
    <row r="20" spans="1:26" ht="15.75" customHeight="1" x14ac:dyDescent="0.35">
      <c r="A20" s="175" t="s">
        <v>9</v>
      </c>
      <c r="B20" s="175"/>
      <c r="C20" s="91" t="s">
        <v>364</v>
      </c>
      <c r="D20" s="91"/>
      <c r="E20" s="175" t="s">
        <v>68</v>
      </c>
      <c r="F20" s="175"/>
      <c r="G20" s="125" t="s">
        <v>365</v>
      </c>
      <c r="H20" s="125"/>
      <c r="S20" s="49" t="s">
        <v>180</v>
      </c>
      <c r="T20" s="49" t="s">
        <v>187</v>
      </c>
      <c r="U20" s="49"/>
      <c r="V20" s="49" t="s">
        <v>195</v>
      </c>
      <c r="W20" s="49" t="s">
        <v>212</v>
      </c>
      <c r="X20"/>
      <c r="Y20"/>
      <c r="Z20"/>
    </row>
    <row r="21" spans="1:26" x14ac:dyDescent="0.35">
      <c r="A21" s="91" t="s">
        <v>11</v>
      </c>
      <c r="B21" s="91"/>
      <c r="C21" s="125" t="s">
        <v>366</v>
      </c>
      <c r="D21" s="125"/>
      <c r="E21" s="125" t="s">
        <v>10</v>
      </c>
      <c r="F21" s="125"/>
      <c r="G21" s="182" t="s">
        <v>175</v>
      </c>
      <c r="H21" s="182"/>
      <c r="S21" s="49" t="s">
        <v>181</v>
      </c>
      <c r="T21" s="49" t="s">
        <v>188</v>
      </c>
      <c r="U21" s="49"/>
      <c r="V21" s="49" t="s">
        <v>196</v>
      </c>
      <c r="W21" s="49" t="s">
        <v>213</v>
      </c>
      <c r="X21"/>
      <c r="Y21"/>
      <c r="Z21"/>
    </row>
    <row r="22" spans="1:26" x14ac:dyDescent="0.35">
      <c r="A22" s="91" t="s">
        <v>69</v>
      </c>
      <c r="B22" s="91"/>
      <c r="C22" s="125" t="s">
        <v>180</v>
      </c>
      <c r="D22" s="125"/>
      <c r="E22" s="125" t="s">
        <v>12</v>
      </c>
      <c r="F22" s="125"/>
      <c r="G22" s="125">
        <v>421503</v>
      </c>
      <c r="H22" s="125"/>
      <c r="S22" s="49"/>
      <c r="T22" s="49"/>
      <c r="U22" s="49"/>
      <c r="V22" s="49" t="s">
        <v>197</v>
      </c>
      <c r="W22" s="49" t="s">
        <v>214</v>
      </c>
      <c r="X22"/>
      <c r="Y22"/>
      <c r="Z22"/>
    </row>
    <row r="23" spans="1:26" ht="32.25" customHeight="1" x14ac:dyDescent="0.35">
      <c r="A23" s="100" t="s">
        <v>117</v>
      </c>
      <c r="B23" s="100"/>
      <c r="C23" s="125" t="s">
        <v>367</v>
      </c>
      <c r="D23" s="125"/>
      <c r="E23" s="175" t="s">
        <v>13</v>
      </c>
      <c r="F23" s="175"/>
      <c r="G23" s="125" t="s">
        <v>368</v>
      </c>
      <c r="H23" s="125"/>
      <c r="S23" s="49"/>
      <c r="T23" s="49"/>
      <c r="U23" s="49"/>
      <c r="V23" s="49" t="s">
        <v>198</v>
      </c>
      <c r="W23" s="49" t="s">
        <v>215</v>
      </c>
      <c r="X23"/>
      <c r="Y23"/>
      <c r="Z23"/>
    </row>
    <row r="24" spans="1:26" ht="15" customHeight="1" x14ac:dyDescent="0.35">
      <c r="A24" s="175" t="s">
        <v>71</v>
      </c>
      <c r="B24" s="175"/>
      <c r="C24" s="175"/>
      <c r="D24" s="175"/>
      <c r="E24" s="91" t="s">
        <v>14</v>
      </c>
      <c r="F24" s="91"/>
      <c r="G24" s="91"/>
      <c r="H24" s="91"/>
      <c r="S24" s="49"/>
      <c r="T24" s="49"/>
      <c r="U24" s="49"/>
      <c r="V24" s="49" t="s">
        <v>199</v>
      </c>
      <c r="W24" s="49" t="s">
        <v>216</v>
      </c>
      <c r="X24"/>
      <c r="Y24"/>
      <c r="Z24"/>
    </row>
    <row r="25" spans="1:26" ht="18.75" customHeight="1" x14ac:dyDescent="0.35">
      <c r="A25" s="175"/>
      <c r="B25" s="175"/>
      <c r="C25" s="175"/>
      <c r="D25" s="175"/>
      <c r="E25" s="91"/>
      <c r="F25" s="91"/>
      <c r="G25" s="91"/>
      <c r="H25" s="91"/>
      <c r="S25" s="49"/>
      <c r="T25" s="49"/>
      <c r="U25" s="49"/>
      <c r="V25" s="49" t="s">
        <v>200</v>
      </c>
      <c r="W25" s="49" t="s">
        <v>217</v>
      </c>
      <c r="X25"/>
      <c r="Y25"/>
      <c r="Z25"/>
    </row>
    <row r="26" spans="1:26" ht="15" customHeight="1" x14ac:dyDescent="0.35">
      <c r="A26" s="175" t="s">
        <v>15</v>
      </c>
      <c r="B26" s="175"/>
      <c r="C26" s="175"/>
      <c r="D26" s="175"/>
      <c r="E26" s="125" t="s">
        <v>16</v>
      </c>
      <c r="F26" s="125"/>
      <c r="G26" s="125"/>
      <c r="H26" s="125"/>
      <c r="S26" s="49"/>
      <c r="T26" s="49"/>
      <c r="U26" s="49"/>
      <c r="V26" s="49" t="s">
        <v>201</v>
      </c>
      <c r="W26" s="49" t="s">
        <v>218</v>
      </c>
      <c r="X26"/>
      <c r="Y26"/>
      <c r="Z26"/>
    </row>
    <row r="27" spans="1:26" ht="15" customHeight="1" x14ac:dyDescent="0.35">
      <c r="A27" s="100" t="s">
        <v>17</v>
      </c>
      <c r="B27" s="100"/>
      <c r="C27" s="100"/>
      <c r="D27" s="100"/>
      <c r="E27" s="125" t="str">
        <f>IF(AND(G21="Mumbai"),"Upper Class","Middle Class")</f>
        <v>Middle Class</v>
      </c>
      <c r="F27" s="125"/>
      <c r="G27" s="125"/>
      <c r="H27" s="125"/>
      <c r="S27" s="49"/>
      <c r="T27" s="49"/>
      <c r="U27" s="49"/>
      <c r="V27" s="49" t="s">
        <v>202</v>
      </c>
      <c r="W27" s="49" t="s">
        <v>219</v>
      </c>
      <c r="X27"/>
      <c r="Y27"/>
      <c r="Z27"/>
    </row>
    <row r="28" spans="1:26" x14ac:dyDescent="0.35">
      <c r="A28" s="100" t="s">
        <v>18</v>
      </c>
      <c r="B28" s="100"/>
      <c r="C28" s="100"/>
      <c r="D28" s="100"/>
      <c r="E28" s="125" t="s">
        <v>19</v>
      </c>
      <c r="F28" s="125"/>
      <c r="G28" s="125"/>
      <c r="H28" s="125"/>
      <c r="S28" s="49"/>
      <c r="T28" s="49"/>
      <c r="U28" s="49"/>
      <c r="V28" s="49" t="s">
        <v>203</v>
      </c>
      <c r="W28" s="49" t="s">
        <v>220</v>
      </c>
      <c r="X28"/>
      <c r="Y28"/>
      <c r="Z28"/>
    </row>
    <row r="29" spans="1:26" ht="15.75" customHeight="1" x14ac:dyDescent="0.35">
      <c r="A29" s="100" t="s">
        <v>20</v>
      </c>
      <c r="B29" s="100"/>
      <c r="C29" s="100"/>
      <c r="D29" s="100"/>
      <c r="E29" s="125" t="str">
        <f>IF(AND(G21="Mumbai"),"Developed","Developing")</f>
        <v>Developing</v>
      </c>
      <c r="F29" s="125"/>
      <c r="G29" s="125"/>
      <c r="H29" s="125"/>
    </row>
    <row r="30" spans="1:26" x14ac:dyDescent="0.35">
      <c r="A30" s="100" t="s">
        <v>21</v>
      </c>
      <c r="B30" s="100"/>
      <c r="C30" s="100"/>
      <c r="D30" s="100"/>
      <c r="E30" s="125" t="s">
        <v>22</v>
      </c>
      <c r="F30" s="125"/>
      <c r="G30" s="125"/>
      <c r="H30" s="125"/>
    </row>
    <row r="31" spans="1:26" ht="15.75" customHeight="1" x14ac:dyDescent="0.35">
      <c r="A31" s="100" t="s">
        <v>76</v>
      </c>
      <c r="B31" s="100"/>
      <c r="C31" s="100"/>
      <c r="D31" s="100"/>
      <c r="E31" s="125" t="s">
        <v>77</v>
      </c>
      <c r="F31" s="125"/>
      <c r="G31" s="125"/>
      <c r="H31" s="125"/>
    </row>
    <row r="32" spans="1:26" ht="15" customHeight="1" x14ac:dyDescent="0.35">
      <c r="A32" s="100" t="s">
        <v>29</v>
      </c>
      <c r="B32" s="100"/>
      <c r="C32" s="100"/>
      <c r="D32" s="100"/>
      <c r="E32" s="125"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 + Commercial</v>
      </c>
      <c r="F32" s="125"/>
      <c r="G32" s="125"/>
      <c r="H32" s="125"/>
    </row>
    <row r="33" spans="1:19" ht="15.75" customHeight="1" x14ac:dyDescent="0.35">
      <c r="A33" s="100" t="s">
        <v>88</v>
      </c>
      <c r="B33" s="100"/>
      <c r="C33" s="100"/>
      <c r="D33" s="100"/>
      <c r="E33" s="125" t="s">
        <v>30</v>
      </c>
      <c r="F33" s="125"/>
      <c r="G33" s="125"/>
      <c r="H33" s="125"/>
    </row>
    <row r="34" spans="1:19" s="19" customFormat="1" x14ac:dyDescent="0.35">
      <c r="A34" s="180" t="s">
        <v>89</v>
      </c>
      <c r="B34" s="180"/>
      <c r="C34" s="176" t="s">
        <v>169</v>
      </c>
      <c r="D34" s="177"/>
      <c r="E34" s="178"/>
      <c r="F34" s="176" t="s">
        <v>28</v>
      </c>
      <c r="G34" s="177"/>
      <c r="H34" s="178"/>
      <c r="S34" s="19" t="e">
        <f ca="1">OFFSET($S$14,1,MATCH($G21,$S$14:$W$14,0)-1,15,1)</f>
        <v>#VALUE!</v>
      </c>
    </row>
    <row r="35" spans="1:19" s="19" customFormat="1" x14ac:dyDescent="0.35">
      <c r="A35" s="145" t="s">
        <v>23</v>
      </c>
      <c r="B35" s="145" t="s">
        <v>27</v>
      </c>
      <c r="C35" s="146" t="s">
        <v>360</v>
      </c>
      <c r="D35" s="147"/>
      <c r="E35" s="148"/>
      <c r="F35" s="146" t="s">
        <v>356</v>
      </c>
      <c r="G35" s="147"/>
      <c r="H35" s="148"/>
    </row>
    <row r="36" spans="1:19" x14ac:dyDescent="0.35">
      <c r="A36" s="145" t="s">
        <v>24</v>
      </c>
      <c r="B36" s="145" t="s">
        <v>27</v>
      </c>
      <c r="C36" s="146" t="s">
        <v>361</v>
      </c>
      <c r="D36" s="147"/>
      <c r="E36" s="148"/>
      <c r="F36" s="146" t="s">
        <v>358</v>
      </c>
      <c r="G36" s="147"/>
      <c r="H36" s="148"/>
    </row>
    <row r="37" spans="1:19" s="19" customFormat="1" x14ac:dyDescent="0.35">
      <c r="A37" s="145" t="s">
        <v>26</v>
      </c>
      <c r="B37" s="145" t="s">
        <v>27</v>
      </c>
      <c r="C37" s="146" t="s">
        <v>362</v>
      </c>
      <c r="D37" s="147"/>
      <c r="E37" s="148"/>
      <c r="F37" s="179" t="s">
        <v>359</v>
      </c>
      <c r="G37" s="147"/>
      <c r="H37" s="148"/>
    </row>
    <row r="38" spans="1:19" x14ac:dyDescent="0.35">
      <c r="A38" s="145" t="s">
        <v>25</v>
      </c>
      <c r="B38" s="145" t="s">
        <v>27</v>
      </c>
      <c r="C38" s="146" t="s">
        <v>363</v>
      </c>
      <c r="D38" s="147"/>
      <c r="E38" s="148"/>
      <c r="F38" s="146" t="s">
        <v>357</v>
      </c>
      <c r="G38" s="147"/>
      <c r="H38" s="148"/>
    </row>
    <row r="39" spans="1:19" x14ac:dyDescent="0.35">
      <c r="A39" s="100" t="s">
        <v>276</v>
      </c>
      <c r="B39" s="100"/>
      <c r="C39" s="100"/>
      <c r="D39" s="100"/>
      <c r="E39" s="100"/>
      <c r="F39" s="100"/>
      <c r="G39" s="100"/>
      <c r="H39" s="100"/>
    </row>
    <row r="40" spans="1:19" ht="15.75" customHeight="1" x14ac:dyDescent="0.35">
      <c r="A40" s="100" t="s">
        <v>161</v>
      </c>
      <c r="B40" s="100"/>
      <c r="C40" s="150" t="s">
        <v>354</v>
      </c>
      <c r="D40" s="150"/>
      <c r="E40" s="150"/>
      <c r="F40" s="150"/>
      <c r="G40" s="150"/>
      <c r="H40" s="150"/>
    </row>
    <row r="41" spans="1:19" x14ac:dyDescent="0.35">
      <c r="A41" s="100" t="s">
        <v>157</v>
      </c>
      <c r="B41" s="100"/>
      <c r="C41" s="124" t="s">
        <v>355</v>
      </c>
      <c r="D41" s="125"/>
      <c r="E41" s="125"/>
      <c r="F41" s="125"/>
      <c r="G41" s="125"/>
      <c r="H41" s="125"/>
    </row>
    <row r="42" spans="1:19" x14ac:dyDescent="0.35">
      <c r="A42" s="150" t="s">
        <v>31</v>
      </c>
      <c r="B42" s="150"/>
      <c r="C42" s="150"/>
      <c r="D42" s="150"/>
      <c r="E42" s="150"/>
      <c r="F42" s="150"/>
      <c r="G42" s="150"/>
      <c r="H42" s="150"/>
    </row>
    <row r="43" spans="1:19" x14ac:dyDescent="0.35">
      <c r="A43" s="100" t="s">
        <v>32</v>
      </c>
      <c r="B43" s="100"/>
      <c r="C43" s="100"/>
      <c r="D43" s="100"/>
      <c r="E43" s="149">
        <v>4749.6499999999996</v>
      </c>
      <c r="F43" s="149"/>
      <c r="G43" s="149"/>
      <c r="H43" s="149"/>
    </row>
    <row r="44" spans="1:19" x14ac:dyDescent="0.35">
      <c r="A44" s="100" t="s">
        <v>33</v>
      </c>
      <c r="B44" s="100"/>
      <c r="C44" s="100"/>
      <c r="D44" s="100"/>
      <c r="E44" s="164">
        <f>5224.61/E43</f>
        <v>1.0999989472908531</v>
      </c>
      <c r="F44" s="164"/>
      <c r="G44" s="164"/>
      <c r="H44" s="164"/>
    </row>
    <row r="45" spans="1:19" x14ac:dyDescent="0.35">
      <c r="A45" s="100" t="s">
        <v>34</v>
      </c>
      <c r="B45" s="100"/>
      <c r="C45" s="100"/>
      <c r="D45" s="100"/>
      <c r="E45" s="164">
        <f>E47/E43-E44</f>
        <v>0.6598928342088366</v>
      </c>
      <c r="F45" s="164"/>
      <c r="G45" s="164"/>
      <c r="H45" s="164"/>
    </row>
    <row r="46" spans="1:19" x14ac:dyDescent="0.35">
      <c r="A46" s="100" t="s">
        <v>35</v>
      </c>
      <c r="B46" s="100"/>
      <c r="C46" s="100"/>
      <c r="D46" s="100"/>
      <c r="E46" s="164">
        <f>E44+E45</f>
        <v>1.7598917814996897</v>
      </c>
      <c r="F46" s="164"/>
      <c r="G46" s="164"/>
      <c r="H46" s="164"/>
    </row>
    <row r="47" spans="1:19" x14ac:dyDescent="0.35">
      <c r="A47" s="100" t="s">
        <v>87</v>
      </c>
      <c r="B47" s="100"/>
      <c r="C47" s="100"/>
      <c r="D47" s="100"/>
      <c r="E47" s="165">
        <v>8358.8700000000008</v>
      </c>
      <c r="F47" s="165"/>
      <c r="G47" s="165"/>
      <c r="H47" s="165"/>
    </row>
    <row r="48" spans="1:19" x14ac:dyDescent="0.35">
      <c r="A48" s="91" t="s">
        <v>36</v>
      </c>
      <c r="B48" s="91"/>
      <c r="C48" s="91"/>
      <c r="D48" s="91"/>
      <c r="E48" s="91" t="s">
        <v>369</v>
      </c>
      <c r="F48" s="91"/>
      <c r="G48" s="91"/>
      <c r="H48" s="91"/>
    </row>
    <row r="49" spans="1:24" x14ac:dyDescent="0.35">
      <c r="A49" s="150" t="s">
        <v>37</v>
      </c>
      <c r="B49" s="150"/>
      <c r="C49" s="150"/>
      <c r="D49" s="150"/>
      <c r="E49" s="150"/>
      <c r="F49" s="150"/>
      <c r="G49" s="150"/>
      <c r="H49" s="150"/>
    </row>
    <row r="50" spans="1:24" ht="33.75" customHeight="1" x14ac:dyDescent="0.35">
      <c r="A50" s="152" t="s">
        <v>146</v>
      </c>
      <c r="B50" s="154"/>
      <c r="C50" s="171" t="s">
        <v>259</v>
      </c>
      <c r="D50" s="172"/>
      <c r="E50" s="172"/>
      <c r="F50" s="172"/>
      <c r="G50" s="172"/>
      <c r="H50" s="173"/>
      <c r="R50" t="s">
        <v>249</v>
      </c>
      <c r="S50" s="53" t="s">
        <v>168</v>
      </c>
      <c r="T50" s="53" t="s">
        <v>175</v>
      </c>
      <c r="U50" s="53" t="s">
        <v>189</v>
      </c>
      <c r="V50" s="53" t="s">
        <v>184</v>
      </c>
    </row>
    <row r="51" spans="1:24" ht="33" customHeight="1" x14ac:dyDescent="0.35">
      <c r="A51" s="152" t="s">
        <v>38</v>
      </c>
      <c r="B51" s="154"/>
      <c r="C51" s="152" t="s">
        <v>370</v>
      </c>
      <c r="D51" s="153"/>
      <c r="E51" s="154"/>
      <c r="F51" s="17" t="s">
        <v>39</v>
      </c>
      <c r="G51" s="155">
        <v>44778</v>
      </c>
      <c r="H51" s="154"/>
      <c r="R51"/>
      <c r="S51" s="53" t="s">
        <v>250</v>
      </c>
      <c r="T51" s="53" t="s">
        <v>255</v>
      </c>
      <c r="U51" s="53" t="s">
        <v>266</v>
      </c>
      <c r="V51" s="53" t="s">
        <v>271</v>
      </c>
    </row>
    <row r="52" spans="1:24" ht="32.25" customHeight="1" x14ac:dyDescent="0.35">
      <c r="A52" s="152" t="s">
        <v>40</v>
      </c>
      <c r="B52" s="154"/>
      <c r="C52" s="152" t="str">
        <f>C51</f>
        <v>BS/Rekhankan/BP./Mauje Vangani/Taluka
Ambernath/SSThane/2098</v>
      </c>
      <c r="D52" s="153"/>
      <c r="E52" s="154"/>
      <c r="F52" s="17" t="s">
        <v>39</v>
      </c>
      <c r="G52" s="155">
        <f>G51</f>
        <v>44778</v>
      </c>
      <c r="H52" s="154"/>
      <c r="R52"/>
      <c r="S52" s="53" t="s">
        <v>251</v>
      </c>
      <c r="T52" s="53" t="s">
        <v>256</v>
      </c>
      <c r="U52" s="53" t="s">
        <v>264</v>
      </c>
      <c r="V52" s="53" t="s">
        <v>272</v>
      </c>
    </row>
    <row r="53" spans="1:24" s="20" customFormat="1" ht="48" customHeight="1" x14ac:dyDescent="0.35">
      <c r="A53" s="160" t="s">
        <v>150</v>
      </c>
      <c r="B53" s="161"/>
      <c r="C53" s="152" t="s">
        <v>371</v>
      </c>
      <c r="D53" s="153"/>
      <c r="E53" s="154"/>
      <c r="F53" s="17" t="s">
        <v>39</v>
      </c>
      <c r="G53" s="155">
        <v>44812</v>
      </c>
      <c r="H53" s="154"/>
      <c r="R53"/>
      <c r="S53" s="53" t="s">
        <v>252</v>
      </c>
      <c r="T53" s="53" t="s">
        <v>257</v>
      </c>
      <c r="U53" s="53" t="s">
        <v>254</v>
      </c>
      <c r="V53" s="53" t="s">
        <v>273</v>
      </c>
    </row>
    <row r="54" spans="1:24" s="20" customFormat="1" ht="33.75" customHeight="1" x14ac:dyDescent="0.35">
      <c r="A54" s="162"/>
      <c r="B54" s="163"/>
      <c r="C54" s="152" t="s">
        <v>372</v>
      </c>
      <c r="D54" s="153"/>
      <c r="E54" s="153"/>
      <c r="F54" s="153"/>
      <c r="G54" s="153"/>
      <c r="H54" s="154"/>
      <c r="R54"/>
      <c r="S54" s="53" t="s">
        <v>253</v>
      </c>
      <c r="T54" s="53" t="s">
        <v>260</v>
      </c>
      <c r="U54" s="53" t="s">
        <v>267</v>
      </c>
      <c r="V54" s="73"/>
    </row>
    <row r="55" spans="1:24" s="20" customFormat="1" hidden="1" x14ac:dyDescent="0.35">
      <c r="A55" s="156" t="s">
        <v>277</v>
      </c>
      <c r="B55" s="157"/>
      <c r="C55" s="152" t="str">
        <f>C54</f>
        <v>Building Type A, B &amp; C = Gr + St + 1st to 7th Floor
Aminity Building = Gr + 1st to 2nd Floor</v>
      </c>
      <c r="D55" s="153"/>
      <c r="E55" s="154"/>
      <c r="F55" s="17" t="s">
        <v>39</v>
      </c>
      <c r="G55" s="152"/>
      <c r="H55" s="154"/>
      <c r="R55"/>
      <c r="S55" s="53" t="s">
        <v>252</v>
      </c>
      <c r="T55" s="53" t="s">
        <v>257</v>
      </c>
      <c r="U55" s="53" t="s">
        <v>254</v>
      </c>
      <c r="V55" s="53" t="s">
        <v>273</v>
      </c>
    </row>
    <row r="56" spans="1:24" s="20" customFormat="1" ht="32.25" hidden="1" customHeight="1" x14ac:dyDescent="0.35">
      <c r="A56" s="158"/>
      <c r="B56" s="159"/>
      <c r="C56" s="129"/>
      <c r="D56" s="130"/>
      <c r="E56" s="130"/>
      <c r="F56" s="130"/>
      <c r="G56" s="130"/>
      <c r="H56" s="131"/>
      <c r="R56"/>
      <c r="S56" s="53" t="s">
        <v>254</v>
      </c>
      <c r="T56" s="53" t="s">
        <v>258</v>
      </c>
      <c r="U56" s="53" t="s">
        <v>268</v>
      </c>
      <c r="V56" s="74"/>
      <c r="W56" s="18"/>
      <c r="X56" s="18"/>
    </row>
    <row r="57" spans="1:24" s="20" customFormat="1" ht="34.5" hidden="1" customHeight="1" x14ac:dyDescent="0.35">
      <c r="A57" s="156" t="s">
        <v>278</v>
      </c>
      <c r="B57" s="157"/>
      <c r="C57" s="152">
        <f>C56</f>
        <v>0</v>
      </c>
      <c r="D57" s="153"/>
      <c r="E57" s="154"/>
      <c r="F57" s="17" t="s">
        <v>39</v>
      </c>
      <c r="G57" s="152">
        <f>G56</f>
        <v>0</v>
      </c>
      <c r="H57" s="154"/>
      <c r="R57"/>
      <c r="S57" s="74"/>
      <c r="T57" s="53" t="s">
        <v>259</v>
      </c>
      <c r="U57" s="53" t="s">
        <v>269</v>
      </c>
      <c r="V57" s="74"/>
      <c r="W57" s="18"/>
      <c r="X57" s="18"/>
    </row>
    <row r="58" spans="1:24" s="20" customFormat="1" ht="41.25" hidden="1" customHeight="1" x14ac:dyDescent="0.35">
      <c r="A58" s="158"/>
      <c r="B58" s="159"/>
      <c r="C58" s="152"/>
      <c r="D58" s="153"/>
      <c r="E58" s="153"/>
      <c r="F58" s="153"/>
      <c r="G58" s="153"/>
      <c r="H58" s="154"/>
      <c r="R58"/>
      <c r="S58" s="74"/>
      <c r="T58" s="53" t="s">
        <v>261</v>
      </c>
      <c r="U58" s="53" t="s">
        <v>270</v>
      </c>
      <c r="V58" s="74"/>
      <c r="W58" s="18"/>
      <c r="X58" s="18"/>
    </row>
    <row r="59" spans="1:24" s="20" customFormat="1" ht="15.75" hidden="1" customHeight="1" x14ac:dyDescent="0.35">
      <c r="A59" s="156" t="s">
        <v>279</v>
      </c>
      <c r="B59" s="157"/>
      <c r="C59" s="152">
        <f>C58</f>
        <v>0</v>
      </c>
      <c r="D59" s="153"/>
      <c r="E59" s="154"/>
      <c r="F59" s="17" t="s">
        <v>39</v>
      </c>
      <c r="G59" s="152">
        <f>G58</f>
        <v>0</v>
      </c>
      <c r="H59" s="154"/>
      <c r="R59"/>
      <c r="S59" s="74"/>
      <c r="T59" s="53" t="s">
        <v>262</v>
      </c>
      <c r="U59" s="74" t="s">
        <v>293</v>
      </c>
      <c r="V59" s="74"/>
      <c r="W59" s="18"/>
      <c r="X59" s="18"/>
    </row>
    <row r="60" spans="1:24" s="20" customFormat="1" ht="33.75" hidden="1" customHeight="1" x14ac:dyDescent="0.35">
      <c r="A60" s="158"/>
      <c r="B60" s="159"/>
      <c r="C60" s="152"/>
      <c r="D60" s="153"/>
      <c r="E60" s="153"/>
      <c r="F60" s="153"/>
      <c r="G60" s="153"/>
      <c r="H60" s="154"/>
      <c r="R60"/>
      <c r="S60" s="74"/>
      <c r="T60" s="53" t="s">
        <v>263</v>
      </c>
      <c r="U60" s="74"/>
      <c r="V60" s="74"/>
      <c r="W60" s="18"/>
      <c r="X60" s="18"/>
    </row>
    <row r="61" spans="1:24" x14ac:dyDescent="0.35">
      <c r="A61" s="199" t="s">
        <v>41</v>
      </c>
      <c r="B61" s="200"/>
      <c r="C61" s="199" t="s">
        <v>101</v>
      </c>
      <c r="D61" s="201"/>
      <c r="E61" s="200"/>
      <c r="F61" s="40" t="s">
        <v>39</v>
      </c>
      <c r="G61" s="202" t="s">
        <v>27</v>
      </c>
      <c r="H61" s="203"/>
      <c r="R61"/>
      <c r="S61" s="74"/>
      <c r="T61" s="53" t="s">
        <v>265</v>
      </c>
      <c r="U61" s="74"/>
      <c r="V61" s="74"/>
    </row>
    <row r="62" spans="1:24" x14ac:dyDescent="0.35">
      <c r="A62" s="174" t="s">
        <v>43</v>
      </c>
      <c r="B62" s="174"/>
      <c r="C62" s="174"/>
      <c r="D62" s="174"/>
      <c r="E62" s="174"/>
      <c r="F62" s="174"/>
      <c r="G62" s="174"/>
      <c r="H62" s="174"/>
      <c r="S62" s="74"/>
      <c r="T62" s="53" t="s">
        <v>274</v>
      </c>
      <c r="U62" s="74"/>
      <c r="V62" s="74"/>
    </row>
    <row r="63" spans="1:24" x14ac:dyDescent="0.35">
      <c r="A63" s="175" t="s">
        <v>86</v>
      </c>
      <c r="B63" s="175"/>
      <c r="C63" s="175"/>
      <c r="D63" s="100">
        <f>E47</f>
        <v>8358.8700000000008</v>
      </c>
      <c r="E63" s="100"/>
      <c r="F63" s="100"/>
      <c r="G63" s="100"/>
      <c r="H63" s="100"/>
      <c r="R63"/>
    </row>
    <row r="64" spans="1:24" x14ac:dyDescent="0.35">
      <c r="A64" s="125" t="s">
        <v>44</v>
      </c>
      <c r="B64" s="91"/>
      <c r="C64" s="91"/>
      <c r="D64" s="91" t="s">
        <v>396</v>
      </c>
      <c r="E64" s="91"/>
      <c r="F64" s="91"/>
      <c r="G64" s="91"/>
      <c r="H64" s="91"/>
      <c r="I64" s="21"/>
      <c r="R64"/>
    </row>
    <row r="65" spans="1:19" ht="30" customHeight="1" x14ac:dyDescent="0.35">
      <c r="A65" s="168" t="s">
        <v>45</v>
      </c>
      <c r="B65" s="169"/>
      <c r="C65" s="170"/>
      <c r="D65" s="166" t="s">
        <v>412</v>
      </c>
      <c r="E65" s="167"/>
      <c r="F65" s="167"/>
      <c r="G65" s="167"/>
      <c r="H65" s="167"/>
      <c r="R65"/>
    </row>
    <row r="66" spans="1:19" ht="15.75" customHeight="1" x14ac:dyDescent="0.35">
      <c r="A66" s="168" t="s">
        <v>84</v>
      </c>
      <c r="B66" s="169"/>
      <c r="C66" s="170"/>
      <c r="D66" s="211" t="s">
        <v>373</v>
      </c>
      <c r="E66" s="212"/>
      <c r="F66" s="212"/>
      <c r="G66" s="212"/>
      <c r="H66" s="213"/>
      <c r="R66"/>
    </row>
    <row r="67" spans="1:19" ht="15.75" customHeight="1" x14ac:dyDescent="0.35">
      <c r="A67" s="214"/>
      <c r="B67" s="215"/>
      <c r="C67" s="215"/>
      <c r="D67" s="91" t="s">
        <v>374</v>
      </c>
      <c r="E67" s="91"/>
      <c r="F67" s="91"/>
      <c r="G67" s="91"/>
      <c r="H67" s="91"/>
      <c r="R67"/>
    </row>
    <row r="68" spans="1:19" ht="15.75" customHeight="1" x14ac:dyDescent="0.35">
      <c r="A68" s="214"/>
      <c r="B68" s="215"/>
      <c r="C68" s="215"/>
      <c r="D68" s="91" t="s">
        <v>375</v>
      </c>
      <c r="E68" s="91"/>
      <c r="F68" s="91"/>
      <c r="G68" s="91"/>
      <c r="H68" s="91"/>
      <c r="S68"/>
    </row>
    <row r="69" spans="1:19" ht="15.75" customHeight="1" x14ac:dyDescent="0.35">
      <c r="A69" s="216"/>
      <c r="B69" s="217"/>
      <c r="C69" s="217"/>
      <c r="D69" s="91" t="s">
        <v>411</v>
      </c>
      <c r="E69" s="91"/>
      <c r="F69" s="91"/>
      <c r="G69" s="91"/>
      <c r="H69" s="91"/>
      <c r="S69"/>
    </row>
    <row r="70" spans="1:19" ht="50.25" customHeight="1" x14ac:dyDescent="0.35">
      <c r="A70" s="100" t="s">
        <v>42</v>
      </c>
      <c r="B70" s="100"/>
      <c r="C70" s="100"/>
      <c r="D70" s="151" t="s">
        <v>376</v>
      </c>
      <c r="E70" s="151"/>
      <c r="F70" s="151"/>
      <c r="G70" s="151"/>
      <c r="H70" s="151"/>
      <c r="J70" s="22"/>
      <c r="K70" s="21"/>
      <c r="N70" s="21"/>
      <c r="S70"/>
    </row>
    <row r="71" spans="1:19" ht="15.75" customHeight="1" x14ac:dyDescent="0.35">
      <c r="A71" s="100" t="s">
        <v>82</v>
      </c>
      <c r="B71" s="100"/>
      <c r="C71" s="100"/>
      <c r="D71" s="218" t="str">
        <f>(IF(G61="NA","60 Years After Completion",IF(G61&lt;&gt;"NA",""&amp;60-ROUNDDOWN((E3-G61)/360,0)&amp;" Years"," ")))</f>
        <v>60 Years After Completion</v>
      </c>
      <c r="E71" s="218"/>
      <c r="F71" s="218"/>
      <c r="G71" s="218"/>
      <c r="H71" s="218"/>
      <c r="N71" s="21"/>
      <c r="S71"/>
    </row>
    <row r="72" spans="1:19" ht="15.75" customHeight="1" x14ac:dyDescent="0.35">
      <c r="A72" s="100" t="s">
        <v>83</v>
      </c>
      <c r="B72" s="100"/>
      <c r="C72" s="100"/>
      <c r="D72" s="175" t="s">
        <v>22</v>
      </c>
      <c r="E72" s="175"/>
      <c r="F72" s="175"/>
      <c r="G72" s="175"/>
      <c r="H72" s="175"/>
      <c r="J72" s="23"/>
      <c r="K72" s="23"/>
      <c r="S72"/>
    </row>
    <row r="73" spans="1:19" ht="30.75" customHeight="1" x14ac:dyDescent="0.35">
      <c r="A73" s="91" t="s">
        <v>378</v>
      </c>
      <c r="B73" s="91"/>
      <c r="C73" s="91"/>
      <c r="D73" s="125" t="s">
        <v>377</v>
      </c>
      <c r="E73" s="175"/>
      <c r="F73" s="175"/>
      <c r="G73" s="175"/>
      <c r="H73" s="175"/>
      <c r="S73"/>
    </row>
    <row r="74" spans="1:19" x14ac:dyDescent="0.35">
      <c r="A74" s="175" t="s">
        <v>143</v>
      </c>
      <c r="B74" s="175"/>
      <c r="C74" s="175"/>
      <c r="D74" s="175" t="s">
        <v>27</v>
      </c>
      <c r="E74" s="175"/>
      <c r="F74" s="175"/>
      <c r="G74" s="175"/>
      <c r="H74" s="175"/>
      <c r="I74" s="24"/>
      <c r="J74" s="24"/>
      <c r="K74" s="24"/>
      <c r="L74" s="24"/>
      <c r="M74" s="24"/>
      <c r="N74" s="24"/>
    </row>
    <row r="75" spans="1:19" ht="15.75" customHeight="1" x14ac:dyDescent="0.35">
      <c r="A75" s="210" t="s">
        <v>81</v>
      </c>
      <c r="B75" s="210"/>
      <c r="C75" s="210"/>
      <c r="D75" s="166" t="str">
        <f ca="1">(IF(G81&gt;95%,"Nothing",IF(G81&gt;0%,"Cement, Aggregate, Steel, etc",IF(G81=0%,"Work not yet Started"))))</f>
        <v>Cement, Aggregate, Steel, etc</v>
      </c>
      <c r="E75" s="166"/>
      <c r="F75" s="166"/>
      <c r="G75" s="166"/>
      <c r="H75" s="166"/>
      <c r="J75" s="23"/>
      <c r="S75"/>
    </row>
    <row r="76" spans="1:19" ht="33.75" customHeight="1" thickBot="1" x14ac:dyDescent="0.4">
      <c r="A76" s="209" t="s">
        <v>114</v>
      </c>
      <c r="B76" s="209"/>
      <c r="C76" s="209"/>
      <c r="D76" s="166" t="str">
        <f ca="1">(IF(D75="Nothing","Yes",IF(D75="Cement, Aggregate, Steel, etc","Under Construction",IF(D75="Work not yet Started","Work not yet Started"))))</f>
        <v>Under Construction</v>
      </c>
      <c r="E76" s="166"/>
      <c r="F76" s="166" t="str">
        <f ca="1">(IF(D75="Nothing","Yes",IF(D75="Cement, Aggregate, Steel, etc","Under Construction",IF(D75="Work not yet Started","Work not yet Started"))))</f>
        <v>Under Construction</v>
      </c>
      <c r="G76" s="166"/>
      <c r="H76" s="166"/>
      <c r="S76"/>
    </row>
    <row r="77" spans="1:19" ht="15.75" customHeight="1" x14ac:dyDescent="0.35">
      <c r="A77" s="204" t="s">
        <v>135</v>
      </c>
      <c r="B77" s="205"/>
      <c r="C77" s="206" t="str">
        <f>D66</f>
        <v>Building Type A = Gr + St + 1st to 7th Floor</v>
      </c>
      <c r="D77" s="207"/>
      <c r="E77" s="207"/>
      <c r="F77" s="207"/>
      <c r="G77" s="207"/>
      <c r="H77" s="208"/>
      <c r="I77" s="42" t="str">
        <f ca="1">IF(D90=100%,"All work Completed. Possession granted to the Building.",IF(D89=100%,"All work Completed, Waiting for OC",I78&amp;""&amp;I79&amp;""&amp;J78&amp;""&amp;J77&amp;" "&amp;J79))</f>
        <v>Excavation, Plinth, RCC Slab, Brickwork, Internal Plaster, External Plaster Completed, Flooring upto 5 Floor, Painting upto 5 Floor, Finishing upto 2 Floor Completed</v>
      </c>
      <c r="J77" s="43"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Flooring upto 5 Floor, Painting upto 5 Floor, Finishing upto 2 Floor</v>
      </c>
      <c r="S77"/>
    </row>
    <row r="78" spans="1:19" x14ac:dyDescent="0.35">
      <c r="A78" s="15" t="s">
        <v>137</v>
      </c>
      <c r="B78" s="46">
        <f>IF(AND(ISNUMBER(SEARCH("1B",C77))),1,IF(AND(ISNUMBER(SEARCH("2B",C77))),2,IF(AND(ISNUMBER(SEARCH("3B",C77))),3,IF(AND(ISNUMBER(SEARCH("4B",C77))),4,IF(ISNUMBER(SEARCH("5B",C77)),5,0)))))</f>
        <v>0</v>
      </c>
      <c r="C78" s="46" t="s">
        <v>67</v>
      </c>
      <c r="D78" s="46">
        <v>1</v>
      </c>
      <c r="E78" s="46" t="s">
        <v>66</v>
      </c>
      <c r="F78" s="46">
        <v>0</v>
      </c>
      <c r="G78" s="46" t="s">
        <v>75</v>
      </c>
      <c r="H78" s="16">
        <f ca="1">--TRIM(RIGHT(SUBSTITUTE(LEFT(C77,_xlfn.AGGREGATE(16,6,FIND({0,1,2,3,4,5,6,7,8,9},C77,ROW(INDIRECT("1:"&amp;LEN(C77)))),1))," ",REPT(" ",LEN(C77))),LEN(C77)))</f>
        <v>7</v>
      </c>
      <c r="I78" s="44" t="str">
        <f ca="1">IF(D81=100%,"Excavation","")&amp;IF(D82=100%,", Plinth","")&amp;IF(D83=100%,", RCC Slab","")&amp;IF(D84=100%,", Brickwork","")&amp;IF(D85=100%,", Internal Plaster","")&amp;IF(D86=100%,", External Plaster","")&amp;IF(D87=100%,", Flooring","")&amp;IF(D88=100%,", Painting","")&amp;IF(D89=100%,", Building common Amenities","")</f>
        <v>Excavation, Plinth, RCC Slab, Brickwork, Internal Plaster, External Plaster</v>
      </c>
      <c r="J78" s="45"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c r="S78"/>
    </row>
    <row r="79" spans="1:19" ht="48.5" customHeight="1" x14ac:dyDescent="0.35">
      <c r="A79" s="132" t="s">
        <v>85</v>
      </c>
      <c r="B79" s="133"/>
      <c r="C79" s="142" t="str">
        <f ca="1">I77</f>
        <v>Excavation, Plinth, RCC Slab, Brickwork, Internal Plaster, External Plaster Completed, Flooring upto 5 Floor, Painting upto 5 Floor, Finishing upto 2 Floor Completed</v>
      </c>
      <c r="D79" s="142"/>
      <c r="E79" s="142"/>
      <c r="F79" s="142"/>
      <c r="G79" s="142"/>
      <c r="H79" s="143"/>
      <c r="I79" s="44" t="str">
        <f ca="1">IF(I78&lt;&gt;""," Completed","")</f>
        <v xml:space="preserve"> Completed</v>
      </c>
      <c r="J79" s="45" t="str">
        <f ca="1">IF(J77&lt;&gt;"","Completed","")</f>
        <v>Completed</v>
      </c>
      <c r="S79"/>
    </row>
    <row r="80" spans="1:19" ht="15.75" customHeight="1" x14ac:dyDescent="0.35">
      <c r="A80" s="94" t="s">
        <v>46</v>
      </c>
      <c r="B80" s="92"/>
      <c r="C80" s="81" t="s">
        <v>134</v>
      </c>
      <c r="D80" s="81" t="s">
        <v>78</v>
      </c>
      <c r="E80" s="92" t="s">
        <v>80</v>
      </c>
      <c r="F80" s="92"/>
      <c r="G80" s="92" t="s">
        <v>79</v>
      </c>
      <c r="H80" s="93"/>
      <c r="I80" s="13" t="s">
        <v>136</v>
      </c>
      <c r="J80" s="25">
        <f ca="1">H78*25%</f>
        <v>1.75</v>
      </c>
      <c r="S80"/>
    </row>
    <row r="81" spans="1:19" x14ac:dyDescent="0.35">
      <c r="A81" s="94" t="s">
        <v>123</v>
      </c>
      <c r="B81" s="92"/>
      <c r="C81" s="81">
        <f ca="1">J82</f>
        <v>7</v>
      </c>
      <c r="D81" s="82">
        <f ca="1">((100/H78)*C81)/100</f>
        <v>1</v>
      </c>
      <c r="E81" s="106">
        <f ca="1">(((C82/H78*10)+(40/(D78+F78+H78)*C83)+(7.5/(H78)*C84)+(7.5/(H78)*C85)+(10/H78*C86)+(10/H78*C87)+(5/H78*C88)+(5/H78*C89)+(5/H78*C90))/100)</f>
        <v>0.87142857142857144</v>
      </c>
      <c r="F81" s="107"/>
      <c r="G81" s="106">
        <f ca="1">((((C81/H78)*20)+((C82/H78)*25)+(30/(H78+F78+D78)*C83)+(5/H78*C84)+(5/H78*C85)+(5/H78*C86)+(5/H78*C87)+(0/H78*C88)+(0/H78*C89)+(5/H78*C90))/100)</f>
        <v>0.93571428571428572</v>
      </c>
      <c r="H81" s="112"/>
      <c r="I81" s="13" t="s">
        <v>96</v>
      </c>
      <c r="J81" s="26">
        <f ca="1">H78*50%</f>
        <v>3.5</v>
      </c>
    </row>
    <row r="82" spans="1:19" x14ac:dyDescent="0.35">
      <c r="A82" s="94" t="s">
        <v>47</v>
      </c>
      <c r="B82" s="92"/>
      <c r="C82" s="81">
        <f ca="1">J90</f>
        <v>7</v>
      </c>
      <c r="D82" s="82">
        <f ca="1">((100/H78)*C82)/100</f>
        <v>1</v>
      </c>
      <c r="E82" s="108"/>
      <c r="F82" s="109"/>
      <c r="G82" s="108"/>
      <c r="H82" s="113"/>
      <c r="I82" s="13" t="s">
        <v>97</v>
      </c>
      <c r="J82" s="26">
        <f ca="1">H78</f>
        <v>7</v>
      </c>
      <c r="S82"/>
    </row>
    <row r="83" spans="1:19" ht="15.75" customHeight="1" x14ac:dyDescent="0.35">
      <c r="A83" s="94" t="s">
        <v>124</v>
      </c>
      <c r="B83" s="92"/>
      <c r="C83" s="81">
        <v>8</v>
      </c>
      <c r="D83" s="82">
        <f ca="1">((100/(D78+F78+H78))*C83)/100</f>
        <v>1</v>
      </c>
      <c r="E83" s="108"/>
      <c r="F83" s="109"/>
      <c r="G83" s="108"/>
      <c r="H83" s="113"/>
      <c r="I83" s="13" t="s">
        <v>98</v>
      </c>
      <c r="J83" s="27">
        <f ca="1">(IF(B78&gt;1,(H78/(B78+2)),H78/4))</f>
        <v>1.75</v>
      </c>
      <c r="S83"/>
    </row>
    <row r="84" spans="1:19" ht="15.75" customHeight="1" x14ac:dyDescent="0.35">
      <c r="A84" s="94" t="s">
        <v>131</v>
      </c>
      <c r="B84" s="92" t="s">
        <v>125</v>
      </c>
      <c r="C84" s="81">
        <v>7</v>
      </c>
      <c r="D84" s="82">
        <f ca="1">((100/H78)*C84)/100</f>
        <v>1</v>
      </c>
      <c r="E84" s="108"/>
      <c r="F84" s="109"/>
      <c r="G84" s="108"/>
      <c r="H84" s="113"/>
      <c r="I84" s="13" t="s">
        <v>99</v>
      </c>
      <c r="J84" s="27">
        <f ca="1">(IF(B78&gt;1,(H78/(B78+2)+J83),H78/4+J83))</f>
        <v>3.5</v>
      </c>
    </row>
    <row r="85" spans="1:19" ht="15.75" customHeight="1" x14ac:dyDescent="0.35">
      <c r="A85" s="94" t="s">
        <v>132</v>
      </c>
      <c r="B85" s="92" t="s">
        <v>125</v>
      </c>
      <c r="C85" s="81">
        <v>7</v>
      </c>
      <c r="D85" s="82">
        <f ca="1">((100/H78)*C85)/100</f>
        <v>1</v>
      </c>
      <c r="E85" s="108"/>
      <c r="F85" s="109"/>
      <c r="G85" s="108"/>
      <c r="H85" s="113"/>
      <c r="I85" s="13" t="s">
        <v>141</v>
      </c>
      <c r="J85" s="27">
        <f>(IF(B78&gt;1,(H78/(B78+2)+J84),0))</f>
        <v>0</v>
      </c>
    </row>
    <row r="86" spans="1:19" ht="15" customHeight="1" x14ac:dyDescent="0.35">
      <c r="A86" s="94" t="s">
        <v>130</v>
      </c>
      <c r="B86" s="92" t="s">
        <v>127</v>
      </c>
      <c r="C86" s="81">
        <v>7</v>
      </c>
      <c r="D86" s="82">
        <f ca="1">((100/(H78))*C86)/100</f>
        <v>1</v>
      </c>
      <c r="E86" s="108"/>
      <c r="F86" s="109"/>
      <c r="G86" s="108"/>
      <c r="H86" s="113"/>
      <c r="I86" s="13" t="s">
        <v>138</v>
      </c>
      <c r="J86" s="27">
        <f>(IF(B78&gt;2,(H78/(B78+2)+J85),0))</f>
        <v>0</v>
      </c>
    </row>
    <row r="87" spans="1:19" ht="15.75" customHeight="1" x14ac:dyDescent="0.35">
      <c r="A87" s="94" t="s">
        <v>126</v>
      </c>
      <c r="B87" s="92" t="s">
        <v>126</v>
      </c>
      <c r="C87" s="81">
        <v>5</v>
      </c>
      <c r="D87" s="82">
        <f ca="1">((100/H78)*C87)/100</f>
        <v>0.7142857142857143</v>
      </c>
      <c r="E87" s="108"/>
      <c r="F87" s="109"/>
      <c r="G87" s="108"/>
      <c r="H87" s="113"/>
      <c r="I87" s="13" t="s">
        <v>139</v>
      </c>
      <c r="J87" s="28">
        <f>(IF(B78&gt;3,(H78/(B78+2)+J86),0))</f>
        <v>0</v>
      </c>
    </row>
    <row r="88" spans="1:19" ht="15.75" customHeight="1" x14ac:dyDescent="0.35">
      <c r="A88" s="94" t="s">
        <v>133</v>
      </c>
      <c r="B88" s="92"/>
      <c r="C88" s="81">
        <v>5</v>
      </c>
      <c r="D88" s="82">
        <f ca="1">((100/H78)*C88)/100</f>
        <v>0.7142857142857143</v>
      </c>
      <c r="E88" s="108"/>
      <c r="F88" s="109"/>
      <c r="G88" s="108"/>
      <c r="H88" s="113"/>
      <c r="I88" s="13" t="s">
        <v>140</v>
      </c>
      <c r="J88" s="27">
        <f>(IF(B78&gt;4,(H78/(B78+2)+J87),0))</f>
        <v>0</v>
      </c>
    </row>
    <row r="89" spans="1:19" ht="15.75" customHeight="1" x14ac:dyDescent="0.35">
      <c r="A89" s="94" t="s">
        <v>128</v>
      </c>
      <c r="B89" s="92" t="s">
        <v>128</v>
      </c>
      <c r="C89" s="81">
        <v>2</v>
      </c>
      <c r="D89" s="82">
        <f ca="1">((100/(H78))*C89)/100</f>
        <v>0.28571428571428575</v>
      </c>
      <c r="E89" s="108"/>
      <c r="F89" s="109"/>
      <c r="G89" s="108"/>
      <c r="H89" s="113"/>
      <c r="I89" s="13" t="s">
        <v>142</v>
      </c>
      <c r="J89" s="27">
        <f ca="1">(IF(B78=1,(H78/(B78+3)+J84),IF(B78=0,(H78/4+J84),IF(B78&gt;1,0))))</f>
        <v>5.25</v>
      </c>
    </row>
    <row r="90" spans="1:19" ht="16" thickBot="1" x14ac:dyDescent="0.4">
      <c r="A90" s="186" t="s">
        <v>129</v>
      </c>
      <c r="B90" s="187"/>
      <c r="C90" s="83">
        <v>0</v>
      </c>
      <c r="D90" s="84">
        <f ca="1">((100/(H78))*C90)/100</f>
        <v>0</v>
      </c>
      <c r="E90" s="110"/>
      <c r="F90" s="111"/>
      <c r="G90" s="110"/>
      <c r="H90" s="114"/>
      <c r="I90" s="14" t="s">
        <v>100</v>
      </c>
      <c r="J90" s="29">
        <f ca="1">(IF(B78&gt;1.5,(H78/(B78+2)+J84+MAX(0,J85-J84)+MAX(0,J86-J85)+MAX(0,J87-J86)+MAX(0,J88-J87)+MAX(0,J89-J88)),IF(B78=1,(H78/(B78+3)+J89),IF(B78=0,H78/4+J89))))</f>
        <v>7</v>
      </c>
    </row>
    <row r="91" spans="1:19" ht="15.75" customHeight="1" x14ac:dyDescent="0.35">
      <c r="A91" s="134" t="s">
        <v>135</v>
      </c>
      <c r="B91" s="135"/>
      <c r="C91" s="136" t="str">
        <f>D67</f>
        <v>Building Type B = Gr + St + 1st to 7th Floor</v>
      </c>
      <c r="D91" s="137"/>
      <c r="E91" s="137"/>
      <c r="F91" s="137"/>
      <c r="G91" s="137"/>
      <c r="H91" s="138"/>
      <c r="I91" s="42" t="str">
        <f ca="1">IF(D104=100%,"All work Completed. Possession granted to the Building.",IF(D103=100%,"All work Completed, Waiting for OC",I92&amp;""&amp;I93&amp;""&amp;J92&amp;""&amp;J91&amp;" "&amp;J93))</f>
        <v>Excavation, Plinth, RCC Slab, Brickwork, Internal Plaster Completed, External Plaster upto 4 Floor Completed</v>
      </c>
      <c r="J91" s="43"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External Plaster upto 4 Floor</v>
      </c>
      <c r="S91"/>
    </row>
    <row r="92" spans="1:19" x14ac:dyDescent="0.35">
      <c r="A92" s="15" t="s">
        <v>137</v>
      </c>
      <c r="B92" s="46">
        <f>IF(AND(ISNUMBER(SEARCH("1B",C91))),1,IF(AND(ISNUMBER(SEARCH("2B",C91))),2,IF(AND(ISNUMBER(SEARCH("3B",C91))),3,IF(AND(ISNUMBER(SEARCH("4B",C91))),4,IF(ISNUMBER(SEARCH("5B",C91)),5,0)))))</f>
        <v>0</v>
      </c>
      <c r="C92" s="46" t="s">
        <v>67</v>
      </c>
      <c r="D92" s="46">
        <v>1</v>
      </c>
      <c r="E92" s="46" t="s">
        <v>66</v>
      </c>
      <c r="F92" s="46">
        <v>0</v>
      </c>
      <c r="G92" s="46" t="s">
        <v>75</v>
      </c>
      <c r="H92" s="16">
        <f ca="1">--TRIM(RIGHT(SUBSTITUTE(LEFT(C91,_xlfn.AGGREGATE(16,6,FIND({0,1,2,3,4,5,6,7,8,9},C91,ROW(INDIRECT("1:"&amp;LEN(C91)))),1))," ",REPT(" ",LEN(C91))),LEN(C91)))</f>
        <v>7</v>
      </c>
      <c r="I92" s="44" t="str">
        <f ca="1">IF(D95=100%,"Excavation","")&amp;IF(D96=100%,", Plinth","")&amp;IF(D97=100%,", RCC Slab","")&amp;IF(D98=100%,", Brickwork","")&amp;IF(D99=100%,", Internal Plaster","")&amp;IF(D100=100%,", External Plaster","")&amp;IF(D101=100%,", Flooring","")&amp;IF(D102=100%,", Painting","")&amp;IF(D103=100%,", Building common Amenities","")</f>
        <v>Excavation, Plinth, RCC Slab, Brickwork, Internal Plaster</v>
      </c>
      <c r="J92" s="45"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c r="S92"/>
    </row>
    <row r="93" spans="1:19" ht="30" customHeight="1" x14ac:dyDescent="0.35">
      <c r="A93" s="132" t="s">
        <v>85</v>
      </c>
      <c r="B93" s="133"/>
      <c r="C93" s="142" t="str">
        <f ca="1">I91</f>
        <v>Excavation, Plinth, RCC Slab, Brickwork, Internal Plaster Completed, External Plaster upto 4 Floor Completed</v>
      </c>
      <c r="D93" s="142"/>
      <c r="E93" s="142"/>
      <c r="F93" s="142"/>
      <c r="G93" s="142"/>
      <c r="H93" s="143"/>
      <c r="I93" s="44" t="str">
        <f ca="1">IF(I92&lt;&gt;""," Completed","")</f>
        <v xml:space="preserve"> Completed</v>
      </c>
      <c r="J93" s="45" t="str">
        <f ca="1">IF(J91&lt;&gt;"","Completed","")</f>
        <v>Completed</v>
      </c>
      <c r="S93"/>
    </row>
    <row r="94" spans="1:19" ht="15.75" customHeight="1" x14ac:dyDescent="0.35">
      <c r="A94" s="94" t="s">
        <v>46</v>
      </c>
      <c r="B94" s="92"/>
      <c r="C94" s="81" t="s">
        <v>134</v>
      </c>
      <c r="D94" s="81" t="s">
        <v>78</v>
      </c>
      <c r="E94" s="92" t="s">
        <v>80</v>
      </c>
      <c r="F94" s="92"/>
      <c r="G94" s="92" t="s">
        <v>79</v>
      </c>
      <c r="H94" s="93"/>
      <c r="I94" s="13" t="s">
        <v>136</v>
      </c>
      <c r="J94" s="25">
        <f ca="1">H92*25%</f>
        <v>1.75</v>
      </c>
      <c r="S94"/>
    </row>
    <row r="95" spans="1:19" x14ac:dyDescent="0.35">
      <c r="A95" s="94" t="s">
        <v>123</v>
      </c>
      <c r="B95" s="92"/>
      <c r="C95" s="81">
        <f ca="1">J96</f>
        <v>7</v>
      </c>
      <c r="D95" s="82">
        <f ca="1">((100/H92)*C95)/100</f>
        <v>1</v>
      </c>
      <c r="E95" s="106">
        <f ca="1">(((C96/H92*10)+(40/(D92+F92+H92)*C97)+(7.5/(H92)*C98)+(7.5/(H92)*C99)+(10/H92*C100)+(10/H92*C101)+(5/H92*C102)+(5/H92*C103)+(5/H92*C104))/100)</f>
        <v>0.70714285714285707</v>
      </c>
      <c r="F95" s="107"/>
      <c r="G95" s="106">
        <f ca="1">((((C95/H92)*20)+((C96/H92)*25)+(30/(H92+F92+D92)*C97)+(5/H92*C98)+(5/H92*C99)+(5/H92*C100)+(5/H92*C101)+(0/H92*C102)+(0/H92*C103)+(5/H92*C104))/100)</f>
        <v>0.87857142857142856</v>
      </c>
      <c r="H95" s="112"/>
      <c r="I95" s="13" t="s">
        <v>96</v>
      </c>
      <c r="J95" s="26">
        <f ca="1">H92*50%</f>
        <v>3.5</v>
      </c>
    </row>
    <row r="96" spans="1:19" x14ac:dyDescent="0.35">
      <c r="A96" s="94" t="s">
        <v>47</v>
      </c>
      <c r="B96" s="92"/>
      <c r="C96" s="87">
        <f ca="1">J104</f>
        <v>7</v>
      </c>
      <c r="D96" s="82">
        <f ca="1">((100/H92)*C96)/100</f>
        <v>1</v>
      </c>
      <c r="E96" s="108"/>
      <c r="F96" s="109"/>
      <c r="G96" s="108"/>
      <c r="H96" s="113"/>
      <c r="I96" s="13" t="s">
        <v>97</v>
      </c>
      <c r="J96" s="26">
        <f ca="1">H92</f>
        <v>7</v>
      </c>
      <c r="S96"/>
    </row>
    <row r="97" spans="1:19" ht="15.75" customHeight="1" x14ac:dyDescent="0.35">
      <c r="A97" s="94" t="s">
        <v>124</v>
      </c>
      <c r="B97" s="92"/>
      <c r="C97" s="81">
        <v>8</v>
      </c>
      <c r="D97" s="82">
        <f ca="1">((100/(D92+F92+H92))*C97)/100</f>
        <v>1</v>
      </c>
      <c r="E97" s="108"/>
      <c r="F97" s="109"/>
      <c r="G97" s="108"/>
      <c r="H97" s="113"/>
      <c r="I97" s="13" t="s">
        <v>98</v>
      </c>
      <c r="J97" s="27">
        <f ca="1">(IF(B92&gt;1,(H92/(B92+2)),H92/4))</f>
        <v>1.75</v>
      </c>
      <c r="S97"/>
    </row>
    <row r="98" spans="1:19" ht="15.75" customHeight="1" x14ac:dyDescent="0.35">
      <c r="A98" s="94" t="s">
        <v>131</v>
      </c>
      <c r="B98" s="92" t="s">
        <v>125</v>
      </c>
      <c r="C98" s="81">
        <v>7</v>
      </c>
      <c r="D98" s="82">
        <f ca="1">((100/H92)*C98)/100</f>
        <v>1</v>
      </c>
      <c r="E98" s="108"/>
      <c r="F98" s="109"/>
      <c r="G98" s="108"/>
      <c r="H98" s="113"/>
      <c r="I98" s="13" t="s">
        <v>99</v>
      </c>
      <c r="J98" s="27">
        <f ca="1">(IF(B92&gt;1,(H92/(B92+2)+J97),H92/4+J97))</f>
        <v>3.5</v>
      </c>
    </row>
    <row r="99" spans="1:19" ht="15.75" customHeight="1" x14ac:dyDescent="0.35">
      <c r="A99" s="94" t="s">
        <v>132</v>
      </c>
      <c r="B99" s="92" t="s">
        <v>125</v>
      </c>
      <c r="C99" s="81">
        <v>7</v>
      </c>
      <c r="D99" s="82">
        <f ca="1">((100/H92)*C99)/100</f>
        <v>1</v>
      </c>
      <c r="E99" s="108"/>
      <c r="F99" s="109"/>
      <c r="G99" s="108"/>
      <c r="H99" s="113"/>
      <c r="I99" s="13" t="s">
        <v>141</v>
      </c>
      <c r="J99" s="27">
        <f>(IF(B92&gt;1,(H92/(B92+2)+J98),0))</f>
        <v>0</v>
      </c>
    </row>
    <row r="100" spans="1:19" ht="15" customHeight="1" x14ac:dyDescent="0.35">
      <c r="A100" s="94" t="s">
        <v>130</v>
      </c>
      <c r="B100" s="92" t="s">
        <v>127</v>
      </c>
      <c r="C100" s="81">
        <v>4</v>
      </c>
      <c r="D100" s="82">
        <f ca="1">((100/(H92))*C100)/100</f>
        <v>0.57142857142857151</v>
      </c>
      <c r="E100" s="108"/>
      <c r="F100" s="109"/>
      <c r="G100" s="108"/>
      <c r="H100" s="113"/>
      <c r="I100" s="13" t="s">
        <v>138</v>
      </c>
      <c r="J100" s="27">
        <f>(IF(B92&gt;2,(H92/(B92+2)+J99),0))</f>
        <v>0</v>
      </c>
    </row>
    <row r="101" spans="1:19" ht="15.75" customHeight="1" x14ac:dyDescent="0.35">
      <c r="A101" s="94" t="s">
        <v>126</v>
      </c>
      <c r="B101" s="92" t="s">
        <v>126</v>
      </c>
      <c r="C101" s="81">
        <v>0</v>
      </c>
      <c r="D101" s="82">
        <f ca="1">((100/H92)*C101)/100</f>
        <v>0</v>
      </c>
      <c r="E101" s="108"/>
      <c r="F101" s="109"/>
      <c r="G101" s="108"/>
      <c r="H101" s="113"/>
      <c r="I101" s="13" t="s">
        <v>139</v>
      </c>
      <c r="J101" s="28">
        <f>(IF(B92&gt;3,(H92/(B92+2)+J100),0))</f>
        <v>0</v>
      </c>
    </row>
    <row r="102" spans="1:19" ht="15.75" customHeight="1" x14ac:dyDescent="0.35">
      <c r="A102" s="94" t="s">
        <v>133</v>
      </c>
      <c r="B102" s="92"/>
      <c r="C102" s="81">
        <v>0</v>
      </c>
      <c r="D102" s="82">
        <f ca="1">((100/H92)*C102)/100</f>
        <v>0</v>
      </c>
      <c r="E102" s="108"/>
      <c r="F102" s="109"/>
      <c r="G102" s="108"/>
      <c r="H102" s="113"/>
      <c r="I102" s="13" t="s">
        <v>140</v>
      </c>
      <c r="J102" s="27">
        <f>(IF(B92&gt;4,(H92/(B92+2)+J101),0))</f>
        <v>0</v>
      </c>
    </row>
    <row r="103" spans="1:19" ht="15.75" customHeight="1" x14ac:dyDescent="0.35">
      <c r="A103" s="94" t="s">
        <v>128</v>
      </c>
      <c r="B103" s="92" t="s">
        <v>128</v>
      </c>
      <c r="C103" s="81">
        <v>0</v>
      </c>
      <c r="D103" s="82">
        <f ca="1">((100/(H92))*C103)/100</f>
        <v>0</v>
      </c>
      <c r="E103" s="108"/>
      <c r="F103" s="109"/>
      <c r="G103" s="108"/>
      <c r="H103" s="113"/>
      <c r="I103" s="13" t="s">
        <v>142</v>
      </c>
      <c r="J103" s="27">
        <f ca="1">(IF(B92=1,(H92/(B92+3)+J98),IF(B92=0,(H92/4+J98),IF(B92&gt;1,0))))</f>
        <v>5.25</v>
      </c>
    </row>
    <row r="104" spans="1:19" ht="16" thickBot="1" x14ac:dyDescent="0.4">
      <c r="A104" s="186" t="s">
        <v>129</v>
      </c>
      <c r="B104" s="187"/>
      <c r="C104" s="83">
        <v>0</v>
      </c>
      <c r="D104" s="84">
        <f ca="1">((100/(H92))*C104)/100</f>
        <v>0</v>
      </c>
      <c r="E104" s="110"/>
      <c r="F104" s="111"/>
      <c r="G104" s="110"/>
      <c r="H104" s="114"/>
      <c r="I104" s="14" t="s">
        <v>100</v>
      </c>
      <c r="J104" s="29">
        <f ca="1">(IF(B92&gt;1.5,(H92/(B92+2)+J98+MAX(0,J99-J98)+MAX(0,J100-J99)+MAX(0,J101-J100)+MAX(0,J102-J101)+MAX(0,J103-J102)),IF(B92=1,(H92/(B92+3)+J103),IF(B92=0,H92/4+J103))))</f>
        <v>7</v>
      </c>
    </row>
    <row r="105" spans="1:19" ht="15.75" customHeight="1" x14ac:dyDescent="0.35">
      <c r="A105" s="134" t="s">
        <v>135</v>
      </c>
      <c r="B105" s="135"/>
      <c r="C105" s="136" t="str">
        <f>D68</f>
        <v>Building Type C = Gr + St + 1st to 7th Floor</v>
      </c>
      <c r="D105" s="137"/>
      <c r="E105" s="137"/>
      <c r="F105" s="137"/>
      <c r="G105" s="137"/>
      <c r="H105" s="138"/>
      <c r="I105" s="42" t="str">
        <f ca="1">IF(D118=100%,"All work Completed. Possession granted to the Building.",IF(D117=100%,"All work Completed, Waiting for OC",I106&amp;""&amp;I107&amp;""&amp;J106&amp;""&amp;J105&amp;" "&amp;J107))</f>
        <v>Excavation, Plinth, RCC Slab, Brickwork, Internal Plaster, External Plaster, Flooring Completed, Painting upto 6 Floor, Finishing upto 1 Floor Completed</v>
      </c>
      <c r="J105" s="43"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Painting upto 6 Floor, Finishing upto 1 Floor</v>
      </c>
      <c r="S105"/>
    </row>
    <row r="106" spans="1:19" x14ac:dyDescent="0.35">
      <c r="A106" s="15" t="s">
        <v>137</v>
      </c>
      <c r="B106" s="46">
        <f>IF(AND(ISNUMBER(SEARCH("1B",C105))),1,IF(AND(ISNUMBER(SEARCH("2B",C105))),2,IF(AND(ISNUMBER(SEARCH("3B",C105))),3,IF(AND(ISNUMBER(SEARCH("4B",C105))),4,IF(ISNUMBER(SEARCH("5B",C105)),5,0)))))</f>
        <v>0</v>
      </c>
      <c r="C106" s="46" t="s">
        <v>67</v>
      </c>
      <c r="D106" s="46">
        <v>1</v>
      </c>
      <c r="E106" s="46" t="s">
        <v>66</v>
      </c>
      <c r="F106" s="46">
        <v>0</v>
      </c>
      <c r="G106" s="46" t="s">
        <v>75</v>
      </c>
      <c r="H106" s="16">
        <f ca="1">--TRIM(RIGHT(SUBSTITUTE(LEFT(C105,_xlfn.AGGREGATE(16,6,FIND({0,1,2,3,4,5,6,7,8,9},C105,ROW(INDIRECT("1:"&amp;LEN(C105)))),1))," ",REPT(" ",LEN(C105))),LEN(C105)))</f>
        <v>7</v>
      </c>
      <c r="I106" s="44" t="str">
        <f ca="1">IF(D109=100%,"Excavation","")&amp;IF(D110=100%,", Plinth","")&amp;IF(D111=100%,", RCC Slab","")&amp;IF(D112=100%,", Brickwork","")&amp;IF(D113=100%,", Internal Plaster","")&amp;IF(D114=100%,", External Plaster","")&amp;IF(D115=100%,", Flooring","")&amp;IF(D116=100%,", Painting","")&amp;IF(D117=100%,", Building common Amenities","")</f>
        <v>Excavation, Plinth, RCC Slab, Brickwork, Internal Plaster, External Plaster, Flooring</v>
      </c>
      <c r="J106" s="45"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c r="S106"/>
    </row>
    <row r="107" spans="1:19" ht="32.5" customHeight="1" x14ac:dyDescent="0.35">
      <c r="A107" s="132" t="s">
        <v>85</v>
      </c>
      <c r="B107" s="133"/>
      <c r="C107" s="142" t="str">
        <f ca="1">I105</f>
        <v>Excavation, Plinth, RCC Slab, Brickwork, Internal Plaster, External Plaster, Flooring Completed, Painting upto 6 Floor, Finishing upto 1 Floor Completed</v>
      </c>
      <c r="D107" s="142"/>
      <c r="E107" s="142"/>
      <c r="F107" s="142"/>
      <c r="G107" s="142"/>
      <c r="H107" s="143"/>
      <c r="I107" s="44" t="str">
        <f ca="1">IF(I106&lt;&gt;""," Completed","")</f>
        <v xml:space="preserve"> Completed</v>
      </c>
      <c r="J107" s="45" t="str">
        <f ca="1">IF(J105&lt;&gt;"","Completed","")</f>
        <v>Completed</v>
      </c>
      <c r="S107"/>
    </row>
    <row r="108" spans="1:19" ht="15.75" customHeight="1" x14ac:dyDescent="0.35">
      <c r="A108" s="94" t="s">
        <v>46</v>
      </c>
      <c r="B108" s="92"/>
      <c r="C108" s="81" t="s">
        <v>134</v>
      </c>
      <c r="D108" s="81" t="s">
        <v>78</v>
      </c>
      <c r="E108" s="92" t="s">
        <v>80</v>
      </c>
      <c r="F108" s="92"/>
      <c r="G108" s="92" t="s">
        <v>79</v>
      </c>
      <c r="H108" s="93"/>
      <c r="I108" s="13" t="s">
        <v>136</v>
      </c>
      <c r="J108" s="25">
        <f ca="1">H106*25%</f>
        <v>1.75</v>
      </c>
      <c r="S108"/>
    </row>
    <row r="109" spans="1:19" x14ac:dyDescent="0.35">
      <c r="A109" s="94" t="s">
        <v>123</v>
      </c>
      <c r="B109" s="92"/>
      <c r="C109" s="81">
        <f ca="1">J110</f>
        <v>7</v>
      </c>
      <c r="D109" s="82">
        <f ca="1">((100/H106)*C109)/100</f>
        <v>1</v>
      </c>
      <c r="E109" s="106">
        <f ca="1">(((C110/H106*10)+(40/(D106+F106+H106)*C111)+(7.5/(H106)*C112)+(7.5/(H106)*C113)+(10/H106*C114)+(10/H106*C115)+(5/H106*C116)+(5/H106*C117)+(5/H106*C118))/100)</f>
        <v>0.9</v>
      </c>
      <c r="F109" s="107"/>
      <c r="G109" s="106">
        <f ca="1">((((C109/H106)*20)+((C110/H106)*25)+(30/(H106+F106+D106)*C111)+(5/H106*C112)+(5/H106*C113)+(5/H106*C114)+(5/H106*C115)+(0/H106*C116)+(0/H106*C117)+(5/H106*C118))/100)</f>
        <v>0.95</v>
      </c>
      <c r="H109" s="112"/>
      <c r="I109" s="13" t="s">
        <v>96</v>
      </c>
      <c r="J109" s="26">
        <f ca="1">H106*50%</f>
        <v>3.5</v>
      </c>
    </row>
    <row r="110" spans="1:19" x14ac:dyDescent="0.35">
      <c r="A110" s="94" t="s">
        <v>47</v>
      </c>
      <c r="B110" s="92"/>
      <c r="C110" s="81">
        <f ca="1">J118</f>
        <v>7</v>
      </c>
      <c r="D110" s="82">
        <f ca="1">((100/H106)*C110)/100</f>
        <v>1</v>
      </c>
      <c r="E110" s="108"/>
      <c r="F110" s="109"/>
      <c r="G110" s="108"/>
      <c r="H110" s="113"/>
      <c r="I110" s="13" t="s">
        <v>97</v>
      </c>
      <c r="J110" s="26">
        <f ca="1">H106</f>
        <v>7</v>
      </c>
      <c r="S110"/>
    </row>
    <row r="111" spans="1:19" ht="15.75" customHeight="1" x14ac:dyDescent="0.35">
      <c r="A111" s="94" t="s">
        <v>124</v>
      </c>
      <c r="B111" s="92"/>
      <c r="C111" s="81">
        <v>8</v>
      </c>
      <c r="D111" s="82">
        <f ca="1">((100/(D106+F106+H106))*C111)/100</f>
        <v>1</v>
      </c>
      <c r="E111" s="108"/>
      <c r="F111" s="109"/>
      <c r="G111" s="108"/>
      <c r="H111" s="113"/>
      <c r="I111" s="13" t="s">
        <v>98</v>
      </c>
      <c r="J111" s="27">
        <f ca="1">(IF(B106&gt;1,(H106/(B106+2)),H106/4))</f>
        <v>1.75</v>
      </c>
      <c r="S111"/>
    </row>
    <row r="112" spans="1:19" ht="15.75" customHeight="1" x14ac:dyDescent="0.35">
      <c r="A112" s="94" t="s">
        <v>131</v>
      </c>
      <c r="B112" s="92" t="s">
        <v>125</v>
      </c>
      <c r="C112" s="81">
        <v>7</v>
      </c>
      <c r="D112" s="82">
        <f ca="1">((100/H106)*C112)/100</f>
        <v>1</v>
      </c>
      <c r="E112" s="108"/>
      <c r="F112" s="109"/>
      <c r="G112" s="108"/>
      <c r="H112" s="113"/>
      <c r="I112" s="13" t="s">
        <v>99</v>
      </c>
      <c r="J112" s="27">
        <f ca="1">(IF(B106&gt;1,(H106/(B106+2)+J111),H106/4+J111))</f>
        <v>3.5</v>
      </c>
    </row>
    <row r="113" spans="1:19" ht="15.75" customHeight="1" x14ac:dyDescent="0.35">
      <c r="A113" s="94" t="s">
        <v>132</v>
      </c>
      <c r="B113" s="92" t="s">
        <v>125</v>
      </c>
      <c r="C113" s="81">
        <v>7</v>
      </c>
      <c r="D113" s="82">
        <f ca="1">((100/H106)*C113)/100</f>
        <v>1</v>
      </c>
      <c r="E113" s="108"/>
      <c r="F113" s="109"/>
      <c r="G113" s="108"/>
      <c r="H113" s="113"/>
      <c r="I113" s="13" t="s">
        <v>141</v>
      </c>
      <c r="J113" s="27">
        <f>(IF(B106&gt;1,(H106/(B106+2)+J112),0))</f>
        <v>0</v>
      </c>
    </row>
    <row r="114" spans="1:19" ht="15" customHeight="1" x14ac:dyDescent="0.35">
      <c r="A114" s="94" t="s">
        <v>130</v>
      </c>
      <c r="B114" s="92" t="s">
        <v>127</v>
      </c>
      <c r="C114" s="81">
        <v>7</v>
      </c>
      <c r="D114" s="82">
        <f ca="1">((100/(H106))*C114)/100</f>
        <v>1</v>
      </c>
      <c r="E114" s="108"/>
      <c r="F114" s="109"/>
      <c r="G114" s="108"/>
      <c r="H114" s="113"/>
      <c r="I114" s="13" t="s">
        <v>138</v>
      </c>
      <c r="J114" s="27">
        <f>(IF(B106&gt;2,(H106/(B106+2)+J113),0))</f>
        <v>0</v>
      </c>
    </row>
    <row r="115" spans="1:19" ht="15.75" customHeight="1" x14ac:dyDescent="0.35">
      <c r="A115" s="94" t="s">
        <v>126</v>
      </c>
      <c r="B115" s="92" t="s">
        <v>126</v>
      </c>
      <c r="C115" s="81">
        <v>7</v>
      </c>
      <c r="D115" s="82">
        <f ca="1">((100/H106)*C115)/100</f>
        <v>1</v>
      </c>
      <c r="E115" s="108"/>
      <c r="F115" s="109"/>
      <c r="G115" s="108"/>
      <c r="H115" s="113"/>
      <c r="I115" s="13" t="s">
        <v>139</v>
      </c>
      <c r="J115" s="28">
        <f>(IF(B106&gt;3,(H106/(B106+2)+J114),0))</f>
        <v>0</v>
      </c>
    </row>
    <row r="116" spans="1:19" ht="15.75" customHeight="1" x14ac:dyDescent="0.35">
      <c r="A116" s="94" t="s">
        <v>133</v>
      </c>
      <c r="B116" s="92"/>
      <c r="C116" s="81">
        <v>6</v>
      </c>
      <c r="D116" s="82">
        <f ca="1">((100/H106)*C116)/100</f>
        <v>0.85714285714285721</v>
      </c>
      <c r="E116" s="108"/>
      <c r="F116" s="109"/>
      <c r="G116" s="108"/>
      <c r="H116" s="113"/>
      <c r="I116" s="13" t="s">
        <v>140</v>
      </c>
      <c r="J116" s="27">
        <f>(IF(B106&gt;4,(H106/(B106+2)+J115),0))</f>
        <v>0</v>
      </c>
    </row>
    <row r="117" spans="1:19" ht="15.75" customHeight="1" x14ac:dyDescent="0.35">
      <c r="A117" s="94" t="s">
        <v>128</v>
      </c>
      <c r="B117" s="92" t="s">
        <v>128</v>
      </c>
      <c r="C117" s="81">
        <v>1</v>
      </c>
      <c r="D117" s="82">
        <f ca="1">((100/(H106))*C117)/100</f>
        <v>0.14285714285714288</v>
      </c>
      <c r="E117" s="108"/>
      <c r="F117" s="109"/>
      <c r="G117" s="108"/>
      <c r="H117" s="113"/>
      <c r="I117" s="13" t="s">
        <v>142</v>
      </c>
      <c r="J117" s="27">
        <f ca="1">(IF(B106=1,(H106/(B106+3)+J112),IF(B106=0,(H106/4+J112),IF(B106&gt;1,0))))</f>
        <v>5.25</v>
      </c>
    </row>
    <row r="118" spans="1:19" ht="16" thickBot="1" x14ac:dyDescent="0.4">
      <c r="A118" s="186" t="s">
        <v>129</v>
      </c>
      <c r="B118" s="187"/>
      <c r="C118" s="83">
        <v>0</v>
      </c>
      <c r="D118" s="84">
        <f ca="1">((100/(H106))*C118)/100</f>
        <v>0</v>
      </c>
      <c r="E118" s="110"/>
      <c r="F118" s="111"/>
      <c r="G118" s="110"/>
      <c r="H118" s="114"/>
      <c r="I118" s="14" t="s">
        <v>100</v>
      </c>
      <c r="J118" s="29">
        <f ca="1">(IF(B106&gt;1.5,(H106/(B106+2)+J112+MAX(0,J113-J112)+MAX(0,J114-J113)+MAX(0,J115-J114)+MAX(0,J116-J115)+MAX(0,J117-J116)),IF(B106=1,(H106/(B106+3)+J117),IF(B106=0,H106/4+J117))))</f>
        <v>7</v>
      </c>
    </row>
    <row r="119" spans="1:19" ht="15.75" customHeight="1" x14ac:dyDescent="0.35">
      <c r="A119" s="134" t="s">
        <v>135</v>
      </c>
      <c r="B119" s="135"/>
      <c r="C119" s="136" t="str">
        <f>D69</f>
        <v>Amenity Building = Gr + 1st to 2nd Floor</v>
      </c>
      <c r="D119" s="137"/>
      <c r="E119" s="137"/>
      <c r="F119" s="137"/>
      <c r="G119" s="137"/>
      <c r="H119" s="138"/>
      <c r="I119" s="42" t="str">
        <f ca="1">IF(D132=100%,"All work Completed. Possession granted to the Building.",IF(D131=100%,"All work Completed, Waiting for OC",I120&amp;""&amp;I121&amp;""&amp;J120&amp;""&amp;J119&amp;" "&amp;J121))</f>
        <v>Excavation, Plinth, RCC Slab, Brickwork, Internal Plaster, External Plaster, Flooring, Painting Completed, Finishing upto 1.5 Floor Completed</v>
      </c>
      <c r="J119" s="43" t="str">
        <f ca="1">(IF(C125=(D120+F120+H120),"",IF(C125&gt;0,", RCC upto "&amp;C125&amp;" Slab","")))&amp;(IF(C126=H120,"",IF(C126&gt;0,", Brickwork upto "&amp;C126&amp;" Floor","")))&amp;(IF(C127=H120,"",IF(C127&gt;0,", Internal Plaster upto "&amp;C127&amp;" Floor","")))&amp;(IF(C128=H120,"",IF(C128&gt;0,", External Plaster upto "&amp;C128&amp;" Floor","")))&amp;(IF(C129=H120,"",IF(C129&gt;0,", Flooring upto "&amp;C129&amp;" Floor","")))&amp;(IF(C130=H120,"",IF(C130&gt;0,", Painting upto "&amp;C130&amp;" Floor","")))&amp;(IF(C131=H120,"",IF(C131&gt;0,", Finishing upto "&amp;C131&amp;" Floor","")))&amp;(IF(C132=H120,"",IF(C132&gt;0,", Possession upto "&amp;C132&amp;" Floor","")))</f>
        <v>, Finishing upto 1.5 Floor</v>
      </c>
      <c r="S119"/>
    </row>
    <row r="120" spans="1:19" x14ac:dyDescent="0.35">
      <c r="A120" s="15" t="s">
        <v>137</v>
      </c>
      <c r="B120" s="46">
        <f>IF(AND(ISNUMBER(SEARCH("1B",C119))),1,IF(AND(ISNUMBER(SEARCH("2B",C119))),2,IF(AND(ISNUMBER(SEARCH("3B",C119))),3,IF(AND(ISNUMBER(SEARCH("4B",C119))),4,IF(ISNUMBER(SEARCH("5B",C119)),5,0)))))</f>
        <v>0</v>
      </c>
      <c r="C120" s="46" t="s">
        <v>67</v>
      </c>
      <c r="D120" s="46">
        <v>1</v>
      </c>
      <c r="E120" s="46" t="s">
        <v>66</v>
      </c>
      <c r="F120" s="46">
        <v>0</v>
      </c>
      <c r="G120" s="46" t="s">
        <v>75</v>
      </c>
      <c r="H120" s="16">
        <f ca="1">--TRIM(RIGHT(SUBSTITUTE(LEFT(C119,_xlfn.AGGREGATE(16,6,FIND({0,1,2,3,4,5,6,7,8,9},C119,ROW(INDIRECT("1:"&amp;LEN(C119)))),1))," ",REPT(" ",LEN(C119))),LEN(C119)))</f>
        <v>2</v>
      </c>
      <c r="I120" s="44" t="str">
        <f ca="1">IF(D123=100%,"Excavation","")&amp;IF(D124=100%,", Plinth","")&amp;IF(D125=100%,", RCC Slab","")&amp;IF(D126=100%,", Brickwork","")&amp;IF(D127=100%,", Internal Plaster","")&amp;IF(D128=100%,", External Plaster","")&amp;IF(D129=100%,", Flooring","")&amp;IF(D130=100%,", Painting","")&amp;IF(D131=100%,", Building common Amenities","")</f>
        <v>Excavation, Plinth, RCC Slab, Brickwork, Internal Plaster, External Plaster, Flooring, Painting</v>
      </c>
      <c r="J120" s="45" t="str">
        <f ca="1">(IF(C123=0,"Work not yet Started.",IF(D123=25%,"Piling work in process",IF(D123=50%,"Excavation work in process",IF(D123=100%,"","0")))))&amp;(IF(C124=0%,"",IF(C124=J125,", Footing work is process",IF(C124=J126,", Footing work Completed",IF(C124=J127,", 1st Basement Completed",IF(C124=J128,", 1st &amp; 2nd Basement Completed",IF(C124=J129,", 1st to 3rd Basement Completed",IF(C124=J130,", 1st to 4th Basement Completed",IF(C124=J131,", Plinth work is process",IF(C124=J132,"","0"))))))))))</f>
        <v/>
      </c>
      <c r="S120"/>
    </row>
    <row r="121" spans="1:19" ht="33" customHeight="1" x14ac:dyDescent="0.35">
      <c r="A121" s="132" t="s">
        <v>85</v>
      </c>
      <c r="B121" s="133"/>
      <c r="C121" s="142" t="str">
        <f ca="1">I119</f>
        <v>Excavation, Plinth, RCC Slab, Brickwork, Internal Plaster, External Plaster, Flooring, Painting Completed, Finishing upto 1.5 Floor Completed</v>
      </c>
      <c r="D121" s="142"/>
      <c r="E121" s="142"/>
      <c r="F121" s="142"/>
      <c r="G121" s="142"/>
      <c r="H121" s="143"/>
      <c r="I121" s="44" t="str">
        <f ca="1">IF(I120&lt;&gt;""," Completed","")</f>
        <v xml:space="preserve"> Completed</v>
      </c>
      <c r="J121" s="45" t="str">
        <f ca="1">IF(J119&lt;&gt;"","Completed","")</f>
        <v>Completed</v>
      </c>
      <c r="S121"/>
    </row>
    <row r="122" spans="1:19" ht="15.75" customHeight="1" x14ac:dyDescent="0.35">
      <c r="A122" s="94" t="s">
        <v>46</v>
      </c>
      <c r="B122" s="92"/>
      <c r="C122" s="81" t="s">
        <v>134</v>
      </c>
      <c r="D122" s="81" t="s">
        <v>78</v>
      </c>
      <c r="E122" s="92" t="s">
        <v>80</v>
      </c>
      <c r="F122" s="92"/>
      <c r="G122" s="92" t="s">
        <v>79</v>
      </c>
      <c r="H122" s="93"/>
      <c r="I122" s="13" t="s">
        <v>136</v>
      </c>
      <c r="J122" s="25">
        <f ca="1">H120*25%</f>
        <v>0.5</v>
      </c>
      <c r="S122"/>
    </row>
    <row r="123" spans="1:19" x14ac:dyDescent="0.35">
      <c r="A123" s="94" t="s">
        <v>123</v>
      </c>
      <c r="B123" s="92"/>
      <c r="C123" s="81">
        <f ca="1">J124</f>
        <v>2</v>
      </c>
      <c r="D123" s="82">
        <f ca="1">((100/H120)*C123)/100</f>
        <v>1</v>
      </c>
      <c r="E123" s="106">
        <f ca="1">(((C124/H120*10)+(40/(D120+F120+H120)*C125)+(7.5/(H120)*C126)+(7.5/(H120)*C127)+(10/H120*C128)+(10/H120*C129)+(5/H120*C130)+(5/H120*C131)+(5/H120*C132))/100)</f>
        <v>0.9375</v>
      </c>
      <c r="F123" s="107"/>
      <c r="G123" s="106">
        <f ca="1">((((C123/H120)*20)+((C124/H120)*25)+(30/(H120+F120+D120)*C125)+(5/H120*C126)+(5/H120*C127)+(5/H120*C128)+(5/H120*C129)+(0/H120*C130)+(0/H120*C131)+(5/H120*C132))/100)</f>
        <v>0.95</v>
      </c>
      <c r="H123" s="112"/>
      <c r="I123" s="13" t="s">
        <v>96</v>
      </c>
      <c r="J123" s="26">
        <f ca="1">H120*50%</f>
        <v>1</v>
      </c>
    </row>
    <row r="124" spans="1:19" x14ac:dyDescent="0.35">
      <c r="A124" s="94" t="s">
        <v>47</v>
      </c>
      <c r="B124" s="92"/>
      <c r="C124" s="81">
        <f ca="1">J132</f>
        <v>2</v>
      </c>
      <c r="D124" s="82">
        <f ca="1">((100/H120)*C124)/100</f>
        <v>1</v>
      </c>
      <c r="E124" s="108"/>
      <c r="F124" s="109"/>
      <c r="G124" s="108"/>
      <c r="H124" s="113"/>
      <c r="I124" s="13" t="s">
        <v>97</v>
      </c>
      <c r="J124" s="26">
        <f ca="1">H120</f>
        <v>2</v>
      </c>
      <c r="S124"/>
    </row>
    <row r="125" spans="1:19" ht="15.75" customHeight="1" x14ac:dyDescent="0.35">
      <c r="A125" s="94" t="s">
        <v>124</v>
      </c>
      <c r="B125" s="92"/>
      <c r="C125" s="81">
        <v>3</v>
      </c>
      <c r="D125" s="82">
        <f ca="1">((100/(D120+F120+H120))*C125)/100</f>
        <v>1</v>
      </c>
      <c r="E125" s="108"/>
      <c r="F125" s="109"/>
      <c r="G125" s="108"/>
      <c r="H125" s="113"/>
      <c r="I125" s="13" t="s">
        <v>98</v>
      </c>
      <c r="J125" s="27">
        <f ca="1">(IF(B120&gt;1,(H120/(B120+2)),H120/4))</f>
        <v>0.5</v>
      </c>
      <c r="S125"/>
    </row>
    <row r="126" spans="1:19" ht="15.75" customHeight="1" x14ac:dyDescent="0.35">
      <c r="A126" s="94" t="s">
        <v>131</v>
      </c>
      <c r="B126" s="92" t="s">
        <v>125</v>
      </c>
      <c r="C126" s="81">
        <v>2</v>
      </c>
      <c r="D126" s="82">
        <f ca="1">((100/H120)*C126)/100</f>
        <v>1</v>
      </c>
      <c r="E126" s="108"/>
      <c r="F126" s="109"/>
      <c r="G126" s="108"/>
      <c r="H126" s="113"/>
      <c r="I126" s="13" t="s">
        <v>99</v>
      </c>
      <c r="J126" s="27">
        <f ca="1">(IF(B120&gt;1,(H120/(B120+2)+J125),H120/4+J125))</f>
        <v>1</v>
      </c>
    </row>
    <row r="127" spans="1:19" ht="15.75" customHeight="1" x14ac:dyDescent="0.35">
      <c r="A127" s="94" t="s">
        <v>132</v>
      </c>
      <c r="B127" s="92" t="s">
        <v>125</v>
      </c>
      <c r="C127" s="81">
        <v>2</v>
      </c>
      <c r="D127" s="82">
        <f ca="1">((100/H120)*C127)/100</f>
        <v>1</v>
      </c>
      <c r="E127" s="108"/>
      <c r="F127" s="109"/>
      <c r="G127" s="108"/>
      <c r="H127" s="113"/>
      <c r="I127" s="13" t="s">
        <v>141</v>
      </c>
      <c r="J127" s="27">
        <f>(IF(B120&gt;1,(H120/(B120+2)+J126),0))</f>
        <v>0</v>
      </c>
    </row>
    <row r="128" spans="1:19" ht="15" customHeight="1" x14ac:dyDescent="0.35">
      <c r="A128" s="94" t="s">
        <v>130</v>
      </c>
      <c r="B128" s="92" t="s">
        <v>127</v>
      </c>
      <c r="C128" s="81">
        <v>2</v>
      </c>
      <c r="D128" s="82">
        <f ca="1">((100/(H120))*C128)/100</f>
        <v>1</v>
      </c>
      <c r="E128" s="108"/>
      <c r="F128" s="109"/>
      <c r="G128" s="108"/>
      <c r="H128" s="113"/>
      <c r="I128" s="13" t="s">
        <v>138</v>
      </c>
      <c r="J128" s="27">
        <f>(IF(B120&gt;2,(H120/(B120+2)+J127),0))</f>
        <v>0</v>
      </c>
    </row>
    <row r="129" spans="1:22" ht="15.75" customHeight="1" x14ac:dyDescent="0.35">
      <c r="A129" s="94" t="s">
        <v>126</v>
      </c>
      <c r="B129" s="92" t="s">
        <v>126</v>
      </c>
      <c r="C129" s="81">
        <v>2</v>
      </c>
      <c r="D129" s="82">
        <f ca="1">((100/H120)*C129)/100</f>
        <v>1</v>
      </c>
      <c r="E129" s="108"/>
      <c r="F129" s="109"/>
      <c r="G129" s="108"/>
      <c r="H129" s="113"/>
      <c r="I129" s="13" t="s">
        <v>139</v>
      </c>
      <c r="J129" s="28">
        <f>(IF(B120&gt;3,(H120/(B120+2)+J128),0))</f>
        <v>0</v>
      </c>
    </row>
    <row r="130" spans="1:22" ht="15.75" customHeight="1" x14ac:dyDescent="0.35">
      <c r="A130" s="94" t="s">
        <v>133</v>
      </c>
      <c r="B130" s="92"/>
      <c r="C130" s="81">
        <v>2</v>
      </c>
      <c r="D130" s="82">
        <f ca="1">((100/H120)*C130)/100</f>
        <v>1</v>
      </c>
      <c r="E130" s="108"/>
      <c r="F130" s="109"/>
      <c r="G130" s="108"/>
      <c r="H130" s="113"/>
      <c r="I130" s="13" t="s">
        <v>140</v>
      </c>
      <c r="J130" s="27">
        <f>(IF(B120&gt;4,(H120/(B120+2)+J129),0))</f>
        <v>0</v>
      </c>
    </row>
    <row r="131" spans="1:22" ht="15.75" customHeight="1" x14ac:dyDescent="0.35">
      <c r="A131" s="94" t="s">
        <v>128</v>
      </c>
      <c r="B131" s="92" t="s">
        <v>128</v>
      </c>
      <c r="C131" s="81">
        <v>1.5</v>
      </c>
      <c r="D131" s="82">
        <f ca="1">((100/(H120))*C131)/100</f>
        <v>0.75</v>
      </c>
      <c r="E131" s="108"/>
      <c r="F131" s="109"/>
      <c r="G131" s="108"/>
      <c r="H131" s="113"/>
      <c r="I131" s="13" t="s">
        <v>142</v>
      </c>
      <c r="J131" s="27">
        <f ca="1">(IF(B120=1,(H120/(B120+3)+J126),IF(B120=0,(H120/4+J126),IF(B120&gt;1,0))))</f>
        <v>1.5</v>
      </c>
    </row>
    <row r="132" spans="1:22" ht="16" thickBot="1" x14ac:dyDescent="0.4">
      <c r="A132" s="186" t="s">
        <v>129</v>
      </c>
      <c r="B132" s="187"/>
      <c r="C132" s="83">
        <v>0</v>
      </c>
      <c r="D132" s="84">
        <f ca="1">((100/(H120))*C132)/100</f>
        <v>0</v>
      </c>
      <c r="E132" s="110"/>
      <c r="F132" s="111"/>
      <c r="G132" s="110"/>
      <c r="H132" s="114"/>
      <c r="I132" s="14" t="s">
        <v>100</v>
      </c>
      <c r="J132" s="29">
        <f ca="1">(IF(B120&gt;1.5,(H120/(B120+2)+J126+MAX(0,J127-J126)+MAX(0,J128-J127)+MAX(0,J129-J128)+MAX(0,J130-J129)+MAX(0,J131-J130)),IF(B120=1,(H120/(B120+3)+J131),IF(B120=0,H120/4+J131))))</f>
        <v>2</v>
      </c>
    </row>
    <row r="133" spans="1:22" x14ac:dyDescent="0.35">
      <c r="A133" s="193" t="s">
        <v>152</v>
      </c>
      <c r="B133" s="193"/>
      <c r="C133" s="193"/>
      <c r="D133" s="193"/>
      <c r="E133" s="193"/>
      <c r="F133" s="121" t="s">
        <v>156</v>
      </c>
      <c r="G133" s="121"/>
      <c r="H133" s="121"/>
      <c r="R133" t="s">
        <v>249</v>
      </c>
      <c r="S133" t="s">
        <v>168</v>
      </c>
      <c r="T133" t="s">
        <v>175</v>
      </c>
      <c r="U133" t="s">
        <v>189</v>
      </c>
      <c r="V133" t="s">
        <v>184</v>
      </c>
    </row>
    <row r="134" spans="1:22" x14ac:dyDescent="0.35">
      <c r="A134" s="100" t="s">
        <v>154</v>
      </c>
      <c r="B134" s="100"/>
      <c r="C134" s="100"/>
      <c r="D134" s="100"/>
      <c r="E134" s="100"/>
      <c r="F134" s="144">
        <v>3300</v>
      </c>
      <c r="G134" s="144"/>
      <c r="H134" s="144"/>
      <c r="R134"/>
      <c r="S134">
        <v>800000</v>
      </c>
      <c r="T134">
        <v>150000</v>
      </c>
      <c r="U134">
        <v>100000</v>
      </c>
      <c r="V134">
        <v>100000</v>
      </c>
    </row>
    <row r="135" spans="1:22" x14ac:dyDescent="0.35">
      <c r="A135" s="100" t="s">
        <v>153</v>
      </c>
      <c r="B135" s="100"/>
      <c r="C135" s="100"/>
      <c r="D135" s="100"/>
      <c r="E135" s="100"/>
      <c r="F135" s="144">
        <v>7000</v>
      </c>
      <c r="G135" s="144"/>
      <c r="H135" s="144"/>
      <c r="R135"/>
      <c r="S135">
        <v>900000</v>
      </c>
      <c r="T135">
        <v>200000</v>
      </c>
      <c r="U135">
        <v>150000</v>
      </c>
      <c r="V135">
        <v>150000</v>
      </c>
    </row>
    <row r="136" spans="1:22" hidden="1" x14ac:dyDescent="0.35">
      <c r="A136" s="100" t="s">
        <v>155</v>
      </c>
      <c r="B136" s="100"/>
      <c r="C136" s="100"/>
      <c r="D136" s="100"/>
      <c r="E136" s="100"/>
      <c r="F136" s="144"/>
      <c r="G136" s="144"/>
      <c r="H136" s="144"/>
      <c r="R136"/>
      <c r="S136">
        <v>1000000</v>
      </c>
      <c r="T136">
        <v>250000</v>
      </c>
      <c r="U136">
        <v>200000</v>
      </c>
      <c r="V136">
        <v>200000</v>
      </c>
    </row>
    <row r="137" spans="1:22" s="30" customFormat="1" hidden="1" x14ac:dyDescent="0.35">
      <c r="A137" s="100" t="s">
        <v>171</v>
      </c>
      <c r="B137" s="100"/>
      <c r="C137" s="100"/>
      <c r="D137" s="100"/>
      <c r="E137" s="100"/>
      <c r="F137" s="144"/>
      <c r="G137" s="144"/>
      <c r="H137" s="144"/>
      <c r="R137"/>
      <c r="S137">
        <v>1100000</v>
      </c>
      <c r="T137">
        <v>300000</v>
      </c>
      <c r="U137">
        <v>250000</v>
      </c>
      <c r="V137" s="20">
        <v>250000</v>
      </c>
    </row>
    <row r="138" spans="1:22" s="30" customFormat="1" hidden="1" x14ac:dyDescent="0.35">
      <c r="A138" s="100" t="s">
        <v>90</v>
      </c>
      <c r="B138" s="100"/>
      <c r="C138" s="100"/>
      <c r="D138" s="100"/>
      <c r="E138" s="100"/>
      <c r="F138" s="144"/>
      <c r="G138" s="144"/>
      <c r="H138" s="144"/>
      <c r="R138"/>
      <c r="S138">
        <v>1200000</v>
      </c>
      <c r="T138">
        <v>350000</v>
      </c>
      <c r="U138">
        <v>300000</v>
      </c>
      <c r="V138">
        <v>300000</v>
      </c>
    </row>
    <row r="139" spans="1:22" s="30" customFormat="1" hidden="1" x14ac:dyDescent="0.35">
      <c r="A139" s="100" t="s">
        <v>91</v>
      </c>
      <c r="B139" s="100"/>
      <c r="C139" s="100"/>
      <c r="D139" s="100"/>
      <c r="E139" s="100"/>
      <c r="F139" s="144"/>
      <c r="G139" s="144"/>
      <c r="H139" s="144"/>
      <c r="R139"/>
      <c r="S139">
        <v>1300000</v>
      </c>
      <c r="T139">
        <v>400000</v>
      </c>
      <c r="U139">
        <v>350000</v>
      </c>
      <c r="V139" s="20">
        <v>400000</v>
      </c>
    </row>
    <row r="140" spans="1:22" s="30" customFormat="1" hidden="1" x14ac:dyDescent="0.35">
      <c r="A140" s="100" t="s">
        <v>92</v>
      </c>
      <c r="B140" s="100"/>
      <c r="C140" s="100"/>
      <c r="D140" s="100"/>
      <c r="E140" s="100"/>
      <c r="F140" s="144"/>
      <c r="G140" s="144"/>
      <c r="H140" s="144"/>
      <c r="R140"/>
      <c r="S140">
        <v>1400000</v>
      </c>
      <c r="T140">
        <v>500000</v>
      </c>
      <c r="U140">
        <v>400000</v>
      </c>
      <c r="V140"/>
    </row>
    <row r="141" spans="1:22" s="30" customFormat="1" hidden="1" x14ac:dyDescent="0.35">
      <c r="A141" s="100" t="s">
        <v>93</v>
      </c>
      <c r="B141" s="100"/>
      <c r="C141" s="100"/>
      <c r="D141" s="100"/>
      <c r="E141" s="100"/>
      <c r="F141" s="144"/>
      <c r="G141" s="144"/>
      <c r="H141" s="144"/>
      <c r="R141"/>
      <c r="S141">
        <v>1500000</v>
      </c>
      <c r="T141">
        <v>600000</v>
      </c>
      <c r="U141">
        <v>500000</v>
      </c>
      <c r="V141" s="20"/>
    </row>
    <row r="142" spans="1:22" s="30" customFormat="1" hidden="1" x14ac:dyDescent="0.35">
      <c r="A142" s="100" t="s">
        <v>94</v>
      </c>
      <c r="B142" s="100"/>
      <c r="C142" s="100"/>
      <c r="D142" s="100"/>
      <c r="E142" s="100"/>
      <c r="F142" s="144"/>
      <c r="G142" s="144"/>
      <c r="H142" s="144"/>
      <c r="R142"/>
      <c r="S142">
        <v>1600000</v>
      </c>
      <c r="T142">
        <v>700000</v>
      </c>
      <c r="U142">
        <v>600000</v>
      </c>
      <c r="V142"/>
    </row>
    <row r="143" spans="1:22" s="30" customFormat="1" hidden="1" x14ac:dyDescent="0.35">
      <c r="A143" s="100" t="s">
        <v>95</v>
      </c>
      <c r="B143" s="100"/>
      <c r="C143" s="100"/>
      <c r="D143" s="100"/>
      <c r="E143" s="100"/>
      <c r="F143" s="144"/>
      <c r="G143" s="144"/>
      <c r="H143" s="144"/>
      <c r="R143"/>
      <c r="S143">
        <v>1700000</v>
      </c>
      <c r="T143">
        <v>800000</v>
      </c>
      <c r="U143"/>
      <c r="V143" s="20"/>
    </row>
    <row r="144" spans="1:22" x14ac:dyDescent="0.35">
      <c r="A144" s="100" t="s">
        <v>48</v>
      </c>
      <c r="B144" s="100"/>
      <c r="C144" s="100"/>
      <c r="D144" s="100"/>
      <c r="E144" s="100"/>
      <c r="F144" s="144">
        <v>100000</v>
      </c>
      <c r="G144" s="144"/>
      <c r="H144" s="144"/>
      <c r="R144"/>
      <c r="S144">
        <v>1800000</v>
      </c>
      <c r="T144">
        <v>900000</v>
      </c>
      <c r="U144"/>
    </row>
    <row r="145" spans="1:22" s="31" customFormat="1" x14ac:dyDescent="0.35">
      <c r="A145" s="150" t="s">
        <v>49</v>
      </c>
      <c r="B145" s="150"/>
      <c r="C145" s="150"/>
      <c r="D145" s="150"/>
      <c r="E145" s="150"/>
      <c r="F145" s="144">
        <f>F134*0.8</f>
        <v>2640</v>
      </c>
      <c r="G145" s="144"/>
      <c r="H145" s="144"/>
      <c r="R145" s="18"/>
      <c r="S145" s="18"/>
      <c r="T145">
        <v>1000000</v>
      </c>
      <c r="U145"/>
      <c r="V145" s="18"/>
    </row>
    <row r="146" spans="1:22" s="32" customFormat="1" ht="15.75" customHeight="1" x14ac:dyDescent="0.35">
      <c r="A146" s="190" t="s">
        <v>70</v>
      </c>
      <c r="B146" s="190"/>
      <c r="C146" s="190"/>
      <c r="D146" s="190"/>
      <c r="E146" s="190"/>
      <c r="F146" s="190"/>
      <c r="G146" s="190"/>
      <c r="H146" s="190"/>
      <c r="R146"/>
      <c r="S146" s="18"/>
      <c r="T146">
        <v>100000</v>
      </c>
      <c r="U146"/>
      <c r="V146" s="18"/>
    </row>
    <row r="147" spans="1:22" s="32" customFormat="1" ht="15.75" customHeight="1" x14ac:dyDescent="0.35">
      <c r="A147" s="115" t="s">
        <v>50</v>
      </c>
      <c r="B147" s="115"/>
      <c r="C147" s="194" t="s">
        <v>73</v>
      </c>
      <c r="D147" s="194"/>
      <c r="E147" s="195" t="s">
        <v>51</v>
      </c>
      <c r="F147" s="195"/>
      <c r="G147" s="115" t="s">
        <v>52</v>
      </c>
      <c r="H147" s="115"/>
      <c r="R147"/>
      <c r="S147" s="18"/>
      <c r="T147"/>
      <c r="U147" s="18"/>
      <c r="V147" s="18"/>
    </row>
    <row r="148" spans="1:22" s="32" customFormat="1" x14ac:dyDescent="0.35">
      <c r="A148" s="192" t="s">
        <v>380</v>
      </c>
      <c r="B148" s="192"/>
      <c r="C148" s="98">
        <f>COUNT(D162:D168)</f>
        <v>7</v>
      </c>
      <c r="D148" s="99"/>
      <c r="E148" s="98">
        <f t="shared" ref="E148" si="0">SUM(F162:F168)</f>
        <v>1358.8473599999998</v>
      </c>
      <c r="F148" s="99"/>
      <c r="G148" s="98">
        <f t="shared" ref="G148" si="1">SUM(H162:H168)</f>
        <v>2038.2710399999999</v>
      </c>
      <c r="H148" s="99"/>
      <c r="R148"/>
      <c r="S148" s="18"/>
      <c r="T148"/>
      <c r="U148" s="18"/>
      <c r="V148" s="18"/>
    </row>
    <row r="149" spans="1:22" s="32" customFormat="1" x14ac:dyDescent="0.35">
      <c r="A149" s="190" t="s">
        <v>65</v>
      </c>
      <c r="B149" s="190"/>
      <c r="C149" s="190"/>
      <c r="D149" s="190"/>
      <c r="E149" s="190"/>
      <c r="F149" s="190"/>
      <c r="G149" s="190"/>
      <c r="H149" s="190"/>
      <c r="T149"/>
    </row>
    <row r="150" spans="1:22" s="32" customFormat="1" ht="15.75" customHeight="1" x14ac:dyDescent="0.35">
      <c r="A150" s="115" t="s">
        <v>50</v>
      </c>
      <c r="B150" s="115"/>
      <c r="C150" s="194" t="s">
        <v>73</v>
      </c>
      <c r="D150" s="194"/>
      <c r="E150" s="195" t="s">
        <v>51</v>
      </c>
      <c r="F150" s="195"/>
      <c r="G150" s="115" t="s">
        <v>52</v>
      </c>
      <c r="H150" s="115"/>
      <c r="T150"/>
    </row>
    <row r="151" spans="1:22" s="32" customFormat="1" x14ac:dyDescent="0.35">
      <c r="A151" s="191" t="s">
        <v>393</v>
      </c>
      <c r="B151" s="191"/>
      <c r="C151" s="98">
        <f>COUNT(D176:D183)*7</f>
        <v>56</v>
      </c>
      <c r="D151" s="99"/>
      <c r="E151" s="98">
        <f>SUM(F176:F183)*7</f>
        <v>24163.350120000003</v>
      </c>
      <c r="F151" s="99"/>
      <c r="G151" s="98">
        <f>SUM(H176:H183)*7</f>
        <v>35036.857674000006</v>
      </c>
      <c r="H151" s="99"/>
      <c r="K151" s="32">
        <f>8*7</f>
        <v>56</v>
      </c>
      <c r="T151"/>
    </row>
    <row r="152" spans="1:22" s="32" customFormat="1" x14ac:dyDescent="0.35">
      <c r="A152" s="191" t="s">
        <v>394</v>
      </c>
      <c r="B152" s="191"/>
      <c r="C152" s="98">
        <f>COUNT(D187:D194)*7</f>
        <v>56</v>
      </c>
      <c r="D152" s="99"/>
      <c r="E152" s="98">
        <f>SUM(F187:F194)*7</f>
        <v>24399.18936</v>
      </c>
      <c r="F152" s="99"/>
      <c r="G152" s="98">
        <f>SUM(H187:H194)*7</f>
        <v>35378.824571999998</v>
      </c>
      <c r="H152" s="99"/>
      <c r="T152"/>
    </row>
    <row r="153" spans="1:22" s="32" customFormat="1" x14ac:dyDescent="0.35">
      <c r="A153" s="191" t="s">
        <v>395</v>
      </c>
      <c r="B153" s="191"/>
      <c r="C153" s="98">
        <f>COUNT(D198:D209)*7</f>
        <v>84</v>
      </c>
      <c r="D153" s="99"/>
      <c r="E153" s="98">
        <f>SUM(F198:F209)*7</f>
        <v>25237.059120000002</v>
      </c>
      <c r="F153" s="99"/>
      <c r="G153" s="98">
        <f>SUM(H198:H209)*7</f>
        <v>36593.735723999991</v>
      </c>
      <c r="H153" s="99"/>
      <c r="T153"/>
    </row>
    <row r="154" spans="1:22" s="32" customFormat="1" x14ac:dyDescent="0.35">
      <c r="A154" s="190" t="s">
        <v>145</v>
      </c>
      <c r="B154" s="190"/>
      <c r="C154" s="230">
        <f>SUM(C151:D153)</f>
        <v>196</v>
      </c>
      <c r="D154" s="194"/>
      <c r="E154" s="230">
        <f t="shared" ref="E154" si="2">SUM(E151:F153)</f>
        <v>73799.598600000012</v>
      </c>
      <c r="F154" s="194"/>
      <c r="G154" s="230">
        <f t="shared" ref="G154" si="3">SUM(G151:H153)</f>
        <v>107009.41797000001</v>
      </c>
      <c r="H154" s="194"/>
      <c r="T154"/>
    </row>
    <row r="155" spans="1:22" s="32" customFormat="1" x14ac:dyDescent="0.35">
      <c r="A155" s="190" t="s">
        <v>162</v>
      </c>
      <c r="B155" s="190"/>
      <c r="C155" s="230">
        <f>C148+C154</f>
        <v>203</v>
      </c>
      <c r="D155" s="194"/>
      <c r="E155" s="230">
        <f t="shared" ref="E155" si="4">E148+E154</f>
        <v>75158.445960000012</v>
      </c>
      <c r="F155" s="194"/>
      <c r="G155" s="230">
        <f t="shared" ref="G155" si="5">G148+G154</f>
        <v>109047.68901000002</v>
      </c>
      <c r="H155" s="194"/>
      <c r="T155"/>
    </row>
    <row r="156" spans="1:22" s="31" customFormat="1" x14ac:dyDescent="0.35">
      <c r="A156" s="184" t="s">
        <v>53</v>
      </c>
      <c r="B156" s="184"/>
      <c r="C156" s="184"/>
      <c r="D156" s="184"/>
      <c r="E156" s="184"/>
      <c r="F156" s="184"/>
      <c r="G156" s="184"/>
      <c r="H156" s="184"/>
      <c r="T156" s="32"/>
    </row>
    <row r="157" spans="1:22" x14ac:dyDescent="0.35">
      <c r="A157" s="198" t="s">
        <v>170</v>
      </c>
      <c r="B157" s="198"/>
      <c r="C157" s="198"/>
      <c r="D157" s="198"/>
      <c r="E157" s="198"/>
      <c r="F157" s="198"/>
      <c r="G157" s="198"/>
      <c r="H157" s="198"/>
      <c r="T157" s="32"/>
    </row>
    <row r="158" spans="1:22" ht="47.25" customHeight="1" x14ac:dyDescent="0.35">
      <c r="A158" s="231" t="s">
        <v>115</v>
      </c>
      <c r="B158" s="232" t="s">
        <v>172</v>
      </c>
      <c r="C158" s="232" t="s">
        <v>54</v>
      </c>
      <c r="D158" s="232" t="s">
        <v>227</v>
      </c>
      <c r="E158" s="233" t="s">
        <v>151</v>
      </c>
      <c r="F158" s="232" t="s">
        <v>55</v>
      </c>
      <c r="G158" s="233" t="s">
        <v>56</v>
      </c>
      <c r="H158" s="234" t="s">
        <v>144</v>
      </c>
      <c r="T158" s="32"/>
    </row>
    <row r="159" spans="1:22" s="34" customFormat="1" x14ac:dyDescent="0.35">
      <c r="A159" s="231"/>
      <c r="B159" s="232"/>
      <c r="C159" s="232"/>
      <c r="D159" s="232"/>
      <c r="E159" s="233"/>
      <c r="F159" s="232"/>
      <c r="G159" s="233"/>
      <c r="H159" s="235">
        <v>0.5</v>
      </c>
      <c r="T159" s="32"/>
    </row>
    <row r="160" spans="1:22" s="79" customFormat="1" x14ac:dyDescent="0.35">
      <c r="A160" s="139" t="s">
        <v>380</v>
      </c>
      <c r="B160" s="140"/>
      <c r="C160" s="140"/>
      <c r="D160" s="140"/>
      <c r="E160" s="140"/>
      <c r="F160" s="140"/>
      <c r="G160" s="140"/>
      <c r="H160" s="141"/>
      <c r="J160" s="33"/>
      <c r="T160" s="32"/>
    </row>
    <row r="161" spans="1:20" s="34" customFormat="1" x14ac:dyDescent="0.35">
      <c r="A161" s="139" t="s">
        <v>381</v>
      </c>
      <c r="B161" s="140"/>
      <c r="C161" s="140"/>
      <c r="D161" s="140"/>
      <c r="E161" s="140"/>
      <c r="F161" s="140"/>
      <c r="G161" s="140"/>
      <c r="H161" s="141"/>
      <c r="J161" s="33"/>
      <c r="T161" s="32"/>
    </row>
    <row r="162" spans="1:20" s="34" customFormat="1" ht="15.75" customHeight="1" x14ac:dyDescent="0.35">
      <c r="A162" s="118">
        <v>1</v>
      </c>
      <c r="B162" s="119"/>
      <c r="C162" s="39" t="s">
        <v>379</v>
      </c>
      <c r="D162" s="39">
        <f>(15.55)*10.764</f>
        <v>167.3802</v>
      </c>
      <c r="E162" s="39">
        <v>0</v>
      </c>
      <c r="F162" s="57">
        <f>D162+(IF(E162&lt;201,E162,IF(E162&lt;301,E162/2,E162/3)))</f>
        <v>167.3802</v>
      </c>
      <c r="G162" s="58">
        <v>0</v>
      </c>
      <c r="H162" s="57">
        <f>(F162+(IF(G162&lt;101,G162,IF(G162&lt;201,G162/2,IF(G162&lt;=301,G162/3,G162/4)))))*(($H$159)+1)</f>
        <v>251.0703</v>
      </c>
      <c r="I162" s="33"/>
      <c r="L162" s="128"/>
      <c r="M162" s="128"/>
      <c r="N162" s="33"/>
      <c r="T162" s="32"/>
    </row>
    <row r="163" spans="1:20" s="34" customFormat="1" ht="15.75" customHeight="1" x14ac:dyDescent="0.35">
      <c r="A163" s="118">
        <f>A162+1</f>
        <v>2</v>
      </c>
      <c r="B163" s="119"/>
      <c r="C163" s="39" t="s">
        <v>379</v>
      </c>
      <c r="D163" s="39">
        <f>(18.86)*10.764</f>
        <v>203.00903999999997</v>
      </c>
      <c r="E163" s="39">
        <v>0</v>
      </c>
      <c r="F163" s="57">
        <f t="shared" ref="F163:F165" si="6">D163+(IF(E163&lt;201,E163,IF(E163&lt;301,E163/2,E163/3)))</f>
        <v>203.00903999999997</v>
      </c>
      <c r="G163" s="50">
        <v>0</v>
      </c>
      <c r="H163" s="57">
        <f t="shared" ref="H163:H165" si="7">(F163+(IF(G163&lt;101,G163,IF(G163&lt;201,G163/2,IF(G163&lt;=301,G163/3,G163/4)))))*(($H$159)+1)</f>
        <v>304.51355999999998</v>
      </c>
      <c r="I163" s="33"/>
      <c r="L163" s="128"/>
      <c r="M163" s="128"/>
      <c r="N163" s="33"/>
      <c r="T163" s="31"/>
    </row>
    <row r="164" spans="1:20" s="34" customFormat="1" ht="15.75" customHeight="1" x14ac:dyDescent="0.35">
      <c r="A164" s="118">
        <f>A163+1</f>
        <v>3</v>
      </c>
      <c r="B164" s="119"/>
      <c r="C164" s="39" t="s">
        <v>379</v>
      </c>
      <c r="D164" s="39">
        <f>(18.86)*10.764</f>
        <v>203.00903999999997</v>
      </c>
      <c r="E164" s="39">
        <v>0</v>
      </c>
      <c r="F164" s="57">
        <f t="shared" si="6"/>
        <v>203.00903999999997</v>
      </c>
      <c r="G164" s="50">
        <v>0</v>
      </c>
      <c r="H164" s="57">
        <f t="shared" si="7"/>
        <v>304.51355999999998</v>
      </c>
      <c r="I164" s="33"/>
      <c r="L164" s="128"/>
      <c r="M164" s="128"/>
      <c r="N164" s="33"/>
      <c r="T164" s="18"/>
    </row>
    <row r="165" spans="1:20" s="34" customFormat="1" ht="15.75" customHeight="1" x14ac:dyDescent="0.35">
      <c r="A165" s="118">
        <f>A164+1</f>
        <v>4</v>
      </c>
      <c r="B165" s="119"/>
      <c r="C165" s="39" t="s">
        <v>379</v>
      </c>
      <c r="D165" s="39">
        <f>(18.86)*10.764</f>
        <v>203.00903999999997</v>
      </c>
      <c r="E165" s="39">
        <v>0</v>
      </c>
      <c r="F165" s="57">
        <f t="shared" si="6"/>
        <v>203.00903999999997</v>
      </c>
      <c r="G165" s="50">
        <v>0</v>
      </c>
      <c r="H165" s="57">
        <f t="shared" si="7"/>
        <v>304.51355999999998</v>
      </c>
      <c r="I165" s="33"/>
      <c r="L165" s="128"/>
      <c r="M165" s="128"/>
      <c r="N165" s="33"/>
      <c r="T165" s="18"/>
    </row>
    <row r="166" spans="1:20" s="79" customFormat="1" ht="15.75" customHeight="1" x14ac:dyDescent="0.35">
      <c r="A166" s="118">
        <f t="shared" ref="A166:A168" si="8">A165+1</f>
        <v>5</v>
      </c>
      <c r="B166" s="119"/>
      <c r="C166" s="78" t="s">
        <v>379</v>
      </c>
      <c r="D166" s="78">
        <f>(18.86)*10.764</f>
        <v>203.00903999999997</v>
      </c>
      <c r="E166" s="78">
        <v>0</v>
      </c>
      <c r="F166" s="78">
        <f t="shared" ref="F166:F168" si="9">D166+(IF(E166&lt;201,E166,IF(E166&lt;301,E166/2,E166/3)))</f>
        <v>203.00903999999997</v>
      </c>
      <c r="G166" s="78">
        <v>0</v>
      </c>
      <c r="H166" s="78">
        <f t="shared" ref="H166:H168" si="10">(F166+(IF(G166&lt;101,G166,IF(G166&lt;201,G166/2,IF(G166&lt;=301,G166/3,G166/4)))))*(($H$159)+1)</f>
        <v>304.51355999999998</v>
      </c>
      <c r="I166" s="33"/>
      <c r="L166" s="128"/>
      <c r="M166" s="128"/>
      <c r="N166" s="33"/>
      <c r="T166" s="18"/>
    </row>
    <row r="167" spans="1:20" s="79" customFormat="1" ht="15.75" customHeight="1" x14ac:dyDescent="0.35">
      <c r="A167" s="118">
        <f t="shared" si="8"/>
        <v>6</v>
      </c>
      <c r="B167" s="119"/>
      <c r="C167" s="78" t="s">
        <v>379</v>
      </c>
      <c r="D167" s="78">
        <f>(23.26)*10.764</f>
        <v>250.37064000000001</v>
      </c>
      <c r="E167" s="78">
        <v>0</v>
      </c>
      <c r="F167" s="78">
        <f t="shared" si="9"/>
        <v>250.37064000000001</v>
      </c>
      <c r="G167" s="78">
        <v>0</v>
      </c>
      <c r="H167" s="78">
        <f t="shared" si="10"/>
        <v>375.55596000000003</v>
      </c>
      <c r="I167" s="33"/>
      <c r="L167" s="128"/>
      <c r="M167" s="128"/>
      <c r="N167" s="33"/>
      <c r="T167" s="18"/>
    </row>
    <row r="168" spans="1:20" s="79" customFormat="1" ht="15.75" customHeight="1" x14ac:dyDescent="0.35">
      <c r="A168" s="118">
        <f t="shared" si="8"/>
        <v>7</v>
      </c>
      <c r="B168" s="119"/>
      <c r="C168" s="78" t="s">
        <v>379</v>
      </c>
      <c r="D168" s="78">
        <f>(11.99)*10.764</f>
        <v>129.06036</v>
      </c>
      <c r="E168" s="78">
        <v>0</v>
      </c>
      <c r="F168" s="78">
        <f t="shared" si="9"/>
        <v>129.06036</v>
      </c>
      <c r="G168" s="78">
        <v>0</v>
      </c>
      <c r="H168" s="78">
        <f t="shared" si="10"/>
        <v>193.59054</v>
      </c>
      <c r="I168" s="33"/>
      <c r="L168" s="128"/>
      <c r="M168" s="128"/>
      <c r="N168" s="33"/>
      <c r="T168" s="18"/>
    </row>
    <row r="169" spans="1:20" s="79" customFormat="1" x14ac:dyDescent="0.35">
      <c r="A169" s="139" t="s">
        <v>382</v>
      </c>
      <c r="B169" s="140"/>
      <c r="C169" s="140"/>
      <c r="D169" s="140"/>
      <c r="E169" s="140"/>
      <c r="F169" s="140"/>
      <c r="G169" s="140"/>
      <c r="H169" s="141"/>
      <c r="J169" s="33"/>
      <c r="T169" s="32"/>
    </row>
    <row r="170" spans="1:20" s="34" customFormat="1" x14ac:dyDescent="0.35">
      <c r="A170" s="118"/>
      <c r="B170" s="120"/>
      <c r="C170" s="120"/>
      <c r="D170" s="120"/>
      <c r="E170" s="120"/>
      <c r="F170" s="120"/>
      <c r="G170" s="120"/>
      <c r="H170" s="119"/>
      <c r="I170" s="33"/>
      <c r="N170" s="33"/>
    </row>
    <row r="171" spans="1:20" ht="47.25" customHeight="1" x14ac:dyDescent="0.35">
      <c r="A171" s="122" t="s">
        <v>116</v>
      </c>
      <c r="B171" s="101" t="s">
        <v>173</v>
      </c>
      <c r="C171" s="101" t="s">
        <v>54</v>
      </c>
      <c r="D171" s="116" t="s">
        <v>227</v>
      </c>
      <c r="E171" s="116" t="s">
        <v>388</v>
      </c>
      <c r="F171" s="116" t="s">
        <v>55</v>
      </c>
      <c r="G171" s="126" t="s">
        <v>56</v>
      </c>
      <c r="H171" s="85" t="s">
        <v>144</v>
      </c>
      <c r="I171" s="33"/>
      <c r="T171" s="34"/>
    </row>
    <row r="172" spans="1:20" s="34" customFormat="1" x14ac:dyDescent="0.35">
      <c r="A172" s="123"/>
      <c r="B172" s="102"/>
      <c r="C172" s="102"/>
      <c r="D172" s="117"/>
      <c r="E172" s="117"/>
      <c r="F172" s="117"/>
      <c r="G172" s="127"/>
      <c r="H172" s="86">
        <v>0.45</v>
      </c>
      <c r="I172" s="33"/>
    </row>
    <row r="173" spans="1:20" s="79" customFormat="1" x14ac:dyDescent="0.35">
      <c r="A173" s="139" t="s">
        <v>383</v>
      </c>
      <c r="B173" s="140"/>
      <c r="C173" s="140"/>
      <c r="D173" s="140"/>
      <c r="E173" s="140"/>
      <c r="F173" s="140"/>
      <c r="G173" s="140"/>
      <c r="H173" s="141"/>
      <c r="J173" s="33"/>
    </row>
    <row r="174" spans="1:20" s="79" customFormat="1" x14ac:dyDescent="0.35">
      <c r="A174" s="139" t="s">
        <v>384</v>
      </c>
      <c r="B174" s="140"/>
      <c r="C174" s="140"/>
      <c r="D174" s="140"/>
      <c r="E174" s="140"/>
      <c r="F174" s="140"/>
      <c r="G174" s="140"/>
      <c r="H174" s="141"/>
      <c r="J174" s="33"/>
    </row>
    <row r="175" spans="1:20" s="34" customFormat="1" x14ac:dyDescent="0.35">
      <c r="A175" s="139" t="s">
        <v>385</v>
      </c>
      <c r="B175" s="140"/>
      <c r="C175" s="140"/>
      <c r="D175" s="140"/>
      <c r="E175" s="140"/>
      <c r="F175" s="140"/>
      <c r="G175" s="140"/>
      <c r="H175" s="141"/>
      <c r="J175" s="33"/>
    </row>
    <row r="176" spans="1:20" s="34" customFormat="1" ht="15.75" customHeight="1" x14ac:dyDescent="0.3">
      <c r="A176" s="118">
        <v>1</v>
      </c>
      <c r="B176" s="119"/>
      <c r="C176" s="39" t="s">
        <v>386</v>
      </c>
      <c r="D176" s="39">
        <f>(32.63)*10.764</f>
        <v>351.22932000000003</v>
      </c>
      <c r="E176" s="39">
        <f t="shared" ref="E176" si="11">(0.75*(2.9+2.13))*10.764</f>
        <v>40.607189999999996</v>
      </c>
      <c r="F176" s="39">
        <f>D176+E176</f>
        <v>391.83651000000003</v>
      </c>
      <c r="G176" s="50">
        <v>0</v>
      </c>
      <c r="H176" s="50">
        <f>F176*(($H$172)+1)+(IF(G176&lt;101,G176,IF(G176&lt;201,G176/2,IF(G176&lt;=301,G176/3,G176/4))))</f>
        <v>568.16293949999999</v>
      </c>
      <c r="I176" s="88">
        <f>2.9*4.18+2.13*2.13+2.9*3.06+2.13*1.07+2.13*1+0.91*2.3</f>
        <v>32.034999999999997</v>
      </c>
      <c r="L176" s="128"/>
      <c r="M176" s="128"/>
      <c r="N176" s="33"/>
    </row>
    <row r="177" spans="1:20" s="34" customFormat="1" ht="15.75" customHeight="1" x14ac:dyDescent="0.3">
      <c r="A177" s="118">
        <f>A176+1</f>
        <v>2</v>
      </c>
      <c r="B177" s="119"/>
      <c r="C177" s="39" t="s">
        <v>387</v>
      </c>
      <c r="D177" s="39">
        <f>(43.76)*10.764</f>
        <v>471.03263999999996</v>
      </c>
      <c r="E177" s="39">
        <f>(0.75*(2.9+2.13))*10.764</f>
        <v>40.607189999999996</v>
      </c>
      <c r="F177" s="50">
        <f>D177+E177</f>
        <v>511.63982999999996</v>
      </c>
      <c r="G177" s="50">
        <v>0</v>
      </c>
      <c r="H177" s="50">
        <f>F177*(($H$172)+1)+(IF(G177&lt;101,G177,IF(G177&lt;201,G177/2,IF(G177&lt;=301,G177/3,G177/4))))</f>
        <v>741.87775349999993</v>
      </c>
      <c r="I177" s="88"/>
      <c r="L177" s="128"/>
      <c r="M177" s="128"/>
      <c r="N177" s="33"/>
    </row>
    <row r="178" spans="1:20" s="34" customFormat="1" ht="15.75" customHeight="1" x14ac:dyDescent="0.3">
      <c r="A178" s="118">
        <f>A177+1</f>
        <v>3</v>
      </c>
      <c r="B178" s="119"/>
      <c r="C178" s="39" t="s">
        <v>387</v>
      </c>
      <c r="D178" s="39">
        <f>(43.76)*10.764</f>
        <v>471.03263999999996</v>
      </c>
      <c r="E178" s="39">
        <f t="shared" ref="E178:E183" si="12">(0.75*(2.9+2.13))*10.764</f>
        <v>40.607189999999996</v>
      </c>
      <c r="F178" s="50">
        <f>D178+E178</f>
        <v>511.63982999999996</v>
      </c>
      <c r="G178" s="50">
        <v>0</v>
      </c>
      <c r="H178" s="50">
        <f>F178*(($H$172)+1)+(IF(G178&lt;101,G178,IF(G178&lt;201,G178/2,IF(G178&lt;=301,G178/3,G178/4))))</f>
        <v>741.87775349999993</v>
      </c>
      <c r="I178" s="88">
        <f>2.9*3.95+2.13*2.51+2.74*3.05+2.74*3.25+2.13*1.22+1.22*2.19+0.91*3.5</f>
        <v>42.518699999999995</v>
      </c>
      <c r="L178" s="128"/>
      <c r="M178" s="128"/>
      <c r="N178" s="33"/>
    </row>
    <row r="179" spans="1:20" s="34" customFormat="1" ht="15.75" customHeight="1" x14ac:dyDescent="0.35">
      <c r="A179" s="118">
        <f>A178+1</f>
        <v>4</v>
      </c>
      <c r="B179" s="119"/>
      <c r="C179" s="39" t="s">
        <v>386</v>
      </c>
      <c r="D179" s="39">
        <f>(33.88)*10.764</f>
        <v>364.68432000000001</v>
      </c>
      <c r="E179" s="39">
        <f t="shared" si="12"/>
        <v>40.607189999999996</v>
      </c>
      <c r="F179" s="50">
        <f>D179+E179</f>
        <v>405.29151000000002</v>
      </c>
      <c r="G179" s="50">
        <v>0</v>
      </c>
      <c r="H179" s="50">
        <f>F179*(($H$172)+1)+(IF(G179&lt;101,G179,IF(G179&lt;201,G179/2,IF(G179&lt;=301,G179/3,G179/4))))</f>
        <v>587.67268950000005</v>
      </c>
      <c r="I179" s="33"/>
      <c r="L179" s="128"/>
      <c r="M179" s="128"/>
      <c r="N179" s="33"/>
      <c r="T179" s="18"/>
    </row>
    <row r="180" spans="1:20" s="79" customFormat="1" ht="15.75" customHeight="1" x14ac:dyDescent="0.35">
      <c r="A180" s="118">
        <f t="shared" ref="A180:A183" si="13">A179+1</f>
        <v>5</v>
      </c>
      <c r="B180" s="119"/>
      <c r="C180" s="78" t="s">
        <v>386</v>
      </c>
      <c r="D180" s="78">
        <f>(32.63)*10.764</f>
        <v>351.22932000000003</v>
      </c>
      <c r="E180" s="78">
        <f t="shared" si="12"/>
        <v>40.607189999999996</v>
      </c>
      <c r="F180" s="78">
        <f t="shared" ref="F180:F183" si="14">D180+E180</f>
        <v>391.83651000000003</v>
      </c>
      <c r="G180" s="78">
        <v>0</v>
      </c>
      <c r="H180" s="78">
        <f t="shared" ref="H180:H183" si="15">F180*(($H$172)+1)+(IF(G180&lt;101,G180,IF(G180&lt;201,G180/2,IF(G180&lt;=301,G180/3,G180/4))))</f>
        <v>568.16293949999999</v>
      </c>
      <c r="I180" s="33"/>
      <c r="L180" s="128"/>
      <c r="M180" s="128"/>
      <c r="N180" s="33"/>
      <c r="T180" s="18"/>
    </row>
    <row r="181" spans="1:20" s="79" customFormat="1" ht="15.75" customHeight="1" x14ac:dyDescent="0.35">
      <c r="A181" s="118">
        <f t="shared" si="13"/>
        <v>6</v>
      </c>
      <c r="B181" s="119"/>
      <c r="C181" s="78" t="s">
        <v>386</v>
      </c>
      <c r="D181" s="78">
        <f>(35.61)*10.764</f>
        <v>383.30604</v>
      </c>
      <c r="E181" s="78">
        <f t="shared" si="12"/>
        <v>40.607189999999996</v>
      </c>
      <c r="F181" s="78">
        <f t="shared" si="14"/>
        <v>423.91323</v>
      </c>
      <c r="G181" s="78">
        <v>0</v>
      </c>
      <c r="H181" s="78">
        <f t="shared" si="15"/>
        <v>614.67418350000003</v>
      </c>
      <c r="I181" s="33"/>
      <c r="L181" s="128"/>
      <c r="M181" s="128"/>
      <c r="N181" s="33"/>
      <c r="T181" s="18"/>
    </row>
    <row r="182" spans="1:20" s="79" customFormat="1" ht="15.75" customHeight="1" x14ac:dyDescent="0.35">
      <c r="A182" s="118">
        <f t="shared" si="13"/>
        <v>7</v>
      </c>
      <c r="B182" s="119"/>
      <c r="C182" s="78" t="s">
        <v>386</v>
      </c>
      <c r="D182" s="78">
        <f>(35.61)*10.764</f>
        <v>383.30604</v>
      </c>
      <c r="E182" s="78">
        <f t="shared" si="12"/>
        <v>40.607189999999996</v>
      </c>
      <c r="F182" s="78">
        <f t="shared" si="14"/>
        <v>423.91323</v>
      </c>
      <c r="G182" s="78">
        <v>0</v>
      </c>
      <c r="H182" s="78">
        <f t="shared" si="15"/>
        <v>614.67418350000003</v>
      </c>
      <c r="I182" s="33"/>
      <c r="L182" s="128"/>
      <c r="M182" s="128"/>
      <c r="N182" s="33"/>
      <c r="T182" s="18"/>
    </row>
    <row r="183" spans="1:20" s="79" customFormat="1" ht="15.75" customHeight="1" x14ac:dyDescent="0.35">
      <c r="A183" s="118">
        <f t="shared" si="13"/>
        <v>8</v>
      </c>
      <c r="B183" s="119"/>
      <c r="C183" s="78" t="s">
        <v>386</v>
      </c>
      <c r="D183" s="78">
        <f>(32.63)*10.764</f>
        <v>351.22932000000003</v>
      </c>
      <c r="E183" s="78">
        <f t="shared" si="12"/>
        <v>40.607189999999996</v>
      </c>
      <c r="F183" s="78">
        <f t="shared" si="14"/>
        <v>391.83651000000003</v>
      </c>
      <c r="G183" s="78">
        <v>0</v>
      </c>
      <c r="H183" s="78">
        <f t="shared" si="15"/>
        <v>568.16293949999999</v>
      </c>
      <c r="I183" s="33"/>
      <c r="L183" s="128"/>
      <c r="M183" s="128"/>
      <c r="N183" s="33"/>
      <c r="T183" s="18"/>
    </row>
    <row r="184" spans="1:20" s="79" customFormat="1" x14ac:dyDescent="0.35">
      <c r="A184" s="236" t="s">
        <v>389</v>
      </c>
      <c r="B184" s="236"/>
      <c r="C184" s="236"/>
      <c r="D184" s="236"/>
      <c r="E184" s="236"/>
      <c r="F184" s="236"/>
      <c r="G184" s="236"/>
      <c r="H184" s="236"/>
      <c r="J184" s="33"/>
    </row>
    <row r="185" spans="1:20" s="79" customFormat="1" x14ac:dyDescent="0.35">
      <c r="A185" s="236" t="s">
        <v>390</v>
      </c>
      <c r="B185" s="236"/>
      <c r="C185" s="236"/>
      <c r="D185" s="236"/>
      <c r="E185" s="236"/>
      <c r="F185" s="236"/>
      <c r="G185" s="236"/>
      <c r="H185" s="236"/>
      <c r="J185" s="33"/>
    </row>
    <row r="186" spans="1:20" s="79" customFormat="1" x14ac:dyDescent="0.35">
      <c r="A186" s="236" t="s">
        <v>385</v>
      </c>
      <c r="B186" s="236"/>
      <c r="C186" s="236"/>
      <c r="D186" s="236"/>
      <c r="E186" s="236"/>
      <c r="F186" s="236"/>
      <c r="G186" s="236"/>
      <c r="H186" s="236"/>
      <c r="J186" s="33"/>
    </row>
    <row r="187" spans="1:20" s="79" customFormat="1" ht="15.75" customHeight="1" x14ac:dyDescent="0.35">
      <c r="A187" s="237">
        <v>1</v>
      </c>
      <c r="B187" s="237"/>
      <c r="C187" s="78" t="s">
        <v>386</v>
      </c>
      <c r="D187" s="78">
        <f>(32.63)*10.764</f>
        <v>351.22932000000003</v>
      </c>
      <c r="E187" s="78">
        <f t="shared" ref="E187" si="16">(0.75*(2.9+2.13))*10.764</f>
        <v>40.607189999999996</v>
      </c>
      <c r="F187" s="78">
        <f>D187+E187</f>
        <v>391.83651000000003</v>
      </c>
      <c r="G187" s="78">
        <v>0</v>
      </c>
      <c r="H187" s="78">
        <f>F187*(($H$172)+1)+(IF(G187&lt;101,G187,IF(G187&lt;201,G187/2,IF(G187&lt;=301,G187/3,G187/4))))</f>
        <v>568.16293949999999</v>
      </c>
      <c r="I187" s="33"/>
      <c r="L187" s="128"/>
      <c r="M187" s="128"/>
      <c r="N187" s="33"/>
    </row>
    <row r="188" spans="1:20" s="79" customFormat="1" ht="15.75" customHeight="1" x14ac:dyDescent="0.35">
      <c r="A188" s="237">
        <f>A187+1</f>
        <v>2</v>
      </c>
      <c r="B188" s="237"/>
      <c r="C188" s="78" t="s">
        <v>386</v>
      </c>
      <c r="D188" s="78">
        <f>(35.76)*10.764</f>
        <v>384.92063999999993</v>
      </c>
      <c r="E188" s="78">
        <f>(0.75*(2.9+2.13))*10.764</f>
        <v>40.607189999999996</v>
      </c>
      <c r="F188" s="78">
        <f>D188+E188</f>
        <v>425.52782999999994</v>
      </c>
      <c r="G188" s="78">
        <v>0</v>
      </c>
      <c r="H188" s="78">
        <f>F188*(($H$172)+1)+(IF(G188&lt;101,G188,IF(G188&lt;201,G188/2,IF(G188&lt;=301,G188/3,G188/4))))</f>
        <v>617.01535349999995</v>
      </c>
      <c r="I188" s="33"/>
      <c r="L188" s="128"/>
      <c r="M188" s="128"/>
      <c r="N188" s="33"/>
    </row>
    <row r="189" spans="1:20" s="79" customFormat="1" ht="15.75" customHeight="1" x14ac:dyDescent="0.35">
      <c r="A189" s="237">
        <f>A188+1</f>
        <v>3</v>
      </c>
      <c r="B189" s="237"/>
      <c r="C189" s="78" t="s">
        <v>386</v>
      </c>
      <c r="D189" s="78">
        <f>(35.76)*10.764</f>
        <v>384.92063999999993</v>
      </c>
      <c r="E189" s="78">
        <f t="shared" ref="E189:E194" si="17">(0.75*(2.9+2.13))*10.764</f>
        <v>40.607189999999996</v>
      </c>
      <c r="F189" s="78">
        <f>D189+E189</f>
        <v>425.52782999999994</v>
      </c>
      <c r="G189" s="78">
        <v>0</v>
      </c>
      <c r="H189" s="78">
        <f>F189*(($H$172)+1)+(IF(G189&lt;101,G189,IF(G189&lt;201,G189/2,IF(G189&lt;=301,G189/3,G189/4))))</f>
        <v>617.01535349999995</v>
      </c>
      <c r="I189" s="33"/>
      <c r="L189" s="128"/>
      <c r="M189" s="128"/>
      <c r="N189" s="33"/>
    </row>
    <row r="190" spans="1:20" s="79" customFormat="1" ht="15.75" customHeight="1" x14ac:dyDescent="0.35">
      <c r="A190" s="237">
        <f>A189+1</f>
        <v>4</v>
      </c>
      <c r="B190" s="237"/>
      <c r="C190" s="78" t="s">
        <v>386</v>
      </c>
      <c r="D190" s="78">
        <f>(33.89)*10.764</f>
        <v>364.79195999999996</v>
      </c>
      <c r="E190" s="78">
        <f t="shared" si="17"/>
        <v>40.607189999999996</v>
      </c>
      <c r="F190" s="78">
        <f>D190+E190</f>
        <v>405.39914999999996</v>
      </c>
      <c r="G190" s="78">
        <v>0</v>
      </c>
      <c r="H190" s="78">
        <f>F190*(($H$172)+1)+(IF(G190&lt;101,G190,IF(G190&lt;201,G190/2,IF(G190&lt;=301,G190/3,G190/4))))</f>
        <v>587.82876749999991</v>
      </c>
      <c r="I190" s="33"/>
      <c r="L190" s="128"/>
      <c r="M190" s="128"/>
      <c r="N190" s="33"/>
      <c r="T190" s="18"/>
    </row>
    <row r="191" spans="1:20" s="79" customFormat="1" ht="15.75" customHeight="1" x14ac:dyDescent="0.35">
      <c r="A191" s="237">
        <f t="shared" ref="A191:A194" si="18">A190+1</f>
        <v>5</v>
      </c>
      <c r="B191" s="237"/>
      <c r="C191" s="78" t="s">
        <v>386</v>
      </c>
      <c r="D191" s="78">
        <f>(32.63)*10.764</f>
        <v>351.22932000000003</v>
      </c>
      <c r="E191" s="78">
        <f t="shared" si="17"/>
        <v>40.607189999999996</v>
      </c>
      <c r="F191" s="78">
        <f t="shared" ref="F191:F194" si="19">D191+E191</f>
        <v>391.83651000000003</v>
      </c>
      <c r="G191" s="78">
        <v>0</v>
      </c>
      <c r="H191" s="78">
        <f t="shared" ref="H191:H194" si="20">F191*(($H$172)+1)+(IF(G191&lt;101,G191,IF(G191&lt;201,G191/2,IF(G191&lt;=301,G191/3,G191/4))))</f>
        <v>568.16293949999999</v>
      </c>
      <c r="I191" s="33"/>
      <c r="L191" s="128"/>
      <c r="M191" s="128"/>
      <c r="N191" s="33"/>
      <c r="T191" s="18"/>
    </row>
    <row r="192" spans="1:20" s="79" customFormat="1" ht="15.75" customHeight="1" x14ac:dyDescent="0.35">
      <c r="A192" s="237">
        <f t="shared" si="18"/>
        <v>6</v>
      </c>
      <c r="B192" s="237"/>
      <c r="C192" s="78" t="s">
        <v>387</v>
      </c>
      <c r="D192" s="78">
        <f>(45.17)*10.764</f>
        <v>486.20988</v>
      </c>
      <c r="E192" s="78">
        <f t="shared" si="17"/>
        <v>40.607189999999996</v>
      </c>
      <c r="F192" s="78">
        <f t="shared" si="19"/>
        <v>526.81706999999994</v>
      </c>
      <c r="G192" s="78">
        <v>0</v>
      </c>
      <c r="H192" s="78">
        <f t="shared" si="20"/>
        <v>763.88475149999988</v>
      </c>
      <c r="I192" s="33"/>
      <c r="L192" s="128"/>
      <c r="M192" s="128"/>
      <c r="N192" s="33"/>
      <c r="T192" s="18"/>
    </row>
    <row r="193" spans="1:20" s="79" customFormat="1" ht="15.75" customHeight="1" x14ac:dyDescent="0.35">
      <c r="A193" s="237">
        <f t="shared" si="18"/>
        <v>7</v>
      </c>
      <c r="B193" s="237"/>
      <c r="C193" s="78" t="s">
        <v>387</v>
      </c>
      <c r="D193" s="78">
        <f>(45.17)*10.764</f>
        <v>486.20988</v>
      </c>
      <c r="E193" s="78">
        <f t="shared" si="17"/>
        <v>40.607189999999996</v>
      </c>
      <c r="F193" s="78">
        <f t="shared" si="19"/>
        <v>526.81706999999994</v>
      </c>
      <c r="G193" s="78">
        <v>0</v>
      </c>
      <c r="H193" s="78">
        <f t="shared" si="20"/>
        <v>763.88475149999988</v>
      </c>
      <c r="I193" s="33"/>
      <c r="L193" s="128"/>
      <c r="M193" s="128"/>
      <c r="N193" s="33"/>
      <c r="T193" s="18"/>
    </row>
    <row r="194" spans="1:20" s="79" customFormat="1" ht="15.75" customHeight="1" x14ac:dyDescent="0.35">
      <c r="A194" s="237">
        <f t="shared" si="18"/>
        <v>8</v>
      </c>
      <c r="B194" s="237"/>
      <c r="C194" s="78" t="s">
        <v>386</v>
      </c>
      <c r="D194" s="78">
        <f>(32.63)*10.764</f>
        <v>351.22932000000003</v>
      </c>
      <c r="E194" s="78">
        <f t="shared" si="17"/>
        <v>40.607189999999996</v>
      </c>
      <c r="F194" s="78">
        <f t="shared" si="19"/>
        <v>391.83651000000003</v>
      </c>
      <c r="G194" s="78">
        <v>0</v>
      </c>
      <c r="H194" s="78">
        <f t="shared" si="20"/>
        <v>568.16293949999999</v>
      </c>
      <c r="I194" s="33"/>
      <c r="L194" s="128"/>
      <c r="M194" s="128"/>
      <c r="N194" s="33"/>
      <c r="T194" s="18"/>
    </row>
    <row r="195" spans="1:20" s="79" customFormat="1" x14ac:dyDescent="0.35">
      <c r="A195" s="236" t="s">
        <v>391</v>
      </c>
      <c r="B195" s="236"/>
      <c r="C195" s="236"/>
      <c r="D195" s="236"/>
      <c r="E195" s="236"/>
      <c r="F195" s="236"/>
      <c r="G195" s="236"/>
      <c r="H195" s="236"/>
      <c r="J195" s="33"/>
    </row>
    <row r="196" spans="1:20" s="79" customFormat="1" x14ac:dyDescent="0.35">
      <c r="A196" s="236" t="s">
        <v>390</v>
      </c>
      <c r="B196" s="236"/>
      <c r="C196" s="236"/>
      <c r="D196" s="236"/>
      <c r="E196" s="236"/>
      <c r="F196" s="236"/>
      <c r="G196" s="236"/>
      <c r="H196" s="236"/>
      <c r="J196" s="33"/>
    </row>
    <row r="197" spans="1:20" s="79" customFormat="1" x14ac:dyDescent="0.35">
      <c r="A197" s="236" t="s">
        <v>385</v>
      </c>
      <c r="B197" s="236"/>
      <c r="C197" s="236"/>
      <c r="D197" s="236"/>
      <c r="E197" s="236"/>
      <c r="F197" s="236"/>
      <c r="G197" s="236"/>
      <c r="H197" s="236"/>
      <c r="J197" s="33"/>
    </row>
    <row r="198" spans="1:20" s="79" customFormat="1" ht="15.75" customHeight="1" x14ac:dyDescent="0.3">
      <c r="A198" s="237">
        <v>1</v>
      </c>
      <c r="B198" s="237"/>
      <c r="C198" s="78" t="s">
        <v>392</v>
      </c>
      <c r="D198" s="78">
        <f>(20.05)*10.764</f>
        <v>215.81819999999999</v>
      </c>
      <c r="E198" s="78">
        <f>(0.75*(2.74+2.13))*10.764</f>
        <v>39.315509999999996</v>
      </c>
      <c r="F198" s="78">
        <f>D198+E198</f>
        <v>255.13370999999998</v>
      </c>
      <c r="G198" s="78">
        <v>0</v>
      </c>
      <c r="H198" s="78">
        <f>F198*(($H$172)+1)+(IF(G198&lt;101,G198,IF(G198&lt;201,G198/2,IF(G198&lt;=301,G198/3,G198/4))))</f>
        <v>369.94387949999998</v>
      </c>
      <c r="I198" s="88">
        <f>2.74*3.66+2.13*2.13+1.25*2.13+0.88*2.13</f>
        <v>19.102200000000003</v>
      </c>
      <c r="L198" s="128">
        <v>367</v>
      </c>
      <c r="M198" s="128"/>
      <c r="N198" s="89">
        <f>L198/F198</f>
        <v>1.4384614247956495</v>
      </c>
    </row>
    <row r="199" spans="1:20" s="79" customFormat="1" ht="15.75" customHeight="1" x14ac:dyDescent="0.3">
      <c r="A199" s="237">
        <f>A198+1</f>
        <v>2</v>
      </c>
      <c r="B199" s="237"/>
      <c r="C199" s="78" t="s">
        <v>392</v>
      </c>
      <c r="D199" s="78">
        <f>(20.05)*10.764</f>
        <v>215.81819999999999</v>
      </c>
      <c r="E199" s="78">
        <f>(0.75*(2.74+2.13))*10.764</f>
        <v>39.315509999999996</v>
      </c>
      <c r="F199" s="78">
        <f>D199+E199</f>
        <v>255.13370999999998</v>
      </c>
      <c r="G199" s="78">
        <v>0</v>
      </c>
      <c r="H199" s="78">
        <f>F199*(($H$172)+1)+(IF(G199&lt;101,G199,IF(G199&lt;201,G199/2,IF(G199&lt;=301,G199/3,G199/4))))</f>
        <v>369.94387949999998</v>
      </c>
      <c r="I199" s="88"/>
      <c r="L199" s="128">
        <v>367</v>
      </c>
      <c r="M199" s="128"/>
      <c r="N199" s="89">
        <f t="shared" ref="N199:N202" si="21">L199/F199</f>
        <v>1.4384614247956495</v>
      </c>
    </row>
    <row r="200" spans="1:20" s="79" customFormat="1" ht="15.75" customHeight="1" x14ac:dyDescent="0.3">
      <c r="A200" s="118">
        <f>A199+1</f>
        <v>3</v>
      </c>
      <c r="B200" s="119"/>
      <c r="C200" s="78" t="s">
        <v>392</v>
      </c>
      <c r="D200" s="78">
        <f>(25.5)*10.764</f>
        <v>274.48199999999997</v>
      </c>
      <c r="E200" s="78">
        <f>(0.75*(2.9+2.13))*10.764</f>
        <v>40.607189999999996</v>
      </c>
      <c r="F200" s="78">
        <f>D200+E200</f>
        <v>315.08918999999997</v>
      </c>
      <c r="G200" s="78">
        <v>0</v>
      </c>
      <c r="H200" s="78">
        <f>F200*(($H$172)+1)+(IF(G200&lt;101,G200,IF(G200&lt;201,G200/2,IF(G200&lt;=301,G200/3,G200/4))))</f>
        <v>456.87932549999994</v>
      </c>
      <c r="I200" s="88"/>
      <c r="L200" s="128">
        <v>449</v>
      </c>
      <c r="M200" s="128"/>
      <c r="N200" s="89">
        <f t="shared" si="21"/>
        <v>1.4249933487086626</v>
      </c>
    </row>
    <row r="201" spans="1:20" s="79" customFormat="1" ht="15.75" customHeight="1" x14ac:dyDescent="0.35">
      <c r="A201" s="118">
        <f>A200+1</f>
        <v>4</v>
      </c>
      <c r="B201" s="119"/>
      <c r="C201" s="78" t="s">
        <v>386</v>
      </c>
      <c r="D201" s="78">
        <f>(34.49)*10.764</f>
        <v>371.25036</v>
      </c>
      <c r="E201" s="78">
        <f>(0.75*(2.9+2.13))*10.764</f>
        <v>40.607189999999996</v>
      </c>
      <c r="F201" s="78">
        <f>D201+E201</f>
        <v>411.85755</v>
      </c>
      <c r="G201" s="78">
        <v>0</v>
      </c>
      <c r="H201" s="78">
        <f>F201*(($H$172)+1)+(IF(G201&lt;101,G201,IF(G201&lt;201,G201/2,IF(G201&lt;=301,G201/3,G201/4))))</f>
        <v>597.19344749999993</v>
      </c>
      <c r="I201" s="88">
        <f>4.18*2.9+2.13*2.13+3.13*2.9+1.22*1.53+1.07*2.13+1*1.08+0.9*2.13+1*1</f>
        <v>33.878599999999992</v>
      </c>
      <c r="L201" s="128">
        <v>584</v>
      </c>
      <c r="M201" s="128"/>
      <c r="N201" s="89">
        <f t="shared" si="21"/>
        <v>1.4179659933392019</v>
      </c>
      <c r="T201" s="18"/>
    </row>
    <row r="202" spans="1:20" s="79" customFormat="1" ht="15.75" customHeight="1" x14ac:dyDescent="0.35">
      <c r="A202" s="118">
        <f t="shared" ref="A202:A205" si="22">A201+1</f>
        <v>5</v>
      </c>
      <c r="B202" s="119"/>
      <c r="C202" s="78" t="s">
        <v>392</v>
      </c>
      <c r="D202" s="78">
        <f>(20.05)*10.764</f>
        <v>215.81819999999999</v>
      </c>
      <c r="E202" s="78">
        <f>(0.75*(2.74+2.13))*10.764</f>
        <v>39.315509999999996</v>
      </c>
      <c r="F202" s="78">
        <f t="shared" ref="F202:F205" si="23">D202+E202</f>
        <v>255.13370999999998</v>
      </c>
      <c r="G202" s="78">
        <v>0</v>
      </c>
      <c r="H202" s="78">
        <f t="shared" ref="H202:H205" si="24">F202*(($H$172)+1)+(IF(G202&lt;101,G202,IF(G202&lt;201,G202/2,IF(G202&lt;=301,G202/3,G202/4))))</f>
        <v>369.94387949999998</v>
      </c>
      <c r="I202" s="33"/>
      <c r="L202" s="128">
        <v>367</v>
      </c>
      <c r="M202" s="128"/>
      <c r="N202" s="89">
        <f t="shared" si="21"/>
        <v>1.4384614247956495</v>
      </c>
      <c r="T202" s="18"/>
    </row>
    <row r="203" spans="1:20" s="79" customFormat="1" ht="15.75" customHeight="1" x14ac:dyDescent="0.35">
      <c r="A203" s="118">
        <f t="shared" si="22"/>
        <v>6</v>
      </c>
      <c r="B203" s="119"/>
      <c r="C203" s="78" t="s">
        <v>392</v>
      </c>
      <c r="D203" s="78">
        <f>(20.05)*10.764</f>
        <v>215.81819999999999</v>
      </c>
      <c r="E203" s="78">
        <f>(0.75*(2.74+2.13))*10.764</f>
        <v>39.315509999999996</v>
      </c>
      <c r="F203" s="78">
        <f t="shared" si="23"/>
        <v>255.13370999999998</v>
      </c>
      <c r="G203" s="78">
        <v>0</v>
      </c>
      <c r="H203" s="78">
        <f t="shared" si="24"/>
        <v>369.94387949999998</v>
      </c>
      <c r="I203" s="33"/>
      <c r="L203" s="128"/>
      <c r="M203" s="128"/>
      <c r="N203" s="33"/>
      <c r="T203" s="18"/>
    </row>
    <row r="204" spans="1:20" s="79" customFormat="1" ht="15.75" customHeight="1" x14ac:dyDescent="0.35">
      <c r="A204" s="118">
        <f t="shared" si="22"/>
        <v>7</v>
      </c>
      <c r="B204" s="119"/>
      <c r="C204" s="78" t="s">
        <v>392</v>
      </c>
      <c r="D204" s="78">
        <f>(21.31)*10.764</f>
        <v>229.38083999999998</v>
      </c>
      <c r="E204" s="78">
        <f>(0.75*(2.74+2.13))*10.764</f>
        <v>39.315509999999996</v>
      </c>
      <c r="F204" s="78">
        <f t="shared" si="23"/>
        <v>268.69635</v>
      </c>
      <c r="G204" s="78">
        <v>0</v>
      </c>
      <c r="H204" s="78">
        <f t="shared" si="24"/>
        <v>389.60970749999996</v>
      </c>
      <c r="I204" s="33"/>
      <c r="L204" s="128"/>
      <c r="M204" s="128"/>
      <c r="N204" s="33"/>
      <c r="T204" s="18"/>
    </row>
    <row r="205" spans="1:20" s="79" customFormat="1" ht="15.75" customHeight="1" x14ac:dyDescent="0.35">
      <c r="A205" s="118">
        <f t="shared" si="22"/>
        <v>8</v>
      </c>
      <c r="B205" s="119"/>
      <c r="C205" s="78" t="s">
        <v>392</v>
      </c>
      <c r="D205" s="78">
        <f>(20.05)*10.764</f>
        <v>215.81819999999999</v>
      </c>
      <c r="E205" s="78">
        <f>(0.75*(2.74+2.13))*10.764</f>
        <v>39.315509999999996</v>
      </c>
      <c r="F205" s="78">
        <f t="shared" si="23"/>
        <v>255.13370999999998</v>
      </c>
      <c r="G205" s="78">
        <v>0</v>
      </c>
      <c r="H205" s="78">
        <f t="shared" si="24"/>
        <v>369.94387949999998</v>
      </c>
      <c r="I205" s="33"/>
      <c r="L205" s="128"/>
      <c r="M205" s="128"/>
      <c r="N205" s="33"/>
      <c r="T205" s="18"/>
    </row>
    <row r="206" spans="1:20" s="79" customFormat="1" ht="15.75" customHeight="1" x14ac:dyDescent="0.35">
      <c r="A206" s="118">
        <f t="shared" ref="A206:A209" si="25">A205+1</f>
        <v>9</v>
      </c>
      <c r="B206" s="119"/>
      <c r="C206" s="78" t="s">
        <v>386</v>
      </c>
      <c r="D206" s="78">
        <f>(34.49)*10.764</f>
        <v>371.25036</v>
      </c>
      <c r="E206" s="78">
        <f>(0.75*(2.9+2.13))*10.764</f>
        <v>40.607189999999996</v>
      </c>
      <c r="F206" s="78">
        <f t="shared" ref="F206:F209" si="26">D206+E206</f>
        <v>411.85755</v>
      </c>
      <c r="G206" s="78">
        <v>0</v>
      </c>
      <c r="H206" s="78">
        <f t="shared" ref="H206:H209" si="27">F206*(($H$172)+1)+(IF(G206&lt;101,G206,IF(G206&lt;201,G206/2,IF(G206&lt;=301,G206/3,G206/4))))</f>
        <v>597.19344749999993</v>
      </c>
      <c r="I206" s="33"/>
      <c r="L206" s="128"/>
      <c r="M206" s="128"/>
      <c r="N206" s="33">
        <v>2</v>
      </c>
      <c r="T206" s="18"/>
    </row>
    <row r="207" spans="1:20" s="79" customFormat="1" ht="15.75" customHeight="1" x14ac:dyDescent="0.35">
      <c r="A207" s="118">
        <f t="shared" si="25"/>
        <v>10</v>
      </c>
      <c r="B207" s="119"/>
      <c r="C207" s="78" t="s">
        <v>386</v>
      </c>
      <c r="D207" s="78">
        <f>(34.49)*10.764</f>
        <v>371.25036</v>
      </c>
      <c r="E207" s="78">
        <f>(0.75*(2.9+2.13))*10.764</f>
        <v>40.607189999999996</v>
      </c>
      <c r="F207" s="78">
        <f t="shared" si="26"/>
        <v>411.85755</v>
      </c>
      <c r="G207" s="78">
        <v>0</v>
      </c>
      <c r="H207" s="78">
        <f t="shared" si="27"/>
        <v>597.19344749999993</v>
      </c>
      <c r="I207" s="33"/>
      <c r="L207" s="128"/>
      <c r="M207" s="128"/>
      <c r="N207" s="33"/>
      <c r="T207" s="18"/>
    </row>
    <row r="208" spans="1:20" s="79" customFormat="1" ht="15.75" customHeight="1" x14ac:dyDescent="0.35">
      <c r="A208" s="118">
        <f t="shared" si="25"/>
        <v>11</v>
      </c>
      <c r="B208" s="119"/>
      <c r="C208" s="78" t="s">
        <v>392</v>
      </c>
      <c r="D208" s="78">
        <f>(20.05)*10.764</f>
        <v>215.81819999999999</v>
      </c>
      <c r="E208" s="78">
        <f>(0.75*(2.74+2.13))*10.764</f>
        <v>39.315509999999996</v>
      </c>
      <c r="F208" s="78">
        <f t="shared" si="26"/>
        <v>255.13370999999998</v>
      </c>
      <c r="G208" s="78">
        <v>0</v>
      </c>
      <c r="H208" s="78">
        <f t="shared" si="27"/>
        <v>369.94387949999998</v>
      </c>
      <c r="I208" s="33"/>
      <c r="L208" s="128"/>
      <c r="M208" s="128"/>
      <c r="N208" s="33"/>
      <c r="T208" s="18"/>
    </row>
    <row r="209" spans="1:20" s="79" customFormat="1" ht="15.75" customHeight="1" x14ac:dyDescent="0.35">
      <c r="A209" s="118">
        <f t="shared" si="25"/>
        <v>12</v>
      </c>
      <c r="B209" s="119"/>
      <c r="C209" s="78" t="s">
        <v>392</v>
      </c>
      <c r="D209" s="78">
        <f>(20.05)*10.764</f>
        <v>215.81819999999999</v>
      </c>
      <c r="E209" s="78">
        <f>(0.75*(2.74+2.13))*10.764</f>
        <v>39.315509999999996</v>
      </c>
      <c r="F209" s="78">
        <f t="shared" si="26"/>
        <v>255.13370999999998</v>
      </c>
      <c r="G209" s="78">
        <v>0</v>
      </c>
      <c r="H209" s="78">
        <f t="shared" si="27"/>
        <v>369.94387949999998</v>
      </c>
      <c r="I209" s="33"/>
      <c r="L209" s="128"/>
      <c r="M209" s="128"/>
      <c r="N209" s="33"/>
      <c r="T209" s="18"/>
    </row>
    <row r="210" spans="1:20" s="32" customFormat="1" x14ac:dyDescent="0.35">
      <c r="A210" s="220" t="s">
        <v>63</v>
      </c>
      <c r="B210" s="220"/>
      <c r="C210" s="220"/>
      <c r="D210" s="220"/>
      <c r="E210" s="220"/>
      <c r="F210" s="220"/>
      <c r="G210" s="220"/>
      <c r="H210" s="220"/>
      <c r="T210" s="34"/>
    </row>
    <row r="211" spans="1:20" s="32" customFormat="1" x14ac:dyDescent="0.35">
      <c r="A211" s="41" t="s">
        <v>148</v>
      </c>
      <c r="B211" s="103" t="s">
        <v>409</v>
      </c>
      <c r="C211" s="104"/>
      <c r="D211" s="104"/>
      <c r="E211" s="104"/>
      <c r="F211" s="104"/>
      <c r="G211" s="104"/>
      <c r="H211" s="105"/>
      <c r="T211" s="34"/>
    </row>
    <row r="212" spans="1:20" s="32" customFormat="1" x14ac:dyDescent="0.35">
      <c r="A212" s="41" t="s">
        <v>148</v>
      </c>
      <c r="B212" s="103" t="str">
        <f>(IF(H171="Saleable area Loading :","We have considered Saleable area of Flats as per our Calculation.","We considered Saleable area of Flat as per Builder area Sheet."))</f>
        <v>We have considered Saleable area of Flats as per our Calculation.</v>
      </c>
      <c r="C212" s="104"/>
      <c r="D212" s="104"/>
      <c r="E212" s="104"/>
      <c r="F212" s="104"/>
      <c r="G212" s="104"/>
      <c r="H212" s="105"/>
      <c r="T212" s="34"/>
    </row>
    <row r="213" spans="1:20" s="32" customFormat="1" x14ac:dyDescent="0.35">
      <c r="A213" s="41" t="s">
        <v>148</v>
      </c>
      <c r="B213" s="103" t="str">
        <f>(IF(H158="Saleable area Loading :","We have considered Saleable area of Commercial as per our Calculation.","We considered Saleable area of Commercial as per Builder area Sheet."))</f>
        <v>We have considered Saleable area of Commercial as per our Calculation.</v>
      </c>
      <c r="C213" s="104"/>
      <c r="D213" s="104"/>
      <c r="E213" s="104"/>
      <c r="F213" s="104"/>
      <c r="G213" s="104"/>
      <c r="H213" s="105"/>
      <c r="T213" s="34"/>
    </row>
    <row r="214" spans="1:20" s="32" customFormat="1" x14ac:dyDescent="0.35">
      <c r="A214" s="41" t="s">
        <v>148</v>
      </c>
      <c r="B214" s="95" t="s">
        <v>118</v>
      </c>
      <c r="C214" s="96"/>
      <c r="D214" s="96"/>
      <c r="E214" s="96"/>
      <c r="F214" s="96"/>
      <c r="G214" s="96"/>
      <c r="H214" s="97"/>
      <c r="T214" s="34"/>
    </row>
    <row r="215" spans="1:20" s="32" customFormat="1" x14ac:dyDescent="0.35">
      <c r="A215" s="41" t="s">
        <v>148</v>
      </c>
      <c r="B215" s="95" t="s">
        <v>397</v>
      </c>
      <c r="C215" s="96"/>
      <c r="D215" s="96"/>
      <c r="E215" s="96"/>
      <c r="F215" s="96"/>
      <c r="G215" s="96"/>
      <c r="H215" s="97"/>
      <c r="T215" s="34"/>
    </row>
    <row r="216" spans="1:20" s="32" customFormat="1" x14ac:dyDescent="0.35">
      <c r="A216" s="41" t="s">
        <v>148</v>
      </c>
      <c r="B216" s="95" t="s">
        <v>147</v>
      </c>
      <c r="C216" s="96"/>
      <c r="D216" s="96"/>
      <c r="E216" s="96"/>
      <c r="F216" s="96"/>
      <c r="G216" s="96"/>
      <c r="H216" s="97"/>
    </row>
    <row r="217" spans="1:20" s="32" customFormat="1" x14ac:dyDescent="0.35">
      <c r="A217" s="41" t="s">
        <v>148</v>
      </c>
      <c r="B217" s="95" t="s">
        <v>119</v>
      </c>
      <c r="C217" s="96"/>
      <c r="D217" s="96"/>
      <c r="E217" s="96"/>
      <c r="F217" s="96"/>
      <c r="G217" s="96"/>
      <c r="H217" s="97"/>
    </row>
    <row r="218" spans="1:20" s="32" customFormat="1" ht="34.5" customHeight="1" x14ac:dyDescent="0.35">
      <c r="A218" s="41" t="s">
        <v>148</v>
      </c>
      <c r="B218" s="95" t="s">
        <v>149</v>
      </c>
      <c r="C218" s="96"/>
      <c r="D218" s="96"/>
      <c r="E218" s="96"/>
      <c r="F218" s="96"/>
      <c r="G218" s="96"/>
      <c r="H218" s="97"/>
    </row>
    <row r="219" spans="1:20" s="32" customFormat="1" x14ac:dyDescent="0.35">
      <c r="A219" s="41" t="s">
        <v>148</v>
      </c>
      <c r="B219" s="95" t="s">
        <v>120</v>
      </c>
      <c r="C219" s="96"/>
      <c r="D219" s="96"/>
      <c r="E219" s="96"/>
      <c r="F219" s="96"/>
      <c r="G219" s="96"/>
      <c r="H219" s="97"/>
    </row>
    <row r="220" spans="1:20" s="32" customFormat="1" x14ac:dyDescent="0.35">
      <c r="A220" s="47" t="s">
        <v>148</v>
      </c>
      <c r="B220" s="103" t="s">
        <v>398</v>
      </c>
      <c r="C220" s="104"/>
      <c r="D220" s="104"/>
      <c r="E220" s="104"/>
      <c r="F220" s="104"/>
      <c r="G220" s="104"/>
      <c r="H220" s="105"/>
    </row>
    <row r="221" spans="1:20" s="32" customFormat="1" hidden="1" x14ac:dyDescent="0.35">
      <c r="A221" s="51" t="s">
        <v>148</v>
      </c>
      <c r="B221" s="222" t="s">
        <v>228</v>
      </c>
      <c r="C221" s="223"/>
      <c r="D221" s="223"/>
      <c r="E221" s="223"/>
      <c r="F221" s="223"/>
      <c r="G221" s="223"/>
      <c r="H221" s="224"/>
    </row>
    <row r="222" spans="1:20" s="32" customFormat="1" ht="66.75" customHeight="1" x14ac:dyDescent="0.35">
      <c r="A222" s="80" t="s">
        <v>148</v>
      </c>
      <c r="B222" s="103" t="s">
        <v>406</v>
      </c>
      <c r="C222" s="104"/>
      <c r="D222" s="104"/>
      <c r="E222" s="104"/>
      <c r="F222" s="104"/>
      <c r="G222" s="104"/>
      <c r="H222" s="105"/>
    </row>
    <row r="223" spans="1:20" s="32" customFormat="1" x14ac:dyDescent="0.35">
      <c r="A223" s="90" t="s">
        <v>148</v>
      </c>
      <c r="B223" s="103" t="s">
        <v>403</v>
      </c>
      <c r="C223" s="104"/>
      <c r="D223" s="104"/>
      <c r="E223" s="104"/>
      <c r="F223" s="104"/>
      <c r="G223" s="104"/>
      <c r="H223" s="105"/>
    </row>
    <row r="224" spans="1:20" x14ac:dyDescent="0.35">
      <c r="A224" s="174"/>
      <c r="B224" s="174"/>
      <c r="C224" s="174"/>
      <c r="D224" s="174"/>
      <c r="E224" s="174"/>
      <c r="F224" s="174"/>
      <c r="G224" s="174"/>
      <c r="H224" s="174"/>
      <c r="T224" s="32"/>
    </row>
    <row r="225" spans="1:20" x14ac:dyDescent="0.35">
      <c r="A225" s="100" t="s">
        <v>57</v>
      </c>
      <c r="B225" s="100"/>
      <c r="C225" s="100"/>
      <c r="D225" s="100"/>
      <c r="E225" s="100"/>
      <c r="F225" s="100"/>
      <c r="G225" s="100"/>
      <c r="H225" s="100"/>
      <c r="T225" s="32"/>
    </row>
    <row r="226" spans="1:20" ht="15.75" customHeight="1" x14ac:dyDescent="0.35">
      <c r="A226" s="221" t="s">
        <v>58</v>
      </c>
      <c r="B226" s="221"/>
      <c r="C226" s="221"/>
      <c r="D226" s="221"/>
      <c r="E226" s="221"/>
      <c r="F226" s="221"/>
      <c r="G226" s="221"/>
      <c r="H226" s="221"/>
      <c r="T226" s="32"/>
    </row>
    <row r="227" spans="1:20" x14ac:dyDescent="0.35">
      <c r="A227" s="100" t="s">
        <v>59</v>
      </c>
      <c r="B227" s="100"/>
      <c r="C227" s="100"/>
      <c r="D227" s="100"/>
      <c r="E227" s="100"/>
      <c r="F227" s="100"/>
      <c r="G227" s="100"/>
      <c r="H227" s="100"/>
      <c r="T227" s="32"/>
    </row>
    <row r="228" spans="1:20" x14ac:dyDescent="0.35">
      <c r="A228" s="100" t="s">
        <v>60</v>
      </c>
      <c r="B228" s="100"/>
      <c r="C228" s="100"/>
      <c r="D228" s="100"/>
      <c r="E228" s="100"/>
      <c r="F228" s="100"/>
      <c r="G228" s="100"/>
      <c r="H228" s="100"/>
      <c r="T228" s="32"/>
    </row>
    <row r="229" spans="1:20" x14ac:dyDescent="0.35">
      <c r="A229" s="100" t="s">
        <v>121</v>
      </c>
      <c r="B229" s="100"/>
      <c r="C229" s="100"/>
      <c r="D229" s="100"/>
      <c r="E229" s="100"/>
      <c r="F229" s="100"/>
      <c r="G229" s="100"/>
      <c r="H229" s="100"/>
      <c r="T229" s="32"/>
    </row>
    <row r="230" spans="1:20" ht="34" customHeight="1" x14ac:dyDescent="0.35">
      <c r="A230" s="175" t="s">
        <v>122</v>
      </c>
      <c r="B230" s="175"/>
      <c r="C230" s="175"/>
      <c r="D230" s="175"/>
      <c r="E230" s="175"/>
      <c r="F230" s="175"/>
      <c r="G230" s="175"/>
      <c r="H230" s="175"/>
    </row>
    <row r="231" spans="1:20" x14ac:dyDescent="0.35">
      <c r="A231" s="189" t="s">
        <v>72</v>
      </c>
      <c r="B231" s="189"/>
      <c r="C231" s="189" t="s">
        <v>399</v>
      </c>
      <c r="D231" s="189"/>
      <c r="E231" s="189" t="s">
        <v>102</v>
      </c>
      <c r="F231" s="189"/>
      <c r="G231" s="189" t="s">
        <v>410</v>
      </c>
      <c r="H231" s="189"/>
    </row>
    <row r="232" spans="1:20" x14ac:dyDescent="0.35">
      <c r="A232" s="188" t="s">
        <v>74</v>
      </c>
      <c r="B232" s="188"/>
      <c r="C232" s="188"/>
      <c r="D232" s="188"/>
      <c r="E232" s="188"/>
      <c r="F232" s="188"/>
      <c r="G232" s="188"/>
      <c r="H232" s="188"/>
    </row>
    <row r="233" spans="1:20" x14ac:dyDescent="0.35">
      <c r="A233" s="188"/>
      <c r="B233" s="188"/>
      <c r="C233" s="188"/>
      <c r="D233" s="188"/>
      <c r="E233" s="188"/>
      <c r="F233" s="188"/>
      <c r="G233" s="188"/>
      <c r="H233" s="188"/>
    </row>
    <row r="234" spans="1:20" x14ac:dyDescent="0.35">
      <c r="A234" s="188"/>
      <c r="B234" s="188"/>
      <c r="C234" s="188"/>
      <c r="D234" s="188"/>
      <c r="E234" s="188"/>
      <c r="F234" s="188"/>
      <c r="G234" s="188"/>
      <c r="H234" s="188"/>
    </row>
    <row r="235" spans="1:20" ht="36" customHeight="1" x14ac:dyDescent="0.35">
      <c r="A235" s="35" t="s">
        <v>61</v>
      </c>
      <c r="B235" s="36"/>
      <c r="C235" s="36"/>
      <c r="D235" s="219" t="str">
        <f>E10</f>
        <v>Heramb Aarambha - C Wing And Amenity Building &amp; Heramb Aarambha - Phase 2</v>
      </c>
      <c r="E235" s="219"/>
      <c r="F235" s="219"/>
      <c r="G235" s="219"/>
      <c r="H235" s="219"/>
    </row>
    <row r="236" spans="1:20" x14ac:dyDescent="0.35">
      <c r="A236" s="36"/>
      <c r="B236" s="36"/>
      <c r="C236" s="36"/>
      <c r="D236" s="36"/>
      <c r="E236" s="36"/>
      <c r="F236" s="36"/>
      <c r="G236" s="36"/>
      <c r="H236" s="36"/>
    </row>
    <row r="237" spans="1:20" x14ac:dyDescent="0.35">
      <c r="A237" s="36"/>
      <c r="B237" s="36"/>
      <c r="C237" s="36"/>
      <c r="D237" s="36"/>
      <c r="E237" s="36"/>
      <c r="F237" s="36"/>
      <c r="G237" s="36"/>
      <c r="H237" s="36"/>
    </row>
    <row r="238" spans="1:20" ht="15" customHeight="1" x14ac:dyDescent="0.35"/>
    <row r="278" spans="1:1" x14ac:dyDescent="0.35">
      <c r="A278" s="38" t="s">
        <v>159</v>
      </c>
    </row>
    <row r="322" spans="1:1" x14ac:dyDescent="0.35">
      <c r="A322" s="38" t="s">
        <v>62</v>
      </c>
    </row>
  </sheetData>
  <mergeCells count="422">
    <mergeCell ref="I12:L12"/>
    <mergeCell ref="D235:H235"/>
    <mergeCell ref="A206:B206"/>
    <mergeCell ref="L206:M206"/>
    <mergeCell ref="A207:B207"/>
    <mergeCell ref="L207:M207"/>
    <mergeCell ref="A208:B208"/>
    <mergeCell ref="L208:M208"/>
    <mergeCell ref="A209:B209"/>
    <mergeCell ref="L209:M209"/>
    <mergeCell ref="A210:H210"/>
    <mergeCell ref="A229:H229"/>
    <mergeCell ref="A226:H226"/>
    <mergeCell ref="B215:H215"/>
    <mergeCell ref="B211:H211"/>
    <mergeCell ref="B212:H212"/>
    <mergeCell ref="B214:H214"/>
    <mergeCell ref="A225:H225"/>
    <mergeCell ref="B220:H220"/>
    <mergeCell ref="B223:H223"/>
    <mergeCell ref="B221:H221"/>
    <mergeCell ref="B222:H222"/>
    <mergeCell ref="L190:M190"/>
    <mergeCell ref="A191:B191"/>
    <mergeCell ref="L193:M193"/>
    <mergeCell ref="A194:B194"/>
    <mergeCell ref="L194:M194"/>
    <mergeCell ref="L204:M204"/>
    <mergeCell ref="A205:B205"/>
    <mergeCell ref="L205:M205"/>
    <mergeCell ref="A195:H195"/>
    <mergeCell ref="A196:H196"/>
    <mergeCell ref="A197:H197"/>
    <mergeCell ref="A198:B198"/>
    <mergeCell ref="L198:M198"/>
    <mergeCell ref="A199:B199"/>
    <mergeCell ref="L199:M199"/>
    <mergeCell ref="A200:B200"/>
    <mergeCell ref="L200:M200"/>
    <mergeCell ref="A201:B201"/>
    <mergeCell ref="L201:M201"/>
    <mergeCell ref="A202:B202"/>
    <mergeCell ref="L202:M202"/>
    <mergeCell ref="A203:B203"/>
    <mergeCell ref="L203:M203"/>
    <mergeCell ref="L187:M187"/>
    <mergeCell ref="A188:B188"/>
    <mergeCell ref="L188:M188"/>
    <mergeCell ref="A189:B189"/>
    <mergeCell ref="L189:M189"/>
    <mergeCell ref="A174:H174"/>
    <mergeCell ref="A180:B180"/>
    <mergeCell ref="L180:M180"/>
    <mergeCell ref="A181:B181"/>
    <mergeCell ref="L181:M181"/>
    <mergeCell ref="A182:B182"/>
    <mergeCell ref="L182:M182"/>
    <mergeCell ref="A183:B183"/>
    <mergeCell ref="L183:M183"/>
    <mergeCell ref="A175:H175"/>
    <mergeCell ref="A176:B176"/>
    <mergeCell ref="A184:H184"/>
    <mergeCell ref="A185:H185"/>
    <mergeCell ref="A186:H186"/>
    <mergeCell ref="A187:B187"/>
    <mergeCell ref="L191:M191"/>
    <mergeCell ref="A192:B192"/>
    <mergeCell ref="L192:M192"/>
    <mergeCell ref="L166:M166"/>
    <mergeCell ref="A167:B167"/>
    <mergeCell ref="L167:M167"/>
    <mergeCell ref="A168:B168"/>
    <mergeCell ref="L168:M168"/>
    <mergeCell ref="A160:H160"/>
    <mergeCell ref="A169:H169"/>
    <mergeCell ref="A173:H173"/>
    <mergeCell ref="F171:F172"/>
    <mergeCell ref="A162:B162"/>
    <mergeCell ref="L165:M165"/>
    <mergeCell ref="L164:M164"/>
    <mergeCell ref="L163:M163"/>
    <mergeCell ref="L162:M162"/>
    <mergeCell ref="A166:B166"/>
    <mergeCell ref="A123:B123"/>
    <mergeCell ref="E123:F132"/>
    <mergeCell ref="G123:H132"/>
    <mergeCell ref="A124:B124"/>
    <mergeCell ref="A125:B125"/>
    <mergeCell ref="A126:B126"/>
    <mergeCell ref="A127:B127"/>
    <mergeCell ref="A128:B128"/>
    <mergeCell ref="A129:B129"/>
    <mergeCell ref="A130:B130"/>
    <mergeCell ref="A131:B131"/>
    <mergeCell ref="A132:B132"/>
    <mergeCell ref="D71:H71"/>
    <mergeCell ref="A89:B89"/>
    <mergeCell ref="A90:B90"/>
    <mergeCell ref="A85:B85"/>
    <mergeCell ref="A82:B82"/>
    <mergeCell ref="A84:B84"/>
    <mergeCell ref="A122:B122"/>
    <mergeCell ref="E122:F122"/>
    <mergeCell ref="G122:H122"/>
    <mergeCell ref="A87:B87"/>
    <mergeCell ref="A103:B103"/>
    <mergeCell ref="A110:B110"/>
    <mergeCell ref="A111:B111"/>
    <mergeCell ref="A99:B99"/>
    <mergeCell ref="A101:B101"/>
    <mergeCell ref="A80:B80"/>
    <mergeCell ref="A88:B88"/>
    <mergeCell ref="E95:F104"/>
    <mergeCell ref="A105:B105"/>
    <mergeCell ref="C105:H105"/>
    <mergeCell ref="A107:B107"/>
    <mergeCell ref="C107:H107"/>
    <mergeCell ref="A86:B86"/>
    <mergeCell ref="A51:B51"/>
    <mergeCell ref="D68:H68"/>
    <mergeCell ref="C53:E53"/>
    <mergeCell ref="A74:C74"/>
    <mergeCell ref="D75:H75"/>
    <mergeCell ref="A81:B81"/>
    <mergeCell ref="G80:H80"/>
    <mergeCell ref="E80:F80"/>
    <mergeCell ref="A79:B79"/>
    <mergeCell ref="A77:B77"/>
    <mergeCell ref="C77:H77"/>
    <mergeCell ref="A72:C72"/>
    <mergeCell ref="D72:H72"/>
    <mergeCell ref="C79:H79"/>
    <mergeCell ref="A73:C73"/>
    <mergeCell ref="D73:H73"/>
    <mergeCell ref="A76:C76"/>
    <mergeCell ref="D76:H76"/>
    <mergeCell ref="A75:C75"/>
    <mergeCell ref="D66:H66"/>
    <mergeCell ref="D67:H67"/>
    <mergeCell ref="D69:H69"/>
    <mergeCell ref="A66:C69"/>
    <mergeCell ref="I16:P16"/>
    <mergeCell ref="F143:H143"/>
    <mergeCell ref="F141:H141"/>
    <mergeCell ref="A157:H157"/>
    <mergeCell ref="G147:H147"/>
    <mergeCell ref="A142:E142"/>
    <mergeCell ref="A163:B163"/>
    <mergeCell ref="A61:B61"/>
    <mergeCell ref="C61:E61"/>
    <mergeCell ref="D63:H63"/>
    <mergeCell ref="F142:H142"/>
    <mergeCell ref="E147:F147"/>
    <mergeCell ref="A147:B147"/>
    <mergeCell ref="C150:D150"/>
    <mergeCell ref="D74:H74"/>
    <mergeCell ref="D64:H64"/>
    <mergeCell ref="G61:H61"/>
    <mergeCell ref="A55:B56"/>
    <mergeCell ref="C55:E55"/>
    <mergeCell ref="G55:H55"/>
    <mergeCell ref="A57:B58"/>
    <mergeCell ref="C57:E57"/>
    <mergeCell ref="E44:H44"/>
    <mergeCell ref="A44:D44"/>
    <mergeCell ref="A104:B104"/>
    <mergeCell ref="F140:H140"/>
    <mergeCell ref="C147:D147"/>
    <mergeCell ref="C154:D154"/>
    <mergeCell ref="F133:H133"/>
    <mergeCell ref="F138:H138"/>
    <mergeCell ref="A139:E139"/>
    <mergeCell ref="F139:H139"/>
    <mergeCell ref="A141:E141"/>
    <mergeCell ref="F136:H136"/>
    <mergeCell ref="A140:E140"/>
    <mergeCell ref="E150:F150"/>
    <mergeCell ref="A119:B119"/>
    <mergeCell ref="C119:H119"/>
    <mergeCell ref="A121:B121"/>
    <mergeCell ref="C121:H121"/>
    <mergeCell ref="A153:B153"/>
    <mergeCell ref="C153:D153"/>
    <mergeCell ref="E153:F153"/>
    <mergeCell ref="G153:H153"/>
    <mergeCell ref="C152:D152"/>
    <mergeCell ref="E152:F152"/>
    <mergeCell ref="A108:B108"/>
    <mergeCell ref="E108:F108"/>
    <mergeCell ref="A204:B204"/>
    <mergeCell ref="A190:B190"/>
    <mergeCell ref="A136:E136"/>
    <mergeCell ref="A133:E133"/>
    <mergeCell ref="F137:H137"/>
    <mergeCell ref="E154:F154"/>
    <mergeCell ref="A143:E143"/>
    <mergeCell ref="C151:D151"/>
    <mergeCell ref="G154:H154"/>
    <mergeCell ref="A152:B152"/>
    <mergeCell ref="F134:H134"/>
    <mergeCell ref="G148:H148"/>
    <mergeCell ref="A193:B193"/>
    <mergeCell ref="E15:H15"/>
    <mergeCell ref="A16:D16"/>
    <mergeCell ref="G152:H152"/>
    <mergeCell ref="A118:B118"/>
    <mergeCell ref="A232:H234"/>
    <mergeCell ref="A231:B231"/>
    <mergeCell ref="E231:F231"/>
    <mergeCell ref="C231:D231"/>
    <mergeCell ref="G231:H231"/>
    <mergeCell ref="A146:H146"/>
    <mergeCell ref="A144:E144"/>
    <mergeCell ref="F144:H144"/>
    <mergeCell ref="A145:E145"/>
    <mergeCell ref="F145:H145"/>
    <mergeCell ref="A151:B151"/>
    <mergeCell ref="A148:B148"/>
    <mergeCell ref="A227:H227"/>
    <mergeCell ref="A149:H149"/>
    <mergeCell ref="A230:H230"/>
    <mergeCell ref="A228:H228"/>
    <mergeCell ref="A224:H224"/>
    <mergeCell ref="G150:H150"/>
    <mergeCell ref="B216:H216"/>
    <mergeCell ref="B218:H218"/>
    <mergeCell ref="A1:H1"/>
    <mergeCell ref="A2:H2"/>
    <mergeCell ref="A3:D3"/>
    <mergeCell ref="E3:H3"/>
    <mergeCell ref="A5:D5"/>
    <mergeCell ref="A10:D10"/>
    <mergeCell ref="E10:H10"/>
    <mergeCell ref="A11:D11"/>
    <mergeCell ref="E11:H11"/>
    <mergeCell ref="E5:H5"/>
    <mergeCell ref="A6:D6"/>
    <mergeCell ref="E6:H6"/>
    <mergeCell ref="A7:D7"/>
    <mergeCell ref="E7:H7"/>
    <mergeCell ref="A8:D8"/>
    <mergeCell ref="E8:H8"/>
    <mergeCell ref="A4:D4"/>
    <mergeCell ref="E4:H4"/>
    <mergeCell ref="A9:D9"/>
    <mergeCell ref="E9:H9"/>
    <mergeCell ref="A12:D12"/>
    <mergeCell ref="E12:H12"/>
    <mergeCell ref="A24:D25"/>
    <mergeCell ref="E24:H25"/>
    <mergeCell ref="E16:H16"/>
    <mergeCell ref="A17:B17"/>
    <mergeCell ref="C17:H17"/>
    <mergeCell ref="C18:H18"/>
    <mergeCell ref="A19:B19"/>
    <mergeCell ref="C19:H19"/>
    <mergeCell ref="A14:D14"/>
    <mergeCell ref="E14:H14"/>
    <mergeCell ref="A13:D13"/>
    <mergeCell ref="E13:H13"/>
    <mergeCell ref="A18:B18"/>
    <mergeCell ref="A15:D15"/>
    <mergeCell ref="A20:B20"/>
    <mergeCell ref="C20:D20"/>
    <mergeCell ref="E20:F20"/>
    <mergeCell ref="G20:H20"/>
    <mergeCell ref="A21:B21"/>
    <mergeCell ref="C21:D21"/>
    <mergeCell ref="E21:F21"/>
    <mergeCell ref="G21:H21"/>
    <mergeCell ref="A27:D27"/>
    <mergeCell ref="E27:H27"/>
    <mergeCell ref="A26:D26"/>
    <mergeCell ref="E26:H26"/>
    <mergeCell ref="A31:D31"/>
    <mergeCell ref="E31:H31"/>
    <mergeCell ref="A28:D28"/>
    <mergeCell ref="A22:B22"/>
    <mergeCell ref="C22:D22"/>
    <mergeCell ref="E22:F22"/>
    <mergeCell ref="G22:H22"/>
    <mergeCell ref="A23:B23"/>
    <mergeCell ref="C23:D23"/>
    <mergeCell ref="E23:F23"/>
    <mergeCell ref="G23:H23"/>
    <mergeCell ref="E28:H28"/>
    <mergeCell ref="A37:B37"/>
    <mergeCell ref="C37:E37"/>
    <mergeCell ref="A32:D32"/>
    <mergeCell ref="E32:H32"/>
    <mergeCell ref="A33:D33"/>
    <mergeCell ref="E33:H33"/>
    <mergeCell ref="A29:D29"/>
    <mergeCell ref="E29:H29"/>
    <mergeCell ref="C34:E34"/>
    <mergeCell ref="F37:H37"/>
    <mergeCell ref="F34:H34"/>
    <mergeCell ref="A35:B35"/>
    <mergeCell ref="A34:B34"/>
    <mergeCell ref="C35:E35"/>
    <mergeCell ref="A36:B36"/>
    <mergeCell ref="C36:E36"/>
    <mergeCell ref="F35:H35"/>
    <mergeCell ref="F36:H36"/>
    <mergeCell ref="A30:D30"/>
    <mergeCell ref="E30:H30"/>
    <mergeCell ref="A41:B41"/>
    <mergeCell ref="E46:H46"/>
    <mergeCell ref="E47:H47"/>
    <mergeCell ref="E48:H48"/>
    <mergeCell ref="C58:H58"/>
    <mergeCell ref="C60:H60"/>
    <mergeCell ref="A49:H49"/>
    <mergeCell ref="D65:H65"/>
    <mergeCell ref="A65:C65"/>
    <mergeCell ref="A46:D46"/>
    <mergeCell ref="A50:B50"/>
    <mergeCell ref="C50:H50"/>
    <mergeCell ref="A48:D48"/>
    <mergeCell ref="G53:H53"/>
    <mergeCell ref="A62:H62"/>
    <mergeCell ref="A63:C63"/>
    <mergeCell ref="A64:C64"/>
    <mergeCell ref="C54:H54"/>
    <mergeCell ref="A45:D45"/>
    <mergeCell ref="E45:H45"/>
    <mergeCell ref="A109:B109"/>
    <mergeCell ref="A39:H39"/>
    <mergeCell ref="A38:B38"/>
    <mergeCell ref="C38:E38"/>
    <mergeCell ref="A43:D43"/>
    <mergeCell ref="E43:H43"/>
    <mergeCell ref="A42:H42"/>
    <mergeCell ref="A70:C70"/>
    <mergeCell ref="A71:C71"/>
    <mergeCell ref="D70:H70"/>
    <mergeCell ref="F38:H38"/>
    <mergeCell ref="C52:E52"/>
    <mergeCell ref="C51:E51"/>
    <mergeCell ref="G51:H51"/>
    <mergeCell ref="A52:B52"/>
    <mergeCell ref="G57:H57"/>
    <mergeCell ref="A59:B60"/>
    <mergeCell ref="C59:E59"/>
    <mergeCell ref="G59:H59"/>
    <mergeCell ref="G52:H52"/>
    <mergeCell ref="A53:B54"/>
    <mergeCell ref="A40:B40"/>
    <mergeCell ref="C40:H40"/>
    <mergeCell ref="A47:D47"/>
    <mergeCell ref="L179:M179"/>
    <mergeCell ref="L176:M176"/>
    <mergeCell ref="A177:B177"/>
    <mergeCell ref="G155:H155"/>
    <mergeCell ref="L177:M177"/>
    <mergeCell ref="A178:B178"/>
    <mergeCell ref="L178:M178"/>
    <mergeCell ref="C56:H56"/>
    <mergeCell ref="A179:B179"/>
    <mergeCell ref="A117:B117"/>
    <mergeCell ref="A93:B93"/>
    <mergeCell ref="G158:G159"/>
    <mergeCell ref="A83:B83"/>
    <mergeCell ref="E81:F90"/>
    <mergeCell ref="G81:H90"/>
    <mergeCell ref="A138:E138"/>
    <mergeCell ref="A91:B91"/>
    <mergeCell ref="C91:H91"/>
    <mergeCell ref="A161:H161"/>
    <mergeCell ref="E158:E159"/>
    <mergeCell ref="A95:B95"/>
    <mergeCell ref="C93:H93"/>
    <mergeCell ref="A96:B96"/>
    <mergeCell ref="A97:B97"/>
    <mergeCell ref="A171:A172"/>
    <mergeCell ref="C41:H41"/>
    <mergeCell ref="F158:F159"/>
    <mergeCell ref="C148:D148"/>
    <mergeCell ref="E148:F148"/>
    <mergeCell ref="B158:B159"/>
    <mergeCell ref="A158:A159"/>
    <mergeCell ref="C171:C172"/>
    <mergeCell ref="G171:G172"/>
    <mergeCell ref="G95:H104"/>
    <mergeCell ref="A98:B98"/>
    <mergeCell ref="F135:H135"/>
    <mergeCell ref="A135:E135"/>
    <mergeCell ref="D158:D159"/>
    <mergeCell ref="A137:E137"/>
    <mergeCell ref="A112:B112"/>
    <mergeCell ref="A113:B113"/>
    <mergeCell ref="A114:B114"/>
    <mergeCell ref="A115:B115"/>
    <mergeCell ref="A116:B116"/>
    <mergeCell ref="A94:B94"/>
    <mergeCell ref="E94:F94"/>
    <mergeCell ref="A154:B154"/>
    <mergeCell ref="C158:C159"/>
    <mergeCell ref="I13:L13"/>
    <mergeCell ref="G108:H108"/>
    <mergeCell ref="G94:H94"/>
    <mergeCell ref="A100:B100"/>
    <mergeCell ref="E155:F155"/>
    <mergeCell ref="B219:H219"/>
    <mergeCell ref="B217:H217"/>
    <mergeCell ref="A102:B102"/>
    <mergeCell ref="A155:B155"/>
    <mergeCell ref="C155:D155"/>
    <mergeCell ref="E151:F151"/>
    <mergeCell ref="G151:H151"/>
    <mergeCell ref="A134:E134"/>
    <mergeCell ref="B171:B172"/>
    <mergeCell ref="B213:H213"/>
    <mergeCell ref="E109:F118"/>
    <mergeCell ref="G109:H118"/>
    <mergeCell ref="A150:B150"/>
    <mergeCell ref="D171:D172"/>
    <mergeCell ref="E171:E172"/>
    <mergeCell ref="A165:B165"/>
    <mergeCell ref="A164:B164"/>
    <mergeCell ref="A170:H170"/>
    <mergeCell ref="A156:H156"/>
  </mergeCells>
  <dataValidations count="17">
    <dataValidation type="list" allowBlank="1" showInputMessage="1" showErrorMessage="1" sqref="E5:H5">
      <formula1>OFFSET($L$3,1,MATCH($E4,$L$3:$P$3,0)-1,10,1)</formula1>
    </dataValidation>
    <dataValidation type="list" allowBlank="1" showInputMessage="1" showErrorMessage="1" sqref="A18:B18">
      <formula1>"CTS No,Survey No,Plot No,Gut No,FP No,"</formula1>
    </dataValidation>
    <dataValidation type="list" allowBlank="1" showInputMessage="1" showErrorMessage="1" sqref="G21:H21">
      <formula1>$S$14:$W$14</formula1>
    </dataValidation>
    <dataValidation type="list" allowBlank="1" showInputMessage="1" showErrorMessage="1" sqref="E158:E159">
      <formula1>"Attached Loft area,Attached Otla area,Attached Mezzanine area"</formula1>
    </dataValidation>
    <dataValidation type="list" allowBlank="1" showInputMessage="1" showErrorMessage="1" sqref="G231:H231">
      <formula1>"Kunal Kadam,Pranita Mhatre,Shruti Fule,Pooja Kawale,Gaurav Panchal,Shruti Tathare, Hitakshi Mhatre, Sachin Sawant"</formula1>
    </dataValidation>
    <dataValidation type="list" allowBlank="1" showInputMessage="1" showErrorMessage="1" sqref="F133:H133">
      <formula1>"On Saleable Area,On Builtup Area,On Carpet Area,On Plot Area"</formula1>
    </dataValidation>
    <dataValidation type="list" allowBlank="1" showInputMessage="1" showErrorMessage="1" sqref="F144:H144">
      <formula1>OFFSET($S$133,1,MATCH($G21,$S$133:$W$133,0)-1,15,1)</formula1>
    </dataValidation>
    <dataValidation type="list" allowBlank="1" showInputMessage="1" showErrorMessage="1" sqref="B158:B159">
      <formula1>"Shop No. (Sale Plan),Sale / Rehab,Sale / Mhada"</formula1>
    </dataValidation>
    <dataValidation type="list" allowBlank="1" showInputMessage="1" showErrorMessage="1" sqref="B171:B172">
      <formula1>"Flat No. (Sale Plan),Sale / Rehab,Sale / Mhada"</formula1>
    </dataValidation>
    <dataValidation type="list" allowBlank="1" showInputMessage="1" showErrorMessage="1" sqref="C22:D22">
      <formula1>OFFSET($S$14,1,MATCH($G21,$S$14:$W$14,0)-1,15,1)</formula1>
    </dataValidation>
    <dataValidation type="list" allowBlank="1" showInputMessage="1" showErrorMessage="1" sqref="Y14">
      <formula1>$D$5:$H$5</formula1>
    </dataValidation>
    <dataValidation type="list" allowBlank="1" showInputMessage="1" showErrorMessage="1" sqref="E171:E172">
      <formula1>"Fungible area,Balcony Area,Chajja Area,Cornice Area,AP Area,WS Area"</formula1>
    </dataValidation>
    <dataValidation type="list" allowBlank="1" showInputMessage="1" showErrorMessage="1" sqref="H159 H172">
      <formula1>".45,.50,.55,.60"</formula1>
    </dataValidation>
    <dataValidation type="list" allowBlank="1" showInputMessage="1" showErrorMessage="1" sqref="E4:H4">
      <formula1>$L$3:$P$3</formula1>
    </dataValidation>
    <dataValidation type="list" allowBlank="1" showInputMessage="1" showErrorMessage="1" sqref="C50:H50">
      <formula1>OFFSET($S$50,1,MATCH($G21,$S$50:$W$50,0)-1,15,1)</formula1>
    </dataValidation>
    <dataValidation type="list" allowBlank="1" showInputMessage="1" showErrorMessage="1" sqref="H158 H171">
      <formula1>"Saleable area Loading :,Builder Saleable Area"</formula1>
    </dataValidation>
    <dataValidation type="list" allowBlank="1" showInputMessage="1" showErrorMessage="1" sqref="D158:D159 D171:D172">
      <formula1>"Carpet area,RERA Carpet area"</formula1>
    </dataValidation>
  </dataValidations>
  <hyperlinks>
    <hyperlink ref="C41" r:id="rId1"/>
  </hyperlinks>
  <printOptions horizontalCentered="1"/>
  <pageMargins left="0.39370078740157483" right="0.39370078740157483" top="0.82677165354330717" bottom="0.78740157480314965" header="0.15748031496062992" footer="0.19685039370078741"/>
  <pageSetup paperSize="2" scale="96" fitToHeight="0" orientation="portrait" r:id="rId2"/>
  <headerFooter>
    <oddHeader>&amp;C&amp;G</oddHeader>
    <oddFooter>&amp;L&amp;"Times New Roman,Bold"&amp;12Ref No: &amp;F&amp;C&amp;G&amp;R&amp;"Times New Roman,Bold"&amp;12&amp;P</oddFooter>
  </headerFooter>
  <rowBreaks count="4" manualBreakCount="4">
    <brk id="104" max="16383" man="1"/>
    <brk id="234" max="16383" man="1"/>
    <brk id="277" max="16383" man="1"/>
    <brk id="32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25" t="s">
        <v>103</v>
      </c>
      <c r="C3" s="225"/>
      <c r="D3" s="225"/>
      <c r="E3" s="225"/>
      <c r="F3" s="225"/>
      <c r="G3" s="225"/>
      <c r="H3" s="225"/>
    </row>
    <row r="4" spans="1:9" x14ac:dyDescent="0.35">
      <c r="A4" s="2"/>
      <c r="B4" s="3" t="s">
        <v>104</v>
      </c>
      <c r="C4" s="3" t="s">
        <v>105</v>
      </c>
      <c r="D4" s="3" t="s">
        <v>64</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8"/>
      <c r="C4" s="48" t="s">
        <v>10</v>
      </c>
      <c r="D4" s="49" t="s">
        <v>174</v>
      </c>
      <c r="E4" s="49" t="s">
        <v>184</v>
      </c>
      <c r="F4" s="49" t="s">
        <v>168</v>
      </c>
      <c r="G4" s="49" t="s">
        <v>189</v>
      </c>
      <c r="H4" s="49" t="s">
        <v>207</v>
      </c>
      <c r="J4" t="s">
        <v>189</v>
      </c>
      <c r="K4" t="s">
        <v>205</v>
      </c>
    </row>
    <row r="5" spans="2:11" x14ac:dyDescent="0.35">
      <c r="B5" s="48"/>
      <c r="C5" s="48"/>
      <c r="D5" s="49" t="s">
        <v>175</v>
      </c>
      <c r="E5" s="49" t="s">
        <v>182</v>
      </c>
      <c r="F5" s="49" t="s">
        <v>204</v>
      </c>
      <c r="G5" s="49" t="s">
        <v>190</v>
      </c>
      <c r="H5" s="49" t="s">
        <v>208</v>
      </c>
    </row>
    <row r="6" spans="2:11" x14ac:dyDescent="0.35">
      <c r="B6" s="48"/>
      <c r="C6" s="48"/>
      <c r="D6" s="49" t="s">
        <v>176</v>
      </c>
      <c r="E6" s="49" t="s">
        <v>183</v>
      </c>
      <c r="F6" s="49" t="s">
        <v>205</v>
      </c>
      <c r="G6" s="49" t="s">
        <v>191</v>
      </c>
      <c r="H6" s="49" t="s">
        <v>221</v>
      </c>
    </row>
    <row r="7" spans="2:11" x14ac:dyDescent="0.35">
      <c r="B7" s="48"/>
      <c r="C7" s="48"/>
      <c r="D7" s="49" t="s">
        <v>177</v>
      </c>
      <c r="E7" s="49" t="s">
        <v>185</v>
      </c>
      <c r="F7" s="49" t="s">
        <v>206</v>
      </c>
      <c r="G7" s="49" t="s">
        <v>192</v>
      </c>
      <c r="H7" s="49" t="s">
        <v>209</v>
      </c>
    </row>
    <row r="8" spans="2:11" x14ac:dyDescent="0.35">
      <c r="B8" s="48"/>
      <c r="C8" s="48"/>
      <c r="D8" s="49" t="s">
        <v>178</v>
      </c>
      <c r="E8" s="49" t="s">
        <v>186</v>
      </c>
      <c r="F8" s="49"/>
      <c r="G8" s="49" t="s">
        <v>193</v>
      </c>
      <c r="H8" s="49" t="s">
        <v>210</v>
      </c>
    </row>
    <row r="9" spans="2:11" x14ac:dyDescent="0.35">
      <c r="B9" s="48"/>
      <c r="C9" s="48"/>
      <c r="D9" s="49" t="s">
        <v>179</v>
      </c>
      <c r="E9" s="49" t="s">
        <v>184</v>
      </c>
      <c r="F9" s="49"/>
      <c r="G9" s="49" t="s">
        <v>194</v>
      </c>
      <c r="H9" s="49" t="s">
        <v>211</v>
      </c>
    </row>
    <row r="10" spans="2:11" x14ac:dyDescent="0.35">
      <c r="B10" s="48"/>
      <c r="C10" s="48"/>
      <c r="D10" s="49" t="s">
        <v>180</v>
      </c>
      <c r="E10" s="49" t="s">
        <v>187</v>
      </c>
      <c r="F10" s="49"/>
      <c r="G10" s="49" t="s">
        <v>195</v>
      </c>
      <c r="H10" s="49" t="s">
        <v>212</v>
      </c>
    </row>
    <row r="11" spans="2:11" x14ac:dyDescent="0.35">
      <c r="B11" s="48"/>
      <c r="C11" s="48"/>
      <c r="D11" s="49" t="s">
        <v>181</v>
      </c>
      <c r="E11" s="49" t="s">
        <v>188</v>
      </c>
      <c r="F11" s="49"/>
      <c r="G11" s="49" t="s">
        <v>196</v>
      </c>
      <c r="H11" s="49" t="s">
        <v>213</v>
      </c>
    </row>
    <row r="12" spans="2:11" x14ac:dyDescent="0.35">
      <c r="B12" s="48"/>
      <c r="C12" s="48"/>
      <c r="D12" s="49"/>
      <c r="E12" s="49"/>
      <c r="F12" s="49"/>
      <c r="G12" s="49" t="s">
        <v>197</v>
      </c>
      <c r="H12" s="49" t="s">
        <v>214</v>
      </c>
    </row>
    <row r="13" spans="2:11" x14ac:dyDescent="0.35">
      <c r="B13" s="48"/>
      <c r="C13" s="48"/>
      <c r="D13" s="49"/>
      <c r="E13" s="49"/>
      <c r="F13" s="49"/>
      <c r="G13" s="49" t="s">
        <v>198</v>
      </c>
      <c r="H13" s="49" t="s">
        <v>215</v>
      </c>
    </row>
    <row r="14" spans="2:11" x14ac:dyDescent="0.35">
      <c r="B14" s="48"/>
      <c r="C14" s="48"/>
      <c r="D14" s="49"/>
      <c r="E14" s="49"/>
      <c r="F14" s="49"/>
      <c r="G14" s="49" t="s">
        <v>199</v>
      </c>
      <c r="H14" s="49" t="s">
        <v>216</v>
      </c>
    </row>
    <row r="15" spans="2:11" x14ac:dyDescent="0.35">
      <c r="B15" s="48"/>
      <c r="C15" s="48"/>
      <c r="D15" s="49"/>
      <c r="E15" s="49"/>
      <c r="F15" s="49"/>
      <c r="G15" s="49" t="s">
        <v>200</v>
      </c>
      <c r="H15" s="49" t="s">
        <v>217</v>
      </c>
    </row>
    <row r="16" spans="2:11" x14ac:dyDescent="0.35">
      <c r="B16" s="48"/>
      <c r="C16" s="48"/>
      <c r="D16" s="49"/>
      <c r="E16" s="49"/>
      <c r="F16" s="49"/>
      <c r="G16" s="49" t="s">
        <v>201</v>
      </c>
      <c r="H16" s="49" t="s">
        <v>218</v>
      </c>
    </row>
    <row r="17" spans="2:8" x14ac:dyDescent="0.35">
      <c r="B17" s="48"/>
      <c r="C17" s="48"/>
      <c r="D17" s="49"/>
      <c r="E17" s="49"/>
      <c r="F17" s="49"/>
      <c r="G17" s="49" t="s">
        <v>202</v>
      </c>
      <c r="H17" s="49" t="s">
        <v>219</v>
      </c>
    </row>
    <row r="18" spans="2:8" x14ac:dyDescent="0.35">
      <c r="B18" s="48"/>
      <c r="C18" s="48"/>
      <c r="D18" s="49"/>
      <c r="E18" s="49"/>
      <c r="F18" s="49"/>
      <c r="G18" s="49" t="s">
        <v>203</v>
      </c>
      <c r="H18" s="49" t="s">
        <v>220</v>
      </c>
    </row>
    <row r="24" spans="2:8" x14ac:dyDescent="0.35">
      <c r="C24" t="s">
        <v>165</v>
      </c>
    </row>
    <row r="25" spans="2:8" x14ac:dyDescent="0.35">
      <c r="C25" t="s">
        <v>222</v>
      </c>
    </row>
    <row r="26" spans="2:8" x14ac:dyDescent="0.35">
      <c r="C26" t="s">
        <v>223</v>
      </c>
    </row>
    <row r="27" spans="2:8" x14ac:dyDescent="0.35">
      <c r="C27" t="s">
        <v>224</v>
      </c>
    </row>
    <row r="28" spans="2:8" x14ac:dyDescent="0.35">
      <c r="C28" t="s">
        <v>225</v>
      </c>
    </row>
    <row r="29" spans="2:8" x14ac:dyDescent="0.35">
      <c r="C29" t="s">
        <v>226</v>
      </c>
    </row>
    <row r="30" spans="2:8" x14ac:dyDescent="0.35">
      <c r="C30" t="s">
        <v>165</v>
      </c>
    </row>
    <row r="33" spans="3:11" x14ac:dyDescent="0.35">
      <c r="J33">
        <v>1</v>
      </c>
      <c r="K33">
        <v>2</v>
      </c>
    </row>
    <row r="34" spans="3:11" x14ac:dyDescent="0.35">
      <c r="C34" s="52" t="s">
        <v>232</v>
      </c>
      <c r="D34" s="49" t="s">
        <v>230</v>
      </c>
      <c r="E34" s="49" t="s">
        <v>235</v>
      </c>
      <c r="F34" s="49" t="s">
        <v>233</v>
      </c>
      <c r="G34" s="49" t="s">
        <v>234</v>
      </c>
      <c r="H34" s="49" t="s">
        <v>236</v>
      </c>
      <c r="J34" t="s">
        <v>189</v>
      </c>
      <c r="K34" t="s">
        <v>205</v>
      </c>
    </row>
    <row r="35" spans="3:11" x14ac:dyDescent="0.35">
      <c r="C35" s="48" t="s">
        <v>231</v>
      </c>
      <c r="D35" s="49" t="s">
        <v>166</v>
      </c>
      <c r="E35" s="49" t="s">
        <v>240</v>
      </c>
      <c r="F35" s="49" t="s">
        <v>242</v>
      </c>
      <c r="G35" s="49" t="s">
        <v>244</v>
      </c>
      <c r="H35" s="49"/>
    </row>
    <row r="36" spans="3:11" x14ac:dyDescent="0.35">
      <c r="C36" s="48"/>
      <c r="D36" s="49" t="s">
        <v>237</v>
      </c>
      <c r="E36" s="49" t="s">
        <v>241</v>
      </c>
      <c r="F36" s="49" t="s">
        <v>243</v>
      </c>
      <c r="G36" s="49" t="s">
        <v>245</v>
      </c>
      <c r="H36" s="49"/>
    </row>
    <row r="37" spans="3:11" x14ac:dyDescent="0.35">
      <c r="C37" s="48"/>
      <c r="D37" s="49" t="s">
        <v>238</v>
      </c>
      <c r="E37" s="49"/>
      <c r="F37" s="49"/>
      <c r="G37" s="49" t="s">
        <v>246</v>
      </c>
      <c r="H37" s="49"/>
    </row>
    <row r="38" spans="3:11" x14ac:dyDescent="0.35">
      <c r="C38" s="48"/>
      <c r="D38" s="49" t="s">
        <v>239</v>
      </c>
      <c r="E38" s="49"/>
      <c r="F38" s="49"/>
      <c r="G38" s="49" t="s">
        <v>246</v>
      </c>
      <c r="H38" s="49"/>
    </row>
    <row r="39" spans="3:11" x14ac:dyDescent="0.35">
      <c r="C39" s="48"/>
      <c r="D39" s="49"/>
      <c r="E39" s="49"/>
      <c r="F39" s="49"/>
      <c r="G39" s="49" t="s">
        <v>247</v>
      </c>
      <c r="H39" s="49"/>
    </row>
    <row r="40" spans="3:11" x14ac:dyDescent="0.35">
      <c r="C40" s="48"/>
      <c r="D40" s="49"/>
      <c r="E40" s="49"/>
      <c r="F40" s="49"/>
      <c r="G40" s="49" t="s">
        <v>248</v>
      </c>
      <c r="H40" s="49"/>
    </row>
    <row r="41" spans="3:11" x14ac:dyDescent="0.35">
      <c r="C41" s="48"/>
      <c r="D41" s="49"/>
      <c r="E41" s="49"/>
      <c r="F41" s="49"/>
      <c r="G41" s="49"/>
      <c r="H41" s="49"/>
    </row>
    <row r="43" spans="3:11" x14ac:dyDescent="0.35">
      <c r="C43" t="s">
        <v>249</v>
      </c>
    </row>
    <row r="44" spans="3:11" x14ac:dyDescent="0.35">
      <c r="C44" t="s">
        <v>168</v>
      </c>
      <c r="D44" t="s">
        <v>250</v>
      </c>
    </row>
    <row r="45" spans="3:11" x14ac:dyDescent="0.35">
      <c r="D45" t="s">
        <v>251</v>
      </c>
    </row>
    <row r="46" spans="3:11" x14ac:dyDescent="0.35">
      <c r="D46" t="s">
        <v>252</v>
      </c>
    </row>
    <row r="47" spans="3:11" x14ac:dyDescent="0.35">
      <c r="D47" t="s">
        <v>253</v>
      </c>
    </row>
    <row r="48" spans="3:11" x14ac:dyDescent="0.35">
      <c r="D48" t="s">
        <v>254</v>
      </c>
    </row>
    <row r="49" spans="3:4" x14ac:dyDescent="0.35">
      <c r="C49" t="s">
        <v>174</v>
      </c>
      <c r="D49" t="s">
        <v>255</v>
      </c>
    </row>
    <row r="50" spans="3:4" x14ac:dyDescent="0.35">
      <c r="D50" t="s">
        <v>256</v>
      </c>
    </row>
    <row r="51" spans="3:4" x14ac:dyDescent="0.35">
      <c r="D51" t="s">
        <v>257</v>
      </c>
    </row>
    <row r="52" spans="3:4" x14ac:dyDescent="0.35">
      <c r="D52" t="s">
        <v>260</v>
      </c>
    </row>
    <row r="53" spans="3:4" x14ac:dyDescent="0.35">
      <c r="D53" t="s">
        <v>258</v>
      </c>
    </row>
    <row r="54" spans="3:4" x14ac:dyDescent="0.35">
      <c r="D54" t="s">
        <v>259</v>
      </c>
    </row>
    <row r="55" spans="3:4" x14ac:dyDescent="0.35">
      <c r="D55" t="s">
        <v>261</v>
      </c>
    </row>
    <row r="56" spans="3:4" x14ac:dyDescent="0.35">
      <c r="D56" t="s">
        <v>262</v>
      </c>
    </row>
    <row r="57" spans="3:4" x14ac:dyDescent="0.35">
      <c r="D57" t="s">
        <v>263</v>
      </c>
    </row>
    <row r="58" spans="3:4" x14ac:dyDescent="0.35">
      <c r="D58" t="s">
        <v>265</v>
      </c>
    </row>
    <row r="59" spans="3:4" x14ac:dyDescent="0.35">
      <c r="D59" t="s">
        <v>274</v>
      </c>
    </row>
    <row r="60" spans="3:4" x14ac:dyDescent="0.35">
      <c r="C60" t="s">
        <v>189</v>
      </c>
      <c r="D60" t="s">
        <v>266</v>
      </c>
    </row>
    <row r="61" spans="3:4" x14ac:dyDescent="0.35">
      <c r="D61" t="s">
        <v>264</v>
      </c>
    </row>
    <row r="62" spans="3:4" x14ac:dyDescent="0.35">
      <c r="D62" t="s">
        <v>254</v>
      </c>
    </row>
    <row r="63" spans="3:4" x14ac:dyDescent="0.35">
      <c r="D63" t="s">
        <v>267</v>
      </c>
    </row>
    <row r="64" spans="3:4" x14ac:dyDescent="0.35">
      <c r="D64" t="s">
        <v>268</v>
      </c>
    </row>
    <row r="65" spans="3:4" x14ac:dyDescent="0.35">
      <c r="D65" t="s">
        <v>269</v>
      </c>
    </row>
    <row r="66" spans="3:4" x14ac:dyDescent="0.35">
      <c r="D66" t="s">
        <v>270</v>
      </c>
    </row>
    <row r="67" spans="3:4" x14ac:dyDescent="0.35">
      <c r="C67" t="s">
        <v>184</v>
      </c>
      <c r="D67" t="s">
        <v>271</v>
      </c>
    </row>
    <row r="68" spans="3:4" x14ac:dyDescent="0.35">
      <c r="D68" t="s">
        <v>272</v>
      </c>
    </row>
    <row r="69" spans="3:4" x14ac:dyDescent="0.35">
      <c r="D69" t="s">
        <v>273</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53">
        <v>1</v>
      </c>
      <c r="C2" s="56" t="s">
        <v>280</v>
      </c>
    </row>
    <row r="3" spans="2:3" x14ac:dyDescent="0.35">
      <c r="B3" s="53">
        <v>2</v>
      </c>
      <c r="C3" s="54" t="s">
        <v>281</v>
      </c>
    </row>
    <row r="4" spans="2:3" x14ac:dyDescent="0.35">
      <c r="B4" s="53">
        <v>3</v>
      </c>
      <c r="C4" s="55" t="s">
        <v>282</v>
      </c>
    </row>
    <row r="5" spans="2:3" x14ac:dyDescent="0.35">
      <c r="B5" s="53">
        <v>4</v>
      </c>
      <c r="C5" s="54" t="s">
        <v>283</v>
      </c>
    </row>
    <row r="6" spans="2:3" x14ac:dyDescent="0.35">
      <c r="B6" s="53">
        <v>5</v>
      </c>
      <c r="C6" s="55" t="s">
        <v>284</v>
      </c>
    </row>
    <row r="7" spans="2:3" ht="29" x14ac:dyDescent="0.35">
      <c r="B7" s="53">
        <v>6</v>
      </c>
      <c r="C7" s="54" t="s">
        <v>285</v>
      </c>
    </row>
    <row r="8" spans="2:3" ht="72.5" x14ac:dyDescent="0.35">
      <c r="B8" s="53">
        <v>7</v>
      </c>
      <c r="C8" s="54" t="s">
        <v>286</v>
      </c>
    </row>
    <row r="9" spans="2:3" x14ac:dyDescent="0.35">
      <c r="B9" s="53">
        <v>8</v>
      </c>
      <c r="C9" s="55" t="s">
        <v>287</v>
      </c>
    </row>
    <row r="10" spans="2:3" x14ac:dyDescent="0.35">
      <c r="B10" s="53">
        <v>9</v>
      </c>
      <c r="C10" s="55" t="s">
        <v>288</v>
      </c>
    </row>
    <row r="11" spans="2:3" x14ac:dyDescent="0.35">
      <c r="B11" s="53">
        <v>10</v>
      </c>
      <c r="C11" s="55" t="s">
        <v>289</v>
      </c>
    </row>
    <row r="12" spans="2:3" x14ac:dyDescent="0.35">
      <c r="B12" s="53">
        <v>11</v>
      </c>
      <c r="C12" s="55" t="s">
        <v>290</v>
      </c>
    </row>
    <row r="13" spans="2:3" x14ac:dyDescent="0.35">
      <c r="B13" s="53">
        <v>12</v>
      </c>
      <c r="C13" s="55" t="s">
        <v>291</v>
      </c>
    </row>
    <row r="14" spans="2:3" x14ac:dyDescent="0.35">
      <c r="B14" s="53">
        <v>13</v>
      </c>
      <c r="C14" s="55" t="s">
        <v>292</v>
      </c>
    </row>
    <row r="15" spans="2:3" x14ac:dyDescent="0.35">
      <c r="B15" s="53">
        <v>14</v>
      </c>
      <c r="C15" s="55" t="s">
        <v>282</v>
      </c>
    </row>
    <row r="16" spans="2:3" x14ac:dyDescent="0.35">
      <c r="B16" s="53">
        <v>15</v>
      </c>
      <c r="C16" s="55" t="s">
        <v>294</v>
      </c>
    </row>
    <row r="17" spans="2:3" x14ac:dyDescent="0.35">
      <c r="B17" s="76">
        <v>16</v>
      </c>
      <c r="C17" s="61" t="s">
        <v>295</v>
      </c>
    </row>
    <row r="18" spans="2:3" x14ac:dyDescent="0.35">
      <c r="B18" s="60">
        <v>17</v>
      </c>
      <c r="C18" s="61" t="s">
        <v>296</v>
      </c>
    </row>
    <row r="19" spans="2:3" x14ac:dyDescent="0.35">
      <c r="B19" s="59">
        <v>18</v>
      </c>
      <c r="C19" s="53" t="s">
        <v>297</v>
      </c>
    </row>
    <row r="20" spans="2:3" x14ac:dyDescent="0.35">
      <c r="B20" s="60">
        <v>19</v>
      </c>
      <c r="C20" s="53" t="s">
        <v>333</v>
      </c>
    </row>
    <row r="21" spans="2:3" x14ac:dyDescent="0.35">
      <c r="B21" s="62">
        <v>20</v>
      </c>
      <c r="C21" s="53" t="s">
        <v>298</v>
      </c>
    </row>
    <row r="22" spans="2:3" x14ac:dyDescent="0.35">
      <c r="B22" s="60">
        <v>21</v>
      </c>
      <c r="C22" s="53" t="s">
        <v>297</v>
      </c>
    </row>
    <row r="23" spans="2:3" s="70" customFormat="1" ht="29.25" customHeight="1" x14ac:dyDescent="0.35">
      <c r="B23" s="69">
        <v>22</v>
      </c>
      <c r="C23" s="56" t="s">
        <v>325</v>
      </c>
    </row>
    <row r="24" spans="2:3" s="70" customFormat="1" ht="30.75" customHeight="1" x14ac:dyDescent="0.35">
      <c r="B24" s="71">
        <v>23</v>
      </c>
      <c r="C24" s="56" t="s">
        <v>326</v>
      </c>
    </row>
    <row r="25" spans="2:3" x14ac:dyDescent="0.35">
      <c r="B25" s="62">
        <v>24</v>
      </c>
      <c r="C25" s="53" t="s">
        <v>329</v>
      </c>
    </row>
    <row r="26" spans="2:3" x14ac:dyDescent="0.35">
      <c r="B26" s="60">
        <v>25</v>
      </c>
      <c r="C26" s="53" t="s">
        <v>327</v>
      </c>
    </row>
    <row r="27" spans="2:3" x14ac:dyDescent="0.35">
      <c r="B27" s="71">
        <v>26</v>
      </c>
      <c r="C27" s="62" t="s">
        <v>328</v>
      </c>
    </row>
    <row r="28" spans="2:3" x14ac:dyDescent="0.35">
      <c r="B28" s="72">
        <v>27</v>
      </c>
      <c r="C28" s="53" t="s">
        <v>330</v>
      </c>
    </row>
    <row r="29" spans="2:3" ht="43.5" x14ac:dyDescent="0.35">
      <c r="B29" s="75">
        <v>28</v>
      </c>
      <c r="C29" s="54" t="s">
        <v>331</v>
      </c>
    </row>
    <row r="30" spans="2:3" x14ac:dyDescent="0.35">
      <c r="B30" s="71">
        <v>29</v>
      </c>
      <c r="C30" s="53" t="s">
        <v>332</v>
      </c>
    </row>
    <row r="31" spans="2:3" ht="29" x14ac:dyDescent="0.35">
      <c r="B31" s="77">
        <v>30</v>
      </c>
      <c r="C31" s="54" t="s">
        <v>334</v>
      </c>
    </row>
    <row r="32" spans="2:3" x14ac:dyDescent="0.35">
      <c r="B32" s="71">
        <v>31</v>
      </c>
      <c r="C32" s="53" t="s">
        <v>335</v>
      </c>
    </row>
    <row r="33" spans="2:3" x14ac:dyDescent="0.35">
      <c r="B33" s="71">
        <v>32</v>
      </c>
      <c r="C33" s="53" t="s">
        <v>336</v>
      </c>
    </row>
    <row r="34" spans="2:3" ht="36.75" customHeight="1" x14ac:dyDescent="0.35">
      <c r="B34" s="77">
        <v>33</v>
      </c>
      <c r="C34" s="61" t="s">
        <v>337</v>
      </c>
    </row>
    <row r="35" spans="2:3" x14ac:dyDescent="0.35">
      <c r="B35" s="71">
        <v>34</v>
      </c>
      <c r="C35" s="53"/>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8"/>
    <col min="2" max="2" width="12.26953125" style="48" customWidth="1"/>
    <col min="3" max="16384" width="9.1796875" style="48"/>
  </cols>
  <sheetData>
    <row r="2" spans="1:12" x14ac:dyDescent="0.35">
      <c r="B2" s="63" t="s">
        <v>299</v>
      </c>
      <c r="C2" s="226"/>
      <c r="D2" s="226"/>
    </row>
    <row r="3" spans="1:12" x14ac:dyDescent="0.35">
      <c r="D3" s="64"/>
      <c r="E3" s="64"/>
      <c r="F3" s="64"/>
      <c r="G3" s="64"/>
      <c r="H3" s="64"/>
      <c r="I3" s="64"/>
    </row>
    <row r="4" spans="1:12" x14ac:dyDescent="0.35">
      <c r="A4" s="63" t="s">
        <v>64</v>
      </c>
      <c r="B4" s="65" t="s">
        <v>300</v>
      </c>
      <c r="C4" s="227" t="s">
        <v>301</v>
      </c>
      <c r="D4" s="227"/>
      <c r="E4" s="227"/>
      <c r="F4" s="65"/>
      <c r="G4" s="228" t="s">
        <v>302</v>
      </c>
      <c r="H4" s="228"/>
      <c r="I4" s="228"/>
      <c r="J4" s="229" t="s">
        <v>303</v>
      </c>
      <c r="K4" s="229"/>
      <c r="L4" s="229"/>
    </row>
    <row r="5" spans="1:12" x14ac:dyDescent="0.35">
      <c r="A5" s="63"/>
      <c r="B5" s="65"/>
      <c r="C5" s="65" t="s">
        <v>304</v>
      </c>
      <c r="D5" s="65" t="s">
        <v>305</v>
      </c>
      <c r="E5" s="65" t="s">
        <v>306</v>
      </c>
      <c r="F5" s="65"/>
      <c r="G5" s="65" t="s">
        <v>304</v>
      </c>
      <c r="H5" s="65" t="s">
        <v>305</v>
      </c>
      <c r="I5" s="65" t="s">
        <v>306</v>
      </c>
      <c r="J5" s="65" t="s">
        <v>304</v>
      </c>
      <c r="K5" s="65" t="s">
        <v>305</v>
      </c>
      <c r="L5" s="65" t="s">
        <v>306</v>
      </c>
    </row>
    <row r="6" spans="1:12" x14ac:dyDescent="0.35">
      <c r="B6" s="49" t="s">
        <v>307</v>
      </c>
      <c r="C6" s="49"/>
      <c r="D6" s="49"/>
      <c r="E6" s="49">
        <f>C6*D6</f>
        <v>0</v>
      </c>
      <c r="F6" s="49" t="s">
        <v>324</v>
      </c>
      <c r="G6" s="49"/>
      <c r="H6" s="49"/>
      <c r="I6" s="49">
        <f>G6*H6</f>
        <v>0</v>
      </c>
      <c r="J6" s="49"/>
      <c r="K6" s="49"/>
      <c r="L6" s="49">
        <f>J6*K6</f>
        <v>0</v>
      </c>
    </row>
    <row r="7" spans="1:12" x14ac:dyDescent="0.35">
      <c r="B7" s="49"/>
      <c r="C7" s="49"/>
      <c r="D7" s="49"/>
      <c r="E7" s="49">
        <f t="shared" ref="E7:E41" si="0">C7*D7</f>
        <v>0</v>
      </c>
      <c r="F7" s="49" t="s">
        <v>324</v>
      </c>
      <c r="G7" s="49"/>
      <c r="H7" s="49"/>
      <c r="I7" s="49">
        <f t="shared" ref="I7:I35" si="1">G7*H7</f>
        <v>0</v>
      </c>
      <c r="J7" s="49"/>
      <c r="K7" s="49"/>
      <c r="L7" s="49">
        <f t="shared" ref="L7:L35" si="2">J7*K7</f>
        <v>0</v>
      </c>
    </row>
    <row r="8" spans="1:12" x14ac:dyDescent="0.35">
      <c r="B8" s="49"/>
      <c r="C8" s="49"/>
      <c r="D8" s="49"/>
      <c r="E8" s="49">
        <f t="shared" si="0"/>
        <v>0</v>
      </c>
      <c r="F8" s="49"/>
      <c r="G8" s="49"/>
      <c r="H8" s="49"/>
      <c r="I8" s="49">
        <f t="shared" si="1"/>
        <v>0</v>
      </c>
      <c r="J8" s="49"/>
      <c r="K8" s="49"/>
      <c r="L8" s="49">
        <f t="shared" si="2"/>
        <v>0</v>
      </c>
    </row>
    <row r="9" spans="1:12" x14ac:dyDescent="0.35">
      <c r="B9" s="49"/>
      <c r="C9" s="49"/>
      <c r="D9" s="49"/>
      <c r="E9" s="49">
        <f t="shared" si="0"/>
        <v>0</v>
      </c>
      <c r="F9" s="49" t="s">
        <v>308</v>
      </c>
      <c r="G9" s="49"/>
      <c r="H9" s="49"/>
      <c r="I9" s="49">
        <f t="shared" si="1"/>
        <v>0</v>
      </c>
      <c r="J9" s="49"/>
      <c r="K9" s="49"/>
      <c r="L9" s="49">
        <f t="shared" si="2"/>
        <v>0</v>
      </c>
    </row>
    <row r="10" spans="1:12" x14ac:dyDescent="0.35">
      <c r="B10" s="49" t="s">
        <v>309</v>
      </c>
      <c r="C10" s="49"/>
      <c r="D10" s="49"/>
      <c r="E10" s="49">
        <f t="shared" si="0"/>
        <v>0</v>
      </c>
      <c r="F10" s="49" t="s">
        <v>308</v>
      </c>
      <c r="G10" s="49"/>
      <c r="H10" s="49"/>
      <c r="I10" s="49">
        <f t="shared" si="1"/>
        <v>0</v>
      </c>
      <c r="J10" s="49"/>
      <c r="K10" s="49"/>
      <c r="L10" s="49">
        <f t="shared" si="2"/>
        <v>0</v>
      </c>
    </row>
    <row r="11" spans="1:12" x14ac:dyDescent="0.35">
      <c r="B11" s="49"/>
      <c r="C11" s="49"/>
      <c r="D11" s="49"/>
      <c r="E11" s="49">
        <f t="shared" si="0"/>
        <v>0</v>
      </c>
      <c r="F11" s="49" t="s">
        <v>310</v>
      </c>
      <c r="G11" s="49"/>
      <c r="H11" s="49"/>
      <c r="I11" s="49">
        <f t="shared" si="1"/>
        <v>0</v>
      </c>
      <c r="J11" s="49"/>
      <c r="K11" s="49"/>
      <c r="L11" s="49">
        <f t="shared" si="2"/>
        <v>0</v>
      </c>
    </row>
    <row r="12" spans="1:12" x14ac:dyDescent="0.35">
      <c r="B12" s="49"/>
      <c r="C12" s="49"/>
      <c r="D12" s="49"/>
      <c r="E12" s="49">
        <f t="shared" si="0"/>
        <v>0</v>
      </c>
      <c r="F12" s="49"/>
      <c r="G12" s="49"/>
      <c r="H12" s="49"/>
      <c r="I12" s="49">
        <f t="shared" si="1"/>
        <v>0</v>
      </c>
      <c r="J12" s="49"/>
      <c r="K12" s="49"/>
      <c r="L12" s="49">
        <f t="shared" si="2"/>
        <v>0</v>
      </c>
    </row>
    <row r="13" spans="1:12" x14ac:dyDescent="0.35">
      <c r="B13" s="49"/>
      <c r="C13" s="49"/>
      <c r="D13" s="49"/>
      <c r="E13" s="49">
        <f t="shared" si="0"/>
        <v>0</v>
      </c>
      <c r="F13" s="49"/>
      <c r="G13" s="49"/>
      <c r="H13" s="49"/>
      <c r="I13" s="49">
        <f t="shared" si="1"/>
        <v>0</v>
      </c>
      <c r="J13" s="49"/>
      <c r="K13" s="49"/>
      <c r="L13" s="49">
        <f t="shared" si="2"/>
        <v>0</v>
      </c>
    </row>
    <row r="14" spans="1:12" x14ac:dyDescent="0.35">
      <c r="B14" s="49" t="s">
        <v>311</v>
      </c>
      <c r="C14" s="49"/>
      <c r="D14" s="49"/>
      <c r="E14" s="49">
        <f t="shared" si="0"/>
        <v>0</v>
      </c>
      <c r="F14" s="49" t="s">
        <v>308</v>
      </c>
      <c r="G14" s="49"/>
      <c r="H14" s="49"/>
      <c r="I14" s="49">
        <f t="shared" si="1"/>
        <v>0</v>
      </c>
      <c r="J14" s="49"/>
      <c r="K14" s="49"/>
      <c r="L14" s="49">
        <f t="shared" si="2"/>
        <v>0</v>
      </c>
    </row>
    <row r="15" spans="1:12" x14ac:dyDescent="0.35">
      <c r="B15" s="49"/>
      <c r="C15" s="49"/>
      <c r="D15" s="49"/>
      <c r="E15" s="49">
        <f t="shared" si="0"/>
        <v>0</v>
      </c>
      <c r="F15" s="49" t="s">
        <v>310</v>
      </c>
      <c r="G15" s="49"/>
      <c r="H15" s="49"/>
      <c r="I15" s="49">
        <f t="shared" si="1"/>
        <v>0</v>
      </c>
      <c r="J15" s="49"/>
      <c r="K15" s="49"/>
      <c r="L15" s="49">
        <f t="shared" si="2"/>
        <v>0</v>
      </c>
    </row>
    <row r="16" spans="1:12" x14ac:dyDescent="0.35">
      <c r="B16" s="49"/>
      <c r="C16" s="49"/>
      <c r="D16" s="49"/>
      <c r="E16" s="49">
        <f t="shared" si="0"/>
        <v>0</v>
      </c>
      <c r="F16" s="49"/>
      <c r="G16" s="49"/>
      <c r="H16" s="49"/>
      <c r="I16" s="49">
        <f t="shared" si="1"/>
        <v>0</v>
      </c>
      <c r="J16" s="49"/>
      <c r="K16" s="49"/>
      <c r="L16" s="49">
        <f t="shared" si="2"/>
        <v>0</v>
      </c>
    </row>
    <row r="17" spans="2:12" x14ac:dyDescent="0.35">
      <c r="B17" s="49"/>
      <c r="C17" s="49"/>
      <c r="D17" s="49"/>
      <c r="E17" s="49">
        <f t="shared" si="0"/>
        <v>0</v>
      </c>
      <c r="F17" s="49"/>
      <c r="G17" s="49"/>
      <c r="H17" s="49"/>
      <c r="I17" s="49">
        <f t="shared" si="1"/>
        <v>0</v>
      </c>
      <c r="J17" s="49"/>
      <c r="K17" s="49"/>
      <c r="L17" s="49">
        <f t="shared" si="2"/>
        <v>0</v>
      </c>
    </row>
    <row r="18" spans="2:12" x14ac:dyDescent="0.35">
      <c r="B18" s="49" t="s">
        <v>312</v>
      </c>
      <c r="C18" s="49"/>
      <c r="D18" s="49"/>
      <c r="E18" s="49">
        <f t="shared" si="0"/>
        <v>0</v>
      </c>
      <c r="F18" s="49" t="s">
        <v>308</v>
      </c>
      <c r="G18" s="49"/>
      <c r="H18" s="49"/>
      <c r="I18" s="49">
        <f t="shared" si="1"/>
        <v>0</v>
      </c>
      <c r="J18" s="49"/>
      <c r="K18" s="49"/>
      <c r="L18" s="49">
        <f t="shared" si="2"/>
        <v>0</v>
      </c>
    </row>
    <row r="19" spans="2:12" x14ac:dyDescent="0.35">
      <c r="B19" s="49"/>
      <c r="C19" s="49"/>
      <c r="D19" s="49"/>
      <c r="E19" s="49">
        <f t="shared" si="0"/>
        <v>0</v>
      </c>
      <c r="F19" s="49" t="s">
        <v>310</v>
      </c>
      <c r="G19" s="49"/>
      <c r="H19" s="49"/>
      <c r="I19" s="49">
        <f t="shared" si="1"/>
        <v>0</v>
      </c>
      <c r="J19" s="49"/>
      <c r="K19" s="49"/>
      <c r="L19" s="49">
        <f t="shared" si="2"/>
        <v>0</v>
      </c>
    </row>
    <row r="20" spans="2:12" x14ac:dyDescent="0.35">
      <c r="B20" s="49"/>
      <c r="C20" s="49"/>
      <c r="D20" s="49"/>
      <c r="E20" s="49">
        <f t="shared" si="0"/>
        <v>0</v>
      </c>
      <c r="F20" s="49"/>
      <c r="G20" s="49"/>
      <c r="H20" s="49"/>
      <c r="I20" s="49">
        <f t="shared" si="1"/>
        <v>0</v>
      </c>
      <c r="J20" s="49"/>
      <c r="K20" s="49"/>
      <c r="L20" s="49">
        <f t="shared" si="2"/>
        <v>0</v>
      </c>
    </row>
    <row r="21" spans="2:12" x14ac:dyDescent="0.35">
      <c r="B21" s="49" t="s">
        <v>313</v>
      </c>
      <c r="C21" s="49"/>
      <c r="D21" s="49"/>
      <c r="E21" s="49">
        <f t="shared" si="0"/>
        <v>0</v>
      </c>
      <c r="F21" s="49" t="s">
        <v>308</v>
      </c>
      <c r="G21" s="49"/>
      <c r="H21" s="49"/>
      <c r="I21" s="49">
        <f t="shared" si="1"/>
        <v>0</v>
      </c>
      <c r="J21" s="49"/>
      <c r="K21" s="49"/>
      <c r="L21" s="49">
        <f t="shared" si="2"/>
        <v>0</v>
      </c>
    </row>
    <row r="22" spans="2:12" x14ac:dyDescent="0.35">
      <c r="B22" s="49"/>
      <c r="C22" s="49"/>
      <c r="D22" s="49"/>
      <c r="E22" s="49">
        <f t="shared" si="0"/>
        <v>0</v>
      </c>
      <c r="F22" s="49" t="s">
        <v>310</v>
      </c>
      <c r="G22" s="49"/>
      <c r="H22" s="49"/>
      <c r="I22" s="49">
        <f t="shared" si="1"/>
        <v>0</v>
      </c>
      <c r="J22" s="49"/>
      <c r="K22" s="49"/>
      <c r="L22" s="49">
        <f t="shared" si="2"/>
        <v>0</v>
      </c>
    </row>
    <row r="23" spans="2:12" x14ac:dyDescent="0.35">
      <c r="B23" s="49"/>
      <c r="C23" s="49"/>
      <c r="D23" s="49"/>
      <c r="E23" s="49">
        <f t="shared" si="0"/>
        <v>0</v>
      </c>
      <c r="F23" s="49"/>
      <c r="G23" s="49"/>
      <c r="H23" s="49"/>
      <c r="I23" s="49">
        <f t="shared" si="1"/>
        <v>0</v>
      </c>
      <c r="J23" s="49"/>
      <c r="K23" s="49"/>
      <c r="L23" s="49">
        <f t="shared" si="2"/>
        <v>0</v>
      </c>
    </row>
    <row r="24" spans="2:12" x14ac:dyDescent="0.35">
      <c r="B24" s="49" t="s">
        <v>314</v>
      </c>
      <c r="C24" s="49"/>
      <c r="D24" s="49"/>
      <c r="E24" s="49">
        <f t="shared" si="0"/>
        <v>0</v>
      </c>
      <c r="F24" s="49" t="s">
        <v>315</v>
      </c>
      <c r="G24" s="49"/>
      <c r="H24" s="49"/>
      <c r="I24" s="49">
        <f t="shared" si="1"/>
        <v>0</v>
      </c>
      <c r="J24" s="49"/>
      <c r="K24" s="49"/>
      <c r="L24" s="49">
        <f t="shared" si="2"/>
        <v>0</v>
      </c>
    </row>
    <row r="25" spans="2:12" x14ac:dyDescent="0.35">
      <c r="B25" s="49"/>
      <c r="C25" s="49"/>
      <c r="D25" s="49"/>
      <c r="E25" s="49">
        <f t="shared" ref="E25:E27" si="3">C25*D25</f>
        <v>0</v>
      </c>
      <c r="F25" s="49" t="s">
        <v>315</v>
      </c>
      <c r="G25" s="49"/>
      <c r="H25" s="49"/>
      <c r="I25" s="49">
        <f t="shared" ref="I25:I27" si="4">G25*H25</f>
        <v>0</v>
      </c>
      <c r="J25" s="49"/>
      <c r="K25" s="49"/>
      <c r="L25" s="49">
        <f t="shared" ref="L25:L27" si="5">J25*K25</f>
        <v>0</v>
      </c>
    </row>
    <row r="26" spans="2:12" x14ac:dyDescent="0.35">
      <c r="B26" s="49"/>
      <c r="C26" s="49"/>
      <c r="D26" s="49"/>
      <c r="E26" s="49">
        <f t="shared" si="3"/>
        <v>0</v>
      </c>
      <c r="F26" s="49" t="s">
        <v>315</v>
      </c>
      <c r="G26" s="49"/>
      <c r="H26" s="49"/>
      <c r="I26" s="49">
        <f t="shared" si="4"/>
        <v>0</v>
      </c>
      <c r="J26" s="49"/>
      <c r="K26" s="49"/>
      <c r="L26" s="49">
        <f t="shared" si="5"/>
        <v>0</v>
      </c>
    </row>
    <row r="27" spans="2:12" x14ac:dyDescent="0.35">
      <c r="B27" s="49"/>
      <c r="C27" s="49"/>
      <c r="D27" s="49"/>
      <c r="E27" s="49">
        <f t="shared" si="3"/>
        <v>0</v>
      </c>
      <c r="F27" s="49" t="s">
        <v>315</v>
      </c>
      <c r="G27" s="49"/>
      <c r="H27" s="49"/>
      <c r="I27" s="49">
        <f t="shared" si="4"/>
        <v>0</v>
      </c>
      <c r="J27" s="49"/>
      <c r="K27" s="49"/>
      <c r="L27" s="49">
        <f t="shared" si="5"/>
        <v>0</v>
      </c>
    </row>
    <row r="28" spans="2:12" x14ac:dyDescent="0.35">
      <c r="B28" s="49" t="s">
        <v>316</v>
      </c>
      <c r="C28" s="49"/>
      <c r="D28" s="49"/>
      <c r="E28" s="49">
        <f t="shared" si="0"/>
        <v>0</v>
      </c>
      <c r="F28" s="49" t="s">
        <v>315</v>
      </c>
      <c r="G28" s="49"/>
      <c r="H28" s="49"/>
      <c r="I28" s="49">
        <f t="shared" si="1"/>
        <v>0</v>
      </c>
      <c r="J28" s="49"/>
      <c r="K28" s="49"/>
      <c r="L28" s="49">
        <f t="shared" si="2"/>
        <v>0</v>
      </c>
    </row>
    <row r="29" spans="2:12" x14ac:dyDescent="0.35">
      <c r="B29" s="49" t="s">
        <v>317</v>
      </c>
      <c r="C29" s="49"/>
      <c r="D29" s="49"/>
      <c r="E29" s="49">
        <f t="shared" si="0"/>
        <v>0</v>
      </c>
      <c r="F29" s="49" t="s">
        <v>315</v>
      </c>
      <c r="G29" s="49"/>
      <c r="H29" s="49"/>
      <c r="I29" s="49">
        <f t="shared" si="1"/>
        <v>0</v>
      </c>
      <c r="J29" s="49"/>
      <c r="K29" s="49"/>
      <c r="L29" s="49">
        <f t="shared" si="2"/>
        <v>0</v>
      </c>
    </row>
    <row r="30" spans="2:12" x14ac:dyDescent="0.35">
      <c r="B30" s="49" t="s">
        <v>321</v>
      </c>
      <c r="C30" s="49"/>
      <c r="D30" s="49"/>
      <c r="E30" s="49">
        <f t="shared" si="0"/>
        <v>0</v>
      </c>
      <c r="F30" s="49"/>
      <c r="G30" s="49"/>
      <c r="H30" s="49"/>
      <c r="I30" s="49">
        <f t="shared" si="1"/>
        <v>0</v>
      </c>
      <c r="J30" s="49"/>
      <c r="K30" s="49"/>
      <c r="L30" s="49">
        <f t="shared" si="2"/>
        <v>0</v>
      </c>
    </row>
    <row r="31" spans="2:12" x14ac:dyDescent="0.35">
      <c r="B31" s="49"/>
      <c r="C31" s="49"/>
      <c r="D31" s="49"/>
      <c r="E31" s="49">
        <f t="shared" ref="E31:E32" si="6">C31*D31</f>
        <v>0</v>
      </c>
      <c r="F31" s="49"/>
      <c r="G31" s="49"/>
      <c r="H31" s="49"/>
      <c r="I31" s="49">
        <f t="shared" ref="I31:I32" si="7">G31*H31</f>
        <v>0</v>
      </c>
      <c r="J31" s="49"/>
      <c r="K31" s="49"/>
      <c r="L31" s="49">
        <f t="shared" ref="L31:L32" si="8">J31*K31</f>
        <v>0</v>
      </c>
    </row>
    <row r="32" spans="2:12" x14ac:dyDescent="0.35">
      <c r="B32" s="49"/>
      <c r="C32" s="49"/>
      <c r="D32" s="49"/>
      <c r="E32" s="49">
        <f t="shared" si="6"/>
        <v>0</v>
      </c>
      <c r="F32" s="49"/>
      <c r="G32" s="49"/>
      <c r="H32" s="49"/>
      <c r="I32" s="49">
        <f t="shared" si="7"/>
        <v>0</v>
      </c>
      <c r="J32" s="49"/>
      <c r="K32" s="49"/>
      <c r="L32" s="49">
        <f t="shared" si="8"/>
        <v>0</v>
      </c>
    </row>
    <row r="33" spans="2:12" x14ac:dyDescent="0.35">
      <c r="B33" s="49" t="s">
        <v>318</v>
      </c>
      <c r="C33" s="49"/>
      <c r="D33" s="49"/>
      <c r="E33" s="49">
        <f t="shared" si="0"/>
        <v>0</v>
      </c>
      <c r="F33" s="49"/>
      <c r="G33" s="49"/>
      <c r="H33" s="49"/>
      <c r="I33" s="49">
        <f t="shared" si="1"/>
        <v>0</v>
      </c>
      <c r="J33" s="49"/>
      <c r="K33" s="49"/>
      <c r="L33" s="49">
        <f t="shared" si="2"/>
        <v>0</v>
      </c>
    </row>
    <row r="34" spans="2:12" x14ac:dyDescent="0.35">
      <c r="B34" s="49" t="s">
        <v>322</v>
      </c>
      <c r="C34" s="49"/>
      <c r="D34" s="49"/>
      <c r="E34" s="49">
        <f t="shared" si="0"/>
        <v>0</v>
      </c>
      <c r="F34" s="49"/>
      <c r="G34" s="49"/>
      <c r="H34" s="49"/>
      <c r="I34" s="49">
        <f t="shared" si="1"/>
        <v>0</v>
      </c>
      <c r="J34" s="49"/>
      <c r="K34" s="49"/>
      <c r="L34" s="49">
        <f t="shared" si="2"/>
        <v>0</v>
      </c>
    </row>
    <row r="35" spans="2:12" x14ac:dyDescent="0.35">
      <c r="B35" s="49" t="s">
        <v>319</v>
      </c>
      <c r="C35" s="49"/>
      <c r="D35" s="49"/>
      <c r="E35" s="49">
        <f t="shared" si="0"/>
        <v>0</v>
      </c>
      <c r="F35" s="49"/>
      <c r="G35" s="49"/>
      <c r="H35" s="49"/>
      <c r="I35" s="49">
        <f t="shared" si="1"/>
        <v>0</v>
      </c>
      <c r="J35" s="49"/>
      <c r="K35" s="49"/>
      <c r="L35" s="49">
        <f t="shared" si="2"/>
        <v>0</v>
      </c>
    </row>
    <row r="36" spans="2:12" x14ac:dyDescent="0.35">
      <c r="B36" s="49" t="s">
        <v>320</v>
      </c>
      <c r="C36" s="49"/>
      <c r="D36" s="49"/>
      <c r="E36" s="49">
        <f t="shared" si="0"/>
        <v>0</v>
      </c>
      <c r="F36" s="49"/>
      <c r="G36" s="49"/>
      <c r="H36" s="49"/>
      <c r="I36" s="49">
        <f>G36*H36</f>
        <v>0</v>
      </c>
      <c r="J36" s="49"/>
      <c r="K36" s="49"/>
      <c r="L36" s="49">
        <f>J36*K36</f>
        <v>0</v>
      </c>
    </row>
    <row r="37" spans="2:12" x14ac:dyDescent="0.35">
      <c r="B37" s="49"/>
      <c r="C37" s="49"/>
      <c r="D37" s="49"/>
      <c r="E37" s="49">
        <f t="shared" ref="E37:E38" si="9">C37*D37</f>
        <v>0</v>
      </c>
      <c r="F37" s="49"/>
      <c r="G37" s="49"/>
      <c r="H37" s="49"/>
      <c r="I37" s="49">
        <f t="shared" ref="I37:I38" si="10">G37*H37</f>
        <v>0</v>
      </c>
      <c r="J37" s="49"/>
      <c r="K37" s="49"/>
      <c r="L37" s="49">
        <f t="shared" ref="L37:L38" si="11">J37*K37</f>
        <v>0</v>
      </c>
    </row>
    <row r="38" spans="2:12" x14ac:dyDescent="0.35">
      <c r="B38" s="49" t="s">
        <v>323</v>
      </c>
      <c r="C38" s="49"/>
      <c r="D38" s="49"/>
      <c r="E38" s="49">
        <f t="shared" si="9"/>
        <v>0</v>
      </c>
      <c r="F38" s="49"/>
      <c r="G38" s="49"/>
      <c r="H38" s="49"/>
      <c r="I38" s="49">
        <f t="shared" si="10"/>
        <v>0</v>
      </c>
      <c r="J38" s="49"/>
      <c r="K38" s="49"/>
      <c r="L38" s="49">
        <f t="shared" si="11"/>
        <v>0</v>
      </c>
    </row>
    <row r="39" spans="2:12" x14ac:dyDescent="0.35">
      <c r="B39" s="49"/>
      <c r="C39" s="49"/>
      <c r="D39" s="49"/>
      <c r="E39" s="49">
        <f t="shared" si="0"/>
        <v>0</v>
      </c>
      <c r="F39" s="49"/>
      <c r="G39" s="49"/>
      <c r="H39" s="49"/>
      <c r="I39" s="49">
        <f>G39*H39</f>
        <v>0</v>
      </c>
      <c r="J39" s="49"/>
      <c r="K39" s="49"/>
      <c r="L39" s="49">
        <f>J39*K39</f>
        <v>0</v>
      </c>
    </row>
    <row r="40" spans="2:12" x14ac:dyDescent="0.35">
      <c r="B40" s="49"/>
      <c r="C40" s="49"/>
      <c r="D40" s="49"/>
      <c r="E40" s="49">
        <f t="shared" si="0"/>
        <v>0</v>
      </c>
      <c r="F40" s="49"/>
      <c r="G40" s="49"/>
      <c r="H40" s="49"/>
      <c r="I40" s="49">
        <f>G40*H40</f>
        <v>0</v>
      </c>
      <c r="J40" s="49"/>
      <c r="K40" s="49"/>
      <c r="L40" s="49">
        <f>J40*K40</f>
        <v>0</v>
      </c>
    </row>
    <row r="41" spans="2:12" x14ac:dyDescent="0.35">
      <c r="B41" s="49"/>
      <c r="C41" s="49"/>
      <c r="D41" s="49"/>
      <c r="E41" s="49">
        <f t="shared" si="0"/>
        <v>0</v>
      </c>
      <c r="F41" s="49"/>
      <c r="G41" s="49"/>
      <c r="H41" s="49"/>
      <c r="I41" s="49">
        <f>G41*H41</f>
        <v>0</v>
      </c>
      <c r="J41" s="49"/>
      <c r="K41" s="49"/>
      <c r="L41" s="49">
        <f>J41*K41</f>
        <v>0</v>
      </c>
    </row>
    <row r="42" spans="2:12" x14ac:dyDescent="0.35">
      <c r="B42" s="49" t="s">
        <v>145</v>
      </c>
      <c r="C42" s="49"/>
      <c r="D42" s="49">
        <f>E42*10.764</f>
        <v>0</v>
      </c>
      <c r="E42" s="68">
        <f>SUM(E6:E41)</f>
        <v>0</v>
      </c>
      <c r="F42" s="49"/>
      <c r="G42" s="49"/>
      <c r="H42" s="49">
        <f>I42*10.764</f>
        <v>0</v>
      </c>
      <c r="I42" s="67">
        <f>SUM(I6:I41)</f>
        <v>0</v>
      </c>
      <c r="J42" s="49"/>
      <c r="K42" s="49">
        <f>L42*10.764</f>
        <v>0</v>
      </c>
      <c r="L42" s="66">
        <f>SUM(L6:L41)</f>
        <v>0</v>
      </c>
    </row>
    <row r="44" spans="2:12" x14ac:dyDescent="0.35">
      <c r="D44" s="48">
        <f>D42+H42</f>
        <v>0</v>
      </c>
      <c r="E44" s="48">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2025-09-11T06:03:25Z</cp:lastPrinted>
  <dcterms:created xsi:type="dcterms:W3CDTF">2019-07-16T09:29:46Z</dcterms:created>
  <dcterms:modified xsi:type="dcterms:W3CDTF">2025-09-11T06:04:12Z</dcterms:modified>
</cp:coreProperties>
</file>