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7" i="1" l="1"/>
  <c r="E186" i="1"/>
  <c r="E154" i="1"/>
  <c r="E153" i="1"/>
  <c r="E152" i="1"/>
  <c r="E151" i="1"/>
  <c r="I155" i="1"/>
  <c r="I154" i="1"/>
  <c r="I153" i="1"/>
  <c r="I152" i="1"/>
  <c r="I151" i="1"/>
  <c r="I150" i="1"/>
  <c r="I149" i="1"/>
  <c r="I148" i="1"/>
  <c r="D141" i="1" l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F125" i="1" s="1"/>
  <c r="J125" i="1" s="1"/>
  <c r="D124" i="1"/>
  <c r="D123" i="1"/>
  <c r="C110" i="1" l="1"/>
  <c r="C111" i="1" s="1"/>
  <c r="E110" i="1"/>
  <c r="E111" i="1" s="1"/>
  <c r="D218" i="1"/>
  <c r="F218" i="1" s="1"/>
  <c r="I218" i="1"/>
  <c r="D217" i="1"/>
  <c r="F217" i="1" s="1"/>
  <c r="D215" i="1"/>
  <c r="F215" i="1" s="1"/>
  <c r="D208" i="1"/>
  <c r="F208" i="1" s="1"/>
  <c r="D207" i="1"/>
  <c r="F207" i="1" s="1"/>
  <c r="D206" i="1"/>
  <c r="F206" i="1" s="1"/>
  <c r="D200" i="1"/>
  <c r="F200" i="1" s="1"/>
  <c r="D199" i="1"/>
  <c r="F199" i="1" s="1"/>
  <c r="I215" i="1"/>
  <c r="D220" i="1"/>
  <c r="F220" i="1" s="1"/>
  <c r="D219" i="1"/>
  <c r="F219" i="1" s="1"/>
  <c r="D216" i="1"/>
  <c r="F216" i="1" s="1"/>
  <c r="D214" i="1"/>
  <c r="F214" i="1" s="1"/>
  <c r="G213" i="1"/>
  <c r="G214" i="1" s="1"/>
  <c r="G215" i="1" s="1"/>
  <c r="G216" i="1" s="1"/>
  <c r="G217" i="1" s="1"/>
  <c r="G218" i="1" s="1"/>
  <c r="G219" i="1" s="1"/>
  <c r="G220" i="1" s="1"/>
  <c r="D213" i="1"/>
  <c r="F213" i="1" s="1"/>
  <c r="D211" i="1"/>
  <c r="F211" i="1" s="1"/>
  <c r="D210" i="1"/>
  <c r="F210" i="1" s="1"/>
  <c r="D205" i="1"/>
  <c r="F205" i="1" s="1"/>
  <c r="D204" i="1"/>
  <c r="F204" i="1" s="1"/>
  <c r="D202" i="1"/>
  <c r="F202" i="1" s="1"/>
  <c r="D201" i="1"/>
  <c r="F201" i="1" s="1"/>
  <c r="D198" i="1"/>
  <c r="F198" i="1" s="1"/>
  <c r="D197" i="1"/>
  <c r="F197" i="1" s="1"/>
  <c r="D196" i="1"/>
  <c r="F196" i="1" s="1"/>
  <c r="D195" i="1"/>
  <c r="F195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G175" i="1"/>
  <c r="G176" i="1" s="1"/>
  <c r="G177" i="1" s="1"/>
  <c r="G178" i="1" s="1"/>
  <c r="G179" i="1" s="1"/>
  <c r="G180" i="1" s="1"/>
  <c r="G181" i="1" s="1"/>
  <c r="G182" i="1" s="1"/>
  <c r="D175" i="1"/>
  <c r="F175" i="1" s="1"/>
  <c r="D160" i="1"/>
  <c r="D172" i="1"/>
  <c r="F172" i="1" s="1"/>
  <c r="D163" i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L166" i="1" s="1"/>
  <c r="D164" i="1"/>
  <c r="D162" i="1"/>
  <c r="D161" i="1"/>
  <c r="D159" i="1"/>
  <c r="D158" i="1"/>
  <c r="D157" i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50" i="1"/>
  <c r="D149" i="1"/>
  <c r="D148" i="1"/>
  <c r="D155" i="1"/>
  <c r="D154" i="1"/>
  <c r="D153" i="1"/>
  <c r="D152" i="1"/>
  <c r="D151" i="1"/>
  <c r="I123" i="1"/>
  <c r="F141" i="1"/>
  <c r="F140" i="1"/>
  <c r="F139" i="1"/>
  <c r="F138" i="1"/>
  <c r="F137" i="1"/>
  <c r="F136" i="1"/>
  <c r="F135" i="1"/>
  <c r="F134" i="1"/>
  <c r="J134" i="1" s="1"/>
  <c r="F133" i="1"/>
  <c r="J133" i="1" s="1"/>
  <c r="F132" i="1"/>
  <c r="J132" i="1" s="1"/>
  <c r="F131" i="1"/>
  <c r="J131" i="1" s="1"/>
  <c r="F127" i="1"/>
  <c r="J127" i="1" s="1"/>
  <c r="F126" i="1"/>
  <c r="J126" i="1" s="1"/>
  <c r="F128" i="1"/>
  <c r="J128" i="1" s="1"/>
  <c r="F129" i="1"/>
  <c r="J129" i="1" s="1"/>
  <c r="F130" i="1"/>
  <c r="J130" i="1" s="1"/>
  <c r="C115" i="1" l="1"/>
  <c r="E114" i="1"/>
  <c r="C114" i="1"/>
  <c r="F152" i="1"/>
  <c r="J152" i="1"/>
  <c r="F158" i="1"/>
  <c r="K158" i="1"/>
  <c r="J158" i="1"/>
  <c r="F153" i="1"/>
  <c r="J153" i="1"/>
  <c r="F159" i="1"/>
  <c r="K159" i="1"/>
  <c r="J159" i="1"/>
  <c r="F151" i="1"/>
  <c r="J151" i="1"/>
  <c r="F157" i="1"/>
  <c r="K157" i="1"/>
  <c r="J157" i="1"/>
  <c r="F154" i="1"/>
  <c r="J154" i="1"/>
  <c r="F161" i="1"/>
  <c r="J161" i="1"/>
  <c r="K161" i="1"/>
  <c r="F155" i="1"/>
  <c r="J155" i="1"/>
  <c r="F162" i="1"/>
  <c r="J162" i="1"/>
  <c r="K162" i="1"/>
  <c r="F163" i="1"/>
  <c r="K163" i="1"/>
  <c r="J163" i="1"/>
  <c r="F148" i="1"/>
  <c r="J148" i="1"/>
  <c r="F164" i="1"/>
  <c r="K164" i="1"/>
  <c r="J164" i="1"/>
  <c r="F149" i="1"/>
  <c r="J149" i="1"/>
  <c r="F160" i="1"/>
  <c r="J160" i="1"/>
  <c r="K160" i="1"/>
  <c r="F150" i="1"/>
  <c r="J150" i="1"/>
  <c r="E115" i="1"/>
  <c r="G115" i="1"/>
  <c r="J113" i="1"/>
  <c r="G114" i="1" l="1"/>
  <c r="K114" i="1"/>
  <c r="K115" i="1" l="1"/>
  <c r="E7" i="1"/>
  <c r="J114" i="1"/>
  <c r="J115" i="1"/>
  <c r="J116" i="1"/>
  <c r="J117" i="1"/>
  <c r="J118" i="1"/>
  <c r="C81" i="1" l="1"/>
  <c r="J92" i="1"/>
  <c r="J91" i="1"/>
  <c r="J90" i="1"/>
  <c r="J89" i="1"/>
  <c r="L152" i="1"/>
  <c r="K149" i="1" l="1"/>
  <c r="L149" i="1" s="1"/>
  <c r="K202" i="1"/>
  <c r="K201" i="1"/>
  <c r="K200" i="1"/>
  <c r="K199" i="1"/>
  <c r="K198" i="1"/>
  <c r="K197" i="1"/>
  <c r="K195" i="1"/>
  <c r="J147" i="1"/>
  <c r="J208" i="1"/>
  <c r="J204" i="1"/>
  <c r="G204" i="1"/>
  <c r="A205" i="1"/>
  <c r="A206" i="1" s="1"/>
  <c r="A207" i="1" s="1"/>
  <c r="A208" i="1" s="1"/>
  <c r="A211" i="1" s="1"/>
  <c r="G195" i="1"/>
  <c r="G196" i="1" s="1"/>
  <c r="G197" i="1" s="1"/>
  <c r="G198" i="1" s="1"/>
  <c r="G199" i="1" s="1"/>
  <c r="G200" i="1" s="1"/>
  <c r="G201" i="1" s="1"/>
  <c r="G202" i="1" s="1"/>
  <c r="J173" i="1"/>
  <c r="J166" i="1"/>
  <c r="G166" i="1"/>
  <c r="A167" i="1"/>
  <c r="A168" i="1" s="1"/>
  <c r="A169" i="1" s="1"/>
  <c r="A170" i="1" s="1"/>
  <c r="A171" i="1" s="1"/>
  <c r="A172" i="1" s="1"/>
  <c r="A173" i="1" s="1"/>
  <c r="G157" i="1"/>
  <c r="G158" i="1" s="1"/>
  <c r="G159" i="1" s="1"/>
  <c r="G160" i="1" s="1"/>
  <c r="G161" i="1" s="1"/>
  <c r="G162" i="1" s="1"/>
  <c r="G163" i="1" s="1"/>
  <c r="G164" i="1" s="1"/>
  <c r="J190" i="1"/>
  <c r="J186" i="1"/>
  <c r="G186" i="1"/>
  <c r="A187" i="1"/>
  <c r="A188" i="1" s="1"/>
  <c r="A189" i="1" s="1"/>
  <c r="A190" i="1" s="1"/>
  <c r="A191" i="1" s="1"/>
  <c r="A192" i="1" s="1"/>
  <c r="A193" i="1" s="1"/>
  <c r="K148" i="1"/>
  <c r="G148" i="1"/>
  <c r="A149" i="1"/>
  <c r="A150" i="1" s="1"/>
  <c r="A151" i="1" s="1"/>
  <c r="A152" i="1" s="1"/>
  <c r="A153" i="1" s="1"/>
  <c r="A154" i="1" s="1"/>
  <c r="A155" i="1" s="1"/>
  <c r="K196" i="1" l="1"/>
  <c r="G116" i="1"/>
  <c r="E43" i="1"/>
  <c r="E44" i="1" s="1"/>
  <c r="C116" i="1" l="1"/>
  <c r="E116" i="1"/>
  <c r="C15" i="1"/>
  <c r="E30" i="1" l="1"/>
  <c r="F107" i="1" l="1"/>
  <c r="F124" i="1" l="1"/>
  <c r="J124" i="1" s="1"/>
  <c r="F123" i="1"/>
  <c r="G110" i="1" l="1"/>
  <c r="G111" i="1" s="1"/>
  <c r="J123" i="1"/>
  <c r="B223" i="1"/>
  <c r="B22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9" i="1"/>
  <c r="A124" i="1"/>
  <c r="A125" i="1" s="1"/>
  <c r="G123" i="1"/>
  <c r="J78" i="1"/>
  <c r="J77" i="1"/>
  <c r="J76" i="1"/>
  <c r="J75" i="1"/>
  <c r="C67" i="1"/>
  <c r="D55" i="1"/>
  <c r="G50" i="1"/>
  <c r="G51" i="1" s="1"/>
  <c r="C50" i="1"/>
  <c r="E27" i="1"/>
  <c r="E25" i="1"/>
  <c r="E3" i="1"/>
  <c r="H68" i="1"/>
  <c r="A126" i="1" l="1"/>
  <c r="D61" i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A127" i="1" l="1"/>
  <c r="A128" i="1" s="1"/>
  <c r="A129" i="1" s="1"/>
  <c r="A130" i="1" s="1"/>
  <c r="A131" i="1" s="1"/>
  <c r="A132" i="1" s="1"/>
  <c r="A133" i="1" s="1"/>
  <c r="J74" i="1"/>
  <c r="D73" i="1"/>
  <c r="J69" i="1"/>
  <c r="D71" i="1"/>
  <c r="H82" i="1"/>
  <c r="A134" i="1" l="1"/>
  <c r="A135" i="1" s="1"/>
  <c r="A136" i="1" s="1"/>
  <c r="A137" i="1" s="1"/>
  <c r="A138" i="1" s="1"/>
  <c r="J79" i="1"/>
  <c r="J80" i="1" s="1"/>
  <c r="C72" i="1" s="1"/>
  <c r="E71" i="1" s="1"/>
  <c r="J86" i="1"/>
  <c r="C85" i="1" s="1"/>
  <c r="D85" i="1" s="1"/>
  <c r="J84" i="1"/>
  <c r="D94" i="1"/>
  <c r="D90" i="1"/>
  <c r="D91" i="1"/>
  <c r="D93" i="1"/>
  <c r="D89" i="1"/>
  <c r="J85" i="1"/>
  <c r="J87" i="1"/>
  <c r="D87" i="1"/>
  <c r="D92" i="1"/>
  <c r="D88" i="1"/>
  <c r="J81" i="1"/>
  <c r="J83" i="1" s="1"/>
  <c r="A139" i="1" l="1"/>
  <c r="A140" i="1" s="1"/>
  <c r="A141" i="1" s="1"/>
  <c r="J68" i="1"/>
  <c r="D72" i="1"/>
  <c r="I68" i="1" s="1"/>
  <c r="I69" i="1" s="1"/>
  <c r="G71" i="1"/>
  <c r="D65" i="1" s="1"/>
  <c r="D66" i="1" s="1"/>
  <c r="J88" i="1"/>
  <c r="J93" i="1" s="1"/>
  <c r="J94" i="1" s="1"/>
  <c r="C86" i="1" s="1"/>
  <c r="E85" i="1" s="1"/>
  <c r="I67" i="1" l="1"/>
  <c r="C69" i="1" s="1"/>
  <c r="F66" i="1"/>
  <c r="J82" i="1"/>
  <c r="G85" i="1"/>
  <c r="D86" i="1"/>
  <c r="I82" i="1" s="1"/>
  <c r="I83" i="1" s="1"/>
  <c r="I81" i="1" l="1"/>
  <c r="C83" i="1" s="1"/>
</calcChain>
</file>

<file path=xl/sharedStrings.xml><?xml version="1.0" encoding="utf-8"?>
<sst xmlns="http://schemas.openxmlformats.org/spreadsheetml/2006/main" count="356" uniqueCount="241">
  <si>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</si>
  <si>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</si>
  <si>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</si>
  <si>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</si>
  <si>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</si>
  <si>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</si>
  <si>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</si>
  <si>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</si>
  <si>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</si>
  <si>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</si>
  <si>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</si>
  <si>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</si>
  <si>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</si>
  <si>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</si>
  <si>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</si>
  <si>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</si>
  <si>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</si>
  <si>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</si>
  <si>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</si>
  <si>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</si>
  <si>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</si>
  <si>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</si>
  <si>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</si>
  <si>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</si>
  <si>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</si>
  <si>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</si>
  <si>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</si>
  <si>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</si>
  <si>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</si>
  <si>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</si>
  <si>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</si>
  <si>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</si>
  <si>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</si>
  <si>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</si>
  <si>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</si>
  <si>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</si>
  <si>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</si>
  <si>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</si>
  <si>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</si>
  <si>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</si>
  <si>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</si>
  <si>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</si>
  <si>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</si>
  <si>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</si>
  <si>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</si>
  <si>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</si>
  <si>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</si>
  <si>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</si>
  <si>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</si>
  <si>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</si>
  <si>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</si>
  <si>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</si>
  <si>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</si>
  <si>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</si>
  <si>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</si>
  <si>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</si>
  <si>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</si>
  <si>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</si>
  <si>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</si>
  <si>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</si>
  <si>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</si>
  <si>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</si>
  <si>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</si>
  <si>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</si>
  <si>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</si>
  <si>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</si>
  <si>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</si>
  <si>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</si>
  <si>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</si>
  <si>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</si>
  <si>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</si>
  <si>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</si>
  <si>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</si>
  <si>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</si>
  <si>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</si>
  <si>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</si>
  <si>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</si>
  <si>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</si>
  <si>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</si>
  <si>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</si>
  <si>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</si>
  <si>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</si>
  <si>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</si>
  <si>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</si>
  <si>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</si>
  <si>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</si>
  <si>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</si>
  <si>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</si>
  <si>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</si>
  <si>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</si>
  <si>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</si>
  <si>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</si>
  <si>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</si>
  <si>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</si>
  <si>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</si>
  <si>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</si>
  <si>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</si>
  <si>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</si>
  <si>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</si>
  <si>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</si>
  <si>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</si>
  <si>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</si>
  <si>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</si>
  <si>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</si>
  <si>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</si>
  <si>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</si>
  <si>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</si>
  <si>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</si>
  <si>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</si>
  <si>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</si>
  <si>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</si>
  <si>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</si>
  <si>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</si>
  <si>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</si>
  <si>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</si>
  <si>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</si>
  <si>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</si>
  <si>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</si>
  <si>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</si>
  <si>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</si>
  <si>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</si>
  <si>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</si>
  <si>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</si>
  <si>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</si>
  <si>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</si>
  <si>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</si>
  <si>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</si>
  <si>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</si>
  <si>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</si>
  <si>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</si>
  <si>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</si>
  <si>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</si>
  <si>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</si>
  <si>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</si>
  <si>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</si>
  <si>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</si>
  <si>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</si>
  <si>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</si>
  <si>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</si>
  <si>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</si>
  <si>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</si>
  <si>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</si>
  <si>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</si>
  <si>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</si>
  <si>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</si>
  <si>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</si>
  <si>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</si>
  <si>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</si>
  <si>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</si>
  <si>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</si>
  <si>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</si>
  <si>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</si>
  <si>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</si>
  <si>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</si>
  <si>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</si>
  <si>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</si>
  <si>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</si>
  <si>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</si>
  <si>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</si>
  <si>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</si>
  <si>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</si>
  <si>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</si>
  <si>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</si>
  <si>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</si>
  <si>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</si>
  <si>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</si>
  <si>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</si>
  <si>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</si>
  <si>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</si>
  <si>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</si>
  <si>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</si>
  <si>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</si>
  <si>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Axis Badlapur</t>
  </si>
  <si>
    <t>S M Hitech Developers</t>
  </si>
  <si>
    <t>Building No. 1 &amp; 2</t>
  </si>
  <si>
    <t>P52000047525</t>
  </si>
  <si>
    <t>Survey No</t>
  </si>
  <si>
    <t xml:space="preserve"> 2/1/2</t>
  </si>
  <si>
    <t>Internal Road</t>
  </si>
  <si>
    <t>3.9 KM from Taloja Panchanand Railway Station</t>
  </si>
  <si>
    <t>Koyanavele</t>
  </si>
  <si>
    <t>Panvel</t>
  </si>
  <si>
    <t>Raigad</t>
  </si>
  <si>
    <t>Bajaj International School</t>
  </si>
  <si>
    <t>Siddhivinayak Homes</t>
  </si>
  <si>
    <t>Ghotcamp</t>
  </si>
  <si>
    <t>Open Plot</t>
  </si>
  <si>
    <t>https://goo.gl/maps/mpgobXbYg58eYv7a7</t>
  </si>
  <si>
    <t>2 Buildings</t>
  </si>
  <si>
    <t>Panvel Municipal Corporation</t>
  </si>
  <si>
    <t>As per RERA - 31/03/2027</t>
  </si>
  <si>
    <t xml:space="preserve">1. Vitrified tiles flooring 2. Granite Kitchen Platform 3. Decorative Enternace etc.
</t>
  </si>
  <si>
    <t>Ground Floor For Parking &amp; Meter Room</t>
  </si>
  <si>
    <t>1st Floor For Residential</t>
  </si>
  <si>
    <t>Building No.1</t>
  </si>
  <si>
    <t>Building No.2</t>
  </si>
  <si>
    <t>2nd to 7th &amp; 9th to 12th Floor</t>
  </si>
  <si>
    <t>Refuge Area</t>
  </si>
  <si>
    <t>-</t>
  </si>
  <si>
    <t>We considered Gross carpet area = Net carpet + Balcony + Chajja Area.</t>
  </si>
  <si>
    <t>Builder Saleable area</t>
  </si>
  <si>
    <t>Building Name as per RERA</t>
  </si>
  <si>
    <t>Wing C</t>
  </si>
  <si>
    <t>Wing D</t>
  </si>
  <si>
    <t>Building Name as per Approved Plan</t>
  </si>
  <si>
    <t>Building No. 1</t>
  </si>
  <si>
    <t>Building No. 2</t>
  </si>
  <si>
    <t>Building Names Clarification</t>
  </si>
  <si>
    <t>Society Formation Charges &amp; Conveyance Deed</t>
  </si>
  <si>
    <t>Approved Plans, CC, Builder Saleable Area, Cost Sheet</t>
  </si>
  <si>
    <t>Wing C &amp; D</t>
  </si>
  <si>
    <t>Imperial Tower II</t>
  </si>
  <si>
    <t>Taloja (East)</t>
  </si>
  <si>
    <t xml:space="preserve">Commencement-CC No
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</si>
  <si>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</si>
  <si>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Cost sheet</t>
  </si>
  <si>
    <t>Online</t>
  </si>
  <si>
    <t>Name / No of the Building as per RERA &amp; Builder</t>
  </si>
  <si>
    <t>Name / No of the Building as per Approved Plans</t>
  </si>
  <si>
    <t>PMP/NRV/16440/J.K.938/2023</t>
  </si>
  <si>
    <t>PMC/TP/Koynavele/2/1/2/21-23/16440/938/2023</t>
  </si>
  <si>
    <t>Building No.1 &amp; 2 = G + 1st to 14th Floor</t>
  </si>
  <si>
    <t>Building No.1 = G + 1st to 14th Floor</t>
  </si>
  <si>
    <t>Building No.2 = G + 1st to 14th Floor</t>
  </si>
  <si>
    <t>Building 1 + 2</t>
  </si>
  <si>
    <t>Ground Floor for Commercial &amp; Parking</t>
  </si>
  <si>
    <t>Shop</t>
  </si>
  <si>
    <t>1.5BHK</t>
  </si>
  <si>
    <t>2BHK</t>
  </si>
  <si>
    <t>8th &amp; 13th Floor (Part Refuge Area)</t>
  </si>
  <si>
    <t>14th Floor</t>
  </si>
  <si>
    <t>Building No.1+2</t>
  </si>
  <si>
    <t>Flats - 220, Shop - 19</t>
  </si>
  <si>
    <t>We have updated latest approved floor plans &amp; CC (On 21/12/2023).</t>
  </si>
  <si>
    <t>Sunil Peravi</t>
  </si>
  <si>
    <t>smith</t>
  </si>
  <si>
    <t>Mr.Kayyum Patel : 9930357927</t>
  </si>
  <si>
    <t>Recommended Rates/Other Charges of the Property have been revised on 23/12/2023, 18/04/2024, 11/06/2024 &amp; 17/10/2024.</t>
  </si>
  <si>
    <t>Mr. Irfan : 9930357927</t>
  </si>
  <si>
    <t>Building No.1 &amp; 2 = Construction work is in process at the time of Visit. Internal photos was not allowed.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</si>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</sst>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[&gt;0]0.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5" fillId="0" borderId="0" xfId="4" applyNumberFormat="1"/>
    <xf numFmtId="0" fontId="10" fillId="0" borderId="0" xfId="0" applyFont="1" applyAlignment="1">
      <alignment horizontal="right" vertical="center"/>
    </xf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14" xfId="0" applyFont="1" applyFill="1" applyBorder="1"/>
    <xf numFmtId="0" fontId="25" fillId="0" borderId="8" xfId="0" applyFont="1" applyBorder="1"/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3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164521</xdr:colOff>
      <xdr:row>338</xdr:row>
      <xdr:rowOff>69272</xdr:rowOff>
    </xdr:from>
    <xdr:to>
      <xdr:col>7</xdr:col>
      <xdr:colOff>667498</xdr:colOff>
      <xdr:row>352</xdr:row>
      <xdr:rowOff>79770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521" y="55625999"/>
          <a:ext cx="6192000" cy="27987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164521</xdr:colOff>
      <xdr:row>353</xdr:row>
      <xdr:rowOff>14868</xdr:rowOff>
    </xdr:from>
    <xdr:to>
      <xdr:col>7</xdr:col>
      <xdr:colOff>667498</xdr:colOff>
      <xdr:row>375</xdr:row>
      <xdr:rowOff>161629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521" y="58558982"/>
          <a:ext cx="6192000" cy="45282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451427</xdr:colOff>
      <xdr:row>322</xdr:row>
      <xdr:rowOff>51811</xdr:rowOff>
    </xdr:from>
    <xdr:to>
      <xdr:col>5</xdr:col>
      <xdr:colOff>399677</xdr:colOff>
      <xdr:row>335</xdr:row>
      <xdr:rowOff>83119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959874" y="51874705"/>
          <a:ext cx="2620377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493563</xdr:colOff>
      <xdr:row>294</xdr:row>
      <xdr:rowOff>147205</xdr:rowOff>
    </xdr:from>
    <xdr:to>
      <xdr:col>6</xdr:col>
      <xdr:colOff>395858</xdr:colOff>
      <xdr:row>321</xdr:row>
      <xdr:rowOff>169910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5563" y="46343455"/>
          <a:ext cx="4050000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2</xdr:col>
      <xdr:colOff>495514</xdr:colOff>
      <xdr:row>326</xdr:row>
      <xdr:rowOff>179896</xdr:rowOff>
    </xdr:from>
    <xdr:ext cx="264560" cy="52822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rot="16200000">
          <a:off x="1922319" y="52881068"/>
          <a:ext cx="528222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North</a:t>
          </a:r>
        </a:p>
      </xdr:txBody>
    </xdr:sp>
    <xdr:clientData/>
  </xdr:oneCellAnchor>
  <xdr:oneCellAnchor>
    <xdr:from>
      <xdr:col>5</xdr:col>
      <xdr:colOff>699826</xdr:colOff>
      <xdr:row>308</xdr:row>
      <xdr:rowOff>44856</xdr:rowOff>
    </xdr:from>
    <xdr:ext cx="264560" cy="97148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rot="16200000">
          <a:off x="4476750" y="49382795"/>
          <a:ext cx="97148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Building No.1</a:t>
          </a:r>
        </a:p>
      </xdr:txBody>
    </xdr:sp>
    <xdr:clientData/>
  </xdr:oneCellAnchor>
  <xdr:oneCellAnchor>
    <xdr:from>
      <xdr:col>2</xdr:col>
      <xdr:colOff>784514</xdr:colOff>
      <xdr:row>297</xdr:row>
      <xdr:rowOff>31173</xdr:rowOff>
    </xdr:from>
    <xdr:ext cx="971484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343150" y="46824900"/>
          <a:ext cx="97148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Building No.2</a:t>
          </a:r>
        </a:p>
      </xdr:txBody>
    </xdr:sp>
    <xdr:clientData/>
  </xdr:oneCellAnchor>
  <xdr:twoCellAnchor>
    <xdr:from>
      <xdr:col>4</xdr:col>
      <xdr:colOff>63460</xdr:colOff>
      <xdr:row>365</xdr:row>
      <xdr:rowOff>52620</xdr:rowOff>
    </xdr:from>
    <xdr:to>
      <xdr:col>4</xdr:col>
      <xdr:colOff>771809</xdr:colOff>
      <xdr:row>368</xdr:row>
      <xdr:rowOff>121893</xdr:rowOff>
    </xdr:to>
    <xdr:sp macro="" textlink="">
      <xdr:nvSpPr>
        <xdr:cNvPr id="16" name="Flowchart: Process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0015581">
          <a:off x="3420201" y="63048999"/>
          <a:ext cx="708349" cy="660480"/>
        </a:xfrm>
        <a:prstGeom prst="flowChartProcess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8</xdr:col>
      <xdr:colOff>995862</xdr:colOff>
      <xdr:row>103</xdr:row>
      <xdr:rowOff>99246</xdr:rowOff>
    </xdr:from>
    <xdr:to>
      <xdr:col>15</xdr:col>
      <xdr:colOff>54070</xdr:colOff>
      <xdr:row>113</xdr:row>
      <xdr:rowOff>112693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14275" y="22354616"/>
          <a:ext cx="4715230" cy="1802490"/>
        </a:xfrm>
        <a:prstGeom prst="rect">
          <a:avLst/>
        </a:prstGeom>
      </xdr:spPr>
    </xdr:pic>
    <xdr:clientData/>
  </xdr:twoCellAnchor>
  <xdr:twoCellAnchor>
    <xdr:from>
      <xdr:col>2</xdr:col>
      <xdr:colOff>647700</xdr:colOff>
      <xdr:row>364</xdr:row>
      <xdr:rowOff>0</xdr:rowOff>
    </xdr:from>
    <xdr:to>
      <xdr:col>3</xdr:col>
      <xdr:colOff>866775</xdr:colOff>
      <xdr:row>367</xdr:row>
      <xdr:rowOff>47625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209800" y="63607950"/>
          <a:ext cx="1066800" cy="647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600075</xdr:colOff>
      <xdr:row>365</xdr:row>
      <xdr:rowOff>180975</xdr:rowOff>
    </xdr:from>
    <xdr:to>
      <xdr:col>3</xdr:col>
      <xdr:colOff>914400</xdr:colOff>
      <xdr:row>367</xdr:row>
      <xdr:rowOff>28575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162175" y="63988950"/>
          <a:ext cx="11620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S M Hitech Tulip</a:t>
          </a:r>
        </a:p>
      </xdr:txBody>
    </xdr:sp>
    <xdr:clientData/>
  </xdr:twoCellAnchor>
  <xdr:twoCellAnchor>
    <xdr:from>
      <xdr:col>4</xdr:col>
      <xdr:colOff>657224</xdr:colOff>
      <xdr:row>364</xdr:row>
      <xdr:rowOff>114300</xdr:rowOff>
    </xdr:from>
    <xdr:to>
      <xdr:col>6</xdr:col>
      <xdr:colOff>342900</xdr:colOff>
      <xdr:row>365</xdr:row>
      <xdr:rowOff>152400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010024" y="63722250"/>
          <a:ext cx="124777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Imperial</a:t>
          </a:r>
          <a:r>
            <a:rPr lang="en-IN" sz="1100" b="1" baseline="0">
              <a:solidFill>
                <a:srgbClr val="FFFF00"/>
              </a:solidFill>
            </a:rPr>
            <a:t> Tower II</a:t>
          </a:r>
          <a:endParaRPr lang="en-IN" sz="1100" b="1">
            <a:solidFill>
              <a:srgbClr val="FFFF00"/>
            </a:solidFill>
          </a:endParaRPr>
        </a:p>
      </xdr:txBody>
    </xdr:sp>
    <xdr:clientData/>
  </xdr:twoCellAnchor>
  <xdr:twoCellAnchor>
    <xdr:from>
      <xdr:col>8</xdr:col>
      <xdr:colOff>1072520</xdr:colOff>
      <xdr:row>247</xdr:row>
      <xdr:rowOff>85725</xdr:rowOff>
    </xdr:from>
    <xdr:to>
      <xdr:col>9</xdr:col>
      <xdr:colOff>221619</xdr:colOff>
      <xdr:row>248</xdr:row>
      <xdr:rowOff>193675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7920995" y="52606575"/>
          <a:ext cx="311149" cy="307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10</xdr:col>
      <xdr:colOff>377195</xdr:colOff>
      <xdr:row>249</xdr:row>
      <xdr:rowOff>79005</xdr:rowOff>
    </xdr:from>
    <xdr:to>
      <xdr:col>10</xdr:col>
      <xdr:colOff>688344</xdr:colOff>
      <xdr:row>250</xdr:row>
      <xdr:rowOff>190130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25870" y="52999905"/>
          <a:ext cx="311149" cy="3111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</a:p>
      </xdr:txBody>
    </xdr:sp>
    <xdr:clientData/>
  </xdr:twoCellAnchor>
  <xdr:twoCellAnchor>
    <xdr:from>
      <xdr:col>2</xdr:col>
      <xdr:colOff>68580</xdr:colOff>
      <xdr:row>267</xdr:row>
      <xdr:rowOff>15240</xdr:rowOff>
    </xdr:from>
    <xdr:to>
      <xdr:col>2</xdr:col>
      <xdr:colOff>846361</xdr:colOff>
      <xdr:row>268</xdr:row>
      <xdr:rowOff>99093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5674C0C-0673-00A5-0492-1B8E7F42F8DC}"/>
            </a:ext>
          </a:extLst>
        </xdr:cNvPr>
        <xdr:cNvSpPr txBox="1"/>
      </xdr:nvSpPr>
      <xdr:spPr>
        <a:xfrm>
          <a:off x="1676400" y="55481220"/>
          <a:ext cx="777781" cy="2819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No.2</a:t>
          </a:r>
        </a:p>
      </xdr:txBody>
    </xdr:sp>
    <xdr:clientData/>
  </xdr:twoCellAnchor>
  <xdr:twoCellAnchor>
    <xdr:from>
      <xdr:col>9</xdr:col>
      <xdr:colOff>0</xdr:colOff>
      <xdr:row>252</xdr:row>
      <xdr:rowOff>0</xdr:rowOff>
    </xdr:from>
    <xdr:to>
      <xdr:col>9</xdr:col>
      <xdr:colOff>796831</xdr:colOff>
      <xdr:row>253</xdr:row>
      <xdr:rowOff>83853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B748F24-A8B4-4184-B2CD-1B6DB95AEB31}"/>
            </a:ext>
          </a:extLst>
        </xdr:cNvPr>
        <xdr:cNvSpPr txBox="1"/>
      </xdr:nvSpPr>
      <xdr:spPr>
        <a:xfrm>
          <a:off x="8420100" y="52438300"/>
          <a:ext cx="796831" cy="280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No.1</a:t>
          </a:r>
        </a:p>
      </xdr:txBody>
    </xdr:sp>
    <xdr:clientData/>
  </xdr:twoCellAnchor>
  <xdr:twoCellAnchor>
    <xdr:from>
      <xdr:col>0</xdr:col>
      <xdr:colOff>406400</xdr:colOff>
      <xdr:row>249</xdr:row>
      <xdr:rowOff>158750</xdr:rowOff>
    </xdr:from>
    <xdr:to>
      <xdr:col>7</xdr:col>
      <xdr:colOff>812850</xdr:colOff>
      <xdr:row>278</xdr:row>
      <xdr:rowOff>51145</xdr:rowOff>
    </xdr:to>
    <xdr:grpSp>
      <xdr:nvGrpSpPr>
        <xdr:cNvPr id="3" name="Group 2"/>
        <xdr:cNvGrpSpPr/>
      </xdr:nvGrpSpPr>
      <xdr:grpSpPr>
        <a:xfrm>
          <a:off x="406400" y="52012850"/>
          <a:ext cx="6407200" cy="5594695"/>
          <a:chOff x="406400" y="52012850"/>
          <a:chExt cx="6407200" cy="5594695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3737" y="5487154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5069" y="520128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6401" y="520128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3737" y="520128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6400" y="5487154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5069" y="5487154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DB748F24-A8B4-4184-B2CD-1B6DB95AEB31}"/>
              </a:ext>
            </a:extLst>
          </xdr:cNvPr>
          <xdr:cNvSpPr txBox="1"/>
        </xdr:nvSpPr>
        <xdr:spPr>
          <a:xfrm>
            <a:off x="1276351" y="52038250"/>
            <a:ext cx="796831" cy="280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DB748F24-A8B4-4184-B2CD-1B6DB95AEB31}"/>
              </a:ext>
            </a:extLst>
          </xdr:cNvPr>
          <xdr:cNvSpPr txBox="1"/>
        </xdr:nvSpPr>
        <xdr:spPr>
          <a:xfrm>
            <a:off x="2648569" y="52152550"/>
            <a:ext cx="796831" cy="280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DB748F24-A8B4-4184-B2CD-1B6DB95AEB31}"/>
              </a:ext>
            </a:extLst>
          </xdr:cNvPr>
          <xdr:cNvSpPr txBox="1"/>
        </xdr:nvSpPr>
        <xdr:spPr>
          <a:xfrm>
            <a:off x="5443187" y="52019200"/>
            <a:ext cx="796831" cy="280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DB748F24-A8B4-4184-B2CD-1B6DB95AEB31}"/>
              </a:ext>
            </a:extLst>
          </xdr:cNvPr>
          <xdr:cNvSpPr txBox="1"/>
        </xdr:nvSpPr>
        <xdr:spPr>
          <a:xfrm>
            <a:off x="1536700" y="54903295"/>
            <a:ext cx="796831" cy="280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0</xdr:rowOff>
    </xdr:from>
    <xdr:to>
      <xdr:col>9</xdr:col>
      <xdr:colOff>574668</xdr:colOff>
      <xdr:row>29</xdr:row>
      <xdr:rowOff>26199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0"/>
          <a:ext cx="10514286" cy="5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pgobXbYg58eYv7a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37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81640625" style="40" customWidth="1"/>
    <col min="4" max="4" width="14.1796875" style="40" customWidth="1"/>
    <col min="5" max="7" width="11.81640625" style="40" customWidth="1"/>
    <col min="8" max="8" width="17.1796875" style="40" customWidth="1"/>
    <col min="9" max="9" width="17.453125" style="21" customWidth="1"/>
    <col min="10" max="10" width="11.453125" style="21" customWidth="1"/>
    <col min="11" max="11" width="11.17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81640625" style="21" customWidth="1"/>
    <col min="17" max="247" width="9.1796875" style="21"/>
    <col min="248" max="248" width="8.81640625" style="21" customWidth="1"/>
    <col min="249" max="249" width="9.81640625" style="21" customWidth="1"/>
    <col min="250" max="250" width="14.453125" style="21" customWidth="1"/>
    <col min="251" max="251" width="7.179687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81640625" style="21" customWidth="1"/>
    <col min="505" max="505" width="9.81640625" style="21" customWidth="1"/>
    <col min="506" max="506" width="14.453125" style="21" customWidth="1"/>
    <col min="507" max="507" width="7.179687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81640625" style="21" customWidth="1"/>
    <col min="761" max="761" width="9.81640625" style="21" customWidth="1"/>
    <col min="762" max="762" width="14.453125" style="21" customWidth="1"/>
    <col min="763" max="763" width="7.179687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81640625" style="21" customWidth="1"/>
    <col min="1017" max="1017" width="9.81640625" style="21" customWidth="1"/>
    <col min="1018" max="1018" width="14.453125" style="21" customWidth="1"/>
    <col min="1019" max="1019" width="7.179687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81640625" style="21" customWidth="1"/>
    <col min="1273" max="1273" width="9.81640625" style="21" customWidth="1"/>
    <col min="1274" max="1274" width="14.453125" style="21" customWidth="1"/>
    <col min="1275" max="1275" width="7.179687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81640625" style="21" customWidth="1"/>
    <col min="1529" max="1529" width="9.81640625" style="21" customWidth="1"/>
    <col min="1530" max="1530" width="14.453125" style="21" customWidth="1"/>
    <col min="1531" max="1531" width="7.179687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81640625" style="21" customWidth="1"/>
    <col min="1785" max="1785" width="9.81640625" style="21" customWidth="1"/>
    <col min="1786" max="1786" width="14.453125" style="21" customWidth="1"/>
    <col min="1787" max="1787" width="7.179687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81640625" style="21" customWidth="1"/>
    <col min="2041" max="2041" width="9.81640625" style="21" customWidth="1"/>
    <col min="2042" max="2042" width="14.453125" style="21" customWidth="1"/>
    <col min="2043" max="2043" width="7.179687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81640625" style="21" customWidth="1"/>
    <col min="2297" max="2297" width="9.81640625" style="21" customWidth="1"/>
    <col min="2298" max="2298" width="14.453125" style="21" customWidth="1"/>
    <col min="2299" max="2299" width="7.179687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81640625" style="21" customWidth="1"/>
    <col min="2553" max="2553" width="9.81640625" style="21" customWidth="1"/>
    <col min="2554" max="2554" width="14.453125" style="21" customWidth="1"/>
    <col min="2555" max="2555" width="7.179687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81640625" style="21" customWidth="1"/>
    <col min="2809" max="2809" width="9.81640625" style="21" customWidth="1"/>
    <col min="2810" max="2810" width="14.453125" style="21" customWidth="1"/>
    <col min="2811" max="2811" width="7.179687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81640625" style="21" customWidth="1"/>
    <col min="3065" max="3065" width="9.81640625" style="21" customWidth="1"/>
    <col min="3066" max="3066" width="14.453125" style="21" customWidth="1"/>
    <col min="3067" max="3067" width="7.179687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81640625" style="21" customWidth="1"/>
    <col min="3321" max="3321" width="9.81640625" style="21" customWidth="1"/>
    <col min="3322" max="3322" width="14.453125" style="21" customWidth="1"/>
    <col min="3323" max="3323" width="7.179687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81640625" style="21" customWidth="1"/>
    <col min="3577" max="3577" width="9.81640625" style="21" customWidth="1"/>
    <col min="3578" max="3578" width="14.453125" style="21" customWidth="1"/>
    <col min="3579" max="3579" width="7.179687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81640625" style="21" customWidth="1"/>
    <col min="3833" max="3833" width="9.81640625" style="21" customWidth="1"/>
    <col min="3834" max="3834" width="14.453125" style="21" customWidth="1"/>
    <col min="3835" max="3835" width="7.179687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81640625" style="21" customWidth="1"/>
    <col min="4089" max="4089" width="9.81640625" style="21" customWidth="1"/>
    <col min="4090" max="4090" width="14.453125" style="21" customWidth="1"/>
    <col min="4091" max="4091" width="7.179687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81640625" style="21" customWidth="1"/>
    <col min="4345" max="4345" width="9.81640625" style="21" customWidth="1"/>
    <col min="4346" max="4346" width="14.453125" style="21" customWidth="1"/>
    <col min="4347" max="4347" width="7.179687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81640625" style="21" customWidth="1"/>
    <col min="4601" max="4601" width="9.81640625" style="21" customWidth="1"/>
    <col min="4602" max="4602" width="14.453125" style="21" customWidth="1"/>
    <col min="4603" max="4603" width="7.179687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81640625" style="21" customWidth="1"/>
    <col min="4857" max="4857" width="9.81640625" style="21" customWidth="1"/>
    <col min="4858" max="4858" width="14.453125" style="21" customWidth="1"/>
    <col min="4859" max="4859" width="7.179687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81640625" style="21" customWidth="1"/>
    <col min="5113" max="5113" width="9.81640625" style="21" customWidth="1"/>
    <col min="5114" max="5114" width="14.453125" style="21" customWidth="1"/>
    <col min="5115" max="5115" width="7.179687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81640625" style="21" customWidth="1"/>
    <col min="5369" max="5369" width="9.81640625" style="21" customWidth="1"/>
    <col min="5370" max="5370" width="14.453125" style="21" customWidth="1"/>
    <col min="5371" max="5371" width="7.179687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81640625" style="21" customWidth="1"/>
    <col min="5625" max="5625" width="9.81640625" style="21" customWidth="1"/>
    <col min="5626" max="5626" width="14.453125" style="21" customWidth="1"/>
    <col min="5627" max="5627" width="7.179687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81640625" style="21" customWidth="1"/>
    <col min="5881" max="5881" width="9.81640625" style="21" customWidth="1"/>
    <col min="5882" max="5882" width="14.453125" style="21" customWidth="1"/>
    <col min="5883" max="5883" width="7.179687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81640625" style="21" customWidth="1"/>
    <col min="6137" max="6137" width="9.81640625" style="21" customWidth="1"/>
    <col min="6138" max="6138" width="14.453125" style="21" customWidth="1"/>
    <col min="6139" max="6139" width="7.179687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81640625" style="21" customWidth="1"/>
    <col min="6393" max="6393" width="9.81640625" style="21" customWidth="1"/>
    <col min="6394" max="6394" width="14.453125" style="21" customWidth="1"/>
    <col min="6395" max="6395" width="7.179687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81640625" style="21" customWidth="1"/>
    <col min="6649" max="6649" width="9.81640625" style="21" customWidth="1"/>
    <col min="6650" max="6650" width="14.453125" style="21" customWidth="1"/>
    <col min="6651" max="6651" width="7.179687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81640625" style="21" customWidth="1"/>
    <col min="6905" max="6905" width="9.81640625" style="21" customWidth="1"/>
    <col min="6906" max="6906" width="14.453125" style="21" customWidth="1"/>
    <col min="6907" max="6907" width="7.179687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81640625" style="21" customWidth="1"/>
    <col min="7161" max="7161" width="9.81640625" style="21" customWidth="1"/>
    <col min="7162" max="7162" width="14.453125" style="21" customWidth="1"/>
    <col min="7163" max="7163" width="7.179687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81640625" style="21" customWidth="1"/>
    <col min="7417" max="7417" width="9.81640625" style="21" customWidth="1"/>
    <col min="7418" max="7418" width="14.453125" style="21" customWidth="1"/>
    <col min="7419" max="7419" width="7.179687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81640625" style="21" customWidth="1"/>
    <col min="7673" max="7673" width="9.81640625" style="21" customWidth="1"/>
    <col min="7674" max="7674" width="14.453125" style="21" customWidth="1"/>
    <col min="7675" max="7675" width="7.179687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81640625" style="21" customWidth="1"/>
    <col min="7929" max="7929" width="9.81640625" style="21" customWidth="1"/>
    <col min="7930" max="7930" width="14.453125" style="21" customWidth="1"/>
    <col min="7931" max="7931" width="7.179687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81640625" style="21" customWidth="1"/>
    <col min="8185" max="8185" width="9.81640625" style="21" customWidth="1"/>
    <col min="8186" max="8186" width="14.453125" style="21" customWidth="1"/>
    <col min="8187" max="8187" width="7.179687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81640625" style="21" customWidth="1"/>
    <col min="8441" max="8441" width="9.81640625" style="21" customWidth="1"/>
    <col min="8442" max="8442" width="14.453125" style="21" customWidth="1"/>
    <col min="8443" max="8443" width="7.179687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81640625" style="21" customWidth="1"/>
    <col min="8697" max="8697" width="9.81640625" style="21" customWidth="1"/>
    <col min="8698" max="8698" width="14.453125" style="21" customWidth="1"/>
    <col min="8699" max="8699" width="7.179687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81640625" style="21" customWidth="1"/>
    <col min="8953" max="8953" width="9.81640625" style="21" customWidth="1"/>
    <col min="8954" max="8954" width="14.453125" style="21" customWidth="1"/>
    <col min="8955" max="8955" width="7.179687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81640625" style="21" customWidth="1"/>
    <col min="9209" max="9209" width="9.81640625" style="21" customWidth="1"/>
    <col min="9210" max="9210" width="14.453125" style="21" customWidth="1"/>
    <col min="9211" max="9211" width="7.179687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81640625" style="21" customWidth="1"/>
    <col min="9465" max="9465" width="9.81640625" style="21" customWidth="1"/>
    <col min="9466" max="9466" width="14.453125" style="21" customWidth="1"/>
    <col min="9467" max="9467" width="7.179687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81640625" style="21" customWidth="1"/>
    <col min="9721" max="9721" width="9.81640625" style="21" customWidth="1"/>
    <col min="9722" max="9722" width="14.453125" style="21" customWidth="1"/>
    <col min="9723" max="9723" width="7.179687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81640625" style="21" customWidth="1"/>
    <col min="9977" max="9977" width="9.81640625" style="21" customWidth="1"/>
    <col min="9978" max="9978" width="14.453125" style="21" customWidth="1"/>
    <col min="9979" max="9979" width="7.179687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81640625" style="21" customWidth="1"/>
    <col min="10233" max="10233" width="9.81640625" style="21" customWidth="1"/>
    <col min="10234" max="10234" width="14.453125" style="21" customWidth="1"/>
    <col min="10235" max="10235" width="7.179687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81640625" style="21" customWidth="1"/>
    <col min="10489" max="10489" width="9.81640625" style="21" customWidth="1"/>
    <col min="10490" max="10490" width="14.453125" style="21" customWidth="1"/>
    <col min="10491" max="10491" width="7.179687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81640625" style="21" customWidth="1"/>
    <col min="10745" max="10745" width="9.81640625" style="21" customWidth="1"/>
    <col min="10746" max="10746" width="14.453125" style="21" customWidth="1"/>
    <col min="10747" max="10747" width="7.179687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81640625" style="21" customWidth="1"/>
    <col min="11001" max="11001" width="9.81640625" style="21" customWidth="1"/>
    <col min="11002" max="11002" width="14.453125" style="21" customWidth="1"/>
    <col min="11003" max="11003" width="7.179687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81640625" style="21" customWidth="1"/>
    <col min="11257" max="11257" width="9.81640625" style="21" customWidth="1"/>
    <col min="11258" max="11258" width="14.453125" style="21" customWidth="1"/>
    <col min="11259" max="11259" width="7.179687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81640625" style="21" customWidth="1"/>
    <col min="11513" max="11513" width="9.81640625" style="21" customWidth="1"/>
    <col min="11514" max="11514" width="14.453125" style="21" customWidth="1"/>
    <col min="11515" max="11515" width="7.179687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81640625" style="21" customWidth="1"/>
    <col min="11769" max="11769" width="9.81640625" style="21" customWidth="1"/>
    <col min="11770" max="11770" width="14.453125" style="21" customWidth="1"/>
    <col min="11771" max="11771" width="7.179687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81640625" style="21" customWidth="1"/>
    <col min="12025" max="12025" width="9.81640625" style="21" customWidth="1"/>
    <col min="12026" max="12026" width="14.453125" style="21" customWidth="1"/>
    <col min="12027" max="12027" width="7.179687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81640625" style="21" customWidth="1"/>
    <col min="12281" max="12281" width="9.81640625" style="21" customWidth="1"/>
    <col min="12282" max="12282" width="14.453125" style="21" customWidth="1"/>
    <col min="12283" max="12283" width="7.179687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81640625" style="21" customWidth="1"/>
    <col min="12537" max="12537" width="9.81640625" style="21" customWidth="1"/>
    <col min="12538" max="12538" width="14.453125" style="21" customWidth="1"/>
    <col min="12539" max="12539" width="7.179687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81640625" style="21" customWidth="1"/>
    <col min="12793" max="12793" width="9.81640625" style="21" customWidth="1"/>
    <col min="12794" max="12794" width="14.453125" style="21" customWidth="1"/>
    <col min="12795" max="12795" width="7.179687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81640625" style="21" customWidth="1"/>
    <col min="13049" max="13049" width="9.81640625" style="21" customWidth="1"/>
    <col min="13050" max="13050" width="14.453125" style="21" customWidth="1"/>
    <col min="13051" max="13051" width="7.179687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81640625" style="21" customWidth="1"/>
    <col min="13305" max="13305" width="9.81640625" style="21" customWidth="1"/>
    <col min="13306" max="13306" width="14.453125" style="21" customWidth="1"/>
    <col min="13307" max="13307" width="7.179687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81640625" style="21" customWidth="1"/>
    <col min="13561" max="13561" width="9.81640625" style="21" customWidth="1"/>
    <col min="13562" max="13562" width="14.453125" style="21" customWidth="1"/>
    <col min="13563" max="13563" width="7.179687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81640625" style="21" customWidth="1"/>
    <col min="13817" max="13817" width="9.81640625" style="21" customWidth="1"/>
    <col min="13818" max="13818" width="14.453125" style="21" customWidth="1"/>
    <col min="13819" max="13819" width="7.179687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81640625" style="21" customWidth="1"/>
    <col min="14073" max="14073" width="9.81640625" style="21" customWidth="1"/>
    <col min="14074" max="14074" width="14.453125" style="21" customWidth="1"/>
    <col min="14075" max="14075" width="7.179687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81640625" style="21" customWidth="1"/>
    <col min="14329" max="14329" width="9.81640625" style="21" customWidth="1"/>
    <col min="14330" max="14330" width="14.453125" style="21" customWidth="1"/>
    <col min="14331" max="14331" width="7.179687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81640625" style="21" customWidth="1"/>
    <col min="14585" max="14585" width="9.81640625" style="21" customWidth="1"/>
    <col min="14586" max="14586" width="14.453125" style="21" customWidth="1"/>
    <col min="14587" max="14587" width="7.179687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81640625" style="21" customWidth="1"/>
    <col min="14841" max="14841" width="9.81640625" style="21" customWidth="1"/>
    <col min="14842" max="14842" width="14.453125" style="21" customWidth="1"/>
    <col min="14843" max="14843" width="7.179687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81640625" style="21" customWidth="1"/>
    <col min="15097" max="15097" width="9.81640625" style="21" customWidth="1"/>
    <col min="15098" max="15098" width="14.453125" style="21" customWidth="1"/>
    <col min="15099" max="15099" width="7.179687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81640625" style="21" customWidth="1"/>
    <col min="15353" max="15353" width="9.81640625" style="21" customWidth="1"/>
    <col min="15354" max="15354" width="14.453125" style="21" customWidth="1"/>
    <col min="15355" max="15355" width="7.179687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81640625" style="21" customWidth="1"/>
    <col min="15609" max="15609" width="9.81640625" style="21" customWidth="1"/>
    <col min="15610" max="15610" width="14.453125" style="21" customWidth="1"/>
    <col min="15611" max="15611" width="7.179687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81640625" style="21" customWidth="1"/>
    <col min="15865" max="15865" width="9.81640625" style="21" customWidth="1"/>
    <col min="15866" max="15866" width="14.453125" style="21" customWidth="1"/>
    <col min="15867" max="15867" width="7.179687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81640625" style="21" customWidth="1"/>
    <col min="16121" max="16121" width="9.81640625" style="21" customWidth="1"/>
    <col min="16122" max="16122" width="14.453125" style="21" customWidth="1"/>
    <col min="16123" max="16123" width="7.179687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77" t="s">
        <v>171</v>
      </c>
      <c r="B1" s="177"/>
      <c r="C1" s="177"/>
      <c r="D1" s="177"/>
      <c r="E1" s="177"/>
      <c r="F1" s="177"/>
      <c r="G1" s="177"/>
      <c r="H1" s="177"/>
    </row>
    <row r="2" spans="1:8" ht="16.5" customHeight="1" x14ac:dyDescent="0.35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x14ac:dyDescent="0.35">
      <c r="A3" s="135" t="s">
        <v>1</v>
      </c>
      <c r="B3" s="135"/>
      <c r="C3" s="135"/>
      <c r="D3" s="135"/>
      <c r="E3" s="135" t="str">
        <f ca="1">TEXT(TODAY(),"DD/MM/YYYY")</f>
        <v>09/09/2025</v>
      </c>
      <c r="F3" s="135"/>
      <c r="G3" s="135"/>
      <c r="H3" s="135"/>
    </row>
    <row r="4" spans="1:8" ht="15" customHeight="1" x14ac:dyDescent="0.35">
      <c r="A4" s="135" t="s">
        <v>2</v>
      </c>
      <c r="B4" s="135"/>
      <c r="C4" s="135"/>
      <c r="D4" s="135"/>
      <c r="E4" s="135" t="s">
        <v>172</v>
      </c>
      <c r="F4" s="135"/>
      <c r="G4" s="135"/>
      <c r="H4" s="135"/>
    </row>
    <row r="5" spans="1:8" x14ac:dyDescent="0.35">
      <c r="A5" s="135" t="s">
        <v>3</v>
      </c>
      <c r="B5" s="135"/>
      <c r="C5" s="135"/>
      <c r="D5" s="135"/>
      <c r="E5" s="175">
        <v>45906</v>
      </c>
      <c r="F5" s="135"/>
      <c r="G5" s="135"/>
      <c r="H5" s="135"/>
    </row>
    <row r="6" spans="1:8" ht="16.5" customHeight="1" x14ac:dyDescent="0.35">
      <c r="A6" s="135" t="s">
        <v>4</v>
      </c>
      <c r="B6" s="135"/>
      <c r="C6" s="135"/>
      <c r="D6" s="135"/>
      <c r="E6" s="113" t="s">
        <v>173</v>
      </c>
      <c r="F6" s="135"/>
      <c r="G6" s="135"/>
      <c r="H6" s="135"/>
    </row>
    <row r="7" spans="1:8" ht="15" customHeight="1" x14ac:dyDescent="0.35">
      <c r="A7" s="135" t="s">
        <v>5</v>
      </c>
      <c r="B7" s="135"/>
      <c r="C7" s="135"/>
      <c r="D7" s="135"/>
      <c r="E7" s="135" t="str">
        <f>E6</f>
        <v>S M Hitech Developers</v>
      </c>
      <c r="F7" s="135"/>
      <c r="G7" s="135"/>
      <c r="H7" s="135"/>
    </row>
    <row r="8" spans="1:8" x14ac:dyDescent="0.35">
      <c r="A8" s="135" t="s">
        <v>6</v>
      </c>
      <c r="B8" s="135"/>
      <c r="C8" s="135"/>
      <c r="D8" s="135"/>
      <c r="E8" s="178" t="s">
        <v>211</v>
      </c>
      <c r="F8" s="178"/>
      <c r="G8" s="178"/>
      <c r="H8" s="178"/>
    </row>
    <row r="9" spans="1:8" x14ac:dyDescent="0.35">
      <c r="A9" s="135" t="s">
        <v>168</v>
      </c>
      <c r="B9" s="135"/>
      <c r="C9" s="135"/>
      <c r="D9" s="135"/>
      <c r="E9" s="135" t="s">
        <v>236</v>
      </c>
      <c r="F9" s="135"/>
      <c r="G9" s="135"/>
      <c r="H9" s="135"/>
    </row>
    <row r="10" spans="1:8" x14ac:dyDescent="0.35">
      <c r="A10" s="135" t="s">
        <v>169</v>
      </c>
      <c r="B10" s="135"/>
      <c r="C10" s="135"/>
      <c r="D10" s="135"/>
      <c r="E10" s="135" t="s">
        <v>238</v>
      </c>
      <c r="F10" s="135"/>
      <c r="G10" s="135"/>
      <c r="H10" s="135"/>
    </row>
    <row r="11" spans="1:8" x14ac:dyDescent="0.35">
      <c r="A11" s="135" t="s">
        <v>217</v>
      </c>
      <c r="B11" s="135"/>
      <c r="C11" s="135"/>
      <c r="D11" s="135"/>
      <c r="E11" s="135" t="s">
        <v>210</v>
      </c>
      <c r="F11" s="135"/>
      <c r="G11" s="135"/>
      <c r="H11" s="135"/>
    </row>
    <row r="12" spans="1:8" x14ac:dyDescent="0.35">
      <c r="A12" s="135" t="s">
        <v>218</v>
      </c>
      <c r="B12" s="135"/>
      <c r="C12" s="135"/>
      <c r="D12" s="135"/>
      <c r="E12" s="135" t="s">
        <v>174</v>
      </c>
      <c r="F12" s="135"/>
      <c r="G12" s="135"/>
      <c r="H12" s="135"/>
    </row>
    <row r="13" spans="1:8" x14ac:dyDescent="0.35">
      <c r="A13" s="88" t="s">
        <v>7</v>
      </c>
      <c r="B13" s="88"/>
      <c r="C13" s="88"/>
      <c r="D13" s="88"/>
      <c r="E13" s="113" t="s">
        <v>209</v>
      </c>
      <c r="F13" s="113"/>
      <c r="G13" s="113"/>
      <c r="H13" s="113"/>
    </row>
    <row r="14" spans="1:8" x14ac:dyDescent="0.35">
      <c r="A14" s="88" t="s">
        <v>8</v>
      </c>
      <c r="B14" s="88"/>
      <c r="C14" s="88"/>
      <c r="D14" s="88"/>
      <c r="E14" s="113" t="s">
        <v>175</v>
      </c>
      <c r="F14" s="135"/>
      <c r="G14" s="135"/>
      <c r="H14" s="135"/>
    </row>
    <row r="15" spans="1:8" ht="36" customHeight="1" x14ac:dyDescent="0.35">
      <c r="A15" s="110" t="s">
        <v>9</v>
      </c>
      <c r="B15" s="110"/>
      <c r="C15" s="11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Imperial Tower II, Survey No. 2/1/2, near Bajaj International School, Internal Road, Ghotcamp, Koyanavele, Taloja (East), Panvel, Raigad - 410208.</v>
      </c>
      <c r="D15" s="110"/>
      <c r="E15" s="110"/>
      <c r="F15" s="110"/>
      <c r="G15" s="110"/>
      <c r="H15" s="110"/>
    </row>
    <row r="16" spans="1:8" x14ac:dyDescent="0.35">
      <c r="A16" s="113" t="s">
        <v>176</v>
      </c>
      <c r="B16" s="113"/>
      <c r="C16" s="176" t="s">
        <v>177</v>
      </c>
      <c r="D16" s="110"/>
      <c r="E16" s="110"/>
      <c r="F16" s="110"/>
      <c r="G16" s="110"/>
      <c r="H16" s="110"/>
    </row>
    <row r="17" spans="1:8" ht="15.75" customHeight="1" x14ac:dyDescent="0.35">
      <c r="A17" s="113" t="s">
        <v>167</v>
      </c>
      <c r="B17" s="113"/>
      <c r="C17" s="113" t="s">
        <v>185</v>
      </c>
      <c r="D17" s="113"/>
      <c r="E17" s="113"/>
      <c r="F17" s="113"/>
      <c r="G17" s="113"/>
      <c r="H17" s="113"/>
    </row>
    <row r="18" spans="1:8" ht="15.75" customHeight="1" x14ac:dyDescent="0.35">
      <c r="A18" s="110" t="s">
        <v>10</v>
      </c>
      <c r="B18" s="110"/>
      <c r="C18" s="135" t="s">
        <v>178</v>
      </c>
      <c r="D18" s="135"/>
      <c r="E18" s="110" t="s">
        <v>76</v>
      </c>
      <c r="F18" s="110"/>
      <c r="G18" s="113" t="s">
        <v>180</v>
      </c>
      <c r="H18" s="113"/>
    </row>
    <row r="19" spans="1:8" x14ac:dyDescent="0.35">
      <c r="A19" s="88" t="s">
        <v>12</v>
      </c>
      <c r="B19" s="88"/>
      <c r="C19" s="113" t="s">
        <v>212</v>
      </c>
      <c r="D19" s="113"/>
      <c r="E19" s="110" t="s">
        <v>11</v>
      </c>
      <c r="F19" s="110"/>
      <c r="G19" s="190" t="s">
        <v>182</v>
      </c>
      <c r="H19" s="190"/>
    </row>
    <row r="20" spans="1:8" x14ac:dyDescent="0.35">
      <c r="A20" s="88" t="s">
        <v>77</v>
      </c>
      <c r="B20" s="88"/>
      <c r="C20" s="190" t="s">
        <v>181</v>
      </c>
      <c r="D20" s="190"/>
      <c r="E20" s="110" t="s">
        <v>13</v>
      </c>
      <c r="F20" s="110"/>
      <c r="G20" s="113">
        <v>410208</v>
      </c>
      <c r="H20" s="113"/>
    </row>
    <row r="21" spans="1:8" ht="49.5" customHeight="1" x14ac:dyDescent="0.35">
      <c r="A21" s="88" t="s">
        <v>126</v>
      </c>
      <c r="B21" s="88"/>
      <c r="C21" s="113" t="s">
        <v>183</v>
      </c>
      <c r="D21" s="113"/>
      <c r="E21" s="110" t="s">
        <v>14</v>
      </c>
      <c r="F21" s="110"/>
      <c r="G21" s="113" t="s">
        <v>179</v>
      </c>
      <c r="H21" s="113"/>
    </row>
    <row r="22" spans="1:8" ht="15" customHeight="1" x14ac:dyDescent="0.35">
      <c r="A22" s="110" t="s">
        <v>79</v>
      </c>
      <c r="B22" s="110"/>
      <c r="C22" s="110"/>
      <c r="D22" s="110"/>
      <c r="E22" s="135" t="s">
        <v>15</v>
      </c>
      <c r="F22" s="135"/>
      <c r="G22" s="135"/>
      <c r="H22" s="135"/>
    </row>
    <row r="23" spans="1:8" ht="18.75" customHeight="1" x14ac:dyDescent="0.35">
      <c r="A23" s="110"/>
      <c r="B23" s="110"/>
      <c r="C23" s="110"/>
      <c r="D23" s="110"/>
      <c r="E23" s="135"/>
      <c r="F23" s="135"/>
      <c r="G23" s="135"/>
      <c r="H23" s="135"/>
    </row>
    <row r="24" spans="1:8" ht="15" customHeight="1" x14ac:dyDescent="0.35">
      <c r="A24" s="110" t="s">
        <v>16</v>
      </c>
      <c r="B24" s="110"/>
      <c r="C24" s="110"/>
      <c r="D24" s="110"/>
      <c r="E24" s="113" t="s">
        <v>17</v>
      </c>
      <c r="F24" s="113"/>
      <c r="G24" s="113"/>
      <c r="H24" s="113"/>
    </row>
    <row r="25" spans="1:8" ht="15" customHeight="1" x14ac:dyDescent="0.35">
      <c r="A25" s="88" t="s">
        <v>18</v>
      </c>
      <c r="B25" s="88"/>
      <c r="C25" s="88"/>
      <c r="D25" s="88"/>
      <c r="E25" s="113" t="str">
        <f>IF(AND(G19="Mumbai"),"Upper Class","Middle Class")</f>
        <v>Middle Class</v>
      </c>
      <c r="F25" s="113"/>
      <c r="G25" s="113"/>
      <c r="H25" s="113"/>
    </row>
    <row r="26" spans="1:8" x14ac:dyDescent="0.35">
      <c r="A26" s="88" t="s">
        <v>19</v>
      </c>
      <c r="B26" s="88"/>
      <c r="C26" s="88"/>
      <c r="D26" s="88"/>
      <c r="E26" s="113" t="s">
        <v>20</v>
      </c>
      <c r="F26" s="113"/>
      <c r="G26" s="113"/>
      <c r="H26" s="113"/>
    </row>
    <row r="27" spans="1:8" ht="15.75" customHeight="1" x14ac:dyDescent="0.35">
      <c r="A27" s="88" t="s">
        <v>21</v>
      </c>
      <c r="B27" s="88"/>
      <c r="C27" s="88"/>
      <c r="D27" s="88"/>
      <c r="E27" s="113" t="str">
        <f>IF(AND(G19="Mumbai"),"Developed","Developing")</f>
        <v>Developing</v>
      </c>
      <c r="F27" s="113"/>
      <c r="G27" s="113"/>
      <c r="H27" s="113"/>
    </row>
    <row r="28" spans="1:8" x14ac:dyDescent="0.35">
      <c r="A28" s="88" t="s">
        <v>22</v>
      </c>
      <c r="B28" s="88"/>
      <c r="C28" s="88"/>
      <c r="D28" s="88"/>
      <c r="E28" s="113" t="s">
        <v>23</v>
      </c>
      <c r="F28" s="113"/>
      <c r="G28" s="113"/>
      <c r="H28" s="113"/>
    </row>
    <row r="29" spans="1:8" ht="15.75" customHeight="1" x14ac:dyDescent="0.35">
      <c r="A29" s="88" t="s">
        <v>84</v>
      </c>
      <c r="B29" s="88"/>
      <c r="C29" s="88"/>
      <c r="D29" s="88"/>
      <c r="E29" s="113" t="s">
        <v>85</v>
      </c>
      <c r="F29" s="113"/>
      <c r="G29" s="113"/>
      <c r="H29" s="113"/>
    </row>
    <row r="30" spans="1:8" ht="15" customHeight="1" x14ac:dyDescent="0.35">
      <c r="A30" s="88" t="s">
        <v>34</v>
      </c>
      <c r="B30" s="88"/>
      <c r="C30" s="88"/>
      <c r="D30" s="88"/>
      <c r="E30" s="11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13"/>
      <c r="G30" s="113"/>
      <c r="H30" s="113"/>
    </row>
    <row r="31" spans="1:8" ht="15.75" customHeight="1" x14ac:dyDescent="0.35">
      <c r="A31" s="88" t="s">
        <v>96</v>
      </c>
      <c r="B31" s="88"/>
      <c r="C31" s="88"/>
      <c r="D31" s="88"/>
      <c r="E31" s="113" t="s">
        <v>35</v>
      </c>
      <c r="F31" s="113"/>
      <c r="G31" s="113"/>
      <c r="H31" s="113"/>
    </row>
    <row r="32" spans="1:8" s="22" customFormat="1" x14ac:dyDescent="0.35">
      <c r="A32" s="174" t="s">
        <v>97</v>
      </c>
      <c r="B32" s="174"/>
      <c r="C32" s="173" t="s">
        <v>28</v>
      </c>
      <c r="D32" s="173"/>
      <c r="E32" s="173"/>
      <c r="F32" s="173" t="s">
        <v>30</v>
      </c>
      <c r="G32" s="173"/>
      <c r="H32" s="173"/>
    </row>
    <row r="33" spans="1:8" s="22" customFormat="1" x14ac:dyDescent="0.35">
      <c r="A33" s="155" t="s">
        <v>24</v>
      </c>
      <c r="B33" s="155" t="s">
        <v>29</v>
      </c>
      <c r="C33" s="153" t="s">
        <v>29</v>
      </c>
      <c r="D33" s="153"/>
      <c r="E33" s="153"/>
      <c r="F33" s="150" t="s">
        <v>186</v>
      </c>
      <c r="G33" s="151"/>
      <c r="H33" s="152"/>
    </row>
    <row r="34" spans="1:8" x14ac:dyDescent="0.35">
      <c r="A34" s="155" t="s">
        <v>25</v>
      </c>
      <c r="B34" s="155" t="s">
        <v>29</v>
      </c>
      <c r="C34" s="153" t="s">
        <v>29</v>
      </c>
      <c r="D34" s="153"/>
      <c r="E34" s="153"/>
      <c r="F34" s="153" t="s">
        <v>178</v>
      </c>
      <c r="G34" s="153"/>
      <c r="H34" s="153"/>
    </row>
    <row r="35" spans="1:8" s="22" customFormat="1" x14ac:dyDescent="0.35">
      <c r="A35" s="155" t="s">
        <v>27</v>
      </c>
      <c r="B35" s="155" t="s">
        <v>29</v>
      </c>
      <c r="C35" s="153" t="s">
        <v>29</v>
      </c>
      <c r="D35" s="153"/>
      <c r="E35" s="153"/>
      <c r="F35" s="150" t="s">
        <v>184</v>
      </c>
      <c r="G35" s="151"/>
      <c r="H35" s="152"/>
    </row>
    <row r="36" spans="1:8" x14ac:dyDescent="0.35">
      <c r="A36" s="155" t="s">
        <v>26</v>
      </c>
      <c r="B36" s="155" t="s">
        <v>29</v>
      </c>
      <c r="C36" s="153" t="s">
        <v>29</v>
      </c>
      <c r="D36" s="153"/>
      <c r="E36" s="153"/>
      <c r="F36" s="150" t="s">
        <v>186</v>
      </c>
      <c r="G36" s="151"/>
      <c r="H36" s="152"/>
    </row>
    <row r="37" spans="1:8" x14ac:dyDescent="0.35">
      <c r="A37" s="88" t="s">
        <v>31</v>
      </c>
      <c r="B37" s="88"/>
      <c r="C37" s="88"/>
      <c r="D37" s="88"/>
      <c r="E37" s="88"/>
      <c r="F37" s="88"/>
      <c r="G37" s="88"/>
      <c r="H37" s="88"/>
    </row>
    <row r="38" spans="1:8" ht="15.75" customHeight="1" x14ac:dyDescent="0.35">
      <c r="A38" s="125" t="s">
        <v>32</v>
      </c>
      <c r="B38" s="125"/>
      <c r="C38" s="163">
        <v>19.075348000000002</v>
      </c>
      <c r="D38" s="163"/>
      <c r="E38" s="125" t="s">
        <v>33</v>
      </c>
      <c r="F38" s="125"/>
      <c r="G38" s="164">
        <v>73.110688999999994</v>
      </c>
      <c r="H38" s="164"/>
    </row>
    <row r="39" spans="1:8" x14ac:dyDescent="0.35">
      <c r="A39" s="125" t="s">
        <v>166</v>
      </c>
      <c r="B39" s="125"/>
      <c r="C39" s="112" t="s">
        <v>187</v>
      </c>
      <c r="D39" s="113"/>
      <c r="E39" s="113"/>
      <c r="F39" s="113"/>
      <c r="G39" s="113"/>
      <c r="H39" s="113"/>
    </row>
    <row r="40" spans="1:8" x14ac:dyDescent="0.35">
      <c r="A40" s="154" t="s">
        <v>36</v>
      </c>
      <c r="B40" s="154"/>
      <c r="C40" s="154"/>
      <c r="D40" s="154"/>
      <c r="E40" s="154"/>
      <c r="F40" s="154"/>
      <c r="G40" s="154"/>
      <c r="H40" s="154"/>
    </row>
    <row r="41" spans="1:8" x14ac:dyDescent="0.35">
      <c r="A41" s="88" t="s">
        <v>37</v>
      </c>
      <c r="B41" s="88"/>
      <c r="C41" s="88"/>
      <c r="D41" s="88"/>
      <c r="E41" s="149">
        <v>3794</v>
      </c>
      <c r="F41" s="149"/>
      <c r="G41" s="149"/>
      <c r="H41" s="149"/>
    </row>
    <row r="42" spans="1:8" x14ac:dyDescent="0.35">
      <c r="A42" s="88" t="s">
        <v>38</v>
      </c>
      <c r="B42" s="88"/>
      <c r="C42" s="88"/>
      <c r="D42" s="88"/>
      <c r="E42" s="139">
        <v>1.1000000000000001</v>
      </c>
      <c r="F42" s="139"/>
      <c r="G42" s="139"/>
      <c r="H42" s="139"/>
    </row>
    <row r="43" spans="1:8" x14ac:dyDescent="0.35">
      <c r="A43" s="88" t="s">
        <v>39</v>
      </c>
      <c r="B43" s="88"/>
      <c r="C43" s="88"/>
      <c r="D43" s="88"/>
      <c r="E43" s="139">
        <f>E45/E41-E42</f>
        <v>2.1995466526093832</v>
      </c>
      <c r="F43" s="139"/>
      <c r="G43" s="139"/>
      <c r="H43" s="139"/>
    </row>
    <row r="44" spans="1:8" x14ac:dyDescent="0.35">
      <c r="A44" s="88" t="s">
        <v>40</v>
      </c>
      <c r="B44" s="88"/>
      <c r="C44" s="88"/>
      <c r="D44" s="88"/>
      <c r="E44" s="139">
        <f>E42+E43</f>
        <v>3.2995466526093833</v>
      </c>
      <c r="F44" s="139"/>
      <c r="G44" s="139"/>
      <c r="H44" s="139"/>
    </row>
    <row r="45" spans="1:8" x14ac:dyDescent="0.35">
      <c r="A45" s="88" t="s">
        <v>95</v>
      </c>
      <c r="B45" s="88"/>
      <c r="C45" s="88"/>
      <c r="D45" s="88"/>
      <c r="E45" s="140">
        <v>12518.48</v>
      </c>
      <c r="F45" s="140"/>
      <c r="G45" s="140"/>
      <c r="H45" s="140"/>
    </row>
    <row r="46" spans="1:8" x14ac:dyDescent="0.35">
      <c r="A46" s="135" t="s">
        <v>41</v>
      </c>
      <c r="B46" s="135"/>
      <c r="C46" s="135"/>
      <c r="D46" s="135"/>
      <c r="E46" s="135" t="s">
        <v>188</v>
      </c>
      <c r="F46" s="135"/>
      <c r="G46" s="135"/>
      <c r="H46" s="135"/>
    </row>
    <row r="47" spans="1:8" x14ac:dyDescent="0.35">
      <c r="A47" s="154" t="s">
        <v>42</v>
      </c>
      <c r="B47" s="154"/>
      <c r="C47" s="154"/>
      <c r="D47" s="154"/>
      <c r="E47" s="154"/>
      <c r="F47" s="154"/>
      <c r="G47" s="154"/>
      <c r="H47" s="154"/>
    </row>
    <row r="48" spans="1:8" ht="33.75" customHeight="1" x14ac:dyDescent="0.35">
      <c r="A48" s="114" t="s">
        <v>155</v>
      </c>
      <c r="B48" s="115"/>
      <c r="C48" s="116" t="s">
        <v>189</v>
      </c>
      <c r="D48" s="117"/>
      <c r="E48" s="117"/>
      <c r="F48" s="117"/>
      <c r="G48" s="117"/>
      <c r="H48" s="118"/>
    </row>
    <row r="49" spans="1:14" ht="15.75" customHeight="1" x14ac:dyDescent="0.35">
      <c r="A49" s="114" t="s">
        <v>43</v>
      </c>
      <c r="B49" s="115"/>
      <c r="C49" s="114" t="s">
        <v>219</v>
      </c>
      <c r="D49" s="165"/>
      <c r="E49" s="115"/>
      <c r="F49" s="18" t="s">
        <v>44</v>
      </c>
      <c r="G49" s="141">
        <v>45016</v>
      </c>
      <c r="H49" s="115"/>
    </row>
    <row r="50" spans="1:14" x14ac:dyDescent="0.35">
      <c r="A50" s="114" t="s">
        <v>45</v>
      </c>
      <c r="B50" s="115"/>
      <c r="C50" s="114" t="str">
        <f>C49</f>
        <v>PMP/NRV/16440/J.K.938/2023</v>
      </c>
      <c r="D50" s="165"/>
      <c r="E50" s="115"/>
      <c r="F50" s="18" t="s">
        <v>44</v>
      </c>
      <c r="G50" s="141">
        <f>G49</f>
        <v>45016</v>
      </c>
      <c r="H50" s="142"/>
    </row>
    <row r="51" spans="1:14" s="23" customFormat="1" ht="33" customHeight="1" x14ac:dyDescent="0.35">
      <c r="A51" s="143" t="s">
        <v>213</v>
      </c>
      <c r="B51" s="144"/>
      <c r="C51" s="114" t="s">
        <v>220</v>
      </c>
      <c r="D51" s="165"/>
      <c r="E51" s="115"/>
      <c r="F51" s="18" t="s">
        <v>44</v>
      </c>
      <c r="G51" s="141">
        <f>G50</f>
        <v>45016</v>
      </c>
      <c r="H51" s="142"/>
    </row>
    <row r="52" spans="1:14" s="23" customFormat="1" x14ac:dyDescent="0.35">
      <c r="A52" s="145"/>
      <c r="B52" s="146"/>
      <c r="C52" s="114" t="s">
        <v>221</v>
      </c>
      <c r="D52" s="165"/>
      <c r="E52" s="165"/>
      <c r="F52" s="165"/>
      <c r="G52" s="165"/>
      <c r="H52" s="115"/>
    </row>
    <row r="53" spans="1:14" ht="15.75" customHeight="1" x14ac:dyDescent="0.35">
      <c r="A53" s="166" t="s">
        <v>46</v>
      </c>
      <c r="B53" s="167"/>
      <c r="C53" s="166" t="s">
        <v>108</v>
      </c>
      <c r="D53" s="168"/>
      <c r="E53" s="167"/>
      <c r="F53" s="44" t="s">
        <v>44</v>
      </c>
      <c r="G53" s="170" t="s">
        <v>29</v>
      </c>
      <c r="H53" s="171"/>
    </row>
    <row r="54" spans="1:14" x14ac:dyDescent="0.35">
      <c r="A54" s="169" t="s">
        <v>48</v>
      </c>
      <c r="B54" s="169"/>
      <c r="C54" s="169"/>
      <c r="D54" s="169"/>
      <c r="E54" s="169"/>
      <c r="F54" s="169"/>
      <c r="G54" s="169"/>
      <c r="H54" s="169"/>
    </row>
    <row r="55" spans="1:14" x14ac:dyDescent="0.35">
      <c r="A55" s="113" t="s">
        <v>94</v>
      </c>
      <c r="B55" s="113"/>
      <c r="C55" s="113"/>
      <c r="D55" s="135">
        <f>E45</f>
        <v>12518.48</v>
      </c>
      <c r="E55" s="135"/>
      <c r="F55" s="135"/>
      <c r="G55" s="135"/>
      <c r="H55" s="135"/>
    </row>
    <row r="56" spans="1:14" x14ac:dyDescent="0.35">
      <c r="A56" s="113" t="s">
        <v>49</v>
      </c>
      <c r="B56" s="135"/>
      <c r="C56" s="135"/>
      <c r="D56" s="135" t="s">
        <v>232</v>
      </c>
      <c r="E56" s="135"/>
      <c r="F56" s="135"/>
      <c r="G56" s="135"/>
      <c r="H56" s="135"/>
      <c r="I56" s="24"/>
    </row>
    <row r="57" spans="1:14" ht="15.75" customHeight="1" x14ac:dyDescent="0.35">
      <c r="A57" s="157" t="s">
        <v>50</v>
      </c>
      <c r="B57" s="158"/>
      <c r="C57" s="159"/>
      <c r="D57" s="109" t="s">
        <v>221</v>
      </c>
      <c r="E57" s="172"/>
      <c r="F57" s="172"/>
      <c r="G57" s="172"/>
      <c r="H57" s="172"/>
    </row>
    <row r="58" spans="1:14" ht="15.75" customHeight="1" x14ac:dyDescent="0.35">
      <c r="A58" s="157" t="s">
        <v>92</v>
      </c>
      <c r="B58" s="158"/>
      <c r="C58" s="159"/>
      <c r="D58" s="113" t="s">
        <v>222</v>
      </c>
      <c r="E58" s="135"/>
      <c r="F58" s="135"/>
      <c r="G58" s="135"/>
      <c r="H58" s="135"/>
    </row>
    <row r="59" spans="1:14" ht="15.75" customHeight="1" x14ac:dyDescent="0.35">
      <c r="A59" s="160"/>
      <c r="B59" s="161"/>
      <c r="C59" s="162"/>
      <c r="D59" s="113" t="s">
        <v>223</v>
      </c>
      <c r="E59" s="135"/>
      <c r="F59" s="135"/>
      <c r="G59" s="135"/>
      <c r="H59" s="135"/>
    </row>
    <row r="60" spans="1:14" ht="15.75" customHeight="1" x14ac:dyDescent="0.35">
      <c r="A60" s="135" t="s">
        <v>47</v>
      </c>
      <c r="B60" s="135"/>
      <c r="C60" s="135"/>
      <c r="D60" s="136" t="s">
        <v>190</v>
      </c>
      <c r="E60" s="136"/>
      <c r="F60" s="136"/>
      <c r="G60" s="136"/>
      <c r="H60" s="136"/>
      <c r="J60" s="25"/>
      <c r="K60" s="24"/>
      <c r="N60" s="24"/>
    </row>
    <row r="61" spans="1:14" ht="15.75" customHeight="1" x14ac:dyDescent="0.35">
      <c r="A61" s="135" t="s">
        <v>90</v>
      </c>
      <c r="B61" s="135"/>
      <c r="C61" s="135"/>
      <c r="D61" s="138" t="str">
        <f>(IF(G53="NA","60 Years After Completion",IF(G53&lt;&gt;"NA",""&amp;60-ROUNDDOWN((E3-G53)/360,0)&amp;" Years"," ")))</f>
        <v>60 Years After Completion</v>
      </c>
      <c r="E61" s="138"/>
      <c r="F61" s="138"/>
      <c r="G61" s="138"/>
      <c r="H61" s="138"/>
      <c r="N61" s="24"/>
    </row>
    <row r="62" spans="1:14" ht="15.75" customHeight="1" x14ac:dyDescent="0.35">
      <c r="A62" s="135" t="s">
        <v>91</v>
      </c>
      <c r="B62" s="135"/>
      <c r="C62" s="135"/>
      <c r="D62" s="113" t="s">
        <v>23</v>
      </c>
      <c r="E62" s="113"/>
      <c r="F62" s="113"/>
      <c r="G62" s="113"/>
      <c r="H62" s="113"/>
      <c r="J62" s="26"/>
      <c r="K62" s="26"/>
    </row>
    <row r="63" spans="1:14" ht="30" customHeight="1" x14ac:dyDescent="0.35">
      <c r="A63" s="135" t="s">
        <v>214</v>
      </c>
      <c r="B63" s="135"/>
      <c r="C63" s="135"/>
      <c r="D63" s="113" t="s">
        <v>191</v>
      </c>
      <c r="E63" s="113"/>
      <c r="F63" s="113"/>
      <c r="G63" s="113"/>
      <c r="H63" s="113"/>
    </row>
    <row r="64" spans="1:14" x14ac:dyDescent="0.35">
      <c r="A64" s="110" t="s">
        <v>152</v>
      </c>
      <c r="B64" s="110"/>
      <c r="C64" s="110"/>
      <c r="D64" s="110" t="s">
        <v>29</v>
      </c>
      <c r="E64" s="110"/>
      <c r="F64" s="110"/>
      <c r="G64" s="110"/>
      <c r="H64" s="110"/>
      <c r="I64" s="27"/>
      <c r="J64" s="27"/>
      <c r="K64" s="27"/>
      <c r="L64" s="27"/>
      <c r="M64" s="27"/>
      <c r="N64" s="27"/>
    </row>
    <row r="65" spans="1:10" ht="15.75" customHeight="1" x14ac:dyDescent="0.35">
      <c r="A65" s="111" t="s">
        <v>89</v>
      </c>
      <c r="B65" s="111"/>
      <c r="C65" s="111"/>
      <c r="D65" s="109" t="str">
        <f ca="1">(IF(G71&gt;95%,"Nothing",IF(G71&gt;0%,"Cement, Aggregate, Steel, etc",IF(G71=0%,"Work not yet Started"))))</f>
        <v>Cement, Aggregate, Steel, etc</v>
      </c>
      <c r="E65" s="109"/>
      <c r="F65" s="109"/>
      <c r="G65" s="109"/>
      <c r="H65" s="109"/>
      <c r="J65" s="26"/>
    </row>
    <row r="66" spans="1:10" ht="33.75" customHeight="1" thickBot="1" x14ac:dyDescent="0.4">
      <c r="A66" s="148" t="s">
        <v>121</v>
      </c>
      <c r="B66" s="148"/>
      <c r="C66" s="148"/>
      <c r="D66" s="109" t="str">
        <f ca="1">(IF(D65="Nothing","Yes",IF(D65="Cement, Aggregate, Steel, etc","Under Construction",IF(D65="Work not yet Started","Work not yet Started"))))</f>
        <v>Under Construction</v>
      </c>
      <c r="E66" s="109"/>
      <c r="F66" s="109" t="str">
        <f ca="1">(IF(D65="Nothing","Yes",IF(D65="Cement, Aggregate, Steel, etc","Under Construction",IF(D65="Work not yet Started","Work not yet Started"))))</f>
        <v>Under Construction</v>
      </c>
      <c r="G66" s="109"/>
      <c r="H66" s="109"/>
    </row>
    <row r="67" spans="1:10" ht="15.75" customHeight="1" x14ac:dyDescent="0.35">
      <c r="A67" s="185" t="s">
        <v>144</v>
      </c>
      <c r="B67" s="186"/>
      <c r="C67" s="187" t="str">
        <f>D58</f>
        <v>Building No.1 = G + 1st to 14th Floor</v>
      </c>
      <c r="D67" s="188"/>
      <c r="E67" s="188"/>
      <c r="F67" s="188"/>
      <c r="G67" s="188"/>
      <c r="H67" s="189"/>
      <c r="I67" s="45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12 Floor, Flooring upto 7 Floor, Painting upto 5 Floor Completed</v>
      </c>
      <c r="J67" s="46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12 Floor, Flooring upto 7 Floor, Painting upto 5 Floor</v>
      </c>
    </row>
    <row r="68" spans="1:10" x14ac:dyDescent="0.35">
      <c r="A68" s="16" t="s">
        <v>146</v>
      </c>
      <c r="B68" s="51">
        <v>0</v>
      </c>
      <c r="C68" s="51" t="s">
        <v>75</v>
      </c>
      <c r="D68" s="51">
        <v>1</v>
      </c>
      <c r="E68" s="51" t="s">
        <v>74</v>
      </c>
      <c r="F68" s="51">
        <v>0</v>
      </c>
      <c r="G68" s="51" t="s">
        <v>83</v>
      </c>
      <c r="H68" s="17">
        <f ca="1">--TRIM(RIGHT(SUBSTITUTE(LEFT(C67,_xlfn.AGGREGATE(16,6,FIND({0,1,2,3,4,5,6,7,8,9},C67,ROW(INDIRECT("1:"&amp;LEN(C67)))),1))," ",REPT(" ",LEN(C67))),LEN(C67)))</f>
        <v>14</v>
      </c>
      <c r="I68" s="47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48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2.25" customHeight="1" x14ac:dyDescent="0.35">
      <c r="A69" s="184" t="s">
        <v>93</v>
      </c>
      <c r="B69" s="178"/>
      <c r="C69" s="122" t="str">
        <f ca="1">I67</f>
        <v>Excavation, Plinth, RCC Slab, Brickwork, Internal Plaster Completed, External Plaster upto 12 Floor, Flooring upto 7 Floor, Painting upto 5 Floor Completed</v>
      </c>
      <c r="D69" s="122"/>
      <c r="E69" s="122"/>
      <c r="F69" s="122"/>
      <c r="G69" s="122"/>
      <c r="H69" s="147"/>
      <c r="I69" s="47" t="str">
        <f ca="1">IF(I68&lt;&gt;""," Completed","")</f>
        <v xml:space="preserve"> Completed</v>
      </c>
      <c r="J69" s="48" t="str">
        <f ca="1">IF(J67&lt;&gt;"","Completed","")</f>
        <v>Completed</v>
      </c>
    </row>
    <row r="70" spans="1:10" ht="15.75" customHeight="1" x14ac:dyDescent="0.35">
      <c r="A70" s="67" t="s">
        <v>51</v>
      </c>
      <c r="B70" s="68"/>
      <c r="C70" s="43" t="s">
        <v>143</v>
      </c>
      <c r="D70" s="43" t="s">
        <v>86</v>
      </c>
      <c r="E70" s="68" t="s">
        <v>88</v>
      </c>
      <c r="F70" s="68"/>
      <c r="G70" s="68" t="s">
        <v>87</v>
      </c>
      <c r="H70" s="156"/>
      <c r="I70" s="14" t="s">
        <v>145</v>
      </c>
      <c r="J70" s="28">
        <f ca="1">H68*25%</f>
        <v>3.5</v>
      </c>
    </row>
    <row r="71" spans="1:10" x14ac:dyDescent="0.35">
      <c r="A71" s="68" t="s">
        <v>132</v>
      </c>
      <c r="B71" s="68"/>
      <c r="C71" s="43">
        <f ca="1">J72</f>
        <v>14</v>
      </c>
      <c r="D71" s="19">
        <f ca="1">((100/H68)*C71)/100</f>
        <v>1</v>
      </c>
      <c r="E71" s="137">
        <f ca="1">(((C72/H68*10)+(40/(D68+F68+H68)*C73)+(7.5/(H68)*C74)+(7.5/(H68)*C75)+(10/H68*C76)+(10/H68*C77)+(5/H68*C78)+(5/H68*C79)+(5/H68*C80))/100)</f>
        <v>0.8035714285714286</v>
      </c>
      <c r="F71" s="137"/>
      <c r="G71" s="137">
        <f ca="1">((((C71/H68)*20)+((C72/H68)*25)+(30/(H68+F68+D68)*C73)+(5/H68*C74)+(5/H68*C75)+(5/H68*C76)+(5/H68*C77)+(0/H68*C78)+(0/H68*C79)+(5/H68*C80))/100)</f>
        <v>0.91785714285714293</v>
      </c>
      <c r="H71" s="137"/>
      <c r="I71" s="14" t="s">
        <v>103</v>
      </c>
      <c r="J71" s="29">
        <f ca="1">H68*50%</f>
        <v>7</v>
      </c>
    </row>
    <row r="72" spans="1:10" x14ac:dyDescent="0.35">
      <c r="A72" s="68" t="s">
        <v>52</v>
      </c>
      <c r="B72" s="68"/>
      <c r="C72" s="53">
        <f ca="1">J80</f>
        <v>14</v>
      </c>
      <c r="D72" s="19">
        <f ca="1">((100/H68)*C72)/100</f>
        <v>1</v>
      </c>
      <c r="E72" s="137"/>
      <c r="F72" s="137"/>
      <c r="G72" s="137"/>
      <c r="H72" s="137"/>
      <c r="I72" s="14" t="s">
        <v>104</v>
      </c>
      <c r="J72" s="29">
        <f ca="1">H68</f>
        <v>14</v>
      </c>
    </row>
    <row r="73" spans="1:10" ht="15.75" customHeight="1" x14ac:dyDescent="0.35">
      <c r="A73" s="68" t="s">
        <v>133</v>
      </c>
      <c r="B73" s="68"/>
      <c r="C73" s="43">
        <v>15</v>
      </c>
      <c r="D73" s="19">
        <f ca="1">((100/(D68+F68+H68))*C73)/100</f>
        <v>1</v>
      </c>
      <c r="E73" s="137"/>
      <c r="F73" s="137"/>
      <c r="G73" s="137"/>
      <c r="H73" s="137"/>
      <c r="I73" s="14" t="s">
        <v>105</v>
      </c>
      <c r="J73" s="30">
        <f ca="1">(IF(B68&gt;1,(H68/(B68+2)),H68/4))</f>
        <v>3.5</v>
      </c>
    </row>
    <row r="74" spans="1:10" ht="15.75" customHeight="1" x14ac:dyDescent="0.35">
      <c r="A74" s="68" t="s">
        <v>140</v>
      </c>
      <c r="B74" s="68" t="s">
        <v>134</v>
      </c>
      <c r="C74" s="43">
        <v>14</v>
      </c>
      <c r="D74" s="19">
        <f ca="1">((100/H68)*C74)/100</f>
        <v>1</v>
      </c>
      <c r="E74" s="137"/>
      <c r="F74" s="137"/>
      <c r="G74" s="137"/>
      <c r="H74" s="137"/>
      <c r="I74" s="14" t="s">
        <v>106</v>
      </c>
      <c r="J74" s="30">
        <f ca="1">(IF(B68&gt;1,(H68/(B68+2)+J73),H68/4+J73))</f>
        <v>7</v>
      </c>
    </row>
    <row r="75" spans="1:10" ht="15.75" customHeight="1" x14ac:dyDescent="0.35">
      <c r="A75" s="68" t="s">
        <v>141</v>
      </c>
      <c r="B75" s="68" t="s">
        <v>134</v>
      </c>
      <c r="C75" s="43">
        <v>14</v>
      </c>
      <c r="D75" s="19">
        <f ca="1">((100/H68)*C75)/100</f>
        <v>1</v>
      </c>
      <c r="E75" s="137"/>
      <c r="F75" s="137"/>
      <c r="G75" s="137"/>
      <c r="H75" s="137"/>
      <c r="I75" s="14" t="s">
        <v>150</v>
      </c>
      <c r="J75" s="30">
        <f>(IF(B68&gt;1,(H68/(B68+2)+J74),0))</f>
        <v>0</v>
      </c>
    </row>
    <row r="76" spans="1:10" ht="15" customHeight="1" x14ac:dyDescent="0.35">
      <c r="A76" s="68" t="s">
        <v>139</v>
      </c>
      <c r="B76" s="68" t="s">
        <v>136</v>
      </c>
      <c r="C76" s="43">
        <v>12</v>
      </c>
      <c r="D76" s="19">
        <f ca="1">((100/(H68))*C76)/100</f>
        <v>0.85714285714285721</v>
      </c>
      <c r="E76" s="137"/>
      <c r="F76" s="137"/>
      <c r="G76" s="137"/>
      <c r="H76" s="137"/>
      <c r="I76" s="14" t="s">
        <v>147</v>
      </c>
      <c r="J76" s="30">
        <f>(IF(B68&gt;2,(H68/(B68+2)+J75),0))</f>
        <v>0</v>
      </c>
    </row>
    <row r="77" spans="1:10" ht="15.75" customHeight="1" x14ac:dyDescent="0.35">
      <c r="A77" s="68" t="s">
        <v>135</v>
      </c>
      <c r="B77" s="68" t="s">
        <v>135</v>
      </c>
      <c r="C77" s="43">
        <v>7</v>
      </c>
      <c r="D77" s="19">
        <f ca="1">((100/H68)*C77)/100</f>
        <v>0.5</v>
      </c>
      <c r="E77" s="137"/>
      <c r="F77" s="137"/>
      <c r="G77" s="137"/>
      <c r="H77" s="137"/>
      <c r="I77" s="14" t="s">
        <v>148</v>
      </c>
      <c r="J77" s="31">
        <f>(IF(B68&gt;3,(H68/(B68+2)+J76),0))</f>
        <v>0</v>
      </c>
    </row>
    <row r="78" spans="1:10" ht="15.75" customHeight="1" x14ac:dyDescent="0.35">
      <c r="A78" s="68" t="s">
        <v>142</v>
      </c>
      <c r="B78" s="68"/>
      <c r="C78" s="43">
        <v>5</v>
      </c>
      <c r="D78" s="19">
        <f ca="1">((100/H68)*C78)/100</f>
        <v>0.35714285714285715</v>
      </c>
      <c r="E78" s="137"/>
      <c r="F78" s="137"/>
      <c r="G78" s="137"/>
      <c r="H78" s="137"/>
      <c r="I78" s="14" t="s">
        <v>149</v>
      </c>
      <c r="J78" s="30">
        <f>(IF(B68&gt;4,(H68/(B68+2)+J77),0))</f>
        <v>0</v>
      </c>
    </row>
    <row r="79" spans="1:10" ht="15.75" customHeight="1" x14ac:dyDescent="0.35">
      <c r="A79" s="68" t="s">
        <v>137</v>
      </c>
      <c r="B79" s="68" t="s">
        <v>137</v>
      </c>
      <c r="C79" s="43">
        <v>0</v>
      </c>
      <c r="D79" s="19">
        <f ca="1">((100/(H68))*C79)/100</f>
        <v>0</v>
      </c>
      <c r="E79" s="137"/>
      <c r="F79" s="137"/>
      <c r="G79" s="137"/>
      <c r="H79" s="137"/>
      <c r="I79" s="14" t="s">
        <v>151</v>
      </c>
      <c r="J79" s="30">
        <f ca="1">(IF(B68=1,(H68/(B68+3)+J74),IF(B68=0,(H68/4+J74),IF(B68&gt;1,0))))</f>
        <v>10.5</v>
      </c>
    </row>
    <row r="80" spans="1:10" ht="16" thickBot="1" x14ac:dyDescent="0.4">
      <c r="A80" s="68" t="s">
        <v>138</v>
      </c>
      <c r="B80" s="68"/>
      <c r="C80" s="43">
        <v>0</v>
      </c>
      <c r="D80" s="19">
        <f ca="1">((100/(H68))*C80)/100</f>
        <v>0</v>
      </c>
      <c r="E80" s="137"/>
      <c r="F80" s="137"/>
      <c r="G80" s="137"/>
      <c r="H80" s="137"/>
      <c r="I80" s="15" t="s">
        <v>107</v>
      </c>
      <c r="J80" s="32">
        <f ca="1">(IF(B68&gt;1.5,(H68/(B68+2)+J74+MAX(0,J75-J74)+MAX(0,J76-J75)+MAX(0,J77-J76)+MAX(0,J78-J77)+MAX(0,J79-J78)),IF(B68=1,(H68/(B68+3)+J79),IF(B68=0,H68/4+J79))))</f>
        <v>14</v>
      </c>
    </row>
    <row r="81" spans="1:11" ht="15.75" customHeight="1" x14ac:dyDescent="0.35">
      <c r="A81" s="122" t="s">
        <v>144</v>
      </c>
      <c r="B81" s="122"/>
      <c r="C81" s="122" t="str">
        <f>D59</f>
        <v>Building No.2 = G + 1st to 14th Floor</v>
      </c>
      <c r="D81" s="122"/>
      <c r="E81" s="122"/>
      <c r="F81" s="122"/>
      <c r="G81" s="122"/>
      <c r="H81" s="122"/>
      <c r="I81" s="65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7 Floor, Painting upto 5 Floor Completed</v>
      </c>
      <c r="J81" s="46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7 Floor, Painting upto 5 Floor</v>
      </c>
    </row>
    <row r="82" spans="1:11" x14ac:dyDescent="0.35">
      <c r="A82" s="51" t="s">
        <v>146</v>
      </c>
      <c r="B82" s="51">
        <v>0</v>
      </c>
      <c r="C82" s="51" t="s">
        <v>75</v>
      </c>
      <c r="D82" s="51">
        <v>1</v>
      </c>
      <c r="E82" s="51" t="s">
        <v>74</v>
      </c>
      <c r="F82" s="51">
        <v>0</v>
      </c>
      <c r="G82" s="51" t="s">
        <v>83</v>
      </c>
      <c r="H82" s="51">
        <f ca="1">--TRIM(RIGHT(SUBSTITUTE(LEFT(C81,_xlfn.AGGREGATE(16,6,FIND({0,1,2,3,4,5,6,7,8,9},C81,ROW(INDIRECT("1:"&amp;LEN(C81)))),1))," ",REPT(" ",LEN(C81))),LEN(C81)))</f>
        <v>14</v>
      </c>
      <c r="I82" s="66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48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1" ht="30.75" customHeight="1" x14ac:dyDescent="0.35">
      <c r="A83" s="123" t="s">
        <v>93</v>
      </c>
      <c r="B83" s="123"/>
      <c r="C83" s="122" t="str">
        <f ca="1">I81</f>
        <v>Excavation, Plinth, RCC Slab, Brickwork, Internal Plaster, External Plaster Completed, Flooring upto 7 Floor, Painting upto 5 Floor Completed</v>
      </c>
      <c r="D83" s="122"/>
      <c r="E83" s="122"/>
      <c r="F83" s="122"/>
      <c r="G83" s="122"/>
      <c r="H83" s="122"/>
      <c r="I83" s="66" t="str">
        <f ca="1">IF(I82&lt;&gt;""," Completed","")</f>
        <v xml:space="preserve"> Completed</v>
      </c>
      <c r="J83" s="48" t="str">
        <f ca="1">IF(J81&lt;&gt;"","Completed","")</f>
        <v>Completed</v>
      </c>
    </row>
    <row r="84" spans="1:11" ht="15.75" customHeight="1" x14ac:dyDescent="0.35">
      <c r="A84" s="67" t="s">
        <v>51</v>
      </c>
      <c r="B84" s="68"/>
      <c r="C84" s="43" t="s">
        <v>143</v>
      </c>
      <c r="D84" s="43" t="s">
        <v>86</v>
      </c>
      <c r="E84" s="68" t="s">
        <v>88</v>
      </c>
      <c r="F84" s="68"/>
      <c r="G84" s="68" t="s">
        <v>87</v>
      </c>
      <c r="H84" s="156"/>
      <c r="I84" s="14" t="s">
        <v>145</v>
      </c>
      <c r="J84" s="28">
        <f ca="1">H82*25%</f>
        <v>3.5</v>
      </c>
    </row>
    <row r="85" spans="1:11" x14ac:dyDescent="0.35">
      <c r="A85" s="67" t="s">
        <v>132</v>
      </c>
      <c r="B85" s="68"/>
      <c r="C85" s="43">
        <f ca="1">J86</f>
        <v>14</v>
      </c>
      <c r="D85" s="19">
        <f ca="1">((100/H82)*C85)/100</f>
        <v>1</v>
      </c>
      <c r="E85" s="78">
        <f ca="1">(((C86/H82*10)+(40/(D82+F82+H82)*C87)+(7.5/(H82)*C88)+(7.5/(H82)*C89)+(10/H82*C90)+(10/H82*C91)+(5/H82*C92)+(5/H82*C93)+(5/H82*C94))/100)</f>
        <v>0.81785714285714295</v>
      </c>
      <c r="F85" s="79"/>
      <c r="G85" s="78">
        <f ca="1">((((C85/H82)*20)+((C86/H82)*25)+(30/(H82+F82+D82)*C87)+(5/H82*C88)+(5/H82*C89)+(5/H82*C90)+(5/H82*C91)+(0/H82*C92)+(0/H82*C93)+(5/H82*C94))/100)</f>
        <v>0.92500000000000004</v>
      </c>
      <c r="H85" s="84"/>
      <c r="I85" s="14" t="s">
        <v>103</v>
      </c>
      <c r="J85" s="29">
        <f ca="1">H82*50%</f>
        <v>7</v>
      </c>
    </row>
    <row r="86" spans="1:11" x14ac:dyDescent="0.35">
      <c r="A86" s="67" t="s">
        <v>52</v>
      </c>
      <c r="B86" s="68"/>
      <c r="C86" s="53">
        <f ca="1">J94</f>
        <v>14</v>
      </c>
      <c r="D86" s="19">
        <f ca="1">((100/H82)*C86)/100</f>
        <v>1</v>
      </c>
      <c r="E86" s="80"/>
      <c r="F86" s="81"/>
      <c r="G86" s="80"/>
      <c r="H86" s="85"/>
      <c r="I86" s="14" t="s">
        <v>104</v>
      </c>
      <c r="J86" s="29">
        <f ca="1">H82</f>
        <v>14</v>
      </c>
    </row>
    <row r="87" spans="1:11" ht="15.75" customHeight="1" x14ac:dyDescent="0.35">
      <c r="A87" s="67" t="s">
        <v>133</v>
      </c>
      <c r="B87" s="68"/>
      <c r="C87" s="43">
        <v>15</v>
      </c>
      <c r="D87" s="19">
        <f ca="1">((100/(D82+F82+H82))*C87)/100</f>
        <v>1</v>
      </c>
      <c r="E87" s="80"/>
      <c r="F87" s="81"/>
      <c r="G87" s="80"/>
      <c r="H87" s="85"/>
      <c r="I87" s="14" t="s">
        <v>105</v>
      </c>
      <c r="J87" s="30">
        <f ca="1">(IF(B82&gt;1,(H82/(B82+2)),H82/4))</f>
        <v>3.5</v>
      </c>
    </row>
    <row r="88" spans="1:11" ht="15.75" customHeight="1" x14ac:dyDescent="0.35">
      <c r="A88" s="67" t="s">
        <v>140</v>
      </c>
      <c r="B88" s="68" t="s">
        <v>134</v>
      </c>
      <c r="C88" s="43">
        <v>14</v>
      </c>
      <c r="D88" s="19">
        <f ca="1">((100/H82)*C88)/100</f>
        <v>1</v>
      </c>
      <c r="E88" s="80"/>
      <c r="F88" s="81"/>
      <c r="G88" s="80"/>
      <c r="H88" s="85"/>
      <c r="I88" s="14" t="s">
        <v>106</v>
      </c>
      <c r="J88" s="30">
        <f ca="1">(IF(B82&gt;1,(H82/(B82+2)+J87),H82/4+J87))</f>
        <v>7</v>
      </c>
    </row>
    <row r="89" spans="1:11" ht="15.75" customHeight="1" x14ac:dyDescent="0.35">
      <c r="A89" s="67" t="s">
        <v>141</v>
      </c>
      <c r="B89" s="68" t="s">
        <v>134</v>
      </c>
      <c r="C89" s="43">
        <v>14</v>
      </c>
      <c r="D89" s="19">
        <f ca="1">((100/H82)*C89)/100</f>
        <v>1</v>
      </c>
      <c r="E89" s="80"/>
      <c r="F89" s="81"/>
      <c r="G89" s="80"/>
      <c r="H89" s="85"/>
      <c r="I89" s="14" t="s">
        <v>150</v>
      </c>
      <c r="J89" s="30">
        <f>(IF(B82&gt;1,(H82/(B82+2)+J88),0))</f>
        <v>0</v>
      </c>
    </row>
    <row r="90" spans="1:11" ht="15" customHeight="1" x14ac:dyDescent="0.35">
      <c r="A90" s="67" t="s">
        <v>139</v>
      </c>
      <c r="B90" s="68" t="s">
        <v>136</v>
      </c>
      <c r="C90" s="43">
        <v>14</v>
      </c>
      <c r="D90" s="19">
        <f ca="1">((100/(H82))*C90)/100</f>
        <v>1</v>
      </c>
      <c r="E90" s="80"/>
      <c r="F90" s="81"/>
      <c r="G90" s="80"/>
      <c r="H90" s="85"/>
      <c r="I90" s="14" t="s">
        <v>147</v>
      </c>
      <c r="J90" s="30">
        <f>(IF(B82&gt;2,(H82/(B82+2)+J89),0))</f>
        <v>0</v>
      </c>
    </row>
    <row r="91" spans="1:11" ht="15.75" customHeight="1" x14ac:dyDescent="0.35">
      <c r="A91" s="67" t="s">
        <v>135</v>
      </c>
      <c r="B91" s="68" t="s">
        <v>135</v>
      </c>
      <c r="C91" s="43">
        <v>7</v>
      </c>
      <c r="D91" s="19">
        <f ca="1">((100/H82)*C91)/100</f>
        <v>0.5</v>
      </c>
      <c r="E91" s="80"/>
      <c r="F91" s="81"/>
      <c r="G91" s="80"/>
      <c r="H91" s="85"/>
      <c r="I91" s="14" t="s">
        <v>148</v>
      </c>
      <c r="J91" s="31">
        <f>(IF(B82&gt;3,(H82/(B82+2)+J90),0))</f>
        <v>0</v>
      </c>
    </row>
    <row r="92" spans="1:11" ht="15.75" customHeight="1" x14ac:dyDescent="0.35">
      <c r="A92" s="67" t="s">
        <v>142</v>
      </c>
      <c r="B92" s="68"/>
      <c r="C92" s="43">
        <v>5</v>
      </c>
      <c r="D92" s="19">
        <f ca="1">((100/H82)*C92)/100</f>
        <v>0.35714285714285715</v>
      </c>
      <c r="E92" s="80"/>
      <c r="F92" s="81"/>
      <c r="G92" s="80"/>
      <c r="H92" s="85"/>
      <c r="I92" s="14" t="s">
        <v>149</v>
      </c>
      <c r="J92" s="30">
        <f>(IF(B82&gt;4,(H82/(B82+2)+J91),0))</f>
        <v>0</v>
      </c>
    </row>
    <row r="93" spans="1:11" ht="15.75" customHeight="1" x14ac:dyDescent="0.35">
      <c r="A93" s="67" t="s">
        <v>137</v>
      </c>
      <c r="B93" s="68" t="s">
        <v>137</v>
      </c>
      <c r="C93" s="43">
        <v>0</v>
      </c>
      <c r="D93" s="19">
        <f ca="1">((100/(H82))*C93)/100</f>
        <v>0</v>
      </c>
      <c r="E93" s="80"/>
      <c r="F93" s="81"/>
      <c r="G93" s="80"/>
      <c r="H93" s="85"/>
      <c r="I93" s="14" t="s">
        <v>151</v>
      </c>
      <c r="J93" s="30">
        <f ca="1">(IF(B82=1,(H82/(B82+3)+J88),IF(B82=0,(H82/4+J88),IF(B82&gt;1,0))))</f>
        <v>10.5</v>
      </c>
    </row>
    <row r="94" spans="1:11" ht="16" thickBot="1" x14ac:dyDescent="0.4">
      <c r="A94" s="69" t="s">
        <v>138</v>
      </c>
      <c r="B94" s="70"/>
      <c r="C94" s="52">
        <v>0</v>
      </c>
      <c r="D94" s="20">
        <f ca="1">((100/(H82))*C94)/100</f>
        <v>0</v>
      </c>
      <c r="E94" s="82"/>
      <c r="F94" s="83"/>
      <c r="G94" s="82"/>
      <c r="H94" s="86"/>
      <c r="I94" s="15" t="s">
        <v>107</v>
      </c>
      <c r="J94" s="32">
        <f ca="1">(IF(B82&gt;1.5,(H82/(B82+2)+J88+MAX(0,J89-J88)+MAX(0,J90-J89)+MAX(0,J91-J90)+MAX(0,J92-J91)+MAX(0,J93-J92)),IF(B82=1,(H82/(B82+3)+J93),IF(B82=0,H82/4+J93))))</f>
        <v>14</v>
      </c>
    </row>
    <row r="95" spans="1:11" x14ac:dyDescent="0.35">
      <c r="A95" s="77" t="s">
        <v>160</v>
      </c>
      <c r="B95" s="77"/>
      <c r="C95" s="77"/>
      <c r="D95" s="77"/>
      <c r="E95" s="77"/>
      <c r="F95" s="133" t="s">
        <v>165</v>
      </c>
      <c r="G95" s="133"/>
      <c r="H95" s="133"/>
    </row>
    <row r="96" spans="1:11" x14ac:dyDescent="0.35">
      <c r="A96" s="88" t="s">
        <v>163</v>
      </c>
      <c r="B96" s="88"/>
      <c r="C96" s="88"/>
      <c r="D96" s="88"/>
      <c r="E96" s="88"/>
      <c r="F96" s="119">
        <v>5500</v>
      </c>
      <c r="G96" s="119"/>
      <c r="H96" s="119"/>
      <c r="I96" s="21">
        <v>5300</v>
      </c>
      <c r="J96" s="21" t="s">
        <v>235</v>
      </c>
      <c r="K96" s="25">
        <v>45454</v>
      </c>
    </row>
    <row r="97" spans="1:11" x14ac:dyDescent="0.35">
      <c r="A97" s="88" t="s">
        <v>162</v>
      </c>
      <c r="B97" s="88"/>
      <c r="C97" s="88"/>
      <c r="D97" s="88"/>
      <c r="E97" s="88"/>
      <c r="F97" s="119">
        <v>9500</v>
      </c>
      <c r="G97" s="119"/>
      <c r="H97" s="119"/>
      <c r="I97" s="21">
        <v>5500</v>
      </c>
      <c r="J97" s="21" t="s">
        <v>235</v>
      </c>
      <c r="K97" s="25">
        <v>45582</v>
      </c>
    </row>
    <row r="98" spans="1:11" hidden="1" x14ac:dyDescent="0.35">
      <c r="A98" s="88" t="s">
        <v>164</v>
      </c>
      <c r="B98" s="88"/>
      <c r="C98" s="88"/>
      <c r="D98" s="88"/>
      <c r="E98" s="88"/>
      <c r="F98" s="119"/>
      <c r="G98" s="119"/>
      <c r="H98" s="119"/>
    </row>
    <row r="99" spans="1:11" s="33" customFormat="1" hidden="1" x14ac:dyDescent="0.3">
      <c r="A99" s="88" t="s">
        <v>161</v>
      </c>
      <c r="B99" s="88"/>
      <c r="C99" s="88"/>
      <c r="D99" s="88"/>
      <c r="E99" s="88"/>
      <c r="F99" s="119"/>
      <c r="G99" s="119"/>
      <c r="H99" s="119"/>
    </row>
    <row r="100" spans="1:11" s="33" customFormat="1" x14ac:dyDescent="0.3">
      <c r="A100" s="88" t="s">
        <v>98</v>
      </c>
      <c r="B100" s="88"/>
      <c r="C100" s="88"/>
      <c r="D100" s="88"/>
      <c r="E100" s="88"/>
      <c r="F100" s="119">
        <v>100000</v>
      </c>
      <c r="G100" s="119"/>
      <c r="H100" s="119"/>
    </row>
    <row r="101" spans="1:11" s="33" customFormat="1" x14ac:dyDescent="0.3">
      <c r="A101" s="88" t="s">
        <v>99</v>
      </c>
      <c r="B101" s="88"/>
      <c r="C101" s="88"/>
      <c r="D101" s="88"/>
      <c r="E101" s="88"/>
      <c r="F101" s="119">
        <v>100000</v>
      </c>
      <c r="G101" s="119"/>
      <c r="H101" s="119"/>
    </row>
    <row r="102" spans="1:11" s="33" customFormat="1" hidden="1" x14ac:dyDescent="0.3">
      <c r="A102" s="88" t="s">
        <v>100</v>
      </c>
      <c r="B102" s="88"/>
      <c r="C102" s="88"/>
      <c r="D102" s="88"/>
      <c r="E102" s="88"/>
      <c r="F102" s="119"/>
      <c r="G102" s="119"/>
      <c r="H102" s="119"/>
    </row>
    <row r="103" spans="1:11" s="33" customFormat="1" hidden="1" x14ac:dyDescent="0.3">
      <c r="A103" s="88" t="s">
        <v>101</v>
      </c>
      <c r="B103" s="88"/>
      <c r="C103" s="88"/>
      <c r="D103" s="88"/>
      <c r="E103" s="88"/>
      <c r="F103" s="119"/>
      <c r="G103" s="119"/>
      <c r="H103" s="119"/>
    </row>
    <row r="104" spans="1:11" s="33" customFormat="1" x14ac:dyDescent="0.3">
      <c r="A104" s="88" t="s">
        <v>208</v>
      </c>
      <c r="B104" s="88"/>
      <c r="C104" s="88"/>
      <c r="D104" s="88"/>
      <c r="E104" s="88"/>
      <c r="F104" s="119">
        <v>50000</v>
      </c>
      <c r="G104" s="119"/>
      <c r="H104" s="119"/>
    </row>
    <row r="105" spans="1:11" s="33" customFormat="1" hidden="1" x14ac:dyDescent="0.3">
      <c r="A105" s="88" t="s">
        <v>102</v>
      </c>
      <c r="B105" s="88"/>
      <c r="C105" s="88"/>
      <c r="D105" s="88"/>
      <c r="E105" s="88"/>
      <c r="F105" s="119"/>
      <c r="G105" s="119"/>
      <c r="H105" s="119"/>
    </row>
    <row r="106" spans="1:11" x14ac:dyDescent="0.35">
      <c r="A106" s="88" t="s">
        <v>53</v>
      </c>
      <c r="B106" s="88"/>
      <c r="C106" s="88"/>
      <c r="D106" s="88"/>
      <c r="E106" s="88"/>
      <c r="F106" s="119">
        <v>300000</v>
      </c>
      <c r="G106" s="119"/>
      <c r="H106" s="119"/>
    </row>
    <row r="107" spans="1:11" s="34" customFormat="1" x14ac:dyDescent="0.35">
      <c r="A107" s="154" t="s">
        <v>54</v>
      </c>
      <c r="B107" s="154"/>
      <c r="C107" s="154"/>
      <c r="D107" s="154"/>
      <c r="E107" s="154"/>
      <c r="F107" s="119">
        <f>F96*0.8</f>
        <v>4400</v>
      </c>
      <c r="G107" s="119"/>
      <c r="H107" s="119"/>
    </row>
    <row r="108" spans="1:11" s="35" customFormat="1" ht="15.75" customHeight="1" x14ac:dyDescent="0.35">
      <c r="A108" s="72" t="s">
        <v>78</v>
      </c>
      <c r="B108" s="72"/>
      <c r="C108" s="72"/>
      <c r="D108" s="72"/>
      <c r="E108" s="72"/>
      <c r="F108" s="72"/>
      <c r="G108" s="72"/>
      <c r="H108" s="72"/>
    </row>
    <row r="109" spans="1:11" s="35" customFormat="1" ht="15.75" customHeight="1" x14ac:dyDescent="0.35">
      <c r="A109" s="71" t="s">
        <v>55</v>
      </c>
      <c r="B109" s="71"/>
      <c r="C109" s="74" t="s">
        <v>81</v>
      </c>
      <c r="D109" s="74"/>
      <c r="E109" s="76" t="s">
        <v>56</v>
      </c>
      <c r="F109" s="76"/>
      <c r="G109" s="71" t="s">
        <v>57</v>
      </c>
      <c r="H109" s="71"/>
    </row>
    <row r="110" spans="1:11" s="35" customFormat="1" x14ac:dyDescent="0.35">
      <c r="A110" s="134" t="s">
        <v>231</v>
      </c>
      <c r="B110" s="134"/>
      <c r="C110" s="87">
        <f>COUNT(D123:D141)</f>
        <v>19</v>
      </c>
      <c r="D110" s="183"/>
      <c r="E110" s="87">
        <f>SUM(D123:D141)</f>
        <v>5760.6452279999994</v>
      </c>
      <c r="F110" s="183"/>
      <c r="G110" s="87">
        <f>SUM(F123:F141)</f>
        <v>9217.0323647999994</v>
      </c>
      <c r="H110" s="183"/>
    </row>
    <row r="111" spans="1:11" s="35" customFormat="1" x14ac:dyDescent="0.35">
      <c r="A111" s="72" t="s">
        <v>154</v>
      </c>
      <c r="B111" s="72"/>
      <c r="C111" s="73">
        <f>SUM(C110)</f>
        <v>19</v>
      </c>
      <c r="D111" s="74"/>
      <c r="E111" s="75">
        <f>SUM(E110)</f>
        <v>5760.6452279999994</v>
      </c>
      <c r="F111" s="76"/>
      <c r="G111" s="71">
        <f>SUM(G110)</f>
        <v>9217.0323647999994</v>
      </c>
      <c r="H111" s="71"/>
    </row>
    <row r="112" spans="1:11" s="35" customFormat="1" x14ac:dyDescent="0.35">
      <c r="A112" s="72" t="s">
        <v>73</v>
      </c>
      <c r="B112" s="72"/>
      <c r="C112" s="72"/>
      <c r="D112" s="72"/>
      <c r="E112" s="72"/>
      <c r="F112" s="72"/>
      <c r="G112" s="72"/>
      <c r="H112" s="72"/>
      <c r="I112" s="56" t="s">
        <v>215</v>
      </c>
    </row>
    <row r="113" spans="1:14" s="35" customFormat="1" ht="15.75" customHeight="1" x14ac:dyDescent="0.35">
      <c r="A113" s="71" t="s">
        <v>55</v>
      </c>
      <c r="B113" s="71"/>
      <c r="C113" s="74" t="s">
        <v>81</v>
      </c>
      <c r="D113" s="74"/>
      <c r="E113" s="76" t="s">
        <v>56</v>
      </c>
      <c r="F113" s="76"/>
      <c r="G113" s="71" t="s">
        <v>57</v>
      </c>
      <c r="H113" s="71"/>
      <c r="I113" s="1">
        <v>630</v>
      </c>
      <c r="J113" s="1">
        <f>3024000/I113</f>
        <v>4800</v>
      </c>
      <c r="K113" s="58" t="s">
        <v>216</v>
      </c>
    </row>
    <row r="114" spans="1:14" s="35" customFormat="1" x14ac:dyDescent="0.35">
      <c r="A114" s="134" t="s">
        <v>194</v>
      </c>
      <c r="B114" s="134"/>
      <c r="C114" s="126">
        <f>COUNT(D148:D155)+COUNT(D157:D164)*10+COUNT(D166:D172)*2+COUNT(D175:D182)</f>
        <v>110</v>
      </c>
      <c r="D114" s="126"/>
      <c r="E114" s="87">
        <f>SUM(D148:D155)+SUM(D157:D164)*10+SUM(D166:D172)*2+SUM(D175:D182)</f>
        <v>52849.474703999993</v>
      </c>
      <c r="F114" s="87"/>
      <c r="G114" s="87">
        <f>SUM(F148:F155)+SUM(F157:F164)*10+SUM(F166:F172)*2+SUM(F175:F182)</f>
        <v>79707.424933499991</v>
      </c>
      <c r="H114" s="87"/>
      <c r="I114" s="1">
        <v>650</v>
      </c>
      <c r="J114" s="1">
        <f>3120000/I114</f>
        <v>4800</v>
      </c>
      <c r="K114" s="57">
        <f>2800000/F148</f>
        <v>4391.4298486176895</v>
      </c>
    </row>
    <row r="115" spans="1:14" s="35" customFormat="1" x14ac:dyDescent="0.35">
      <c r="A115" s="134" t="s">
        <v>195</v>
      </c>
      <c r="B115" s="134"/>
      <c r="C115" s="126">
        <f>COUNT(D186:D193)+COUNT(D195:D202)*10+COUNT(D204:D208,D210:D211)*2+COUNT(D213:D220)</f>
        <v>110</v>
      </c>
      <c r="D115" s="126"/>
      <c r="E115" s="87">
        <f>SUM(D186:D193)+SUM(D195:D202)*10+SUM(D204:D208,D210:D211)*2+SUM(D213:D220)</f>
        <v>52871.906880000002</v>
      </c>
      <c r="F115" s="87"/>
      <c r="G115" s="87">
        <f>SUM(F186:F193)+SUM(F195:F202)*10+SUM(F204:F208,F210:F211)*2+SUM(F213:F220)</f>
        <v>79559.320814999985</v>
      </c>
      <c r="H115" s="87"/>
      <c r="I115" s="1">
        <v>675</v>
      </c>
      <c r="J115" s="1">
        <f>3240000/I115</f>
        <v>4800</v>
      </c>
      <c r="K115" s="57">
        <f>3800000/F154</f>
        <v>4676.7196583248187</v>
      </c>
    </row>
    <row r="116" spans="1:14" s="35" customFormat="1" x14ac:dyDescent="0.35">
      <c r="A116" s="72" t="s">
        <v>154</v>
      </c>
      <c r="B116" s="72"/>
      <c r="C116" s="74">
        <f>SUM(C114:C115)</f>
        <v>220</v>
      </c>
      <c r="D116" s="74"/>
      <c r="E116" s="75">
        <f>SUM(E114:E115)</f>
        <v>105721.38158399999</v>
      </c>
      <c r="F116" s="75"/>
      <c r="G116" s="71">
        <f>SUM(G114:G115)</f>
        <v>159266.74574849999</v>
      </c>
      <c r="H116" s="71"/>
      <c r="I116" s="1">
        <v>830</v>
      </c>
      <c r="J116" s="55">
        <f>3984000/I116</f>
        <v>4800</v>
      </c>
    </row>
    <row r="117" spans="1:14" s="34" customFormat="1" x14ac:dyDescent="0.35">
      <c r="A117" s="125" t="s">
        <v>58</v>
      </c>
      <c r="B117" s="125"/>
      <c r="C117" s="125"/>
      <c r="D117" s="125"/>
      <c r="E117" s="125"/>
      <c r="F117" s="125"/>
      <c r="G117" s="125"/>
      <c r="H117" s="125"/>
      <c r="I117" s="1">
        <v>900</v>
      </c>
      <c r="J117" s="1">
        <f>4320000/I117</f>
        <v>4800</v>
      </c>
    </row>
    <row r="118" spans="1:14" x14ac:dyDescent="0.35">
      <c r="A118" s="125" t="s">
        <v>59</v>
      </c>
      <c r="B118" s="125"/>
      <c r="C118" s="125"/>
      <c r="D118" s="125"/>
      <c r="E118" s="125"/>
      <c r="F118" s="125"/>
      <c r="G118" s="125"/>
      <c r="H118" s="125"/>
      <c r="I118" s="1">
        <v>975</v>
      </c>
      <c r="J118" s="1">
        <f>4680000/I118</f>
        <v>4800</v>
      </c>
    </row>
    <row r="119" spans="1:14" ht="47.25" customHeight="1" x14ac:dyDescent="0.35">
      <c r="A119" s="120" t="s">
        <v>123</v>
      </c>
      <c r="B119" s="120" t="s">
        <v>122</v>
      </c>
      <c r="C119" s="120" t="s">
        <v>60</v>
      </c>
      <c r="D119" s="120" t="s">
        <v>61</v>
      </c>
      <c r="E119" s="127" t="s">
        <v>159</v>
      </c>
      <c r="F119" s="42" t="s">
        <v>153</v>
      </c>
      <c r="G119" s="129" t="s">
        <v>63</v>
      </c>
      <c r="H119" s="130"/>
    </row>
    <row r="120" spans="1:14" s="37" customFormat="1" x14ac:dyDescent="0.35">
      <c r="A120" s="121"/>
      <c r="B120" s="121"/>
      <c r="C120" s="121"/>
      <c r="D120" s="121"/>
      <c r="E120" s="128"/>
      <c r="F120" s="13">
        <v>0.6</v>
      </c>
      <c r="G120" s="131"/>
      <c r="H120" s="132"/>
    </row>
    <row r="121" spans="1:14" s="37" customFormat="1" x14ac:dyDescent="0.35">
      <c r="A121" s="106" t="s">
        <v>224</v>
      </c>
      <c r="B121" s="107"/>
      <c r="C121" s="107"/>
      <c r="D121" s="107"/>
      <c r="E121" s="107"/>
      <c r="F121" s="107"/>
      <c r="G121" s="107"/>
      <c r="H121" s="108"/>
      <c r="J121" s="54">
        <v>10.763999999999999</v>
      </c>
    </row>
    <row r="122" spans="1:14" s="37" customFormat="1" x14ac:dyDescent="0.35">
      <c r="A122" s="91" t="s">
        <v>225</v>
      </c>
      <c r="B122" s="91"/>
      <c r="C122" s="91"/>
      <c r="D122" s="91"/>
      <c r="E122" s="91"/>
      <c r="F122" s="91"/>
      <c r="G122" s="91"/>
      <c r="H122" s="91"/>
      <c r="J122" s="36"/>
    </row>
    <row r="123" spans="1:14" s="37" customFormat="1" ht="15.65" customHeight="1" x14ac:dyDescent="0.35">
      <c r="A123" s="92">
        <v>1</v>
      </c>
      <c r="B123" s="92"/>
      <c r="C123" s="50" t="s">
        <v>226</v>
      </c>
      <c r="D123" s="54">
        <f>(30.406)*10.764</f>
        <v>327.29018399999995</v>
      </c>
      <c r="E123" s="50">
        <v>0</v>
      </c>
      <c r="F123" s="50">
        <f>(D123+E123)*(($F$120)+1)</f>
        <v>523.6642943999999</v>
      </c>
      <c r="G123" s="92" t="str">
        <f>A122</f>
        <v>Ground Floor for Commercial &amp; Parking</v>
      </c>
      <c r="H123" s="92"/>
      <c r="I123" s="59">
        <f>8.06*3.35+1*1.76+0.9*1.5</f>
        <v>30.111000000000004</v>
      </c>
      <c r="J123" s="37">
        <f>10000*F123</f>
        <v>5236642.9439999992</v>
      </c>
      <c r="L123" s="124"/>
      <c r="M123" s="124"/>
      <c r="N123" s="36"/>
    </row>
    <row r="124" spans="1:14" s="37" customFormat="1" ht="15.65" customHeight="1" x14ac:dyDescent="0.35">
      <c r="A124" s="92">
        <f t="shared" ref="A124:A141" si="0">A123+1</f>
        <v>2</v>
      </c>
      <c r="B124" s="92"/>
      <c r="C124" s="50" t="s">
        <v>226</v>
      </c>
      <c r="D124" s="54">
        <f>(24.926)*10.764</f>
        <v>268.30346399999996</v>
      </c>
      <c r="E124" s="50">
        <v>0</v>
      </c>
      <c r="F124" s="50">
        <f t="shared" ref="F124:F126" si="1">(D124+E124)*(($F$120)+1)</f>
        <v>429.28554239999994</v>
      </c>
      <c r="G124" s="92"/>
      <c r="H124" s="92"/>
      <c r="I124" s="36"/>
      <c r="J124" s="37">
        <f t="shared" ref="J124:J134" si="2">10000*F124</f>
        <v>4292855.4239999996</v>
      </c>
      <c r="L124" s="124"/>
      <c r="M124" s="124"/>
      <c r="N124" s="36"/>
    </row>
    <row r="125" spans="1:14" s="37" customFormat="1" ht="15.65" customHeight="1" x14ac:dyDescent="0.35">
      <c r="A125" s="92">
        <f t="shared" si="0"/>
        <v>3</v>
      </c>
      <c r="B125" s="92"/>
      <c r="C125" s="50" t="s">
        <v>226</v>
      </c>
      <c r="D125" s="54">
        <f>(25.195)*10.764</f>
        <v>271.19898000000001</v>
      </c>
      <c r="E125" s="50">
        <v>0</v>
      </c>
      <c r="F125" s="50">
        <f>(D125+E125)*(($F$120)+1)</f>
        <v>433.91836800000004</v>
      </c>
      <c r="G125" s="92"/>
      <c r="H125" s="92"/>
      <c r="I125" s="36"/>
      <c r="J125" s="37">
        <f>10000*F125</f>
        <v>4339183.6800000006</v>
      </c>
      <c r="L125" s="124"/>
      <c r="M125" s="124"/>
      <c r="N125" s="36"/>
    </row>
    <row r="126" spans="1:14" s="37" customFormat="1" ht="15.65" customHeight="1" x14ac:dyDescent="0.35">
      <c r="A126" s="92">
        <f t="shared" si="0"/>
        <v>4</v>
      </c>
      <c r="B126" s="92"/>
      <c r="C126" s="50" t="s">
        <v>226</v>
      </c>
      <c r="D126" s="54">
        <f>(25.152)*10.764</f>
        <v>270.73612800000001</v>
      </c>
      <c r="E126" s="50">
        <v>0</v>
      </c>
      <c r="F126" s="50">
        <f t="shared" si="1"/>
        <v>433.17780480000005</v>
      </c>
      <c r="G126" s="92"/>
      <c r="H126" s="92"/>
      <c r="I126" s="36"/>
      <c r="J126" s="37">
        <f t="shared" si="2"/>
        <v>4331778.0480000004</v>
      </c>
      <c r="L126" s="124"/>
      <c r="M126" s="124"/>
      <c r="N126" s="36"/>
    </row>
    <row r="127" spans="1:14" s="37" customFormat="1" x14ac:dyDescent="0.35">
      <c r="A127" s="92">
        <f t="shared" si="0"/>
        <v>5</v>
      </c>
      <c r="B127" s="92"/>
      <c r="C127" s="50" t="s">
        <v>226</v>
      </c>
      <c r="D127" s="54">
        <f>(48.492)*10.764</f>
        <v>521.9678879999999</v>
      </c>
      <c r="E127" s="50">
        <v>0</v>
      </c>
      <c r="F127" s="50">
        <f>(D127+E127)*(($F$120)+1)</f>
        <v>835.14862079999989</v>
      </c>
      <c r="G127" s="92"/>
      <c r="H127" s="92"/>
      <c r="I127" s="36"/>
      <c r="J127" s="37">
        <f t="shared" si="2"/>
        <v>8351486.2079999987</v>
      </c>
      <c r="L127" s="124"/>
      <c r="M127" s="124"/>
      <c r="N127" s="36"/>
    </row>
    <row r="128" spans="1:14" s="37" customFormat="1" x14ac:dyDescent="0.35">
      <c r="A128" s="92">
        <f t="shared" si="0"/>
        <v>6</v>
      </c>
      <c r="B128" s="92"/>
      <c r="C128" s="50" t="s">
        <v>226</v>
      </c>
      <c r="D128" s="54">
        <f>(24.925)*10.764</f>
        <v>268.29269999999997</v>
      </c>
      <c r="E128" s="50">
        <v>0</v>
      </c>
      <c r="F128" s="50">
        <f t="shared" ref="F128:F133" si="3">(D128+E128)*(($F$120)+1)</f>
        <v>429.26831999999996</v>
      </c>
      <c r="G128" s="92"/>
      <c r="H128" s="92"/>
      <c r="I128" s="36"/>
      <c r="J128" s="37">
        <f t="shared" si="2"/>
        <v>4292683.1999999993</v>
      </c>
      <c r="L128" s="124"/>
      <c r="M128" s="124"/>
      <c r="N128" s="36"/>
    </row>
    <row r="129" spans="1:14" s="37" customFormat="1" x14ac:dyDescent="0.35">
      <c r="A129" s="92">
        <f t="shared" si="0"/>
        <v>7</v>
      </c>
      <c r="B129" s="92"/>
      <c r="C129" s="50" t="s">
        <v>226</v>
      </c>
      <c r="D129" s="54">
        <f>(24.926)*10.764</f>
        <v>268.30346399999996</v>
      </c>
      <c r="E129" s="50">
        <v>0</v>
      </c>
      <c r="F129" s="50">
        <f t="shared" si="3"/>
        <v>429.28554239999994</v>
      </c>
      <c r="G129" s="92"/>
      <c r="H129" s="92"/>
      <c r="I129" s="36"/>
      <c r="J129" s="37">
        <f t="shared" si="2"/>
        <v>4292855.4239999996</v>
      </c>
      <c r="L129" s="124"/>
      <c r="M129" s="124"/>
      <c r="N129" s="36"/>
    </row>
    <row r="130" spans="1:14" s="37" customFormat="1" x14ac:dyDescent="0.35">
      <c r="A130" s="92">
        <f t="shared" si="0"/>
        <v>8</v>
      </c>
      <c r="B130" s="92"/>
      <c r="C130" s="50" t="s">
        <v>226</v>
      </c>
      <c r="D130" s="54">
        <f>(45.999)*10.764</f>
        <v>495.13323600000001</v>
      </c>
      <c r="E130" s="50">
        <v>0</v>
      </c>
      <c r="F130" s="50">
        <f t="shared" si="3"/>
        <v>792.21317760000011</v>
      </c>
      <c r="G130" s="92"/>
      <c r="H130" s="92"/>
      <c r="I130" s="36"/>
      <c r="J130" s="37">
        <f t="shared" si="2"/>
        <v>7922131.7760000015</v>
      </c>
      <c r="L130" s="124"/>
      <c r="M130" s="124"/>
      <c r="N130" s="36"/>
    </row>
    <row r="131" spans="1:14" s="37" customFormat="1" x14ac:dyDescent="0.35">
      <c r="A131" s="92">
        <f t="shared" si="0"/>
        <v>9</v>
      </c>
      <c r="B131" s="92"/>
      <c r="C131" s="50" t="s">
        <v>226</v>
      </c>
      <c r="D131" s="54">
        <f>(25.159)*10.764</f>
        <v>270.81147599999997</v>
      </c>
      <c r="E131" s="50">
        <v>0</v>
      </c>
      <c r="F131" s="50">
        <f t="shared" si="3"/>
        <v>433.29836159999996</v>
      </c>
      <c r="G131" s="92"/>
      <c r="H131" s="92"/>
      <c r="I131" s="36"/>
      <c r="J131" s="37">
        <f t="shared" si="2"/>
        <v>4332983.6159999995</v>
      </c>
      <c r="L131" s="124"/>
      <c r="M131" s="124"/>
      <c r="N131" s="36"/>
    </row>
    <row r="132" spans="1:14" s="37" customFormat="1" x14ac:dyDescent="0.35">
      <c r="A132" s="92">
        <f t="shared" si="0"/>
        <v>10</v>
      </c>
      <c r="B132" s="92"/>
      <c r="C132" s="50" t="s">
        <v>226</v>
      </c>
      <c r="D132" s="54">
        <f>(24.926)*10.764</f>
        <v>268.30346399999996</v>
      </c>
      <c r="E132" s="50">
        <v>0</v>
      </c>
      <c r="F132" s="50">
        <f t="shared" si="3"/>
        <v>429.28554239999994</v>
      </c>
      <c r="G132" s="92"/>
      <c r="H132" s="92"/>
      <c r="I132" s="36"/>
      <c r="J132" s="37">
        <f t="shared" si="2"/>
        <v>4292855.4239999996</v>
      </c>
      <c r="L132" s="124"/>
      <c r="M132" s="124"/>
      <c r="N132" s="36"/>
    </row>
    <row r="133" spans="1:14" s="37" customFormat="1" ht="15.65" customHeight="1" x14ac:dyDescent="0.35">
      <c r="A133" s="92">
        <f t="shared" si="0"/>
        <v>11</v>
      </c>
      <c r="B133" s="92"/>
      <c r="C133" s="50" t="s">
        <v>226</v>
      </c>
      <c r="D133" s="54">
        <f>(30.817)*10.764</f>
        <v>331.71418799999998</v>
      </c>
      <c r="E133" s="50">
        <v>0</v>
      </c>
      <c r="F133" s="50">
        <f t="shared" si="3"/>
        <v>530.74270079999997</v>
      </c>
      <c r="G133" s="92"/>
      <c r="H133" s="92"/>
      <c r="I133" s="36"/>
      <c r="J133" s="37">
        <f t="shared" si="2"/>
        <v>5307427.0079999994</v>
      </c>
      <c r="L133" s="124"/>
      <c r="M133" s="124"/>
      <c r="N133" s="36"/>
    </row>
    <row r="134" spans="1:14" s="37" customFormat="1" x14ac:dyDescent="0.35">
      <c r="A134" s="92">
        <f t="shared" si="0"/>
        <v>12</v>
      </c>
      <c r="B134" s="92"/>
      <c r="C134" s="50" t="s">
        <v>226</v>
      </c>
      <c r="D134" s="54">
        <f>(27.227)*10.764</f>
        <v>293.07142799999997</v>
      </c>
      <c r="E134" s="50">
        <v>0</v>
      </c>
      <c r="F134" s="50">
        <f>(D134+E134)*(($F$120)+1)</f>
        <v>468.91428479999996</v>
      </c>
      <c r="G134" s="92"/>
      <c r="H134" s="92"/>
      <c r="I134" s="36"/>
      <c r="J134" s="37">
        <f t="shared" si="2"/>
        <v>4689142.8479999993</v>
      </c>
      <c r="L134" s="124"/>
      <c r="M134" s="124"/>
      <c r="N134" s="36"/>
    </row>
    <row r="135" spans="1:14" s="37" customFormat="1" x14ac:dyDescent="0.35">
      <c r="A135" s="92">
        <f t="shared" si="0"/>
        <v>13</v>
      </c>
      <c r="B135" s="92"/>
      <c r="C135" s="50" t="s">
        <v>226</v>
      </c>
      <c r="D135" s="54">
        <f>(27.202)*10.764</f>
        <v>292.80232799999999</v>
      </c>
      <c r="E135" s="50">
        <v>0</v>
      </c>
      <c r="F135" s="50">
        <f t="shared" ref="F135:F138" si="4">(D135+E135)*(($F$120)+1)</f>
        <v>468.4837248</v>
      </c>
      <c r="G135" s="92"/>
      <c r="H135" s="92"/>
      <c r="I135" s="36"/>
      <c r="L135" s="124"/>
      <c r="M135" s="124"/>
      <c r="N135" s="36"/>
    </row>
    <row r="136" spans="1:14" s="37" customFormat="1" x14ac:dyDescent="0.35">
      <c r="A136" s="92">
        <f t="shared" si="0"/>
        <v>14</v>
      </c>
      <c r="B136" s="92"/>
      <c r="C136" s="50" t="s">
        <v>226</v>
      </c>
      <c r="D136" s="54">
        <f>(31.948)*10.764</f>
        <v>343.88827199999997</v>
      </c>
      <c r="E136" s="50">
        <v>0</v>
      </c>
      <c r="F136" s="50">
        <f t="shared" si="4"/>
        <v>550.22123520000002</v>
      </c>
      <c r="G136" s="92"/>
      <c r="H136" s="92"/>
      <c r="I136" s="36"/>
      <c r="L136" s="124"/>
      <c r="M136" s="124"/>
      <c r="N136" s="36"/>
    </row>
    <row r="137" spans="1:14" s="37" customFormat="1" x14ac:dyDescent="0.35">
      <c r="A137" s="92">
        <f t="shared" si="0"/>
        <v>15</v>
      </c>
      <c r="B137" s="92"/>
      <c r="C137" s="50" t="s">
        <v>226</v>
      </c>
      <c r="D137" s="54">
        <f>(28.933)*10.764</f>
        <v>311.43481199999997</v>
      </c>
      <c r="E137" s="50">
        <v>0</v>
      </c>
      <c r="F137" s="50">
        <f t="shared" si="4"/>
        <v>498.29569919999994</v>
      </c>
      <c r="G137" s="92"/>
      <c r="H137" s="92"/>
      <c r="I137" s="36"/>
      <c r="L137" s="124"/>
      <c r="M137" s="124"/>
      <c r="N137" s="36"/>
    </row>
    <row r="138" spans="1:14" s="37" customFormat="1" ht="15.65" customHeight="1" x14ac:dyDescent="0.35">
      <c r="A138" s="92">
        <f t="shared" si="0"/>
        <v>16</v>
      </c>
      <c r="B138" s="92"/>
      <c r="C138" s="50" t="s">
        <v>226</v>
      </c>
      <c r="D138" s="54">
        <f>(21.191)*10.764</f>
        <v>228.09992399999999</v>
      </c>
      <c r="E138" s="50">
        <v>0</v>
      </c>
      <c r="F138" s="50">
        <f t="shared" si="4"/>
        <v>364.95987839999998</v>
      </c>
      <c r="G138" s="92"/>
      <c r="H138" s="92"/>
      <c r="I138" s="36"/>
      <c r="L138" s="124"/>
      <c r="M138" s="124"/>
      <c r="N138" s="36"/>
    </row>
    <row r="139" spans="1:14" s="37" customFormat="1" x14ac:dyDescent="0.35">
      <c r="A139" s="92">
        <f t="shared" si="0"/>
        <v>17</v>
      </c>
      <c r="B139" s="92"/>
      <c r="C139" s="50" t="s">
        <v>226</v>
      </c>
      <c r="D139" s="54">
        <f>(21.185)*10.764</f>
        <v>228.03533999999996</v>
      </c>
      <c r="E139" s="50">
        <v>0</v>
      </c>
      <c r="F139" s="50">
        <f>(D139+E139)*(($F$120)+1)</f>
        <v>364.85654399999999</v>
      </c>
      <c r="G139" s="92"/>
      <c r="H139" s="92"/>
      <c r="I139" s="36"/>
      <c r="L139" s="124"/>
      <c r="M139" s="124"/>
      <c r="N139" s="36"/>
    </row>
    <row r="140" spans="1:14" s="37" customFormat="1" x14ac:dyDescent="0.35">
      <c r="A140" s="92">
        <f t="shared" si="0"/>
        <v>18</v>
      </c>
      <c r="B140" s="92"/>
      <c r="C140" s="50" t="s">
        <v>226</v>
      </c>
      <c r="D140" s="54">
        <f>(20.994)*10.764</f>
        <v>225.97941599999999</v>
      </c>
      <c r="E140" s="50">
        <v>0</v>
      </c>
      <c r="F140" s="50">
        <f t="shared" ref="F140:F141" si="5">(D140+E140)*(($F$120)+1)</f>
        <v>361.56706559999998</v>
      </c>
      <c r="G140" s="92"/>
      <c r="H140" s="92"/>
      <c r="I140" s="36"/>
      <c r="L140" s="124"/>
      <c r="M140" s="124"/>
      <c r="N140" s="36"/>
    </row>
    <row r="141" spans="1:14" s="37" customFormat="1" x14ac:dyDescent="0.35">
      <c r="A141" s="92">
        <f t="shared" si="0"/>
        <v>19</v>
      </c>
      <c r="B141" s="92"/>
      <c r="C141" s="50" t="s">
        <v>226</v>
      </c>
      <c r="D141" s="54">
        <f>(25.574)*10.764</f>
        <v>275.27853599999997</v>
      </c>
      <c r="E141" s="50">
        <v>0</v>
      </c>
      <c r="F141" s="50">
        <f t="shared" si="5"/>
        <v>440.4456576</v>
      </c>
      <c r="G141" s="92"/>
      <c r="H141" s="92"/>
      <c r="I141" s="36"/>
      <c r="L141" s="124"/>
      <c r="M141" s="124"/>
      <c r="N141" s="36"/>
    </row>
    <row r="142" spans="1:14" s="37" customFormat="1" x14ac:dyDescent="0.35">
      <c r="A142" s="89"/>
      <c r="B142" s="181"/>
      <c r="C142" s="181"/>
      <c r="D142" s="181"/>
      <c r="E142" s="181"/>
      <c r="F142" s="181"/>
      <c r="G142" s="181"/>
      <c r="H142" s="90"/>
      <c r="I142" s="36"/>
      <c r="N142" s="36"/>
    </row>
    <row r="143" spans="1:14" ht="47.25" customHeight="1" x14ac:dyDescent="0.35">
      <c r="A143" s="103" t="s">
        <v>124</v>
      </c>
      <c r="B143" s="103" t="s">
        <v>125</v>
      </c>
      <c r="C143" s="103" t="s">
        <v>60</v>
      </c>
      <c r="D143" s="103" t="s">
        <v>61</v>
      </c>
      <c r="E143" s="103" t="s">
        <v>62</v>
      </c>
      <c r="F143" s="61" t="s">
        <v>200</v>
      </c>
      <c r="G143" s="103" t="s">
        <v>63</v>
      </c>
      <c r="H143" s="103"/>
      <c r="I143" s="36"/>
    </row>
    <row r="144" spans="1:14" s="37" customFormat="1" x14ac:dyDescent="0.35">
      <c r="A144" s="103"/>
      <c r="B144" s="103"/>
      <c r="C144" s="103"/>
      <c r="D144" s="103"/>
      <c r="E144" s="103"/>
      <c r="F144" s="62">
        <v>0.5</v>
      </c>
      <c r="G144" s="103"/>
      <c r="H144" s="103"/>
      <c r="J144" s="36"/>
    </row>
    <row r="145" spans="1:14" s="37" customFormat="1" x14ac:dyDescent="0.35">
      <c r="A145" s="106" t="s">
        <v>194</v>
      </c>
      <c r="B145" s="107"/>
      <c r="C145" s="107"/>
      <c r="D145" s="107"/>
      <c r="E145" s="107"/>
      <c r="F145" s="107"/>
      <c r="G145" s="107"/>
      <c r="H145" s="108"/>
      <c r="J145" s="36"/>
    </row>
    <row r="146" spans="1:14" s="37" customFormat="1" x14ac:dyDescent="0.35">
      <c r="A146" s="93" t="s">
        <v>192</v>
      </c>
      <c r="B146" s="94"/>
      <c r="C146" s="94"/>
      <c r="D146" s="94"/>
      <c r="E146" s="94"/>
      <c r="F146" s="94"/>
      <c r="G146" s="94"/>
      <c r="H146" s="95"/>
      <c r="J146" s="36"/>
    </row>
    <row r="147" spans="1:14" s="37" customFormat="1" x14ac:dyDescent="0.35">
      <c r="A147" s="91" t="s">
        <v>193</v>
      </c>
      <c r="B147" s="91"/>
      <c r="C147" s="91"/>
      <c r="D147" s="91"/>
      <c r="E147" s="91"/>
      <c r="F147" s="91"/>
      <c r="G147" s="91"/>
      <c r="H147" s="91"/>
      <c r="I147" s="36"/>
      <c r="J147" s="54">
        <f>10.764</f>
        <v>10.763999999999999</v>
      </c>
      <c r="L147" s="124"/>
      <c r="M147" s="124"/>
    </row>
    <row r="148" spans="1:14" s="37" customFormat="1" ht="15.75" customHeight="1" x14ac:dyDescent="0.35">
      <c r="A148" s="92">
        <v>1</v>
      </c>
      <c r="B148" s="92"/>
      <c r="C148" s="49">
        <v>1</v>
      </c>
      <c r="D148" s="54">
        <f>(34.66+0.6*(2.75+5.3))*(10.764)</f>
        <v>425.07035999999994</v>
      </c>
      <c r="E148" s="50">
        <v>0</v>
      </c>
      <c r="F148" s="50">
        <f>D148*(($F$144)+1)+(IF(E148&lt;101,E148,IF(E148&lt;201,E148/2,IF(E148&lt;=301,E148/3,E148/4))))</f>
        <v>637.60553999999991</v>
      </c>
      <c r="G148" s="96" t="str">
        <f>A147</f>
        <v>1st Floor For Residential</v>
      </c>
      <c r="H148" s="97"/>
      <c r="I148" s="54">
        <f>(34.66+0.6*(2.75+4.4))*(10.764)</f>
        <v>419.25779999999992</v>
      </c>
      <c r="J148" s="36">
        <f>I148-D148</f>
        <v>-5.812560000000019</v>
      </c>
      <c r="K148" s="37">
        <f>4.28*2.75+1*0.9+2.2*2.15+3.2*2.75+1.8*1.2+2.2*1.2+2.15*0.9</f>
        <v>32.935000000000002</v>
      </c>
      <c r="N148" s="36"/>
    </row>
    <row r="149" spans="1:14" s="37" customFormat="1" ht="15.75" customHeight="1" x14ac:dyDescent="0.35">
      <c r="A149" s="92">
        <f t="shared" ref="A149:A155" si="6">A148+1</f>
        <v>2</v>
      </c>
      <c r="B149" s="92"/>
      <c r="C149" s="49">
        <v>1</v>
      </c>
      <c r="D149" s="54">
        <f>(34.66+0.6*(2.75+5.3))*(10.764)</f>
        <v>425.07035999999994</v>
      </c>
      <c r="E149" s="50">
        <v>0</v>
      </c>
      <c r="F149" s="50">
        <f t="shared" ref="F149:F155" si="7">D149*(($F$144)+1)+(IF(E149&lt;101,E149,IF(E149&lt;201,E149/2,IF(E149&lt;=301,E149/3,E149/4))))</f>
        <v>637.60553999999991</v>
      </c>
      <c r="G149" s="98"/>
      <c r="H149" s="99"/>
      <c r="I149" s="54">
        <f>(34.66+0.6*(2.75+4.4))*(10.764)</f>
        <v>419.25779999999992</v>
      </c>
      <c r="J149" s="36">
        <f t="shared" ref="J149:J155" si="8">I149-D149</f>
        <v>-5.812560000000019</v>
      </c>
      <c r="K149" s="37">
        <f>3024000</f>
        <v>3024000</v>
      </c>
      <c r="L149" s="37">
        <f>K149/F150</f>
        <v>4864.7005168744299</v>
      </c>
      <c r="N149" s="36"/>
    </row>
    <row r="150" spans="1:14" s="37" customFormat="1" ht="15.75" customHeight="1" x14ac:dyDescent="0.35">
      <c r="A150" s="92">
        <f t="shared" si="6"/>
        <v>3</v>
      </c>
      <c r="B150" s="92"/>
      <c r="C150" s="49">
        <v>1</v>
      </c>
      <c r="D150" s="54">
        <f>(33.67+0.6*(2.75+5.3))*(10.764)</f>
        <v>414.41399999999999</v>
      </c>
      <c r="E150" s="50">
        <v>0</v>
      </c>
      <c r="F150" s="50">
        <f t="shared" si="7"/>
        <v>621.62099999999998</v>
      </c>
      <c r="G150" s="98"/>
      <c r="H150" s="99"/>
      <c r="I150" s="54">
        <f>(33.67+0.6*(2.75+4.4))*(10.764)</f>
        <v>408.60143999999997</v>
      </c>
      <c r="J150" s="36">
        <f t="shared" si="8"/>
        <v>-5.812560000000019</v>
      </c>
      <c r="N150" s="36"/>
    </row>
    <row r="151" spans="1:14" s="37" customFormat="1" ht="15.75" customHeight="1" x14ac:dyDescent="0.35">
      <c r="A151" s="92">
        <f t="shared" si="6"/>
        <v>4</v>
      </c>
      <c r="B151" s="92"/>
      <c r="C151" s="60">
        <v>1.5</v>
      </c>
      <c r="D151" s="54">
        <f>(45.442)*(10.764)</f>
        <v>489.13768799999997</v>
      </c>
      <c r="E151" s="50">
        <f>(9*2.95+0.85*4.1+2.75*6.6+4.25*2.75+1.35*0.8)*10.764</f>
        <v>656.09271000000001</v>
      </c>
      <c r="F151" s="50">
        <f t="shared" si="7"/>
        <v>897.7297094999999</v>
      </c>
      <c r="G151" s="98"/>
      <c r="H151" s="99"/>
      <c r="I151" s="54">
        <f>(45.442+0.6*(2.75+5.6+0.8))*(10.764)</f>
        <v>548.23204799999996</v>
      </c>
      <c r="J151" s="36">
        <f t="shared" si="8"/>
        <v>59.094359999999995</v>
      </c>
      <c r="N151" s="36"/>
    </row>
    <row r="152" spans="1:14" s="37" customFormat="1" ht="15.75" customHeight="1" x14ac:dyDescent="0.35">
      <c r="A152" s="92">
        <f t="shared" si="6"/>
        <v>5</v>
      </c>
      <c r="B152" s="92"/>
      <c r="C152" s="49">
        <v>1</v>
      </c>
      <c r="D152" s="54">
        <f>(36.125)*(10.764)</f>
        <v>388.84949999999998</v>
      </c>
      <c r="E152" s="50">
        <f>(4.25*2.75+3.35*2.35+2.75*2.75)*10.764</f>
        <v>291.94659000000001</v>
      </c>
      <c r="F152" s="50">
        <f t="shared" si="7"/>
        <v>680.58977999999991</v>
      </c>
      <c r="G152" s="98"/>
      <c r="H152" s="99"/>
      <c r="I152" s="54">
        <f>(36.125+0.6*(2.75+1.6+2.6))*(10.764)</f>
        <v>433.73537999999996</v>
      </c>
      <c r="J152" s="36">
        <f t="shared" si="8"/>
        <v>44.885879999999986</v>
      </c>
      <c r="L152" s="37">
        <f>3500000/F149</f>
        <v>5489.2873107721125</v>
      </c>
      <c r="N152" s="36"/>
    </row>
    <row r="153" spans="1:14" s="37" customFormat="1" ht="15.75" customHeight="1" x14ac:dyDescent="0.35">
      <c r="A153" s="92">
        <f t="shared" si="6"/>
        <v>6</v>
      </c>
      <c r="B153" s="92"/>
      <c r="C153" s="49">
        <v>2</v>
      </c>
      <c r="D153" s="54">
        <f>(50.964+1.75*1)*(10.764)</f>
        <v>567.4134959999999</v>
      </c>
      <c r="E153" s="50">
        <f>(4.25*2.75+2.15*1.75+3.15*0.6+2.85*6.05)*10.764</f>
        <v>372.24602999999996</v>
      </c>
      <c r="F153" s="50">
        <f t="shared" si="7"/>
        <v>944.18175149999979</v>
      </c>
      <c r="G153" s="98"/>
      <c r="H153" s="99"/>
      <c r="I153" s="54">
        <f>(50.964+1.75+0.6*(2.75+5.1))*(10.764)</f>
        <v>618.1119359999999</v>
      </c>
      <c r="J153" s="36">
        <f t="shared" si="8"/>
        <v>50.698440000000005</v>
      </c>
      <c r="N153" s="36"/>
    </row>
    <row r="154" spans="1:14" s="37" customFormat="1" ht="15.75" customHeight="1" x14ac:dyDescent="0.35">
      <c r="A154" s="92">
        <f t="shared" si="6"/>
        <v>7</v>
      </c>
      <c r="B154" s="92"/>
      <c r="C154" s="49">
        <v>2</v>
      </c>
      <c r="D154" s="54">
        <f>(45.443)*(10.764)</f>
        <v>489.14845199999996</v>
      </c>
      <c r="E154" s="50">
        <f>(4.25*2.75+2.75*6.4)*10.764</f>
        <v>315.25065000000001</v>
      </c>
      <c r="F154" s="50">
        <f t="shared" si="7"/>
        <v>812.53534049999996</v>
      </c>
      <c r="G154" s="98"/>
      <c r="H154" s="99"/>
      <c r="I154" s="54">
        <f>(45.443+0.6*(2.75+5.6+1))*(10.764)</f>
        <v>549.53449199999989</v>
      </c>
      <c r="J154" s="36">
        <f t="shared" si="8"/>
        <v>60.386039999999923</v>
      </c>
      <c r="N154" s="36"/>
    </row>
    <row r="155" spans="1:14" s="37" customFormat="1" ht="15.75" customHeight="1" x14ac:dyDescent="0.35">
      <c r="A155" s="92">
        <f t="shared" si="6"/>
        <v>8</v>
      </c>
      <c r="B155" s="92"/>
      <c r="C155" s="49">
        <v>1</v>
      </c>
      <c r="D155" s="54">
        <f>(33.67+0.6*(2.75+5.3))*(10.764)</f>
        <v>414.41399999999999</v>
      </c>
      <c r="E155" s="50">
        <v>0</v>
      </c>
      <c r="F155" s="50">
        <f t="shared" si="7"/>
        <v>621.62099999999998</v>
      </c>
      <c r="G155" s="100"/>
      <c r="H155" s="101"/>
      <c r="I155" s="54">
        <f>(33.67+0.6*(2.75+4.4+0.8))*(10.764)</f>
        <v>413.76815999999997</v>
      </c>
      <c r="J155" s="36">
        <f t="shared" si="8"/>
        <v>-0.64584000000002106</v>
      </c>
      <c r="N155" s="36"/>
    </row>
    <row r="156" spans="1:14" s="37" customFormat="1" ht="15.75" customHeight="1" x14ac:dyDescent="0.35">
      <c r="A156" s="93" t="s">
        <v>196</v>
      </c>
      <c r="B156" s="94"/>
      <c r="C156" s="94"/>
      <c r="D156" s="94"/>
      <c r="E156" s="94"/>
      <c r="F156" s="94"/>
      <c r="G156" s="94"/>
      <c r="H156" s="95"/>
      <c r="I156" s="36"/>
    </row>
    <row r="157" spans="1:14" s="37" customFormat="1" ht="15.75" customHeight="1" x14ac:dyDescent="0.35">
      <c r="A157" s="89">
        <v>1</v>
      </c>
      <c r="B157" s="90"/>
      <c r="C157" s="49">
        <v>1</v>
      </c>
      <c r="D157" s="54">
        <f>(34.66+0.6*(2.75+5.3))*(10.764)</f>
        <v>425.07035999999994</v>
      </c>
      <c r="E157" s="50">
        <v>0</v>
      </c>
      <c r="F157" s="50">
        <f>D157*(($F$144)+1)+(IF(E157&lt;101,E157,IF(E157&lt;201,E157/2,IF(E157&lt;=301,E157/3,E157/4))))</f>
        <v>637.60553999999991</v>
      </c>
      <c r="G157" s="96" t="str">
        <f>A156</f>
        <v>2nd to 7th &amp; 9th to 12th Floor</v>
      </c>
      <c r="H157" s="97"/>
      <c r="I157" s="50">
        <v>650</v>
      </c>
      <c r="J157" s="36">
        <f>I157-D157</f>
        <v>224.92964000000006</v>
      </c>
      <c r="K157" s="59">
        <f>I157/D157</f>
        <v>1.5291586080008028</v>
      </c>
      <c r="L157" s="59"/>
      <c r="M157" s="1">
        <v>630</v>
      </c>
    </row>
    <row r="158" spans="1:14" s="37" customFormat="1" ht="15.75" customHeight="1" x14ac:dyDescent="0.35">
      <c r="A158" s="89">
        <v>2</v>
      </c>
      <c r="B158" s="90"/>
      <c r="C158" s="49">
        <v>1</v>
      </c>
      <c r="D158" s="54">
        <f>(34.66+0.6*(2.75+5.3))*(10.764)</f>
        <v>425.07035999999994</v>
      </c>
      <c r="E158" s="50">
        <v>0</v>
      </c>
      <c r="F158" s="50">
        <f t="shared" ref="F158:F164" si="9">D158*(($F$144)+1)+(IF(E158&lt;101,E158,IF(E158&lt;201,E158/2,IF(E158&lt;=301,E158/3,E158/4))))</f>
        <v>637.60553999999991</v>
      </c>
      <c r="G158" s="98" t="str">
        <f t="shared" ref="G158:G164" si="10">G157</f>
        <v>2nd to 7th &amp; 9th to 12th Floor</v>
      </c>
      <c r="H158" s="99"/>
      <c r="I158" s="50">
        <v>650</v>
      </c>
      <c r="J158" s="36">
        <f t="shared" ref="J158:J164" si="11">I158-D158</f>
        <v>224.92964000000006</v>
      </c>
      <c r="K158" s="59">
        <f t="shared" ref="K158:K164" si="12">I158/D158</f>
        <v>1.5291586080008028</v>
      </c>
      <c r="M158" s="1">
        <v>650</v>
      </c>
    </row>
    <row r="159" spans="1:14" s="37" customFormat="1" ht="15.75" customHeight="1" x14ac:dyDescent="0.35">
      <c r="A159" s="89">
        <v>3</v>
      </c>
      <c r="B159" s="90"/>
      <c r="C159" s="49">
        <v>1</v>
      </c>
      <c r="D159" s="54">
        <f>(33.67+0.6*(2.75+5.3))*(10.764)</f>
        <v>414.41399999999999</v>
      </c>
      <c r="E159" s="50">
        <v>0</v>
      </c>
      <c r="F159" s="50">
        <f t="shared" si="9"/>
        <v>621.62099999999998</v>
      </c>
      <c r="G159" s="98" t="str">
        <f t="shared" si="10"/>
        <v>2nd to 7th &amp; 9th to 12th Floor</v>
      </c>
      <c r="H159" s="99"/>
      <c r="I159" s="50">
        <v>630</v>
      </c>
      <c r="J159" s="36">
        <f t="shared" si="11"/>
        <v>215.58600000000001</v>
      </c>
      <c r="K159" s="59">
        <f t="shared" si="12"/>
        <v>1.5202189115232594</v>
      </c>
      <c r="M159" s="1">
        <v>675</v>
      </c>
    </row>
    <row r="160" spans="1:14" s="37" customFormat="1" ht="15.75" customHeight="1" x14ac:dyDescent="0.35">
      <c r="A160" s="89">
        <v>4</v>
      </c>
      <c r="B160" s="90"/>
      <c r="C160" s="60">
        <v>1.5</v>
      </c>
      <c r="D160" s="54">
        <f>(45.442+0.6*(2.75+6.5+0.85))*(10.764)</f>
        <v>554.36752799999999</v>
      </c>
      <c r="E160" s="50">
        <v>0</v>
      </c>
      <c r="F160" s="50">
        <f t="shared" si="9"/>
        <v>831.55129199999999</v>
      </c>
      <c r="G160" s="98" t="str">
        <f t="shared" si="10"/>
        <v>2nd to 7th &amp; 9th to 12th Floor</v>
      </c>
      <c r="H160" s="99"/>
      <c r="I160" s="50">
        <v>830</v>
      </c>
      <c r="J160" s="36">
        <f t="shared" si="11"/>
        <v>275.63247200000001</v>
      </c>
      <c r="K160" s="59">
        <f t="shared" si="12"/>
        <v>1.4972016903558609</v>
      </c>
      <c r="M160" s="1">
        <v>830</v>
      </c>
    </row>
    <row r="161" spans="1:14" s="37" customFormat="1" ht="15.75" customHeight="1" x14ac:dyDescent="0.35">
      <c r="A161" s="89">
        <v>5</v>
      </c>
      <c r="B161" s="90"/>
      <c r="C161" s="49">
        <v>1</v>
      </c>
      <c r="D161" s="54">
        <f>(36.125+0.6*(2.75+2.15+2.75))*(10.764)</f>
        <v>438.25626</v>
      </c>
      <c r="E161" s="50">
        <v>0</v>
      </c>
      <c r="F161" s="50">
        <f t="shared" si="9"/>
        <v>657.38438999999994</v>
      </c>
      <c r="G161" s="98" t="str">
        <f t="shared" si="10"/>
        <v>2nd to 7th &amp; 9th to 12th Floor</v>
      </c>
      <c r="H161" s="99"/>
      <c r="I161" s="50">
        <v>675</v>
      </c>
      <c r="J161" s="36">
        <f t="shared" si="11"/>
        <v>236.74374</v>
      </c>
      <c r="K161" s="59">
        <f t="shared" si="12"/>
        <v>1.5401947709771449</v>
      </c>
      <c r="M161" s="1">
        <v>900</v>
      </c>
    </row>
    <row r="162" spans="1:14" s="37" customFormat="1" ht="15.75" customHeight="1" x14ac:dyDescent="0.35">
      <c r="A162" s="89">
        <v>6</v>
      </c>
      <c r="B162" s="90"/>
      <c r="C162" s="49">
        <v>2</v>
      </c>
      <c r="D162" s="54">
        <f>(50.964+1.75+0.6*(2.75+6.15))*(10.764)</f>
        <v>624.89325599999995</v>
      </c>
      <c r="E162" s="50">
        <v>0</v>
      </c>
      <c r="F162" s="50">
        <f t="shared" si="9"/>
        <v>937.33988399999998</v>
      </c>
      <c r="G162" s="98" t="str">
        <f t="shared" si="10"/>
        <v>2nd to 7th &amp; 9th to 12th Floor</v>
      </c>
      <c r="H162" s="99"/>
      <c r="I162" s="50">
        <v>975</v>
      </c>
      <c r="J162" s="36">
        <f t="shared" si="11"/>
        <v>350.10674400000005</v>
      </c>
      <c r="K162" s="59">
        <f t="shared" si="12"/>
        <v>1.5602664785359759</v>
      </c>
      <c r="M162" s="1">
        <v>975</v>
      </c>
    </row>
    <row r="163" spans="1:14" s="37" customFormat="1" ht="15.75" customHeight="1" x14ac:dyDescent="0.35">
      <c r="A163" s="89">
        <v>7</v>
      </c>
      <c r="B163" s="90"/>
      <c r="C163" s="49">
        <v>2</v>
      </c>
      <c r="D163" s="54">
        <f>(45.443+0.6*(2.75+6.5+0.85))*(10.764)</f>
        <v>554.37829199999999</v>
      </c>
      <c r="E163" s="50">
        <v>0</v>
      </c>
      <c r="F163" s="50">
        <f t="shared" si="9"/>
        <v>831.56743800000004</v>
      </c>
      <c r="G163" s="98" t="str">
        <f t="shared" si="10"/>
        <v>2nd to 7th &amp; 9th to 12th Floor</v>
      </c>
      <c r="H163" s="99"/>
      <c r="I163" s="50">
        <v>830</v>
      </c>
      <c r="J163" s="36">
        <f t="shared" si="11"/>
        <v>275.62170800000001</v>
      </c>
      <c r="K163" s="59">
        <f t="shared" si="12"/>
        <v>1.497172620171787</v>
      </c>
    </row>
    <row r="164" spans="1:14" s="37" customFormat="1" ht="15.75" customHeight="1" x14ac:dyDescent="0.35">
      <c r="A164" s="89">
        <v>8</v>
      </c>
      <c r="B164" s="90"/>
      <c r="C164" s="49">
        <v>1</v>
      </c>
      <c r="D164" s="54">
        <f>(33.67+0.6*(2.75+5.35))*(10.764)</f>
        <v>414.73692</v>
      </c>
      <c r="E164" s="50">
        <v>0</v>
      </c>
      <c r="F164" s="50">
        <f t="shared" si="9"/>
        <v>622.10537999999997</v>
      </c>
      <c r="G164" s="100" t="str">
        <f t="shared" si="10"/>
        <v>2nd to 7th &amp; 9th to 12th Floor</v>
      </c>
      <c r="H164" s="101"/>
      <c r="I164" s="50">
        <v>630</v>
      </c>
      <c r="J164" s="36">
        <f t="shared" si="11"/>
        <v>215.26308</v>
      </c>
      <c r="K164" s="59">
        <f t="shared" si="12"/>
        <v>1.5190352476938875</v>
      </c>
    </row>
    <row r="165" spans="1:14" s="37" customFormat="1" x14ac:dyDescent="0.35">
      <c r="A165" s="91" t="s">
        <v>229</v>
      </c>
      <c r="B165" s="91"/>
      <c r="C165" s="91"/>
      <c r="D165" s="91"/>
      <c r="E165" s="91"/>
      <c r="F165" s="91"/>
      <c r="G165" s="91"/>
      <c r="H165" s="91"/>
      <c r="I165" s="36"/>
      <c r="L165" s="124"/>
      <c r="M165" s="124"/>
    </row>
    <row r="166" spans="1:14" s="37" customFormat="1" ht="15.75" customHeight="1" x14ac:dyDescent="0.35">
      <c r="A166" s="92">
        <v>1</v>
      </c>
      <c r="B166" s="92"/>
      <c r="C166" s="49">
        <v>1</v>
      </c>
      <c r="D166" s="54">
        <f>(34.66+0.6*(2.75+5.3))*(10.764)</f>
        <v>425.07035999999994</v>
      </c>
      <c r="E166" s="50">
        <v>0</v>
      </c>
      <c r="F166" s="50">
        <f t="shared" ref="F166:F172" si="13">D166*(($F$144)+1)+(IF(E166&lt;101,E166,IF(E166&lt;201,E166/2,IF(E166&lt;=301,E166/3,E166/4))))</f>
        <v>637.60553999999991</v>
      </c>
      <c r="G166" s="92" t="str">
        <f>A165</f>
        <v>8th &amp; 13th Floor (Part Refuge Area)</v>
      </c>
      <c r="H166" s="92"/>
      <c r="I166" s="36"/>
      <c r="J166" s="37">
        <f>4.28*2.75+1*0.9+2.2*2.15+3.2*2.75+1.8*1.2+2.2*1.2+2.15*0.9</f>
        <v>32.935000000000002</v>
      </c>
      <c r="L166" s="37">
        <f>F166*5000+250000</f>
        <v>3438027.6999999997</v>
      </c>
      <c r="N166" s="36"/>
    </row>
    <row r="167" spans="1:14" s="37" customFormat="1" ht="15.75" customHeight="1" x14ac:dyDescent="0.35">
      <c r="A167" s="92">
        <f t="shared" ref="A167:A173" si="14">A166+1</f>
        <v>2</v>
      </c>
      <c r="B167" s="92"/>
      <c r="C167" s="49">
        <v>1</v>
      </c>
      <c r="D167" s="54">
        <f>(34.66+0.6*(2.75+5.3))*(10.764)</f>
        <v>425.07035999999994</v>
      </c>
      <c r="E167" s="50">
        <v>0</v>
      </c>
      <c r="F167" s="50">
        <f t="shared" si="13"/>
        <v>637.60553999999991</v>
      </c>
      <c r="G167" s="92"/>
      <c r="H167" s="92"/>
      <c r="I167" s="36"/>
      <c r="N167" s="36"/>
    </row>
    <row r="168" spans="1:14" s="37" customFormat="1" ht="15.75" customHeight="1" x14ac:dyDescent="0.35">
      <c r="A168" s="92">
        <f t="shared" si="14"/>
        <v>3</v>
      </c>
      <c r="B168" s="92"/>
      <c r="C168" s="49">
        <v>1</v>
      </c>
      <c r="D168" s="54">
        <f>(33.67+0.6*(2.75+5.3))*(10.764)</f>
        <v>414.41399999999999</v>
      </c>
      <c r="E168" s="50">
        <v>0</v>
      </c>
      <c r="F168" s="50">
        <f t="shared" si="13"/>
        <v>621.62099999999998</v>
      </c>
      <c r="G168" s="92"/>
      <c r="H168" s="92"/>
      <c r="I168" s="36"/>
      <c r="N168" s="36"/>
    </row>
    <row r="169" spans="1:14" s="37" customFormat="1" ht="15.75" customHeight="1" x14ac:dyDescent="0.35">
      <c r="A169" s="92">
        <f t="shared" si="14"/>
        <v>4</v>
      </c>
      <c r="B169" s="92"/>
      <c r="C169" s="60">
        <v>1.5</v>
      </c>
      <c r="D169" s="54">
        <f>(45.442+0.6*(2.75+6.5+0.85))*(10.764)</f>
        <v>554.36752799999999</v>
      </c>
      <c r="E169" s="50">
        <v>0</v>
      </c>
      <c r="F169" s="50">
        <f t="shared" si="13"/>
        <v>831.55129199999999</v>
      </c>
      <c r="G169" s="92"/>
      <c r="H169" s="92"/>
      <c r="I169" s="36"/>
      <c r="N169" s="36"/>
    </row>
    <row r="170" spans="1:14" s="37" customFormat="1" ht="15.75" customHeight="1" x14ac:dyDescent="0.35">
      <c r="A170" s="92">
        <f t="shared" si="14"/>
        <v>5</v>
      </c>
      <c r="B170" s="92"/>
      <c r="C170" s="49">
        <v>1</v>
      </c>
      <c r="D170" s="54">
        <f>(36.125+0.6*(2.75+2.15+2.75))*(10.764)</f>
        <v>438.25626</v>
      </c>
      <c r="E170" s="50">
        <v>0</v>
      </c>
      <c r="F170" s="50">
        <f t="shared" si="13"/>
        <v>657.38438999999994</v>
      </c>
      <c r="G170" s="92"/>
      <c r="H170" s="92"/>
      <c r="I170" s="36"/>
      <c r="N170" s="36"/>
    </row>
    <row r="171" spans="1:14" s="37" customFormat="1" ht="15.75" customHeight="1" x14ac:dyDescent="0.35">
      <c r="A171" s="92">
        <f t="shared" si="14"/>
        <v>6</v>
      </c>
      <c r="B171" s="92"/>
      <c r="C171" s="49">
        <v>2</v>
      </c>
      <c r="D171" s="54">
        <f>(50.964+1.75+0.6*(2.75+6.15))*(10.764)</f>
        <v>624.89325599999995</v>
      </c>
      <c r="E171" s="50">
        <v>0</v>
      </c>
      <c r="F171" s="50">
        <f t="shared" si="13"/>
        <v>937.33988399999998</v>
      </c>
      <c r="G171" s="92"/>
      <c r="H171" s="92"/>
      <c r="I171" s="36"/>
      <c r="N171" s="36"/>
    </row>
    <row r="172" spans="1:14" s="37" customFormat="1" ht="15.75" customHeight="1" x14ac:dyDescent="0.35">
      <c r="A172" s="92">
        <f t="shared" si="14"/>
        <v>7</v>
      </c>
      <c r="B172" s="92"/>
      <c r="C172" s="49">
        <v>2</v>
      </c>
      <c r="D172" s="54">
        <f>(45.443+0.6*(2.75+6.5+0.85))*(10.764)</f>
        <v>554.37829199999999</v>
      </c>
      <c r="E172" s="50">
        <v>0</v>
      </c>
      <c r="F172" s="50">
        <f t="shared" si="13"/>
        <v>831.56743800000004</v>
      </c>
      <c r="G172" s="92"/>
      <c r="H172" s="92"/>
      <c r="I172" s="36"/>
      <c r="N172" s="36"/>
    </row>
    <row r="173" spans="1:14" s="37" customFormat="1" ht="15.75" customHeight="1" x14ac:dyDescent="0.35">
      <c r="A173" s="92">
        <f t="shared" si="14"/>
        <v>8</v>
      </c>
      <c r="B173" s="92"/>
      <c r="C173" s="194" t="s">
        <v>197</v>
      </c>
      <c r="D173" s="194"/>
      <c r="E173" s="194"/>
      <c r="F173" s="194"/>
      <c r="G173" s="92"/>
      <c r="H173" s="92"/>
      <c r="I173" s="36"/>
      <c r="J173" s="37">
        <f>4.28*2.75+2.2*1.2+1.8*1.2+3.2*2.75+2.2*2.15+2.15*0.9</f>
        <v>32.035000000000004</v>
      </c>
      <c r="N173" s="36"/>
    </row>
    <row r="174" spans="1:14" s="37" customFormat="1" ht="15.75" customHeight="1" x14ac:dyDescent="0.35">
      <c r="A174" s="93" t="s">
        <v>230</v>
      </c>
      <c r="B174" s="94"/>
      <c r="C174" s="94"/>
      <c r="D174" s="94"/>
      <c r="E174" s="94"/>
      <c r="F174" s="94"/>
      <c r="G174" s="94"/>
      <c r="H174" s="95"/>
      <c r="I174" s="36"/>
    </row>
    <row r="175" spans="1:14" s="37" customFormat="1" ht="15.75" customHeight="1" x14ac:dyDescent="0.35">
      <c r="A175" s="89">
        <v>1</v>
      </c>
      <c r="B175" s="90"/>
      <c r="C175" s="49">
        <v>1</v>
      </c>
      <c r="D175" s="54">
        <f>(34.66+0.6*(2.75+5.3))*(10.764)</f>
        <v>425.07035999999994</v>
      </c>
      <c r="E175" s="50">
        <v>0</v>
      </c>
      <c r="F175" s="50">
        <f t="shared" ref="F175:F182" si="15">D175*(($F$144)+1)+(IF(E175&lt;101,E175,IF(E175&lt;201,E175/2,IF(E175&lt;=301,E175/3,E175/4))))</f>
        <v>637.60553999999991</v>
      </c>
      <c r="G175" s="96" t="str">
        <f>A174</f>
        <v>14th Floor</v>
      </c>
      <c r="H175" s="97"/>
      <c r="I175" s="36"/>
      <c r="M175" s="1"/>
    </row>
    <row r="176" spans="1:14" s="37" customFormat="1" ht="15.75" customHeight="1" x14ac:dyDescent="0.35">
      <c r="A176" s="89">
        <v>2</v>
      </c>
      <c r="B176" s="90"/>
      <c r="C176" s="49">
        <v>1</v>
      </c>
      <c r="D176" s="54">
        <f>(34.66+0.6*(2.75+5.3))*(10.764)</f>
        <v>425.07035999999994</v>
      </c>
      <c r="E176" s="50">
        <v>0</v>
      </c>
      <c r="F176" s="50">
        <f t="shared" si="15"/>
        <v>637.60553999999991</v>
      </c>
      <c r="G176" s="98" t="str">
        <f t="shared" ref="G176:G182" si="16">G175</f>
        <v>14th Floor</v>
      </c>
      <c r="H176" s="99"/>
      <c r="I176" s="36"/>
      <c r="M176" s="1"/>
    </row>
    <row r="177" spans="1:14" s="37" customFormat="1" ht="15.75" customHeight="1" x14ac:dyDescent="0.35">
      <c r="A177" s="89">
        <v>3</v>
      </c>
      <c r="B177" s="90"/>
      <c r="C177" s="49">
        <v>1</v>
      </c>
      <c r="D177" s="54">
        <f>(33.67+0.6*(2.75+5.3))*(10.764)</f>
        <v>414.41399999999999</v>
      </c>
      <c r="E177" s="50">
        <v>0</v>
      </c>
      <c r="F177" s="50">
        <f t="shared" si="15"/>
        <v>621.62099999999998</v>
      </c>
      <c r="G177" s="98" t="str">
        <f t="shared" si="16"/>
        <v>14th Floor</v>
      </c>
      <c r="H177" s="99"/>
      <c r="I177" s="36"/>
      <c r="M177" s="1"/>
    </row>
    <row r="178" spans="1:14" s="37" customFormat="1" ht="15.75" customHeight="1" x14ac:dyDescent="0.35">
      <c r="A178" s="89">
        <v>4</v>
      </c>
      <c r="B178" s="90"/>
      <c r="C178" s="60">
        <v>1.5</v>
      </c>
      <c r="D178" s="54">
        <f>(45.442+0.6*(2.75+6.5+0.85))*(10.764)</f>
        <v>554.36752799999999</v>
      </c>
      <c r="E178" s="50">
        <v>0</v>
      </c>
      <c r="F178" s="50">
        <f t="shared" si="15"/>
        <v>831.55129199999999</v>
      </c>
      <c r="G178" s="98" t="str">
        <f t="shared" si="16"/>
        <v>14th Floor</v>
      </c>
      <c r="H178" s="99"/>
      <c r="I178" s="36"/>
      <c r="M178" s="1"/>
    </row>
    <row r="179" spans="1:14" s="37" customFormat="1" ht="15.75" customHeight="1" x14ac:dyDescent="0.35">
      <c r="A179" s="89">
        <v>5</v>
      </c>
      <c r="B179" s="90"/>
      <c r="C179" s="49">
        <v>1</v>
      </c>
      <c r="D179" s="54">
        <f>(36.125+0.6*(2.75+2.15+2.75))*(10.764)</f>
        <v>438.25626</v>
      </c>
      <c r="E179" s="50">
        <v>0</v>
      </c>
      <c r="F179" s="50">
        <f t="shared" si="15"/>
        <v>657.38438999999994</v>
      </c>
      <c r="G179" s="98" t="str">
        <f t="shared" si="16"/>
        <v>14th Floor</v>
      </c>
      <c r="H179" s="99"/>
      <c r="I179" s="36"/>
      <c r="M179" s="1"/>
    </row>
    <row r="180" spans="1:14" s="37" customFormat="1" ht="15.75" customHeight="1" x14ac:dyDescent="0.35">
      <c r="A180" s="89">
        <v>6</v>
      </c>
      <c r="B180" s="90"/>
      <c r="C180" s="49">
        <v>2</v>
      </c>
      <c r="D180" s="54">
        <f>(50.964+1.75+0.6*(2.75+6.15))*(10.764)</f>
        <v>624.89325599999995</v>
      </c>
      <c r="E180" s="50">
        <v>0</v>
      </c>
      <c r="F180" s="50">
        <f t="shared" si="15"/>
        <v>937.33988399999998</v>
      </c>
      <c r="G180" s="98" t="str">
        <f t="shared" si="16"/>
        <v>14th Floor</v>
      </c>
      <c r="H180" s="99"/>
      <c r="I180" s="36"/>
      <c r="M180" s="1"/>
    </row>
    <row r="181" spans="1:14" s="37" customFormat="1" ht="15.75" customHeight="1" x14ac:dyDescent="0.35">
      <c r="A181" s="89">
        <v>7</v>
      </c>
      <c r="B181" s="90"/>
      <c r="C181" s="49">
        <v>2</v>
      </c>
      <c r="D181" s="54">
        <f>(45.443+0.6*(2.75+6.5+0.85))*(10.764)</f>
        <v>554.37829199999999</v>
      </c>
      <c r="E181" s="50">
        <v>0</v>
      </c>
      <c r="F181" s="50">
        <f t="shared" si="15"/>
        <v>831.56743800000004</v>
      </c>
      <c r="G181" s="98" t="str">
        <f t="shared" si="16"/>
        <v>14th Floor</v>
      </c>
      <c r="H181" s="99"/>
      <c r="I181" s="36"/>
    </row>
    <row r="182" spans="1:14" s="37" customFormat="1" ht="15.75" customHeight="1" x14ac:dyDescent="0.35">
      <c r="A182" s="89">
        <v>8</v>
      </c>
      <c r="B182" s="90"/>
      <c r="C182" s="49">
        <v>1</v>
      </c>
      <c r="D182" s="54">
        <f>(33.67+0.6*(2.75+5.35))*(10.764)</f>
        <v>414.73692</v>
      </c>
      <c r="E182" s="50">
        <v>0</v>
      </c>
      <c r="F182" s="50">
        <f t="shared" si="15"/>
        <v>622.10537999999997</v>
      </c>
      <c r="G182" s="100" t="str">
        <f t="shared" si="16"/>
        <v>14th Floor</v>
      </c>
      <c r="H182" s="101"/>
      <c r="I182" s="36"/>
    </row>
    <row r="183" spans="1:14" s="37" customFormat="1" x14ac:dyDescent="0.35">
      <c r="A183" s="106" t="s">
        <v>195</v>
      </c>
      <c r="B183" s="107"/>
      <c r="C183" s="107"/>
      <c r="D183" s="107"/>
      <c r="E183" s="107"/>
      <c r="F183" s="107"/>
      <c r="G183" s="107"/>
      <c r="H183" s="108"/>
      <c r="J183" s="36"/>
    </row>
    <row r="184" spans="1:14" s="37" customFormat="1" x14ac:dyDescent="0.35">
      <c r="A184" s="93" t="s">
        <v>192</v>
      </c>
      <c r="B184" s="94"/>
      <c r="C184" s="94"/>
      <c r="D184" s="94"/>
      <c r="E184" s="94"/>
      <c r="F184" s="94"/>
      <c r="G184" s="94"/>
      <c r="H184" s="95"/>
      <c r="J184" s="36"/>
    </row>
    <row r="185" spans="1:14" s="37" customFormat="1" x14ac:dyDescent="0.35">
      <c r="A185" s="91" t="s">
        <v>193</v>
      </c>
      <c r="B185" s="91"/>
      <c r="C185" s="91"/>
      <c r="D185" s="91"/>
      <c r="E185" s="91"/>
      <c r="F185" s="91"/>
      <c r="G185" s="91"/>
      <c r="H185" s="91"/>
      <c r="I185" s="36"/>
      <c r="L185" s="124"/>
      <c r="M185" s="124"/>
    </row>
    <row r="186" spans="1:14" s="37" customFormat="1" ht="15.75" customHeight="1" x14ac:dyDescent="0.35">
      <c r="A186" s="92">
        <v>1</v>
      </c>
      <c r="B186" s="92"/>
      <c r="C186" s="49" t="s">
        <v>227</v>
      </c>
      <c r="D186" s="54">
        <f>(45.442)*(10.764)</f>
        <v>489.13768799999997</v>
      </c>
      <c r="E186" s="50">
        <f>(1.35*6.45+2.8*2.8)*10.764</f>
        <v>178.11729</v>
      </c>
      <c r="F186" s="50">
        <f t="shared" ref="F186:F193" si="17">D186*(($F$144)+1)+(IF(E186&lt;101,E186,IF(E186&lt;201,E186/2,IF(E186&lt;=301,E186/3,E186/4))))</f>
        <v>822.76517699999988</v>
      </c>
      <c r="G186" s="96" t="str">
        <f>A185</f>
        <v>1st Floor For Residential</v>
      </c>
      <c r="H186" s="97"/>
      <c r="I186" s="36"/>
      <c r="J186" s="37">
        <f>4.6*2.75+2.3*2.1+1.85*1.2+2.2*1.2+2.75*3.35+2.75*2.75+4.9*0.9</f>
        <v>43.524999999999991</v>
      </c>
      <c r="N186" s="36"/>
    </row>
    <row r="187" spans="1:14" s="37" customFormat="1" ht="15.75" customHeight="1" x14ac:dyDescent="0.35">
      <c r="A187" s="92">
        <f t="shared" ref="A187:A193" si="18">A186+1</f>
        <v>2</v>
      </c>
      <c r="B187" s="92"/>
      <c r="C187" s="49">
        <v>2</v>
      </c>
      <c r="D187" s="54">
        <f>(45.442)*(10.764)</f>
        <v>489.13768799999997</v>
      </c>
      <c r="E187" s="50">
        <f>(2.75*2.75+1.25*6.6+9.05*3+2.75*4+1.75*3.65)*10.764</f>
        <v>649.6074000000001</v>
      </c>
      <c r="F187" s="50">
        <f t="shared" si="17"/>
        <v>896.10838199999989</v>
      </c>
      <c r="G187" s="98"/>
      <c r="H187" s="99"/>
      <c r="I187" s="36"/>
      <c r="N187" s="36"/>
    </row>
    <row r="188" spans="1:14" s="37" customFormat="1" ht="15.75" customHeight="1" x14ac:dyDescent="0.35">
      <c r="A188" s="92">
        <f t="shared" si="18"/>
        <v>3</v>
      </c>
      <c r="B188" s="92"/>
      <c r="C188" s="49">
        <v>1</v>
      </c>
      <c r="D188" s="54">
        <f>(34.66+0.6*(2.75+5.3))*(10.764)</f>
        <v>425.07035999999994</v>
      </c>
      <c r="E188" s="50">
        <v>0</v>
      </c>
      <c r="F188" s="50">
        <f t="shared" si="17"/>
        <v>637.60553999999991</v>
      </c>
      <c r="G188" s="98"/>
      <c r="H188" s="99"/>
      <c r="I188" s="36"/>
      <c r="N188" s="36"/>
    </row>
    <row r="189" spans="1:14" s="37" customFormat="1" ht="15.75" customHeight="1" x14ac:dyDescent="0.35">
      <c r="A189" s="92">
        <f t="shared" si="18"/>
        <v>4</v>
      </c>
      <c r="B189" s="92"/>
      <c r="C189" s="49">
        <v>1</v>
      </c>
      <c r="D189" s="54">
        <f>(33.67+0.6*(2.75+5.3))*(10.764)</f>
        <v>414.41399999999999</v>
      </c>
      <c r="E189" s="50">
        <v>0</v>
      </c>
      <c r="F189" s="50">
        <f t="shared" si="17"/>
        <v>621.62099999999998</v>
      </c>
      <c r="G189" s="98"/>
      <c r="H189" s="99"/>
      <c r="I189" s="36"/>
      <c r="N189" s="36"/>
    </row>
    <row r="190" spans="1:14" s="37" customFormat="1" ht="15.75" customHeight="1" x14ac:dyDescent="0.35">
      <c r="A190" s="92">
        <f t="shared" si="18"/>
        <v>5</v>
      </c>
      <c r="B190" s="92"/>
      <c r="C190" s="49" t="s">
        <v>228</v>
      </c>
      <c r="D190" s="54">
        <f>(44.512+0.6*(2.75+6.6))*(10.764)</f>
        <v>539.51320799999996</v>
      </c>
      <c r="E190" s="50">
        <v>0</v>
      </c>
      <c r="F190" s="50">
        <f t="shared" si="17"/>
        <v>809.269812</v>
      </c>
      <c r="G190" s="98"/>
      <c r="H190" s="99"/>
      <c r="I190" s="36"/>
      <c r="J190" s="37">
        <f>2.75*4.28+2.2*1.2+1.8*1.2+2.75*3.2+2.15*2.2+2.15*0.9</f>
        <v>32.035000000000004</v>
      </c>
      <c r="N190" s="36"/>
    </row>
    <row r="191" spans="1:14" s="37" customFormat="1" ht="15.75" customHeight="1" x14ac:dyDescent="0.35">
      <c r="A191" s="92">
        <f t="shared" si="18"/>
        <v>6</v>
      </c>
      <c r="B191" s="92"/>
      <c r="C191" s="49" t="s">
        <v>228</v>
      </c>
      <c r="D191" s="54">
        <f>(44.512+0.6*(2.75+6.6))*(10.764)</f>
        <v>539.51320799999996</v>
      </c>
      <c r="E191" s="50">
        <v>0</v>
      </c>
      <c r="F191" s="50">
        <f t="shared" si="17"/>
        <v>809.269812</v>
      </c>
      <c r="G191" s="98"/>
      <c r="H191" s="99"/>
      <c r="I191" s="36"/>
      <c r="N191" s="36"/>
    </row>
    <row r="192" spans="1:14" s="37" customFormat="1" ht="15.75" customHeight="1" x14ac:dyDescent="0.35">
      <c r="A192" s="92">
        <f t="shared" si="18"/>
        <v>7</v>
      </c>
      <c r="B192" s="92"/>
      <c r="C192" s="49">
        <v>1</v>
      </c>
      <c r="D192" s="54">
        <f>(33.67+0.6*(2.75+5.3))*(10.764)</f>
        <v>414.41399999999999</v>
      </c>
      <c r="E192" s="50">
        <v>0</v>
      </c>
      <c r="F192" s="50">
        <f t="shared" si="17"/>
        <v>621.62099999999998</v>
      </c>
      <c r="G192" s="98"/>
      <c r="H192" s="99"/>
      <c r="I192" s="36"/>
      <c r="N192" s="36"/>
    </row>
    <row r="193" spans="1:14" s="37" customFormat="1" ht="15.75" customHeight="1" x14ac:dyDescent="0.35">
      <c r="A193" s="92">
        <f t="shared" si="18"/>
        <v>8</v>
      </c>
      <c r="B193" s="92"/>
      <c r="C193" s="49">
        <v>1</v>
      </c>
      <c r="D193" s="54">
        <f>(34.66+0.6*(2.75+5.3))*(10.764)</f>
        <v>425.07035999999994</v>
      </c>
      <c r="E193" s="50">
        <v>0</v>
      </c>
      <c r="F193" s="50">
        <f t="shared" si="17"/>
        <v>637.60553999999991</v>
      </c>
      <c r="G193" s="100"/>
      <c r="H193" s="101"/>
      <c r="I193" s="36"/>
      <c r="N193" s="36"/>
    </row>
    <row r="194" spans="1:14" s="37" customFormat="1" ht="15.75" customHeight="1" x14ac:dyDescent="0.35">
      <c r="A194" s="93" t="s">
        <v>196</v>
      </c>
      <c r="B194" s="94"/>
      <c r="C194" s="94"/>
      <c r="D194" s="94"/>
      <c r="E194" s="94"/>
      <c r="F194" s="94"/>
      <c r="G194" s="94"/>
      <c r="H194" s="95"/>
      <c r="I194" s="36"/>
    </row>
    <row r="195" spans="1:14" s="37" customFormat="1" ht="15.75" customHeight="1" x14ac:dyDescent="0.35">
      <c r="A195" s="89">
        <v>1</v>
      </c>
      <c r="B195" s="90"/>
      <c r="C195" s="60">
        <v>1.5</v>
      </c>
      <c r="D195" s="54">
        <f>(45.442+0.6*(2.75+6.5+0.85))*(10.764)</f>
        <v>554.36752799999999</v>
      </c>
      <c r="E195" s="50">
        <v>0</v>
      </c>
      <c r="F195" s="50">
        <f t="shared" ref="F195:F202" si="19">D195*(($F$144)+1)+(IF(E195&lt;101,E195,IF(E195&lt;201,E195/2,IF(E195&lt;=301,E195/3,E195/4))))</f>
        <v>831.55129199999999</v>
      </c>
      <c r="G195" s="96" t="str">
        <f>A194</f>
        <v>2nd to 7th &amp; 9th to 12th Floor</v>
      </c>
      <c r="H195" s="97"/>
      <c r="I195" s="36"/>
      <c r="J195" s="37">
        <v>830</v>
      </c>
      <c r="K195" s="37">
        <f t="shared" ref="K195:K200" si="20">J195/D195</f>
        <v>1.4972016903558609</v>
      </c>
    </row>
    <row r="196" spans="1:14" s="37" customFormat="1" ht="15.75" customHeight="1" x14ac:dyDescent="0.35">
      <c r="A196" s="89">
        <v>2</v>
      </c>
      <c r="B196" s="90"/>
      <c r="C196" s="49">
        <v>2</v>
      </c>
      <c r="D196" s="54">
        <f>(45.442+0.6*(2.75+6.5+0.85))*(10.764)</f>
        <v>554.36752799999999</v>
      </c>
      <c r="E196" s="50">
        <v>0</v>
      </c>
      <c r="F196" s="50">
        <f t="shared" si="19"/>
        <v>831.55129199999999</v>
      </c>
      <c r="G196" s="98" t="str">
        <f t="shared" ref="G196:G202" si="21">G195</f>
        <v>2nd to 7th &amp; 9th to 12th Floor</v>
      </c>
      <c r="H196" s="99"/>
      <c r="I196" s="36"/>
      <c r="J196" s="37">
        <v>830</v>
      </c>
      <c r="K196" s="37">
        <f t="shared" si="20"/>
        <v>1.4972016903558609</v>
      </c>
    </row>
    <row r="197" spans="1:14" s="37" customFormat="1" ht="15.75" customHeight="1" x14ac:dyDescent="0.35">
      <c r="A197" s="89">
        <v>3</v>
      </c>
      <c r="B197" s="90"/>
      <c r="C197" s="49">
        <v>1</v>
      </c>
      <c r="D197" s="54">
        <f>(34.663+0.6*(2.75+5.3))*(10.764)</f>
        <v>425.10265199999992</v>
      </c>
      <c r="E197" s="50">
        <v>0</v>
      </c>
      <c r="F197" s="50">
        <f t="shared" si="19"/>
        <v>637.65397799999982</v>
      </c>
      <c r="G197" s="98" t="str">
        <f t="shared" si="21"/>
        <v>2nd to 7th &amp; 9th to 12th Floor</v>
      </c>
      <c r="H197" s="99"/>
      <c r="I197" s="36"/>
      <c r="J197" s="37">
        <v>650</v>
      </c>
      <c r="K197" s="37">
        <f t="shared" si="20"/>
        <v>1.5290424487871699</v>
      </c>
    </row>
    <row r="198" spans="1:14" s="37" customFormat="1" ht="15.75" customHeight="1" x14ac:dyDescent="0.35">
      <c r="A198" s="89">
        <v>4</v>
      </c>
      <c r="B198" s="90"/>
      <c r="C198" s="49">
        <v>1</v>
      </c>
      <c r="D198" s="54">
        <f>(33.67+0.6*(2.75+5.3))*(10.764)</f>
        <v>414.41399999999999</v>
      </c>
      <c r="E198" s="50">
        <v>0</v>
      </c>
      <c r="F198" s="50">
        <f t="shared" si="19"/>
        <v>621.62099999999998</v>
      </c>
      <c r="G198" s="98" t="str">
        <f t="shared" si="21"/>
        <v>2nd to 7th &amp; 9th to 12th Floor</v>
      </c>
      <c r="H198" s="99"/>
      <c r="I198" s="36"/>
      <c r="J198" s="37">
        <v>630</v>
      </c>
      <c r="K198" s="37">
        <f t="shared" si="20"/>
        <v>1.5202189115232594</v>
      </c>
    </row>
    <row r="199" spans="1:14" s="37" customFormat="1" ht="15.75" customHeight="1" x14ac:dyDescent="0.35">
      <c r="A199" s="89">
        <v>5</v>
      </c>
      <c r="B199" s="90"/>
      <c r="C199" s="49" t="s">
        <v>228</v>
      </c>
      <c r="D199" s="54">
        <f>(44.512+0.6*(2.75+6.6))*(10.764)</f>
        <v>539.51320799999996</v>
      </c>
      <c r="E199" s="50">
        <v>0</v>
      </c>
      <c r="F199" s="50">
        <f t="shared" si="19"/>
        <v>809.269812</v>
      </c>
      <c r="G199" s="98" t="str">
        <f t="shared" si="21"/>
        <v>2nd to 7th &amp; 9th to 12th Floor</v>
      </c>
      <c r="H199" s="99"/>
      <c r="I199" s="36"/>
      <c r="J199" s="37">
        <v>630</v>
      </c>
      <c r="K199" s="37">
        <f t="shared" si="20"/>
        <v>1.1677193267157233</v>
      </c>
    </row>
    <row r="200" spans="1:14" s="37" customFormat="1" ht="15.75" customHeight="1" x14ac:dyDescent="0.35">
      <c r="A200" s="89">
        <v>6</v>
      </c>
      <c r="B200" s="90"/>
      <c r="C200" s="49" t="s">
        <v>228</v>
      </c>
      <c r="D200" s="54">
        <f>(44.512+0.6*(2.75+6.5))*(10.764)</f>
        <v>538.86736799999994</v>
      </c>
      <c r="E200" s="50">
        <v>0</v>
      </c>
      <c r="F200" s="50">
        <f t="shared" si="19"/>
        <v>808.30105199999991</v>
      </c>
      <c r="G200" s="98" t="str">
        <f t="shared" si="21"/>
        <v>2nd to 7th &amp; 9th to 12th Floor</v>
      </c>
      <c r="H200" s="99"/>
      <c r="I200" s="36"/>
      <c r="J200" s="37">
        <v>630</v>
      </c>
      <c r="K200" s="37">
        <f t="shared" si="20"/>
        <v>1.1691188544933382</v>
      </c>
    </row>
    <row r="201" spans="1:14" s="37" customFormat="1" ht="15.75" customHeight="1" x14ac:dyDescent="0.35">
      <c r="A201" s="89">
        <v>7</v>
      </c>
      <c r="B201" s="90"/>
      <c r="C201" s="49">
        <v>1</v>
      </c>
      <c r="D201" s="54">
        <f>(33.67+0.6*(2.75+5.3))*(10.764)</f>
        <v>414.41399999999999</v>
      </c>
      <c r="E201" s="50">
        <v>0</v>
      </c>
      <c r="F201" s="50">
        <f t="shared" si="19"/>
        <v>621.62099999999998</v>
      </c>
      <c r="G201" s="98" t="str">
        <f t="shared" si="21"/>
        <v>2nd to 7th &amp; 9th to 12th Floor</v>
      </c>
      <c r="H201" s="99"/>
      <c r="I201" s="36"/>
      <c r="J201" s="37">
        <v>630</v>
      </c>
      <c r="K201" s="37">
        <f>J201/D201</f>
        <v>1.5202189115232594</v>
      </c>
    </row>
    <row r="202" spans="1:14" s="37" customFormat="1" ht="15.75" customHeight="1" x14ac:dyDescent="0.35">
      <c r="A202" s="89">
        <v>8</v>
      </c>
      <c r="B202" s="90"/>
      <c r="C202" s="49">
        <v>1</v>
      </c>
      <c r="D202" s="54">
        <f>(34.66+0.6*(2.75+5.3))*(10.764)</f>
        <v>425.07035999999994</v>
      </c>
      <c r="E202" s="50">
        <v>0</v>
      </c>
      <c r="F202" s="50">
        <f t="shared" si="19"/>
        <v>637.60553999999991</v>
      </c>
      <c r="G202" s="100" t="str">
        <f t="shared" si="21"/>
        <v>2nd to 7th &amp; 9th to 12th Floor</v>
      </c>
      <c r="H202" s="101"/>
      <c r="I202" s="36"/>
      <c r="J202" s="37">
        <v>650</v>
      </c>
      <c r="K202" s="37">
        <f>J202/D202</f>
        <v>1.5291586080008028</v>
      </c>
    </row>
    <row r="203" spans="1:14" s="37" customFormat="1" x14ac:dyDescent="0.35">
      <c r="A203" s="91" t="s">
        <v>229</v>
      </c>
      <c r="B203" s="91"/>
      <c r="C203" s="91"/>
      <c r="D203" s="91"/>
      <c r="E203" s="91"/>
      <c r="F203" s="91"/>
      <c r="G203" s="91"/>
      <c r="H203" s="91"/>
      <c r="I203" s="36"/>
      <c r="L203" s="124"/>
      <c r="M203" s="124"/>
    </row>
    <row r="204" spans="1:14" s="37" customFormat="1" ht="15.75" customHeight="1" x14ac:dyDescent="0.35">
      <c r="A204" s="92">
        <v>1</v>
      </c>
      <c r="B204" s="92"/>
      <c r="C204" s="60">
        <v>1.5</v>
      </c>
      <c r="D204" s="54">
        <f>(45.442+0.6*(2.75+6.5+0.85))*(10.764)</f>
        <v>554.36752799999999</v>
      </c>
      <c r="E204" s="50">
        <v>0</v>
      </c>
      <c r="F204" s="50">
        <f t="shared" ref="F204:F208" si="22">D204*(($F$144)+1)+(IF(E204&lt;101,E204,IF(E204&lt;201,E204/2,IF(E204&lt;=301,E204/3,E204/4))))</f>
        <v>831.55129199999999</v>
      </c>
      <c r="G204" s="96" t="str">
        <f>A203</f>
        <v>8th &amp; 13th Floor (Part Refuge Area)</v>
      </c>
      <c r="H204" s="97"/>
      <c r="I204" s="36"/>
      <c r="J204" s="37">
        <f>4.6*2.75+2.3*2.1+1.85*1.2+2.2*1.2+2.75*3.35+2.75*2.75+4.9*0.9</f>
        <v>43.524999999999991</v>
      </c>
      <c r="N204" s="36"/>
    </row>
    <row r="205" spans="1:14" s="37" customFormat="1" ht="15.75" customHeight="1" x14ac:dyDescent="0.35">
      <c r="A205" s="92">
        <f>A204+1</f>
        <v>2</v>
      </c>
      <c r="B205" s="92"/>
      <c r="C205" s="49">
        <v>2</v>
      </c>
      <c r="D205" s="54">
        <f>(45.442+0.6*(2.75+6.5+0.85))*(10.764)</f>
        <v>554.36752799999999</v>
      </c>
      <c r="E205" s="50">
        <v>0</v>
      </c>
      <c r="F205" s="50">
        <f t="shared" si="22"/>
        <v>831.55129199999999</v>
      </c>
      <c r="G205" s="98"/>
      <c r="H205" s="99"/>
      <c r="I205" s="36"/>
      <c r="N205" s="36"/>
    </row>
    <row r="206" spans="1:14" s="37" customFormat="1" ht="15.75" customHeight="1" x14ac:dyDescent="0.35">
      <c r="A206" s="92">
        <f>A205+1</f>
        <v>3</v>
      </c>
      <c r="B206" s="92"/>
      <c r="C206" s="49">
        <v>1</v>
      </c>
      <c r="D206" s="54">
        <f>(34.66+0.6*(2.75+5.3))*(10.764)</f>
        <v>425.07035999999994</v>
      </c>
      <c r="E206" s="50">
        <v>0</v>
      </c>
      <c r="F206" s="50">
        <f t="shared" si="22"/>
        <v>637.60553999999991</v>
      </c>
      <c r="G206" s="98"/>
      <c r="H206" s="99"/>
      <c r="I206" s="36"/>
      <c r="N206" s="36"/>
    </row>
    <row r="207" spans="1:14" s="37" customFormat="1" ht="15.75" customHeight="1" x14ac:dyDescent="0.35">
      <c r="A207" s="92">
        <f>A206+1</f>
        <v>4</v>
      </c>
      <c r="B207" s="92"/>
      <c r="C207" s="49">
        <v>1</v>
      </c>
      <c r="D207" s="54">
        <f>(33.67+0.6*(2.75+5.3))*(10.764)</f>
        <v>414.41399999999999</v>
      </c>
      <c r="E207" s="50">
        <v>0</v>
      </c>
      <c r="F207" s="50">
        <f t="shared" si="22"/>
        <v>621.62099999999998</v>
      </c>
      <c r="G207" s="98"/>
      <c r="H207" s="99"/>
      <c r="I207" s="36"/>
      <c r="N207" s="36"/>
    </row>
    <row r="208" spans="1:14" s="37" customFormat="1" ht="15.75" customHeight="1" x14ac:dyDescent="0.35">
      <c r="A208" s="92">
        <f>A207+1</f>
        <v>5</v>
      </c>
      <c r="B208" s="92"/>
      <c r="C208" s="49" t="s">
        <v>228</v>
      </c>
      <c r="D208" s="54">
        <f>(44.512+0.6*(2.75+6.6))*(10.764)</f>
        <v>539.51320799999996</v>
      </c>
      <c r="E208" s="50">
        <v>0</v>
      </c>
      <c r="F208" s="50">
        <f t="shared" si="22"/>
        <v>809.269812</v>
      </c>
      <c r="G208" s="98"/>
      <c r="H208" s="99"/>
      <c r="I208" s="36"/>
      <c r="J208" s="37">
        <f>2.75*4.28+2.2*1.2+1.8*1.2+2.75*3.2+2.15*2.2+2.15*0.9</f>
        <v>32.035000000000004</v>
      </c>
      <c r="N208" s="36"/>
    </row>
    <row r="209" spans="1:14" s="37" customFormat="1" ht="15.75" customHeight="1" x14ac:dyDescent="0.35">
      <c r="A209" s="92" t="s">
        <v>198</v>
      </c>
      <c r="B209" s="92"/>
      <c r="C209" s="197" t="s">
        <v>197</v>
      </c>
      <c r="D209" s="198"/>
      <c r="E209" s="198"/>
      <c r="F209" s="199"/>
      <c r="G209" s="98"/>
      <c r="H209" s="99"/>
      <c r="I209" s="36"/>
      <c r="N209" s="36"/>
    </row>
    <row r="210" spans="1:14" s="37" customFormat="1" ht="15.75" customHeight="1" x14ac:dyDescent="0.35">
      <c r="A210" s="92">
        <v>6</v>
      </c>
      <c r="B210" s="92"/>
      <c r="C210" s="49">
        <v>1</v>
      </c>
      <c r="D210" s="54">
        <f>(33.67+0.6*(2.75+5.3))*(10.764)</f>
        <v>414.41399999999999</v>
      </c>
      <c r="E210" s="50">
        <v>0</v>
      </c>
      <c r="F210" s="50">
        <f t="shared" ref="F210:F211" si="23">D210*(($F$144)+1)+(IF(E210&lt;101,E210,IF(E210&lt;201,E210/2,IF(E210&lt;=301,E210/3,E210/4))))</f>
        <v>621.62099999999998</v>
      </c>
      <c r="G210" s="98"/>
      <c r="H210" s="99"/>
      <c r="I210" s="36"/>
      <c r="N210" s="36"/>
    </row>
    <row r="211" spans="1:14" s="37" customFormat="1" ht="15.75" customHeight="1" x14ac:dyDescent="0.35">
      <c r="A211" s="92">
        <f>A210+1</f>
        <v>7</v>
      </c>
      <c r="B211" s="92"/>
      <c r="C211" s="49">
        <v>1</v>
      </c>
      <c r="D211" s="54">
        <f>(34.66+0.6*(2.75+5.3))*(10.764)</f>
        <v>425.07035999999994</v>
      </c>
      <c r="E211" s="50">
        <v>0</v>
      </c>
      <c r="F211" s="50">
        <f t="shared" si="23"/>
        <v>637.60553999999991</v>
      </c>
      <c r="G211" s="100"/>
      <c r="H211" s="101"/>
      <c r="I211" s="36"/>
      <c r="N211" s="36"/>
    </row>
    <row r="212" spans="1:14" s="37" customFormat="1" ht="15.75" customHeight="1" x14ac:dyDescent="0.35">
      <c r="A212" s="91" t="s">
        <v>230</v>
      </c>
      <c r="B212" s="91"/>
      <c r="C212" s="91"/>
      <c r="D212" s="91"/>
      <c r="E212" s="91"/>
      <c r="F212" s="91"/>
      <c r="G212" s="91"/>
      <c r="H212" s="91"/>
      <c r="I212" s="36"/>
    </row>
    <row r="213" spans="1:14" s="37" customFormat="1" ht="15.75" customHeight="1" x14ac:dyDescent="0.35">
      <c r="A213" s="92">
        <v>1</v>
      </c>
      <c r="B213" s="92"/>
      <c r="C213" s="60">
        <v>1.5</v>
      </c>
      <c r="D213" s="54">
        <f>(45.442+0.6*(2.75+6.5+0.85))*(10.764)</f>
        <v>554.36752799999999</v>
      </c>
      <c r="E213" s="50">
        <v>0</v>
      </c>
      <c r="F213" s="50">
        <f t="shared" ref="F213:F220" si="24">D213*(($F$144)+1)+(IF(E213&lt;101,E213,IF(E213&lt;201,E213/2,IF(E213&lt;=301,E213/3,E213/4))))</f>
        <v>831.55129199999999</v>
      </c>
      <c r="G213" s="92" t="str">
        <f>A212</f>
        <v>14th Floor</v>
      </c>
      <c r="H213" s="92"/>
      <c r="I213" s="36"/>
    </row>
    <row r="214" spans="1:14" s="37" customFormat="1" ht="15.75" customHeight="1" x14ac:dyDescent="0.35">
      <c r="A214" s="92">
        <v>2</v>
      </c>
      <c r="B214" s="92"/>
      <c r="C214" s="49">
        <v>2</v>
      </c>
      <c r="D214" s="54">
        <f>(45.442+0.6*(2.75+6.5+0.85))*(10.764)</f>
        <v>554.36752799999999</v>
      </c>
      <c r="E214" s="50">
        <v>0</v>
      </c>
      <c r="F214" s="50">
        <f t="shared" si="24"/>
        <v>831.55129199999999</v>
      </c>
      <c r="G214" s="92" t="str">
        <f t="shared" ref="G214:G220" si="25">G213</f>
        <v>14th Floor</v>
      </c>
      <c r="H214" s="92"/>
      <c r="I214" s="36"/>
    </row>
    <row r="215" spans="1:14" s="37" customFormat="1" ht="15.75" customHeight="1" x14ac:dyDescent="0.35">
      <c r="A215" s="92">
        <v>3</v>
      </c>
      <c r="B215" s="92"/>
      <c r="C215" s="49">
        <v>1</v>
      </c>
      <c r="D215" s="54">
        <f>(32.832+0.6*(2.75+2.75)+2.15*1)*(10.764)</f>
        <v>412.06744799999996</v>
      </c>
      <c r="E215" s="50">
        <v>0</v>
      </c>
      <c r="F215" s="50">
        <f t="shared" si="24"/>
        <v>618.10117199999991</v>
      </c>
      <c r="G215" s="92" t="str">
        <f t="shared" si="25"/>
        <v>14th Floor</v>
      </c>
      <c r="H215" s="92"/>
      <c r="I215" s="36">
        <f>2.75*5.17+2.15*2.35+2.75*3.2+1.2*2.2+1.8*1.2</f>
        <v>32.870000000000005</v>
      </c>
    </row>
    <row r="216" spans="1:14" s="37" customFormat="1" ht="15.75" customHeight="1" x14ac:dyDescent="0.35">
      <c r="A216" s="92">
        <v>4</v>
      </c>
      <c r="B216" s="92"/>
      <c r="C216" s="49">
        <v>1</v>
      </c>
      <c r="D216" s="54">
        <f>(33.67+0.6*(2.75+5.3))*(10.764)</f>
        <v>414.41399999999999</v>
      </c>
      <c r="E216" s="50">
        <v>0</v>
      </c>
      <c r="F216" s="50">
        <f t="shared" si="24"/>
        <v>621.62099999999998</v>
      </c>
      <c r="G216" s="92" t="str">
        <f t="shared" si="25"/>
        <v>14th Floor</v>
      </c>
      <c r="H216" s="92"/>
      <c r="I216" s="36"/>
    </row>
    <row r="217" spans="1:14" s="37" customFormat="1" ht="15.75" customHeight="1" x14ac:dyDescent="0.35">
      <c r="A217" s="92">
        <v>5</v>
      </c>
      <c r="B217" s="92"/>
      <c r="C217" s="49" t="s">
        <v>228</v>
      </c>
      <c r="D217" s="54">
        <f>(44.512+0.6*(2.75+6.6))*(10.764)</f>
        <v>539.51320799999996</v>
      </c>
      <c r="E217" s="50">
        <v>0</v>
      </c>
      <c r="F217" s="50">
        <f t="shared" si="24"/>
        <v>809.269812</v>
      </c>
      <c r="G217" s="92" t="str">
        <f t="shared" si="25"/>
        <v>14th Floor</v>
      </c>
      <c r="H217" s="92"/>
      <c r="I217" s="36"/>
    </row>
    <row r="218" spans="1:14" s="37" customFormat="1" ht="15.75" customHeight="1" x14ac:dyDescent="0.35">
      <c r="A218" s="92">
        <v>6</v>
      </c>
      <c r="B218" s="92"/>
      <c r="C218" s="49" t="s">
        <v>228</v>
      </c>
      <c r="D218" s="54">
        <f>(39.242+0.6*2.75+1*(3.35+2.75))*(10.764)</f>
        <v>505.82188799999994</v>
      </c>
      <c r="E218" s="50">
        <v>0</v>
      </c>
      <c r="F218" s="50">
        <f t="shared" si="24"/>
        <v>758.73283199999992</v>
      </c>
      <c r="G218" s="92" t="str">
        <f t="shared" si="25"/>
        <v>14th Floor</v>
      </c>
      <c r="H218" s="92"/>
      <c r="I218" s="36">
        <f>2.75*4.27+2.1*2.3+3.35*2.15+1.85*0.75+2.75*2.75+1.85*1.2+1.95*1.2</f>
        <v>37.284999999999997</v>
      </c>
    </row>
    <row r="219" spans="1:14" s="37" customFormat="1" ht="15.75" customHeight="1" x14ac:dyDescent="0.35">
      <c r="A219" s="92">
        <v>7</v>
      </c>
      <c r="B219" s="92"/>
      <c r="C219" s="49">
        <v>1</v>
      </c>
      <c r="D219" s="54">
        <f>(33.67+0.6*(2.75+5.3))*(10.764)</f>
        <v>414.41399999999999</v>
      </c>
      <c r="E219" s="50">
        <v>0</v>
      </c>
      <c r="F219" s="50">
        <f t="shared" si="24"/>
        <v>621.62099999999998</v>
      </c>
      <c r="G219" s="92" t="str">
        <f t="shared" si="25"/>
        <v>14th Floor</v>
      </c>
      <c r="H219" s="92"/>
      <c r="I219" s="36"/>
    </row>
    <row r="220" spans="1:14" s="37" customFormat="1" ht="15.75" customHeight="1" x14ac:dyDescent="0.35">
      <c r="A220" s="92">
        <v>8</v>
      </c>
      <c r="B220" s="92"/>
      <c r="C220" s="49">
        <v>1</v>
      </c>
      <c r="D220" s="54">
        <f>(34.66+0.6*(2.75+5.3))*(10.764)</f>
        <v>425.07035999999994</v>
      </c>
      <c r="E220" s="50">
        <v>0</v>
      </c>
      <c r="F220" s="50">
        <f t="shared" si="24"/>
        <v>637.60553999999991</v>
      </c>
      <c r="G220" s="92" t="str">
        <f t="shared" si="25"/>
        <v>14th Floor</v>
      </c>
      <c r="H220" s="92"/>
      <c r="I220" s="36"/>
    </row>
    <row r="221" spans="1:14" s="35" customFormat="1" x14ac:dyDescent="0.35">
      <c r="A221" s="182" t="s">
        <v>71</v>
      </c>
      <c r="B221" s="182"/>
      <c r="C221" s="182"/>
      <c r="D221" s="182"/>
      <c r="E221" s="182"/>
      <c r="F221" s="182"/>
      <c r="G221" s="182"/>
      <c r="H221" s="182"/>
    </row>
    <row r="222" spans="1:14" s="35" customFormat="1" ht="31.5" customHeight="1" x14ac:dyDescent="0.35">
      <c r="A222" s="63" t="s">
        <v>157</v>
      </c>
      <c r="B222" s="105" t="s">
        <v>239</v>
      </c>
      <c r="C222" s="105"/>
      <c r="D222" s="105"/>
      <c r="E222" s="105"/>
      <c r="F222" s="105"/>
      <c r="G222" s="105"/>
      <c r="H222" s="105"/>
    </row>
    <row r="223" spans="1:14" s="35" customFormat="1" x14ac:dyDescent="0.35">
      <c r="A223" s="63" t="s">
        <v>157</v>
      </c>
      <c r="B223" s="105" t="str">
        <f>(IF(F143="Saleable area Loading :","We have considered Saleable area of Flats as per our Calculation.","We considered Saleable area of Flat as per Builder area Sheet."))</f>
        <v>We considered Saleable area of Flat as per Builder area Sheet.</v>
      </c>
      <c r="C223" s="105"/>
      <c r="D223" s="105"/>
      <c r="E223" s="105"/>
      <c r="F223" s="105"/>
      <c r="G223" s="105"/>
      <c r="H223" s="105"/>
    </row>
    <row r="224" spans="1:14" s="35" customFormat="1" x14ac:dyDescent="0.35">
      <c r="A224" s="63" t="s">
        <v>157</v>
      </c>
      <c r="B224" s="105" t="str">
        <f>(IF(F119="Saleable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4" s="105"/>
      <c r="D224" s="105"/>
      <c r="E224" s="105"/>
      <c r="F224" s="105"/>
      <c r="G224" s="105"/>
      <c r="H224" s="105"/>
    </row>
    <row r="225" spans="1:15" s="35" customFormat="1" x14ac:dyDescent="0.35">
      <c r="A225" s="63" t="s">
        <v>157</v>
      </c>
      <c r="B225" s="104" t="s">
        <v>127</v>
      </c>
      <c r="C225" s="104"/>
      <c r="D225" s="104"/>
      <c r="E225" s="104"/>
      <c r="F225" s="104"/>
      <c r="G225" s="104"/>
      <c r="H225" s="104"/>
    </row>
    <row r="226" spans="1:15" s="35" customFormat="1" x14ac:dyDescent="0.35">
      <c r="A226" s="63" t="s">
        <v>157</v>
      </c>
      <c r="B226" s="104" t="s">
        <v>199</v>
      </c>
      <c r="C226" s="104"/>
      <c r="D226" s="104"/>
      <c r="E226" s="104"/>
      <c r="F226" s="104"/>
      <c r="G226" s="104"/>
      <c r="H226" s="104"/>
    </row>
    <row r="227" spans="1:15" s="35" customFormat="1" x14ac:dyDescent="0.35">
      <c r="A227" s="63" t="s">
        <v>157</v>
      </c>
      <c r="B227" s="104" t="s">
        <v>156</v>
      </c>
      <c r="C227" s="104"/>
      <c r="D227" s="104"/>
      <c r="E227" s="104"/>
      <c r="F227" s="104"/>
      <c r="G227" s="104"/>
      <c r="H227" s="104"/>
    </row>
    <row r="228" spans="1:15" s="35" customFormat="1" x14ac:dyDescent="0.35">
      <c r="A228" s="63" t="s">
        <v>157</v>
      </c>
      <c r="B228" s="104" t="s">
        <v>128</v>
      </c>
      <c r="C228" s="104"/>
      <c r="D228" s="104"/>
      <c r="E228" s="104"/>
      <c r="F228" s="104"/>
      <c r="G228" s="104"/>
      <c r="H228" s="104"/>
    </row>
    <row r="229" spans="1:15" s="35" customFormat="1" ht="34.5" customHeight="1" x14ac:dyDescent="0.35">
      <c r="A229" s="63" t="s">
        <v>157</v>
      </c>
      <c r="B229" s="104" t="s">
        <v>158</v>
      </c>
      <c r="C229" s="104"/>
      <c r="D229" s="104"/>
      <c r="E229" s="104"/>
      <c r="F229" s="104"/>
      <c r="G229" s="104"/>
      <c r="H229" s="104"/>
    </row>
    <row r="230" spans="1:15" s="35" customFormat="1" x14ac:dyDescent="0.35">
      <c r="A230" s="63" t="s">
        <v>157</v>
      </c>
      <c r="B230" s="104" t="s">
        <v>129</v>
      </c>
      <c r="C230" s="104"/>
      <c r="D230" s="104"/>
      <c r="E230" s="104"/>
      <c r="F230" s="104"/>
      <c r="G230" s="104"/>
      <c r="H230" s="104"/>
    </row>
    <row r="231" spans="1:15" s="35" customFormat="1" x14ac:dyDescent="0.35">
      <c r="A231" s="63" t="s">
        <v>157</v>
      </c>
      <c r="B231" s="104" t="s">
        <v>233</v>
      </c>
      <c r="C231" s="104"/>
      <c r="D231" s="104"/>
      <c r="E231" s="104"/>
      <c r="F231" s="104"/>
      <c r="G231" s="104"/>
      <c r="H231" s="104"/>
    </row>
    <row r="232" spans="1:15" s="35" customFormat="1" ht="31.5" customHeight="1" x14ac:dyDescent="0.35">
      <c r="A232" s="64" t="s">
        <v>157</v>
      </c>
      <c r="B232" s="102" t="s">
        <v>237</v>
      </c>
      <c r="C232" s="102"/>
      <c r="D232" s="102"/>
      <c r="E232" s="102"/>
      <c r="F232" s="102"/>
      <c r="G232" s="102"/>
      <c r="H232" s="102"/>
    </row>
    <row r="233" spans="1:15" s="35" customFormat="1" x14ac:dyDescent="0.35">
      <c r="A233" s="63" t="s">
        <v>157</v>
      </c>
      <c r="B233" s="104" t="s">
        <v>207</v>
      </c>
      <c r="C233" s="104"/>
      <c r="D233" s="104"/>
      <c r="E233" s="104"/>
      <c r="F233" s="104"/>
      <c r="G233" s="104"/>
      <c r="H233" s="104"/>
    </row>
    <row r="234" spans="1:15" s="35" customFormat="1" ht="15.75" customHeight="1" x14ac:dyDescent="0.35">
      <c r="A234" s="134"/>
      <c r="B234" s="71" t="s">
        <v>204</v>
      </c>
      <c r="C234" s="71"/>
      <c r="D234" s="71"/>
      <c r="E234" s="71"/>
      <c r="F234" s="71" t="s">
        <v>201</v>
      </c>
      <c r="G234" s="71"/>
      <c r="H234" s="71"/>
      <c r="I234" s="195"/>
      <c r="J234" s="195"/>
      <c r="K234" s="195"/>
      <c r="L234" s="195"/>
      <c r="M234" s="195"/>
      <c r="N234" s="195"/>
      <c r="O234" s="195"/>
    </row>
    <row r="235" spans="1:15" s="35" customFormat="1" x14ac:dyDescent="0.35">
      <c r="A235" s="134"/>
      <c r="B235" s="196" t="s">
        <v>205</v>
      </c>
      <c r="C235" s="196"/>
      <c r="D235" s="196"/>
      <c r="E235" s="196" t="s">
        <v>194</v>
      </c>
      <c r="F235" s="196" t="s">
        <v>202</v>
      </c>
      <c r="G235" s="196"/>
      <c r="H235" s="196"/>
      <c r="I235" s="195"/>
      <c r="J235" s="195"/>
      <c r="K235" s="195"/>
    </row>
    <row r="236" spans="1:15" s="35" customFormat="1" ht="15.75" customHeight="1" x14ac:dyDescent="0.35">
      <c r="A236" s="134"/>
      <c r="B236" s="196" t="s">
        <v>206</v>
      </c>
      <c r="C236" s="196"/>
      <c r="D236" s="196"/>
      <c r="E236" s="196" t="s">
        <v>194</v>
      </c>
      <c r="F236" s="196" t="s">
        <v>203</v>
      </c>
      <c r="G236" s="196"/>
      <c r="H236" s="196"/>
      <c r="I236" s="195"/>
      <c r="J236" s="195"/>
      <c r="K236" s="195"/>
    </row>
    <row r="237" spans="1:15" x14ac:dyDescent="0.35">
      <c r="A237" s="192" t="s">
        <v>64</v>
      </c>
      <c r="B237" s="192"/>
      <c r="C237" s="192"/>
      <c r="D237" s="192"/>
      <c r="E237" s="192"/>
      <c r="F237" s="192"/>
      <c r="G237" s="192"/>
      <c r="H237" s="193"/>
    </row>
    <row r="238" spans="1:15" x14ac:dyDescent="0.35">
      <c r="A238" s="88" t="s">
        <v>65</v>
      </c>
      <c r="B238" s="88"/>
      <c r="C238" s="88"/>
      <c r="D238" s="88"/>
      <c r="E238" s="88"/>
      <c r="F238" s="88"/>
      <c r="G238" s="88"/>
      <c r="H238" s="88"/>
    </row>
    <row r="239" spans="1:15" ht="15.75" customHeight="1" x14ac:dyDescent="0.35">
      <c r="A239" s="191" t="s">
        <v>66</v>
      </c>
      <c r="B239" s="191"/>
      <c r="C239" s="191"/>
      <c r="D239" s="191"/>
      <c r="E239" s="191"/>
      <c r="F239" s="191"/>
      <c r="G239" s="191"/>
      <c r="H239" s="191"/>
    </row>
    <row r="240" spans="1:15" x14ac:dyDescent="0.35">
      <c r="A240" s="88" t="s">
        <v>67</v>
      </c>
      <c r="B240" s="88"/>
      <c r="C240" s="88"/>
      <c r="D240" s="88"/>
      <c r="E240" s="88"/>
      <c r="F240" s="88"/>
      <c r="G240" s="88"/>
      <c r="H240" s="88"/>
    </row>
    <row r="241" spans="1:8" x14ac:dyDescent="0.35">
      <c r="A241" s="88" t="s">
        <v>68</v>
      </c>
      <c r="B241" s="88"/>
      <c r="C241" s="88"/>
      <c r="D241" s="88"/>
      <c r="E241" s="88"/>
      <c r="F241" s="88"/>
      <c r="G241" s="88"/>
      <c r="H241" s="88"/>
    </row>
    <row r="242" spans="1:8" x14ac:dyDescent="0.35">
      <c r="A242" s="88" t="s">
        <v>130</v>
      </c>
      <c r="B242" s="88"/>
      <c r="C242" s="88"/>
      <c r="D242" s="88"/>
      <c r="E242" s="88"/>
      <c r="F242" s="88"/>
      <c r="G242" s="88"/>
      <c r="H242" s="88"/>
    </row>
    <row r="243" spans="1:8" x14ac:dyDescent="0.35">
      <c r="A243" s="110" t="s">
        <v>131</v>
      </c>
      <c r="B243" s="110"/>
      <c r="C243" s="110"/>
      <c r="D243" s="110"/>
      <c r="E243" s="110"/>
      <c r="F243" s="110"/>
      <c r="G243" s="110"/>
      <c r="H243" s="110"/>
    </row>
    <row r="244" spans="1:8" x14ac:dyDescent="0.35">
      <c r="A244" s="180" t="s">
        <v>80</v>
      </c>
      <c r="B244" s="180"/>
      <c r="C244" s="180" t="s">
        <v>234</v>
      </c>
      <c r="D244" s="180"/>
      <c r="E244" s="180" t="s">
        <v>109</v>
      </c>
      <c r="F244" s="180"/>
      <c r="G244" s="180" t="s">
        <v>240</v>
      </c>
      <c r="H244" s="180"/>
    </row>
    <row r="245" spans="1:8" x14ac:dyDescent="0.35">
      <c r="A245" s="179" t="s">
        <v>82</v>
      </c>
      <c r="B245" s="179"/>
      <c r="C245" s="179"/>
      <c r="D245" s="179"/>
      <c r="E245" s="179"/>
      <c r="F245" s="179"/>
      <c r="G245" s="179"/>
      <c r="H245" s="179"/>
    </row>
    <row r="246" spans="1:8" x14ac:dyDescent="0.35">
      <c r="A246" s="179"/>
      <c r="B246" s="179"/>
      <c r="C246" s="179"/>
      <c r="D246" s="179"/>
      <c r="E246" s="179"/>
      <c r="F246" s="179"/>
      <c r="G246" s="179"/>
      <c r="H246" s="179"/>
    </row>
    <row r="247" spans="1:8" x14ac:dyDescent="0.35">
      <c r="A247" s="179"/>
      <c r="B247" s="179"/>
      <c r="C247" s="179"/>
      <c r="D247" s="179"/>
      <c r="E247" s="179"/>
      <c r="F247" s="179"/>
      <c r="G247" s="179"/>
      <c r="H247" s="179"/>
    </row>
    <row r="248" spans="1:8" x14ac:dyDescent="0.35">
      <c r="A248" s="179"/>
      <c r="B248" s="179"/>
      <c r="C248" s="179"/>
      <c r="D248" s="179"/>
      <c r="E248" s="179"/>
      <c r="F248" s="179"/>
      <c r="G248" s="179"/>
      <c r="H248" s="179"/>
    </row>
    <row r="249" spans="1:8" x14ac:dyDescent="0.35">
      <c r="A249" s="38" t="s">
        <v>69</v>
      </c>
      <c r="B249" s="39"/>
      <c r="C249" s="39"/>
      <c r="D249" s="38" t="str">
        <f>E8</f>
        <v>Imperial Tower II</v>
      </c>
      <c r="F249" s="39"/>
      <c r="G249" s="39"/>
      <c r="H249" s="39"/>
    </row>
    <row r="250" spans="1:8" x14ac:dyDescent="0.35">
      <c r="A250" s="39"/>
      <c r="B250" s="39"/>
      <c r="C250" s="39"/>
      <c r="D250" s="39"/>
      <c r="E250" s="39"/>
      <c r="F250" s="39"/>
      <c r="G250" s="39"/>
      <c r="H250" s="39"/>
    </row>
    <row r="251" spans="1:8" x14ac:dyDescent="0.35">
      <c r="A251" s="39"/>
      <c r="B251" s="39"/>
      <c r="C251" s="39"/>
      <c r="D251" s="39"/>
      <c r="E251" s="39"/>
      <c r="F251" s="39"/>
      <c r="G251" s="39"/>
      <c r="H251" s="39"/>
    </row>
    <row r="252" spans="1:8" ht="15" customHeight="1" x14ac:dyDescent="0.35"/>
    <row r="294" spans="1:8" x14ac:dyDescent="0.35">
      <c r="A294" s="41" t="s">
        <v>170</v>
      </c>
      <c r="B294" s="21"/>
      <c r="C294" s="21"/>
      <c r="D294" s="21"/>
      <c r="E294" s="21"/>
      <c r="F294" s="21"/>
      <c r="G294" s="21"/>
      <c r="H294" s="21"/>
    </row>
    <row r="337" spans="1:8" x14ac:dyDescent="0.35">
      <c r="A337" s="41" t="s">
        <v>70</v>
      </c>
      <c r="B337" s="21"/>
      <c r="C337" s="21"/>
      <c r="D337" s="21"/>
      <c r="E337" s="21"/>
      <c r="F337" s="21"/>
      <c r="G337" s="21"/>
      <c r="H337" s="21"/>
    </row>
  </sheetData>
  <mergeCells count="417">
    <mergeCell ref="A205:B205"/>
    <mergeCell ref="A206:B206"/>
    <mergeCell ref="A207:B207"/>
    <mergeCell ref="A208:B208"/>
    <mergeCell ref="A209:B209"/>
    <mergeCell ref="A210:B210"/>
    <mergeCell ref="A211:B211"/>
    <mergeCell ref="C209:F209"/>
    <mergeCell ref="A199:B199"/>
    <mergeCell ref="A200:B200"/>
    <mergeCell ref="A203:H203"/>
    <mergeCell ref="A212:H212"/>
    <mergeCell ref="A213:B213"/>
    <mergeCell ref="G213:H220"/>
    <mergeCell ref="A214:B214"/>
    <mergeCell ref="A215:B215"/>
    <mergeCell ref="A216:B216"/>
    <mergeCell ref="A217:B217"/>
    <mergeCell ref="A218:B218"/>
    <mergeCell ref="A219:B219"/>
    <mergeCell ref="A220:B220"/>
    <mergeCell ref="L203:M203"/>
    <mergeCell ref="A204:B204"/>
    <mergeCell ref="G204:H211"/>
    <mergeCell ref="A139:B139"/>
    <mergeCell ref="L139:M139"/>
    <mergeCell ref="A140:B140"/>
    <mergeCell ref="L140:M140"/>
    <mergeCell ref="A141:B141"/>
    <mergeCell ref="L141:M141"/>
    <mergeCell ref="G123:H141"/>
    <mergeCell ref="A136:B136"/>
    <mergeCell ref="L136:M136"/>
    <mergeCell ref="A137:B137"/>
    <mergeCell ref="L137:M137"/>
    <mergeCell ref="A138:B138"/>
    <mergeCell ref="L138:M138"/>
    <mergeCell ref="A133:B133"/>
    <mergeCell ref="L133:M133"/>
    <mergeCell ref="A134:B134"/>
    <mergeCell ref="L134:M134"/>
    <mergeCell ref="A135:B135"/>
    <mergeCell ref="L135:M135"/>
    <mergeCell ref="A130:B130"/>
    <mergeCell ref="A127:B127"/>
    <mergeCell ref="A234:A236"/>
    <mergeCell ref="I234:K234"/>
    <mergeCell ref="I235:K235"/>
    <mergeCell ref="I236:K236"/>
    <mergeCell ref="L234:O234"/>
    <mergeCell ref="B234:E234"/>
    <mergeCell ref="F234:H234"/>
    <mergeCell ref="B235:E235"/>
    <mergeCell ref="F235:H235"/>
    <mergeCell ref="B236:E236"/>
    <mergeCell ref="F236:H236"/>
    <mergeCell ref="B233:H233"/>
    <mergeCell ref="L185:M185"/>
    <mergeCell ref="A186:B186"/>
    <mergeCell ref="G186:H193"/>
    <mergeCell ref="A187:B187"/>
    <mergeCell ref="A188:B188"/>
    <mergeCell ref="A179:B179"/>
    <mergeCell ref="A180:B180"/>
    <mergeCell ref="L132:M132"/>
    <mergeCell ref="L165:M165"/>
    <mergeCell ref="A166:B166"/>
    <mergeCell ref="G166:H173"/>
    <mergeCell ref="A167:B167"/>
    <mergeCell ref="A168:B168"/>
    <mergeCell ref="A169:B169"/>
    <mergeCell ref="A170:B170"/>
    <mergeCell ref="A171:B171"/>
    <mergeCell ref="A172:B172"/>
    <mergeCell ref="A173:B173"/>
    <mergeCell ref="C173:F173"/>
    <mergeCell ref="L147:M147"/>
    <mergeCell ref="A148:B148"/>
    <mergeCell ref="A149:B149"/>
    <mergeCell ref="A150:B150"/>
    <mergeCell ref="L127:M127"/>
    <mergeCell ref="A128:B128"/>
    <mergeCell ref="L128:M128"/>
    <mergeCell ref="A129:B129"/>
    <mergeCell ref="L129:M129"/>
    <mergeCell ref="L130:M130"/>
    <mergeCell ref="A131:B131"/>
    <mergeCell ref="L131:M131"/>
    <mergeCell ref="A132:B132"/>
    <mergeCell ref="A161:B161"/>
    <mergeCell ref="A162:B162"/>
    <mergeCell ref="A163:B163"/>
    <mergeCell ref="A164:B164"/>
    <mergeCell ref="G157:H164"/>
    <mergeCell ref="A155:B155"/>
    <mergeCell ref="G148:H155"/>
    <mergeCell ref="A156:H156"/>
    <mergeCell ref="A157:B157"/>
    <mergeCell ref="A158:B158"/>
    <mergeCell ref="A159:B159"/>
    <mergeCell ref="A17:B17"/>
    <mergeCell ref="C17:H17"/>
    <mergeCell ref="E42:H42"/>
    <mergeCell ref="A42:D42"/>
    <mergeCell ref="A49:B49"/>
    <mergeCell ref="C49:E49"/>
    <mergeCell ref="G49:H49"/>
    <mergeCell ref="G51:H51"/>
    <mergeCell ref="D55:H55"/>
    <mergeCell ref="C51:E51"/>
    <mergeCell ref="A45:D45"/>
    <mergeCell ref="A46:D46"/>
    <mergeCell ref="A47:H47"/>
    <mergeCell ref="A22:D23"/>
    <mergeCell ref="E22:H2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A242:H242"/>
    <mergeCell ref="A239:H239"/>
    <mergeCell ref="A113:B113"/>
    <mergeCell ref="A76:B76"/>
    <mergeCell ref="F96:H96"/>
    <mergeCell ref="G110:H110"/>
    <mergeCell ref="A109:B109"/>
    <mergeCell ref="A237:H237"/>
    <mergeCell ref="A238:H238"/>
    <mergeCell ref="E113:F113"/>
    <mergeCell ref="B230:H230"/>
    <mergeCell ref="B228:H228"/>
    <mergeCell ref="B224:H224"/>
    <mergeCell ref="F102:H102"/>
    <mergeCell ref="C109:D109"/>
    <mergeCell ref="F105:H105"/>
    <mergeCell ref="F103:H103"/>
    <mergeCell ref="A118:H118"/>
    <mergeCell ref="G109:H109"/>
    <mergeCell ref="A104:E104"/>
    <mergeCell ref="C110:D110"/>
    <mergeCell ref="E110:F110"/>
    <mergeCell ref="B119:B120"/>
    <mergeCell ref="A190:B190"/>
    <mergeCell ref="D65:H65"/>
    <mergeCell ref="A71:B71"/>
    <mergeCell ref="G70:H70"/>
    <mergeCell ref="F99:H99"/>
    <mergeCell ref="A105:E105"/>
    <mergeCell ref="A77:B77"/>
    <mergeCell ref="A70:B70"/>
    <mergeCell ref="A73:B73"/>
    <mergeCell ref="A69:B69"/>
    <mergeCell ref="A67:B67"/>
    <mergeCell ref="C67:H67"/>
    <mergeCell ref="A75:B75"/>
    <mergeCell ref="A121:H121"/>
    <mergeCell ref="C119:C120"/>
    <mergeCell ref="A119:A120"/>
    <mergeCell ref="C116:D116"/>
    <mergeCell ref="F104:H104"/>
    <mergeCell ref="A245:H248"/>
    <mergeCell ref="A244:B244"/>
    <mergeCell ref="E244:F244"/>
    <mergeCell ref="C244:D244"/>
    <mergeCell ref="G244:H244"/>
    <mergeCell ref="A108:H108"/>
    <mergeCell ref="A106:E106"/>
    <mergeCell ref="F106:H106"/>
    <mergeCell ref="A107:E107"/>
    <mergeCell ref="F107:H107"/>
    <mergeCell ref="A114:B114"/>
    <mergeCell ref="A110:B110"/>
    <mergeCell ref="A240:H240"/>
    <mergeCell ref="A112:H112"/>
    <mergeCell ref="A243:H243"/>
    <mergeCell ref="A241:H241"/>
    <mergeCell ref="A142:H142"/>
    <mergeCell ref="B225:H225"/>
    <mergeCell ref="B226:H226"/>
    <mergeCell ref="A221:H221"/>
    <mergeCell ref="A146:H146"/>
    <mergeCell ref="A147:H147"/>
    <mergeCell ref="A152:B152"/>
    <mergeCell ref="A153:B15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A12:D12"/>
    <mergeCell ref="E12:H12"/>
    <mergeCell ref="E14:H14"/>
    <mergeCell ref="A15:B15"/>
    <mergeCell ref="C15:H15"/>
    <mergeCell ref="C16:H16"/>
    <mergeCell ref="A30:D30"/>
    <mergeCell ref="E30:H30"/>
    <mergeCell ref="A31:D31"/>
    <mergeCell ref="E31:H31"/>
    <mergeCell ref="A27:D27"/>
    <mergeCell ref="E27:H27"/>
    <mergeCell ref="C32:E32"/>
    <mergeCell ref="F35:H35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F32:H32"/>
    <mergeCell ref="A33:B33"/>
    <mergeCell ref="A32:B32"/>
    <mergeCell ref="C33:E33"/>
    <mergeCell ref="A34:B34"/>
    <mergeCell ref="C34:E34"/>
    <mergeCell ref="G84:H84"/>
    <mergeCell ref="D59:H59"/>
    <mergeCell ref="A58:C59"/>
    <mergeCell ref="A85:B85"/>
    <mergeCell ref="A44:D44"/>
    <mergeCell ref="F36:H36"/>
    <mergeCell ref="A38:B38"/>
    <mergeCell ref="E38:F38"/>
    <mergeCell ref="C38:D38"/>
    <mergeCell ref="A39:B39"/>
    <mergeCell ref="G38:H38"/>
    <mergeCell ref="D58:H58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C52:H52"/>
    <mergeCell ref="D57:H57"/>
    <mergeCell ref="A57:C57"/>
    <mergeCell ref="A41:D41"/>
    <mergeCell ref="E41:H41"/>
    <mergeCell ref="F33:H33"/>
    <mergeCell ref="F34:H34"/>
    <mergeCell ref="A40:H40"/>
    <mergeCell ref="A37:H37"/>
    <mergeCell ref="A36:B36"/>
    <mergeCell ref="C36:E36"/>
    <mergeCell ref="A35:B35"/>
    <mergeCell ref="C35:E35"/>
    <mergeCell ref="A60:C60"/>
    <mergeCell ref="A61:C61"/>
    <mergeCell ref="D60:H60"/>
    <mergeCell ref="E71:F80"/>
    <mergeCell ref="G71:H80"/>
    <mergeCell ref="A79:B79"/>
    <mergeCell ref="A80:B80"/>
    <mergeCell ref="D61:H61"/>
    <mergeCell ref="A43:D43"/>
    <mergeCell ref="E43:H43"/>
    <mergeCell ref="E44:H44"/>
    <mergeCell ref="E45:H45"/>
    <mergeCell ref="E46:H46"/>
    <mergeCell ref="G50:H50"/>
    <mergeCell ref="A51:B52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L126:M126"/>
    <mergeCell ref="L125:M125"/>
    <mergeCell ref="L124:M124"/>
    <mergeCell ref="L123:M123"/>
    <mergeCell ref="A117:H117"/>
    <mergeCell ref="C115:D115"/>
    <mergeCell ref="A78:B78"/>
    <mergeCell ref="C114:D114"/>
    <mergeCell ref="E114:F114"/>
    <mergeCell ref="G114:H114"/>
    <mergeCell ref="A96:E96"/>
    <mergeCell ref="A122:H122"/>
    <mergeCell ref="E119:E120"/>
    <mergeCell ref="G119:H120"/>
    <mergeCell ref="F95:H95"/>
    <mergeCell ref="F100:H100"/>
    <mergeCell ref="A101:E101"/>
    <mergeCell ref="F101:H101"/>
    <mergeCell ref="A103:E103"/>
    <mergeCell ref="F98:H98"/>
    <mergeCell ref="A102:E102"/>
    <mergeCell ref="A115:B115"/>
    <mergeCell ref="E109:F109"/>
    <mergeCell ref="E84:F84"/>
    <mergeCell ref="D66:H66"/>
    <mergeCell ref="A64:C64"/>
    <mergeCell ref="D64:H64"/>
    <mergeCell ref="A65:C65"/>
    <mergeCell ref="C39:H39"/>
    <mergeCell ref="B229:H229"/>
    <mergeCell ref="A48:B48"/>
    <mergeCell ref="C48:H48"/>
    <mergeCell ref="B227:H227"/>
    <mergeCell ref="F97:H97"/>
    <mergeCell ref="A97:E97"/>
    <mergeCell ref="D119:D120"/>
    <mergeCell ref="A99:E99"/>
    <mergeCell ref="A123:B123"/>
    <mergeCell ref="A124:B124"/>
    <mergeCell ref="A125:B125"/>
    <mergeCell ref="A126:B126"/>
    <mergeCell ref="A100:E100"/>
    <mergeCell ref="A81:B81"/>
    <mergeCell ref="C81:H81"/>
    <mergeCell ref="A83:B83"/>
    <mergeCell ref="C83:H83"/>
    <mergeCell ref="A84:B84"/>
    <mergeCell ref="E115:F115"/>
    <mergeCell ref="B232:H232"/>
    <mergeCell ref="A143:A144"/>
    <mergeCell ref="B143:B144"/>
    <mergeCell ref="C143:C144"/>
    <mergeCell ref="D143:D144"/>
    <mergeCell ref="E143:E144"/>
    <mergeCell ref="G143:H144"/>
    <mergeCell ref="B231:H231"/>
    <mergeCell ref="B222:H222"/>
    <mergeCell ref="B223:H223"/>
    <mergeCell ref="A154:B154"/>
    <mergeCell ref="A183:H183"/>
    <mergeCell ref="A191:B191"/>
    <mergeCell ref="A192:B192"/>
    <mergeCell ref="A193:B193"/>
    <mergeCell ref="A145:H145"/>
    <mergeCell ref="G195:H202"/>
    <mergeCell ref="A177:B177"/>
    <mergeCell ref="A194:H194"/>
    <mergeCell ref="A195:B195"/>
    <mergeCell ref="A151:B151"/>
    <mergeCell ref="A184:H184"/>
    <mergeCell ref="A185:H185"/>
    <mergeCell ref="A160:B160"/>
    <mergeCell ref="A196:B196"/>
    <mergeCell ref="A197:B197"/>
    <mergeCell ref="A198:B198"/>
    <mergeCell ref="A165:H165"/>
    <mergeCell ref="A178:B178"/>
    <mergeCell ref="A189:B189"/>
    <mergeCell ref="A174:H174"/>
    <mergeCell ref="A201:B201"/>
    <mergeCell ref="A202:B202"/>
    <mergeCell ref="A175:B175"/>
    <mergeCell ref="G175:H182"/>
    <mergeCell ref="A176:B176"/>
    <mergeCell ref="A181:B181"/>
    <mergeCell ref="A182:B182"/>
    <mergeCell ref="A89:B89"/>
    <mergeCell ref="A90:B90"/>
    <mergeCell ref="A91:B91"/>
    <mergeCell ref="A92:B92"/>
    <mergeCell ref="A93:B93"/>
    <mergeCell ref="A94:B94"/>
    <mergeCell ref="G116:H116"/>
    <mergeCell ref="A111:B111"/>
    <mergeCell ref="C111:D111"/>
    <mergeCell ref="E111:F111"/>
    <mergeCell ref="G111:H111"/>
    <mergeCell ref="A95:E95"/>
    <mergeCell ref="E85:F94"/>
    <mergeCell ref="G85:H94"/>
    <mergeCell ref="A86:B86"/>
    <mergeCell ref="A87:B87"/>
    <mergeCell ref="A88:B88"/>
    <mergeCell ref="A116:B116"/>
    <mergeCell ref="E116:F116"/>
    <mergeCell ref="G115:H115"/>
    <mergeCell ref="C113:D113"/>
    <mergeCell ref="G113:H113"/>
    <mergeCell ref="A98:E98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48" max="16383" man="1"/>
    <brk id="293" max="16383" man="1"/>
    <brk id="33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" zoomScale="85" zoomScaleNormal="85" workbookViewId="0">
      <selection activeCell="L11" sqref="L11:M16"/>
    </sheetView>
  </sheetViews>
  <sheetFormatPr defaultColWidth="8.81640625" defaultRowHeight="14.5" x14ac:dyDescent="0.35"/>
  <cols>
    <col min="1" max="1" width="8.81640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81640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0" t="s">
        <v>110</v>
      </c>
      <c r="C3" s="200"/>
      <c r="D3" s="200"/>
      <c r="E3" s="200"/>
      <c r="F3" s="200"/>
      <c r="G3" s="200"/>
      <c r="H3" s="200"/>
    </row>
    <row r="4" spans="1:9" x14ac:dyDescent="0.35">
      <c r="A4" s="2"/>
      <c r="B4" s="3" t="s">
        <v>111</v>
      </c>
      <c r="C4" s="3" t="s">
        <v>112</v>
      </c>
      <c r="D4" s="3" t="s">
        <v>72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2025-06-07T05:10:14Z</cp:lastPrinted>
  <dcterms:created xsi:type="dcterms:W3CDTF">2019-07-16T09:29:46Z</dcterms:created>
  <dcterms:modified xsi:type="dcterms:W3CDTF">2025-09-09T09:54:51Z</dcterms:modified>
</cp:coreProperties>
</file>