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0" i="1" l="1"/>
  <c r="I61" i="1" l="1"/>
  <c r="C69" i="1" l="1"/>
  <c r="C71" i="1" l="1"/>
  <c r="C70" i="1"/>
  <c r="D138" i="1"/>
  <c r="F138" i="1" s="1"/>
  <c r="I137" i="1"/>
  <c r="D136" i="1"/>
  <c r="F136" i="1" s="1"/>
  <c r="E135" i="1"/>
  <c r="D135" i="1"/>
  <c r="A135" i="1"/>
  <c r="A136" i="1" s="1"/>
  <c r="A137" i="1" s="1"/>
  <c r="A138" i="1" s="1"/>
  <c r="I134" i="1"/>
  <c r="G134" i="1"/>
  <c r="D134" i="1"/>
  <c r="F134" i="1" s="1"/>
  <c r="D127" i="1"/>
  <c r="D126" i="1"/>
  <c r="D125" i="1"/>
  <c r="D124" i="1"/>
  <c r="D120" i="1"/>
  <c r="D130" i="1"/>
  <c r="I132" i="1"/>
  <c r="D131" i="1"/>
  <c r="F131" i="1" s="1"/>
  <c r="E130" i="1"/>
  <c r="A130" i="1"/>
  <c r="A131" i="1" s="1"/>
  <c r="A132" i="1" s="1"/>
  <c r="I129" i="1"/>
  <c r="G129" i="1"/>
  <c r="D129" i="1"/>
  <c r="F129" i="1" s="1"/>
  <c r="I122" i="1"/>
  <c r="I119" i="1"/>
  <c r="E120" i="1"/>
  <c r="D122" i="1"/>
  <c r="D121" i="1"/>
  <c r="D119" i="1"/>
  <c r="D113" i="1"/>
  <c r="F113" i="1" s="1"/>
  <c r="G93" i="1" s="1"/>
  <c r="G113" i="1"/>
  <c r="E111" i="1"/>
  <c r="E110" i="1"/>
  <c r="E109" i="1"/>
  <c r="D111" i="1"/>
  <c r="D110" i="1"/>
  <c r="D109" i="1"/>
  <c r="D108" i="1"/>
  <c r="D107" i="1"/>
  <c r="D106" i="1"/>
  <c r="D105" i="1"/>
  <c r="F111" i="1" l="1"/>
  <c r="C92" i="1"/>
  <c r="C97" i="1"/>
  <c r="F135" i="1"/>
  <c r="E93" i="1"/>
  <c r="E92" i="1"/>
  <c r="E97" i="1"/>
  <c r="C93" i="1"/>
  <c r="F130" i="1"/>
  <c r="F125" i="1"/>
  <c r="I125" i="1" s="1"/>
  <c r="F126" i="1"/>
  <c r="I126" i="1" s="1"/>
  <c r="F127" i="1"/>
  <c r="F124" i="1"/>
  <c r="I124" i="1" s="1"/>
  <c r="F120" i="1"/>
  <c r="F121" i="1"/>
  <c r="F122" i="1"/>
  <c r="F119" i="1"/>
  <c r="F105" i="1"/>
  <c r="C94" i="1" l="1"/>
  <c r="E94" i="1"/>
  <c r="G97" i="1"/>
  <c r="F106" i="1"/>
  <c r="F107" i="1"/>
  <c r="F108" i="1"/>
  <c r="F109" i="1"/>
  <c r="F110" i="1"/>
  <c r="P124" i="1"/>
  <c r="O124" i="1"/>
  <c r="G92" i="1" l="1"/>
  <c r="G94" i="1" s="1"/>
  <c r="B143" i="1"/>
  <c r="B142" i="1"/>
  <c r="E27" i="1" l="1"/>
  <c r="F11" i="5" l="1"/>
  <c r="G11" i="5" s="1"/>
  <c r="F10" i="5"/>
  <c r="G10" i="5" s="1"/>
  <c r="F9" i="5"/>
  <c r="G9" i="5" s="1"/>
  <c r="G8" i="5"/>
  <c r="F8" i="5"/>
  <c r="F7" i="5"/>
  <c r="G7" i="5" s="1"/>
  <c r="F6" i="5"/>
  <c r="G6" i="5" s="1"/>
  <c r="F5" i="5"/>
  <c r="G5" i="5" s="1"/>
  <c r="G12" i="5" s="1"/>
  <c r="D163" i="1"/>
  <c r="A142" i="1"/>
  <c r="G124" i="1"/>
  <c r="G119" i="1"/>
  <c r="A120" i="1"/>
  <c r="A121" i="1" s="1"/>
  <c r="A122" i="1" s="1"/>
  <c r="A106" i="1"/>
  <c r="A107" i="1" s="1"/>
  <c r="A108" i="1" s="1"/>
  <c r="A109" i="1" s="1"/>
  <c r="A110" i="1" s="1"/>
  <c r="A111" i="1" s="1"/>
  <c r="G105" i="1"/>
  <c r="F89" i="1"/>
  <c r="J73" i="1"/>
  <c r="J72" i="1"/>
  <c r="J71" i="1"/>
  <c r="J70" i="1"/>
  <c r="C62" i="1"/>
  <c r="D56" i="1"/>
  <c r="D51" i="1"/>
  <c r="G46" i="1"/>
  <c r="C46" i="1"/>
  <c r="E40" i="1"/>
  <c r="E41" i="1" s="1"/>
  <c r="E24" i="1"/>
  <c r="E22" i="1"/>
  <c r="C13" i="1"/>
  <c r="E7" i="1"/>
  <c r="E3" i="1"/>
  <c r="H63" i="1"/>
  <c r="A143" i="1" l="1"/>
  <c r="A144" i="1" s="1"/>
  <c r="A145" i="1" s="1"/>
  <c r="A146" i="1" s="1"/>
  <c r="J66" i="1"/>
  <c r="D75" i="1"/>
  <c r="D73" i="1"/>
  <c r="D71" i="1"/>
  <c r="D69" i="1"/>
  <c r="J67" i="1"/>
  <c r="J65" i="1"/>
  <c r="J68" i="1"/>
  <c r="D74" i="1"/>
  <c r="D70" i="1"/>
  <c r="D72" i="1"/>
  <c r="D68" i="1"/>
  <c r="N124" i="1"/>
  <c r="O125" i="1"/>
  <c r="P125" i="1"/>
  <c r="P126" i="1" s="1"/>
  <c r="P127" i="1" s="1"/>
  <c r="C66" i="1" l="1"/>
  <c r="D66" i="1" s="1"/>
  <c r="C67" i="1"/>
  <c r="E66" i="1" s="1"/>
  <c r="A147" i="1"/>
  <c r="J69" i="1"/>
  <c r="J74" i="1" s="1"/>
  <c r="J75" i="1" s="1"/>
  <c r="N125" i="1"/>
  <c r="O126" i="1"/>
  <c r="D67" i="1" l="1"/>
  <c r="G66" i="1"/>
  <c r="D60" i="1" s="1"/>
  <c r="F61" i="1" s="1"/>
  <c r="I62" i="1"/>
  <c r="C64" i="1" s="1"/>
  <c r="N126" i="1"/>
  <c r="O127" i="1"/>
  <c r="D61" i="1" l="1"/>
  <c r="N127" i="1"/>
</calcChain>
</file>

<file path=xl/sharedStrings.xml><?xml version="1.0" encoding="utf-8"?>
<sst xmlns="http://schemas.openxmlformats.org/spreadsheetml/2006/main" count="284" uniqueCount="222">
  <si>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</si>
  <si>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</si>
  <si>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</si>
  <si>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</si>
  <si>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</si>
  <si>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</si>
  <si>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</si>
  <si>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</si>
  <si>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</si>
  <si>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</si>
  <si>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</si>
  <si>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</si>
  <si>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</si>
  <si>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</si>
  <si>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</si>
  <si>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</si>
  <si>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</si>
  <si>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</si>
  <si>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</si>
  <si>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</si>
  <si>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</si>
  <si>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</si>
  <si>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</si>
  <si>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</si>
  <si>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</si>
  <si>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</si>
  <si>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</si>
  <si>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</si>
  <si>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</si>
  <si>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</si>
  <si>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</si>
  <si>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</si>
  <si>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</si>
  <si>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</si>
  <si>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</si>
  <si>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</si>
  <si>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</si>
  <si>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</si>
  <si>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</si>
  <si>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</si>
  <si>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</si>
  <si>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</si>
  <si>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</si>
  <si>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</si>
  <si>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</si>
  <si>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</si>
  <si>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</si>
  <si>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</si>
  <si>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</si>
  <si>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</si>
  <si>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</si>
  <si>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</si>
  <si>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</si>
  <si>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</si>
  <si>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</si>
  <si>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</si>
  <si>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</si>
  <si>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</si>
  <si>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</si>
  <si>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</si>
  <si>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</si>
  <si>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</si>
  <si>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</si>
  <si>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</si>
  <si>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</si>
  <si>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</si>
  <si>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</si>
  <si>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</si>
  <si>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</si>
  <si>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</si>
  <si>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</si>
  <si>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</si>
  <si>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</si>
  <si>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</si>
  <si>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</si>
  <si>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</si>
  <si>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</si>
  <si>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</si>
  <si>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</si>
  <si>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</si>
  <si>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</si>
  <si>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</si>
  <si>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</si>
  <si>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</si>
  <si>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</si>
  <si>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</si>
  <si>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</si>
  <si>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</si>
  <si>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</si>
  <si>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</si>
  <si>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</si>
  <si>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</si>
  <si>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</si>
  <si>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</si>
  <si>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</si>
  <si>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</si>
  <si>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</si>
  <si>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</si>
  <si>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</si>
  <si>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</si>
  <si>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</si>
  <si>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</si>
  <si>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</si>
  <si>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</si>
  <si>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</si>
  <si>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</si>
  <si>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</si>
  <si>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</si>
  <si>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</si>
  <si>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</si>
  <si>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</si>
  <si>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</si>
  <si>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</si>
  <si>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</si>
  <si>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</si>
  <si>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</si>
  <si>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</si>
  <si>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</si>
  <si>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</si>
  <si>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</si>
  <si>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</si>
  <si>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</si>
  <si>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</si>
  <si>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</si>
  <si>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</si>
  <si>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</si>
  <si>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</si>
  <si>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</si>
  <si>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</si>
  <si>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</si>
  <si>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</si>
  <si>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</si>
  <si>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</si>
  <si>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</si>
  <si>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</si>
  <si>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</si>
  <si>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</si>
  <si>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</si>
  <si>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</si>
  <si>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</si>
  <si>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</si>
  <si>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</si>
  <si>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</si>
  <si>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</si>
  <si>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</si>
  <si>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</si>
  <si>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</si>
  <si>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</si>
  <si>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</si>
  <si>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</si>
  <si>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</si>
  <si>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</si>
  <si>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</si>
  <si>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</si>
  <si>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</si>
  <si>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</si>
  <si>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</si>
  <si>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</si>
  <si>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</si>
  <si>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</si>
  <si>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</si>
  <si>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</si>
  <si>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</si>
  <si>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</si>
  <si>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</si>
  <si>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 xml:space="preserve">Sale Building   </t>
  </si>
  <si>
    <t>Basement floor for Parking</t>
  </si>
  <si>
    <t>Ground Floor for Commercial &amp; Parking</t>
  </si>
  <si>
    <t>Shop</t>
  </si>
  <si>
    <t>1st &amp; 2nd Floor for Commercial</t>
  </si>
  <si>
    <t>Office</t>
  </si>
  <si>
    <t>3rd Floor for Service Floor</t>
  </si>
  <si>
    <t>4th Floor for Residential</t>
  </si>
  <si>
    <t>2BHK</t>
  </si>
  <si>
    <t>1BHK</t>
  </si>
  <si>
    <t>7th Floor (Part Refuge Area)</t>
  </si>
  <si>
    <t>Refuge Area</t>
  </si>
  <si>
    <t>5th, 6th, 8th to 11th, 13th to 16th, 18th to 21st, 23rd to 26th, 28th to 31st Floor</t>
  </si>
  <si>
    <t>12th, 17th, 22nd, 27th &amp; 32nd Floor (Part Refuge Area)</t>
  </si>
  <si>
    <t>MP Room</t>
  </si>
  <si>
    <t>33rd Floor for Amenities</t>
  </si>
  <si>
    <t>Attached loft area</t>
  </si>
  <si>
    <t>Total</t>
  </si>
  <si>
    <t>Flats</t>
  </si>
  <si>
    <t>Axis Sanpada</t>
  </si>
  <si>
    <t>Avesa</t>
  </si>
  <si>
    <t>Approved Plans, CC, Cost Sheet.</t>
  </si>
  <si>
    <t>P51700030171</t>
  </si>
  <si>
    <t>Survey No</t>
  </si>
  <si>
    <t>Pokharan Road No. 02</t>
  </si>
  <si>
    <t>Village</t>
  </si>
  <si>
    <t>Panchpakhadi</t>
  </si>
  <si>
    <t>Thane</t>
  </si>
  <si>
    <t>4 Km  from Thane Railway Station</t>
  </si>
  <si>
    <t>Thane west</t>
  </si>
  <si>
    <t>Mohammadi Masjid</t>
  </si>
  <si>
    <t>Open land</t>
  </si>
  <si>
    <t>Chawls</t>
  </si>
  <si>
    <t>MMR.SRA/ENG/034/Sec-4/STGOVT/AP</t>
  </si>
  <si>
    <t>SRA/ENG/034/SEC-4/STGOVT/AP</t>
  </si>
  <si>
    <t>Flats - 115, Shops - 7, Offices - 2</t>
  </si>
  <si>
    <t>As per RERA - 02/10/2026</t>
  </si>
  <si>
    <t>M/s. Jagdale Infrastructure Pvt. Ltd.</t>
  </si>
  <si>
    <t>B + G + 1st to 33rd floor</t>
  </si>
  <si>
    <t>7,00,000/-</t>
  </si>
  <si>
    <t>We considered Gross carpet area = Net carpet.</t>
  </si>
  <si>
    <t xml:space="preserve">Recommended rate should be considered as all inclusive rate if other charges are not mentioned. (Excluding GST &amp; other government Taxes)
</t>
  </si>
  <si>
    <t>On Site, we meet Mr.Siddhart Patel (Contractor) -  7738918301.</t>
  </si>
  <si>
    <t>Office No. 1031, Wing J, Akshar Business Park, Plot No. 03 Sector 25, Near APMC Market, 
Vashi, Navi Mumbai, Maharashtra 400703 TEL: 022-46090378/79/8
E mail : vsjcapf@gmail.com. Web site : www.vsjadon.com</t>
  </si>
  <si>
    <t>https://maps.app.goo.gl/EKND1ZMMpx444E5M6</t>
  </si>
  <si>
    <t>Location Link</t>
  </si>
  <si>
    <t>Ajay Songare</t>
  </si>
  <si>
    <t>Commencement Certificate No.
Valid Up to:</t>
  </si>
  <si>
    <t>This Further C.C is re-endorsed for RCC frame work of sale building from Ground + 34(Pt) upper floor including LMR &amp; OHWT with mechanical Parking Tower 1 &amp; 2 as per approved amended plans dtd.06/07/2023</t>
  </si>
  <si>
    <t>We have updated approved latest CC from RERA site on 17/09/2024</t>
  </si>
  <si>
    <t>B + G + 1st to 34th floor</t>
  </si>
  <si>
    <t>Ms. Vinita 7304231228</t>
  </si>
  <si>
    <t>Provide latest approved plans dtd. 06/07/2023</t>
  </si>
  <si>
    <t>Latitude,Longitude</t>
  </si>
  <si>
    <t>19.2180243,72.9695648</t>
  </si>
  <si>
    <t>Construction work is in process at the time of Visit. Internal photo was not allowed.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</si>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</sst>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0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8" xfId="1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7" fillId="0" borderId="9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NumberFormat="1" applyFont="1" applyBorder="1" applyProtection="1">
      <protection hidden="1"/>
    </xf>
    <xf numFmtId="0" fontId="7" fillId="0" borderId="7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0" borderId="0" xfId="9"/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4" fillId="0" borderId="0" xfId="1" applyFont="1" applyBorder="1" applyAlignment="1" applyProtection="1">
      <alignment vertical="top"/>
      <protection locked="0"/>
    </xf>
    <xf numFmtId="1" fontId="13" fillId="0" borderId="0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5" xfId="1" applyFont="1" applyFill="1" applyBorder="1" applyAlignment="1" applyProtection="1">
      <alignment horizontal="left" vertical="top" wrapText="1"/>
      <protection locked="0"/>
    </xf>
    <xf numFmtId="0" fontId="12" fillId="2" borderId="20" xfId="1" applyFont="1" applyFill="1" applyBorder="1" applyAlignment="1" applyProtection="1">
      <alignment horizontal="left" vertical="top" wrapText="1"/>
      <protection locked="0"/>
    </xf>
    <xf numFmtId="0" fontId="12" fillId="2" borderId="6" xfId="1" applyFont="1" applyFill="1" applyBorder="1" applyAlignment="1" applyProtection="1">
      <alignment horizontal="left" vertical="top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7" fillId="0" borderId="1" xfId="1" applyFont="1" applyBorder="1" applyAlignment="1" applyProtection="1">
      <alignment horizontal="left"/>
      <protection locked="0"/>
    </xf>
    <xf numFmtId="0" fontId="24" fillId="0" borderId="1" xfId="9" applyBorder="1" applyAlignment="1" applyProtection="1">
      <alignment horizontal="left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635681</xdr:colOff>
      <xdr:row>204</xdr:row>
      <xdr:rowOff>1526</xdr:rowOff>
    </xdr:from>
    <xdr:to>
      <xdr:col>6</xdr:col>
      <xdr:colOff>488618</xdr:colOff>
      <xdr:row>222</xdr:row>
      <xdr:rowOff>105290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5681" y="42807997"/>
          <a:ext cx="4772319" cy="37344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620740</xdr:colOff>
      <xdr:row>222</xdr:row>
      <xdr:rowOff>194595</xdr:rowOff>
    </xdr:from>
    <xdr:to>
      <xdr:col>6</xdr:col>
      <xdr:colOff>510112</xdr:colOff>
      <xdr:row>241</xdr:row>
      <xdr:rowOff>99200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0740" y="43342845"/>
          <a:ext cx="4799077" cy="36886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200025</xdr:colOff>
      <xdr:row>40</xdr:row>
      <xdr:rowOff>9525</xdr:rowOff>
    </xdr:from>
    <xdr:to>
      <xdr:col>18</xdr:col>
      <xdr:colOff>372245</xdr:colOff>
      <xdr:row>50</xdr:row>
      <xdr:rowOff>47964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4650" y="8829675"/>
          <a:ext cx="5515745" cy="2429214"/>
        </a:xfrm>
        <a:prstGeom prst="rect">
          <a:avLst/>
        </a:prstGeom>
      </xdr:spPr>
    </xdr:pic>
    <xdr:clientData/>
  </xdr:twoCellAnchor>
  <xdr:twoCellAnchor>
    <xdr:from>
      <xdr:col>9</xdr:col>
      <xdr:colOff>255687</xdr:colOff>
      <xdr:row>168</xdr:row>
      <xdr:rowOff>58078</xdr:rowOff>
    </xdr:from>
    <xdr:to>
      <xdr:col>21</xdr:col>
      <xdr:colOff>525780</xdr:colOff>
      <xdr:row>203</xdr:row>
      <xdr:rowOff>0</xdr:rowOff>
    </xdr:to>
    <xdr:grpSp>
      <xdr:nvGrpSpPr>
        <xdr:cNvPr id="21" name="Group 20"/>
        <xdr:cNvGrpSpPr/>
      </xdr:nvGrpSpPr>
      <xdr:grpSpPr>
        <a:xfrm>
          <a:off x="8320187" y="34475078"/>
          <a:ext cx="6575643" cy="6831672"/>
          <a:chOff x="437912" y="188910"/>
          <a:chExt cx="5886091" cy="6525900"/>
        </a:xfrm>
      </xdr:grpSpPr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912" y="188910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9881" y="419481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4003" y="188910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4003" y="419481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16</xdr:col>
      <xdr:colOff>343380</xdr:colOff>
      <xdr:row>154</xdr:row>
      <xdr:rowOff>59231</xdr:rowOff>
    </xdr:from>
    <xdr:to>
      <xdr:col>24</xdr:col>
      <xdr:colOff>486638</xdr:colOff>
      <xdr:row>169</xdr:row>
      <xdr:rowOff>3168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70559" y="32389802"/>
          <a:ext cx="5041829" cy="3236866"/>
        </a:xfrm>
        <a:prstGeom prst="rect">
          <a:avLst/>
        </a:prstGeom>
      </xdr:spPr>
    </xdr:pic>
    <xdr:clientData/>
  </xdr:twoCellAnchor>
  <xdr:twoCellAnchor>
    <xdr:from>
      <xdr:col>9</xdr:col>
      <xdr:colOff>211254</xdr:colOff>
      <xdr:row>163</xdr:row>
      <xdr:rowOff>43811</xdr:rowOff>
    </xdr:from>
    <xdr:to>
      <xdr:col>9</xdr:col>
      <xdr:colOff>410771</xdr:colOff>
      <xdr:row>165</xdr:row>
      <xdr:rowOff>164252</xdr:rowOff>
    </xdr:to>
    <xdr:cxnSp macro="">
      <xdr:nvCxnSpPr>
        <xdr:cNvPr id="29" name="Straight Arrow Connector 28"/>
        <xdr:cNvCxnSpPr/>
      </xdr:nvCxnSpPr>
      <xdr:spPr>
        <a:xfrm flipH="1">
          <a:off x="8275754" y="33482911"/>
          <a:ext cx="199517" cy="51414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162</xdr:row>
      <xdr:rowOff>0</xdr:rowOff>
    </xdr:from>
    <xdr:to>
      <xdr:col>10</xdr:col>
      <xdr:colOff>282133</xdr:colOff>
      <xdr:row>163</xdr:row>
      <xdr:rowOff>51585</xdr:rowOff>
    </xdr:to>
    <xdr:sp macro="" textlink="">
      <xdr:nvSpPr>
        <xdr:cNvPr id="31" name="TextBox 48"/>
        <xdr:cNvSpPr txBox="1"/>
      </xdr:nvSpPr>
      <xdr:spPr>
        <a:xfrm>
          <a:off x="8064500" y="33242250"/>
          <a:ext cx="1082233" cy="248435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Sale</a:t>
          </a:r>
          <a:r>
            <a:rPr lang="en-US" sz="11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Building</a:t>
          </a:r>
          <a:endParaRPr lang="en-IN" sz="11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355600</xdr:colOff>
      <xdr:row>163</xdr:row>
      <xdr:rowOff>114300</xdr:rowOff>
    </xdr:from>
    <xdr:to>
      <xdr:col>7</xdr:col>
      <xdr:colOff>455699</xdr:colOff>
      <xdr:row>195</xdr:row>
      <xdr:rowOff>84114</xdr:rowOff>
    </xdr:to>
    <xdr:grpSp>
      <xdr:nvGrpSpPr>
        <xdr:cNvPr id="9" name="Group 8"/>
        <xdr:cNvGrpSpPr/>
      </xdr:nvGrpSpPr>
      <xdr:grpSpPr>
        <a:xfrm>
          <a:off x="355600" y="33553400"/>
          <a:ext cx="6075449" cy="6262664"/>
          <a:chOff x="355600" y="33553400"/>
          <a:chExt cx="6075449" cy="6262664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89190" y="376560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600" y="335534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7537" y="3765606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4142" y="335534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36" name="Straight Arrow Connector 35"/>
          <xdr:cNvCxnSpPr/>
        </xdr:nvCxnSpPr>
        <xdr:spPr>
          <a:xfrm flipH="1">
            <a:off x="5200650" y="33971861"/>
            <a:ext cx="261764" cy="368939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TextBox 48"/>
          <xdr:cNvSpPr txBox="1"/>
        </xdr:nvSpPr>
        <xdr:spPr>
          <a:xfrm>
            <a:off x="5051642" y="33731200"/>
            <a:ext cx="1082233" cy="248435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Sale</a:t>
            </a:r>
            <a:r>
              <a:rPr lang="en-US" sz="1100" b="1" baseline="0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Building</a:t>
            </a:r>
            <a:endParaRPr lang="en-IN" sz="11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38" name="Straight Arrow Connector 37"/>
          <xdr:cNvCxnSpPr/>
        </xdr:nvCxnSpPr>
        <xdr:spPr>
          <a:xfrm flipH="1">
            <a:off x="2266950" y="33813111"/>
            <a:ext cx="245672" cy="483239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TextBox 48"/>
          <xdr:cNvSpPr txBox="1"/>
        </xdr:nvSpPr>
        <xdr:spPr>
          <a:xfrm>
            <a:off x="2101850" y="33572450"/>
            <a:ext cx="1082233" cy="248435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Sale</a:t>
            </a:r>
            <a:r>
              <a:rPr lang="en-US" sz="1100" b="1" baseline="0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Building</a:t>
            </a:r>
            <a:endParaRPr lang="en-IN" sz="11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EKND1ZMMpx444E5M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04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7265625" style="11" customWidth="1"/>
    <col min="4" max="4" width="14.1796875" style="11" customWidth="1"/>
    <col min="5" max="7" width="11.72656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72656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24" t="s">
        <v>208</v>
      </c>
      <c r="B1" s="124"/>
      <c r="C1" s="124"/>
      <c r="D1" s="124"/>
      <c r="E1" s="124"/>
      <c r="F1" s="124"/>
      <c r="G1" s="124"/>
      <c r="H1" s="124"/>
    </row>
    <row r="2" spans="1:8" ht="16.5" customHeight="1" x14ac:dyDescent="0.35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x14ac:dyDescent="0.35">
      <c r="A3" s="122" t="s">
        <v>1</v>
      </c>
      <c r="B3" s="122"/>
      <c r="C3" s="122"/>
      <c r="D3" s="122"/>
      <c r="E3" s="123" t="str">
        <f ca="1">TEXT(TODAY(),"DD/MM/YYYY")</f>
        <v>09/09/2025</v>
      </c>
      <c r="F3" s="123"/>
      <c r="G3" s="123"/>
      <c r="H3" s="123"/>
    </row>
    <row r="4" spans="1:8" ht="15" customHeight="1" x14ac:dyDescent="0.35">
      <c r="A4" s="122" t="s">
        <v>2</v>
      </c>
      <c r="B4" s="122"/>
      <c r="C4" s="122"/>
      <c r="D4" s="122"/>
      <c r="E4" s="116" t="s">
        <v>184</v>
      </c>
      <c r="F4" s="116"/>
      <c r="G4" s="116"/>
      <c r="H4" s="116"/>
    </row>
    <row r="5" spans="1:8" x14ac:dyDescent="0.35">
      <c r="A5" s="122" t="s">
        <v>3</v>
      </c>
      <c r="B5" s="122"/>
      <c r="C5" s="122"/>
      <c r="D5" s="122"/>
      <c r="E5" s="123">
        <v>45906</v>
      </c>
      <c r="F5" s="123"/>
      <c r="G5" s="123"/>
      <c r="H5" s="123"/>
    </row>
    <row r="6" spans="1:8" ht="16.5" customHeight="1" x14ac:dyDescent="0.35">
      <c r="A6" s="122" t="s">
        <v>4</v>
      </c>
      <c r="B6" s="122"/>
      <c r="C6" s="122"/>
      <c r="D6" s="122"/>
      <c r="E6" s="119" t="s">
        <v>202</v>
      </c>
      <c r="F6" s="119"/>
      <c r="G6" s="119"/>
      <c r="H6" s="119"/>
    </row>
    <row r="7" spans="1:8" ht="15" customHeight="1" x14ac:dyDescent="0.35">
      <c r="A7" s="122" t="s">
        <v>5</v>
      </c>
      <c r="B7" s="122"/>
      <c r="C7" s="122"/>
      <c r="D7" s="122"/>
      <c r="E7" s="119" t="str">
        <f>E6</f>
        <v>M/s. Jagdale Infrastructure Pvt. Ltd.</v>
      </c>
      <c r="F7" s="119"/>
      <c r="G7" s="119"/>
      <c r="H7" s="119"/>
    </row>
    <row r="8" spans="1:8" x14ac:dyDescent="0.35">
      <c r="A8" s="122" t="s">
        <v>6</v>
      </c>
      <c r="B8" s="122"/>
      <c r="C8" s="122"/>
      <c r="D8" s="122"/>
      <c r="E8" s="126" t="s">
        <v>185</v>
      </c>
      <c r="F8" s="126"/>
      <c r="G8" s="126"/>
      <c r="H8" s="126"/>
    </row>
    <row r="9" spans="1:8" x14ac:dyDescent="0.35">
      <c r="A9" s="122" t="s">
        <v>134</v>
      </c>
      <c r="B9" s="122"/>
      <c r="C9" s="122"/>
      <c r="D9" s="122"/>
      <c r="E9" s="122" t="s">
        <v>216</v>
      </c>
      <c r="F9" s="122"/>
      <c r="G9" s="122"/>
      <c r="H9" s="122"/>
    </row>
    <row r="10" spans="1:8" x14ac:dyDescent="0.35">
      <c r="A10" s="118" t="s">
        <v>7</v>
      </c>
      <c r="B10" s="118"/>
      <c r="C10" s="118"/>
      <c r="D10" s="118"/>
      <c r="E10" s="118" t="s">
        <v>135</v>
      </c>
      <c r="F10" s="118"/>
      <c r="G10" s="118"/>
      <c r="H10" s="118"/>
    </row>
    <row r="11" spans="1:8" x14ac:dyDescent="0.35">
      <c r="A11" s="122" t="s">
        <v>8</v>
      </c>
      <c r="B11" s="122"/>
      <c r="C11" s="122"/>
      <c r="D11" s="122"/>
      <c r="E11" s="117" t="s">
        <v>186</v>
      </c>
      <c r="F11" s="117"/>
      <c r="G11" s="117"/>
      <c r="H11" s="117"/>
    </row>
    <row r="12" spans="1:8" x14ac:dyDescent="0.35">
      <c r="A12" s="122" t="s">
        <v>9</v>
      </c>
      <c r="B12" s="122"/>
      <c r="C12" s="122"/>
      <c r="D12" s="122"/>
      <c r="E12" s="117" t="s">
        <v>187</v>
      </c>
      <c r="F12" s="118"/>
      <c r="G12" s="118"/>
      <c r="H12" s="118"/>
    </row>
    <row r="13" spans="1:8" ht="33" customHeight="1" x14ac:dyDescent="0.35">
      <c r="A13" s="119" t="s">
        <v>10</v>
      </c>
      <c r="B13" s="119"/>
      <c r="C13" s="11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Avesa, Survey No.506, near Mohammadi Masjid, Pokharan Road No. 02, Panchpakhadi, Thane west, Thane, Thane.</v>
      </c>
      <c r="D13" s="119"/>
      <c r="E13" s="119"/>
      <c r="F13" s="119"/>
      <c r="G13" s="119"/>
      <c r="H13" s="119"/>
    </row>
    <row r="14" spans="1:8" x14ac:dyDescent="0.35">
      <c r="A14" s="115" t="s">
        <v>188</v>
      </c>
      <c r="B14" s="115"/>
      <c r="C14" s="114">
        <v>506</v>
      </c>
      <c r="D14" s="114"/>
      <c r="E14" s="114"/>
      <c r="F14" s="114"/>
      <c r="G14" s="114"/>
      <c r="H14" s="114"/>
    </row>
    <row r="15" spans="1:8" ht="15.75" customHeight="1" x14ac:dyDescent="0.35">
      <c r="A15" s="115" t="s">
        <v>11</v>
      </c>
      <c r="B15" s="115"/>
      <c r="C15" s="106" t="s">
        <v>189</v>
      </c>
      <c r="D15" s="106"/>
      <c r="E15" s="115" t="s">
        <v>190</v>
      </c>
      <c r="F15" s="115"/>
      <c r="G15" s="114" t="s">
        <v>191</v>
      </c>
      <c r="H15" s="114"/>
    </row>
    <row r="16" spans="1:8" x14ac:dyDescent="0.35">
      <c r="A16" s="83" t="s">
        <v>13</v>
      </c>
      <c r="B16" s="83"/>
      <c r="C16" s="114" t="s">
        <v>194</v>
      </c>
      <c r="D16" s="114"/>
      <c r="E16" s="115" t="s">
        <v>12</v>
      </c>
      <c r="F16" s="115"/>
      <c r="G16" s="120" t="s">
        <v>192</v>
      </c>
      <c r="H16" s="120"/>
    </row>
    <row r="17" spans="1:8" x14ac:dyDescent="0.35">
      <c r="A17" s="83" t="s">
        <v>77</v>
      </c>
      <c r="B17" s="83"/>
      <c r="C17" s="120" t="s">
        <v>192</v>
      </c>
      <c r="D17" s="120"/>
      <c r="E17" s="115" t="s">
        <v>14</v>
      </c>
      <c r="F17" s="115"/>
      <c r="G17" s="114">
        <v>400601</v>
      </c>
      <c r="H17" s="114"/>
    </row>
    <row r="18" spans="1:8" ht="32.25" customHeight="1" x14ac:dyDescent="0.35">
      <c r="A18" s="83" t="s">
        <v>136</v>
      </c>
      <c r="B18" s="83"/>
      <c r="C18" s="121" t="s">
        <v>195</v>
      </c>
      <c r="D18" s="121"/>
      <c r="E18" s="115" t="s">
        <v>15</v>
      </c>
      <c r="F18" s="115"/>
      <c r="G18" s="114" t="s">
        <v>193</v>
      </c>
      <c r="H18" s="114"/>
    </row>
    <row r="19" spans="1:8" ht="15" customHeight="1" x14ac:dyDescent="0.35">
      <c r="A19" s="115" t="s">
        <v>81</v>
      </c>
      <c r="B19" s="115"/>
      <c r="C19" s="115"/>
      <c r="D19" s="115"/>
      <c r="E19" s="106" t="s">
        <v>16</v>
      </c>
      <c r="F19" s="106"/>
      <c r="G19" s="106"/>
      <c r="H19" s="106"/>
    </row>
    <row r="20" spans="1:8" ht="18.75" customHeight="1" x14ac:dyDescent="0.35">
      <c r="A20" s="115"/>
      <c r="B20" s="115"/>
      <c r="C20" s="115"/>
      <c r="D20" s="115"/>
      <c r="E20" s="106"/>
      <c r="F20" s="106"/>
      <c r="G20" s="106"/>
      <c r="H20" s="106"/>
    </row>
    <row r="21" spans="1:8" ht="15" customHeight="1" x14ac:dyDescent="0.35">
      <c r="A21" s="115" t="s">
        <v>17</v>
      </c>
      <c r="B21" s="115"/>
      <c r="C21" s="115"/>
      <c r="D21" s="115"/>
      <c r="E21" s="114" t="s">
        <v>18</v>
      </c>
      <c r="F21" s="114"/>
      <c r="G21" s="114"/>
      <c r="H21" s="114"/>
    </row>
    <row r="22" spans="1:8" ht="15" customHeight="1" x14ac:dyDescent="0.35">
      <c r="A22" s="83" t="s">
        <v>19</v>
      </c>
      <c r="B22" s="83"/>
      <c r="C22" s="83"/>
      <c r="D22" s="83"/>
      <c r="E22" s="114" t="str">
        <f>IF(AND(G16="Mumbai"),"Upper Class","Middle Class")</f>
        <v>Middle Class</v>
      </c>
      <c r="F22" s="114"/>
      <c r="G22" s="114"/>
      <c r="H22" s="114"/>
    </row>
    <row r="23" spans="1:8" x14ac:dyDescent="0.35">
      <c r="A23" s="83" t="s">
        <v>20</v>
      </c>
      <c r="B23" s="83"/>
      <c r="C23" s="83"/>
      <c r="D23" s="83"/>
      <c r="E23" s="114" t="s">
        <v>21</v>
      </c>
      <c r="F23" s="114"/>
      <c r="G23" s="114"/>
      <c r="H23" s="114"/>
    </row>
    <row r="24" spans="1:8" ht="15.75" customHeight="1" x14ac:dyDescent="0.35">
      <c r="A24" s="83" t="s">
        <v>22</v>
      </c>
      <c r="B24" s="83"/>
      <c r="C24" s="83"/>
      <c r="D24" s="83"/>
      <c r="E24" s="114" t="str">
        <f>IF(AND(G16="Mumbai"),"Developed","Developing")</f>
        <v>Developing</v>
      </c>
      <c r="F24" s="114"/>
      <c r="G24" s="114"/>
      <c r="H24" s="114"/>
    </row>
    <row r="25" spans="1:8" x14ac:dyDescent="0.35">
      <c r="A25" s="83" t="s">
        <v>23</v>
      </c>
      <c r="B25" s="83"/>
      <c r="C25" s="83"/>
      <c r="D25" s="83"/>
      <c r="E25" s="114" t="s">
        <v>24</v>
      </c>
      <c r="F25" s="114"/>
      <c r="G25" s="114"/>
      <c r="H25" s="114"/>
    </row>
    <row r="26" spans="1:8" x14ac:dyDescent="0.35">
      <c r="A26" s="83" t="s">
        <v>88</v>
      </c>
      <c r="B26" s="83"/>
      <c r="C26" s="83"/>
      <c r="D26" s="83"/>
      <c r="E26" s="114" t="s">
        <v>89</v>
      </c>
      <c r="F26" s="114"/>
      <c r="G26" s="114"/>
      <c r="H26" s="114"/>
    </row>
    <row r="27" spans="1:8" ht="15" customHeight="1" x14ac:dyDescent="0.35">
      <c r="A27" s="115" t="s">
        <v>33</v>
      </c>
      <c r="B27" s="115"/>
      <c r="C27" s="115"/>
      <c r="D27" s="115"/>
      <c r="E27" s="116" t="str">
        <f>IF(ISNUMBER(SEARCH("Shops",D52)),"Residential + Commercial",IF(SEARCH("Offices",D52),"Residential + Commercial",IF(SEARCH("Flats",D52),"Residential","")))</f>
        <v>Residential + Commercial</v>
      </c>
      <c r="F27" s="116"/>
      <c r="G27" s="116"/>
      <c r="H27" s="116"/>
    </row>
    <row r="28" spans="1:8" x14ac:dyDescent="0.35">
      <c r="A28" s="115" t="s">
        <v>100</v>
      </c>
      <c r="B28" s="115"/>
      <c r="C28" s="115"/>
      <c r="D28" s="115"/>
      <c r="E28" s="115" t="s">
        <v>34</v>
      </c>
      <c r="F28" s="115"/>
      <c r="G28" s="115"/>
      <c r="H28" s="115"/>
    </row>
    <row r="29" spans="1:8" s="6" customFormat="1" x14ac:dyDescent="0.35">
      <c r="A29" s="112" t="s">
        <v>101</v>
      </c>
      <c r="B29" s="112"/>
      <c r="C29" s="109" t="s">
        <v>29</v>
      </c>
      <c r="D29" s="109"/>
      <c r="E29" s="109"/>
      <c r="F29" s="109" t="s">
        <v>31</v>
      </c>
      <c r="G29" s="109"/>
      <c r="H29" s="109"/>
    </row>
    <row r="30" spans="1:8" s="6" customFormat="1" x14ac:dyDescent="0.35">
      <c r="A30" s="111" t="s">
        <v>25</v>
      </c>
      <c r="B30" s="111" t="s">
        <v>30</v>
      </c>
      <c r="C30" s="108" t="s">
        <v>30</v>
      </c>
      <c r="D30" s="108"/>
      <c r="E30" s="108"/>
      <c r="F30" s="108" t="s">
        <v>197</v>
      </c>
      <c r="G30" s="108"/>
      <c r="H30" s="108"/>
    </row>
    <row r="31" spans="1:8" x14ac:dyDescent="0.35">
      <c r="A31" s="111" t="s">
        <v>26</v>
      </c>
      <c r="B31" s="111" t="s">
        <v>30</v>
      </c>
      <c r="C31" s="108" t="s">
        <v>30</v>
      </c>
      <c r="D31" s="108"/>
      <c r="E31" s="108"/>
      <c r="F31" s="108" t="s">
        <v>196</v>
      </c>
      <c r="G31" s="108"/>
      <c r="H31" s="108"/>
    </row>
    <row r="32" spans="1:8" s="6" customFormat="1" x14ac:dyDescent="0.35">
      <c r="A32" s="111" t="s">
        <v>28</v>
      </c>
      <c r="B32" s="111" t="s">
        <v>30</v>
      </c>
      <c r="C32" s="108" t="s">
        <v>30</v>
      </c>
      <c r="D32" s="108"/>
      <c r="E32" s="108"/>
      <c r="F32" s="108" t="s">
        <v>189</v>
      </c>
      <c r="G32" s="108"/>
      <c r="H32" s="108"/>
    </row>
    <row r="33" spans="1:9" x14ac:dyDescent="0.35">
      <c r="A33" s="111" t="s">
        <v>27</v>
      </c>
      <c r="B33" s="111" t="s">
        <v>30</v>
      </c>
      <c r="C33" s="108" t="s">
        <v>30</v>
      </c>
      <c r="D33" s="108"/>
      <c r="E33" s="108"/>
      <c r="F33" s="108" t="s">
        <v>196</v>
      </c>
      <c r="G33" s="108"/>
      <c r="H33" s="108"/>
    </row>
    <row r="34" spans="1:9" x14ac:dyDescent="0.35">
      <c r="A34" s="83" t="s">
        <v>32</v>
      </c>
      <c r="B34" s="83"/>
      <c r="C34" s="83"/>
      <c r="D34" s="83"/>
      <c r="E34" s="83"/>
      <c r="F34" s="83"/>
      <c r="G34" s="83"/>
      <c r="H34" s="83"/>
    </row>
    <row r="35" spans="1:9" ht="15.75" customHeight="1" x14ac:dyDescent="0.35">
      <c r="A35" s="110" t="s">
        <v>218</v>
      </c>
      <c r="B35" s="110"/>
      <c r="C35" s="178" t="s">
        <v>219</v>
      </c>
      <c r="D35" s="178"/>
      <c r="E35" s="178"/>
      <c r="F35" s="178"/>
      <c r="G35" s="178"/>
      <c r="H35" s="178"/>
      <c r="I35" s="64"/>
    </row>
    <row r="36" spans="1:9" ht="15.75" customHeight="1" x14ac:dyDescent="0.35">
      <c r="A36" s="110" t="s">
        <v>210</v>
      </c>
      <c r="B36" s="110"/>
      <c r="C36" s="179" t="s">
        <v>209</v>
      </c>
      <c r="D36" s="178"/>
      <c r="E36" s="178"/>
      <c r="F36" s="178"/>
      <c r="G36" s="178"/>
      <c r="H36" s="178"/>
      <c r="I36" s="64"/>
    </row>
    <row r="37" spans="1:9" x14ac:dyDescent="0.35">
      <c r="A37" s="113" t="s">
        <v>35</v>
      </c>
      <c r="B37" s="113"/>
      <c r="C37" s="113"/>
      <c r="D37" s="113"/>
      <c r="E37" s="113"/>
      <c r="F37" s="113"/>
      <c r="G37" s="113"/>
      <c r="H37" s="113"/>
    </row>
    <row r="38" spans="1:9" x14ac:dyDescent="0.35">
      <c r="A38" s="106" t="s">
        <v>36</v>
      </c>
      <c r="B38" s="106"/>
      <c r="C38" s="106"/>
      <c r="D38" s="106"/>
      <c r="E38" s="107">
        <v>2342.5</v>
      </c>
      <c r="F38" s="107"/>
      <c r="G38" s="107"/>
      <c r="H38" s="107"/>
    </row>
    <row r="39" spans="1:9" x14ac:dyDescent="0.35">
      <c r="A39" s="106" t="s">
        <v>37</v>
      </c>
      <c r="B39" s="106"/>
      <c r="C39" s="106"/>
      <c r="D39" s="106"/>
      <c r="E39" s="132">
        <v>3</v>
      </c>
      <c r="F39" s="132"/>
      <c r="G39" s="132"/>
      <c r="H39" s="132"/>
    </row>
    <row r="40" spans="1:9" x14ac:dyDescent="0.35">
      <c r="A40" s="106" t="s">
        <v>38</v>
      </c>
      <c r="B40" s="106"/>
      <c r="C40" s="106"/>
      <c r="D40" s="106"/>
      <c r="E40" s="132">
        <f>E42/E38-E39</f>
        <v>1.8747321237993591</v>
      </c>
      <c r="F40" s="132"/>
      <c r="G40" s="132"/>
      <c r="H40" s="132"/>
    </row>
    <row r="41" spans="1:9" x14ac:dyDescent="0.35">
      <c r="A41" s="106" t="s">
        <v>39</v>
      </c>
      <c r="B41" s="106"/>
      <c r="C41" s="106"/>
      <c r="D41" s="106"/>
      <c r="E41" s="132">
        <f>E39+E40</f>
        <v>4.8747321237993591</v>
      </c>
      <c r="F41" s="132"/>
      <c r="G41" s="132"/>
      <c r="H41" s="132"/>
    </row>
    <row r="42" spans="1:9" x14ac:dyDescent="0.35">
      <c r="A42" s="106" t="s">
        <v>99</v>
      </c>
      <c r="B42" s="106"/>
      <c r="C42" s="106"/>
      <c r="D42" s="106"/>
      <c r="E42" s="133">
        <v>11419.06</v>
      </c>
      <c r="F42" s="133"/>
      <c r="G42" s="133"/>
      <c r="H42" s="133"/>
    </row>
    <row r="43" spans="1:9" x14ac:dyDescent="0.35">
      <c r="A43" s="106" t="s">
        <v>40</v>
      </c>
      <c r="B43" s="106"/>
      <c r="C43" s="106"/>
      <c r="D43" s="106"/>
      <c r="E43" s="106" t="s">
        <v>135</v>
      </c>
      <c r="F43" s="106"/>
      <c r="G43" s="106"/>
      <c r="H43" s="106"/>
    </row>
    <row r="44" spans="1:9" x14ac:dyDescent="0.35">
      <c r="A44" s="113" t="s">
        <v>41</v>
      </c>
      <c r="B44" s="113"/>
      <c r="C44" s="113"/>
      <c r="D44" s="113"/>
      <c r="E44" s="113"/>
      <c r="F44" s="113"/>
      <c r="G44" s="113"/>
      <c r="H44" s="113"/>
    </row>
    <row r="45" spans="1:9" x14ac:dyDescent="0.35">
      <c r="A45" s="114" t="s">
        <v>42</v>
      </c>
      <c r="B45" s="114"/>
      <c r="C45" s="162" t="s">
        <v>198</v>
      </c>
      <c r="D45" s="162"/>
      <c r="E45" s="162"/>
      <c r="F45" s="61" t="s">
        <v>43</v>
      </c>
      <c r="G45" s="131">
        <v>44365</v>
      </c>
      <c r="H45" s="131"/>
    </row>
    <row r="46" spans="1:9" x14ac:dyDescent="0.35">
      <c r="A46" s="106" t="s">
        <v>44</v>
      </c>
      <c r="B46" s="106"/>
      <c r="C46" s="162" t="str">
        <f>C45</f>
        <v>MMR.SRA/ENG/034/Sec-4/STGOVT/AP</v>
      </c>
      <c r="D46" s="162"/>
      <c r="E46" s="162"/>
      <c r="F46" s="61" t="s">
        <v>43</v>
      </c>
      <c r="G46" s="131">
        <f>G45</f>
        <v>44365</v>
      </c>
      <c r="H46" s="131"/>
    </row>
    <row r="47" spans="1:9" s="5" customFormat="1" x14ac:dyDescent="0.35">
      <c r="A47" s="114" t="s">
        <v>212</v>
      </c>
      <c r="B47" s="114"/>
      <c r="C47" s="162" t="s">
        <v>199</v>
      </c>
      <c r="D47" s="88"/>
      <c r="E47" s="88"/>
      <c r="F47" s="8" t="s">
        <v>43</v>
      </c>
      <c r="G47" s="131">
        <v>45113</v>
      </c>
      <c r="H47" s="131"/>
    </row>
    <row r="48" spans="1:9" s="5" customFormat="1" ht="46.5" customHeight="1" x14ac:dyDescent="0.35">
      <c r="A48" s="114"/>
      <c r="B48" s="114"/>
      <c r="C48" s="168" t="s">
        <v>213</v>
      </c>
      <c r="D48" s="169"/>
      <c r="E48" s="169"/>
      <c r="F48" s="169"/>
      <c r="G48" s="169"/>
      <c r="H48" s="170"/>
    </row>
    <row r="49" spans="1:14" x14ac:dyDescent="0.35">
      <c r="A49" s="147" t="s">
        <v>45</v>
      </c>
      <c r="B49" s="147"/>
      <c r="C49" s="164" t="s">
        <v>116</v>
      </c>
      <c r="D49" s="165"/>
      <c r="E49" s="165" t="s">
        <v>46</v>
      </c>
      <c r="F49" s="65" t="s">
        <v>43</v>
      </c>
      <c r="G49" s="167" t="s">
        <v>30</v>
      </c>
      <c r="H49" s="167"/>
    </row>
    <row r="50" spans="1:14" x14ac:dyDescent="0.35">
      <c r="A50" s="166" t="s">
        <v>48</v>
      </c>
      <c r="B50" s="166"/>
      <c r="C50" s="166"/>
      <c r="D50" s="166"/>
      <c r="E50" s="166"/>
      <c r="F50" s="166"/>
      <c r="G50" s="166"/>
      <c r="H50" s="166"/>
    </row>
    <row r="51" spans="1:14" x14ac:dyDescent="0.35">
      <c r="A51" s="114" t="s">
        <v>98</v>
      </c>
      <c r="B51" s="114"/>
      <c r="C51" s="114"/>
      <c r="D51" s="106">
        <f>E42</f>
        <v>11419.06</v>
      </c>
      <c r="E51" s="106"/>
      <c r="F51" s="106"/>
      <c r="G51" s="106"/>
      <c r="H51" s="106"/>
    </row>
    <row r="52" spans="1:14" x14ac:dyDescent="0.35">
      <c r="A52" s="114" t="s">
        <v>49</v>
      </c>
      <c r="B52" s="106"/>
      <c r="C52" s="106"/>
      <c r="D52" s="106" t="s">
        <v>200</v>
      </c>
      <c r="E52" s="106"/>
      <c r="F52" s="106"/>
      <c r="G52" s="106"/>
      <c r="H52" s="106"/>
      <c r="I52" s="40"/>
    </row>
    <row r="53" spans="1:14" ht="15.75" customHeight="1" x14ac:dyDescent="0.35">
      <c r="A53" s="128" t="s">
        <v>50</v>
      </c>
      <c r="B53" s="129"/>
      <c r="C53" s="130"/>
      <c r="D53" s="127" t="s">
        <v>203</v>
      </c>
      <c r="E53" s="127"/>
      <c r="F53" s="127"/>
      <c r="G53" s="127"/>
      <c r="H53" s="127"/>
      <c r="I53" s="41"/>
    </row>
    <row r="54" spans="1:14" ht="15.75" customHeight="1" x14ac:dyDescent="0.35">
      <c r="A54" s="128" t="s">
        <v>96</v>
      </c>
      <c r="B54" s="129"/>
      <c r="C54" s="129"/>
      <c r="D54" s="127" t="s">
        <v>215</v>
      </c>
      <c r="E54" s="127"/>
      <c r="F54" s="127"/>
      <c r="G54" s="127"/>
      <c r="H54" s="127"/>
      <c r="I54" s="41"/>
    </row>
    <row r="55" spans="1:14" ht="15.75" customHeight="1" x14ac:dyDescent="0.35">
      <c r="A55" s="83" t="s">
        <v>47</v>
      </c>
      <c r="B55" s="83"/>
      <c r="C55" s="83"/>
      <c r="D55" s="114" t="s">
        <v>201</v>
      </c>
      <c r="E55" s="114"/>
      <c r="F55" s="114"/>
      <c r="G55" s="114"/>
      <c r="H55" s="114"/>
      <c r="J55" s="39"/>
      <c r="K55" s="40"/>
      <c r="N55" s="40"/>
    </row>
    <row r="56" spans="1:14" ht="15.75" customHeight="1" x14ac:dyDescent="0.35">
      <c r="A56" s="83" t="s">
        <v>94</v>
      </c>
      <c r="B56" s="83"/>
      <c r="C56" s="83"/>
      <c r="D56" s="137" t="str">
        <f>(IF(G49="NA","60 Years After Completion",IF(G49&lt;&gt;"NA",""&amp;60-ROUNDDOWN((E3-G49)/360,0)&amp;" Years"," ")))</f>
        <v>60 Years After Completion</v>
      </c>
      <c r="E56" s="137"/>
      <c r="F56" s="137"/>
      <c r="G56" s="137"/>
      <c r="H56" s="137"/>
      <c r="N56" s="40"/>
    </row>
    <row r="57" spans="1:14" ht="15.75" customHeight="1" x14ac:dyDescent="0.35">
      <c r="A57" s="83" t="s">
        <v>95</v>
      </c>
      <c r="B57" s="83"/>
      <c r="C57" s="83"/>
      <c r="D57" s="115" t="s">
        <v>24</v>
      </c>
      <c r="E57" s="115"/>
      <c r="F57" s="115"/>
      <c r="G57" s="115"/>
      <c r="H57" s="115"/>
      <c r="J57" s="13"/>
      <c r="K57" s="13"/>
    </row>
    <row r="58" spans="1:14" ht="15" hidden="1" customHeight="1" x14ac:dyDescent="0.35">
      <c r="A58" s="83" t="s">
        <v>78</v>
      </c>
      <c r="B58" s="83"/>
      <c r="C58" s="83"/>
      <c r="D58" s="114" t="s">
        <v>162</v>
      </c>
      <c r="E58" s="115"/>
      <c r="F58" s="115"/>
      <c r="G58" s="115"/>
      <c r="H58" s="115"/>
    </row>
    <row r="59" spans="1:14" x14ac:dyDescent="0.35">
      <c r="A59" s="115" t="s">
        <v>163</v>
      </c>
      <c r="B59" s="115"/>
      <c r="C59" s="115"/>
      <c r="D59" s="115" t="s">
        <v>30</v>
      </c>
      <c r="E59" s="115"/>
      <c r="F59" s="115"/>
      <c r="G59" s="115"/>
      <c r="H59" s="115"/>
      <c r="I59" s="59"/>
      <c r="J59" s="59"/>
      <c r="K59" s="59"/>
      <c r="L59" s="59"/>
      <c r="M59" s="59"/>
      <c r="N59" s="59"/>
    </row>
    <row r="60" spans="1:14" ht="15.75" customHeight="1" x14ac:dyDescent="0.35">
      <c r="A60" s="138" t="s">
        <v>93</v>
      </c>
      <c r="B60" s="138"/>
      <c r="C60" s="138"/>
      <c r="D60" s="139" t="str">
        <f ca="1">(IF(G66&gt;95%,"Nothing",IF(G66&gt;0%,"Cement, Aggregate, Steel, etc",IF(G66=0%,"Work not yet Started"))))</f>
        <v>Cement, Aggregate, Steel, etc</v>
      </c>
      <c r="E60" s="139"/>
      <c r="F60" s="139"/>
      <c r="G60" s="139"/>
      <c r="H60" s="139"/>
      <c r="J60" s="13"/>
    </row>
    <row r="61" spans="1:14" ht="33.75" customHeight="1" thickBot="1" x14ac:dyDescent="0.4">
      <c r="A61" s="159" t="s">
        <v>129</v>
      </c>
      <c r="B61" s="159"/>
      <c r="C61" s="159"/>
      <c r="D61" s="139" t="str">
        <f ca="1">(IF(D60="Nothing","Yes",IF(D60="Cement, Aggregate, Steel, etc","Under Construction",IF(D60="Work not yet Started","Work not yet Started"))))</f>
        <v>Under Construction</v>
      </c>
      <c r="E61" s="139"/>
      <c r="F61" s="139" t="str">
        <f ca="1">(IF(D60="Nothing","Yes",IF(D60="Cement, Aggregate, Steel, etc","Under Construction",IF(D60="Work not yet Started","Work not yet Started"))))</f>
        <v>Under Construction</v>
      </c>
      <c r="G61" s="139"/>
      <c r="H61" s="139"/>
      <c r="I61" s="3">
        <f>35*0.68</f>
        <v>23.8</v>
      </c>
    </row>
    <row r="62" spans="1:14" ht="15.75" customHeight="1" x14ac:dyDescent="0.35">
      <c r="A62" s="142" t="s">
        <v>154</v>
      </c>
      <c r="B62" s="143"/>
      <c r="C62" s="144" t="str">
        <f>D54</f>
        <v>B + G + 1st to 34th floor</v>
      </c>
      <c r="D62" s="145"/>
      <c r="E62" s="145"/>
      <c r="F62" s="145"/>
      <c r="G62" s="145"/>
      <c r="H62" s="146"/>
      <c r="I62" s="46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upto 34 Slab, Brickwork upto 33 Floor, Internal Plaster upto 31.35 Floor, External Plaster upto 28.05 Floor, Flooring upto 2 Floor, Painting upto 2 Floor Completed</v>
      </c>
      <c r="J62" s="14"/>
    </row>
    <row r="63" spans="1:14" x14ac:dyDescent="0.35">
      <c r="A63" s="52" t="s">
        <v>156</v>
      </c>
      <c r="B63" s="62">
        <v>1</v>
      </c>
      <c r="C63" s="62" t="s">
        <v>76</v>
      </c>
      <c r="D63" s="62">
        <v>1</v>
      </c>
      <c r="E63" s="62" t="s">
        <v>75</v>
      </c>
      <c r="F63" s="62">
        <v>0</v>
      </c>
      <c r="G63" s="62" t="s">
        <v>87</v>
      </c>
      <c r="H63" s="55">
        <f ca="1">--TRIM(RIGHT(SUBSTITUTE(LEFT(C62,_xlfn.AGGREGATE(16,6,FIND({0,1,2,3,4,5,6,7,8,9},C62,ROW(INDIRECT("1:"&amp;LEN(C62)))),1))," ",REPT(" ",LEN(C62))),LEN(C62)))</f>
        <v>34</v>
      </c>
      <c r="I63" s="47"/>
      <c r="J63" s="15"/>
    </row>
    <row r="64" spans="1:14" ht="47.5" customHeight="1" x14ac:dyDescent="0.35">
      <c r="A64" s="141" t="s">
        <v>97</v>
      </c>
      <c r="B64" s="113"/>
      <c r="C64" s="147" t="str">
        <f ca="1">I62</f>
        <v>Excavation work Completed. Plinth work completed, RCC upto 34 Slab, Brickwork upto 33 Floor, Internal Plaster upto 31.35 Floor, External Plaster upto 28.05 Floor, Flooring upto 2 Floor, Painting upto 2 Floor Completed</v>
      </c>
      <c r="D64" s="147"/>
      <c r="E64" s="147"/>
      <c r="F64" s="147"/>
      <c r="G64" s="147"/>
      <c r="H64" s="148"/>
      <c r="I64" s="47" t="s">
        <v>115</v>
      </c>
      <c r="J64" s="15"/>
    </row>
    <row r="65" spans="1:10" ht="15.75" customHeight="1" x14ac:dyDescent="0.35">
      <c r="A65" s="135" t="s">
        <v>51</v>
      </c>
      <c r="B65" s="136"/>
      <c r="C65" s="66" t="s">
        <v>153</v>
      </c>
      <c r="D65" s="67" t="s">
        <v>90</v>
      </c>
      <c r="E65" s="136" t="s">
        <v>92</v>
      </c>
      <c r="F65" s="136"/>
      <c r="G65" s="136" t="s">
        <v>91</v>
      </c>
      <c r="H65" s="140"/>
      <c r="I65" s="38" t="s">
        <v>155</v>
      </c>
      <c r="J65" s="16">
        <f ca="1">H63*25%</f>
        <v>8.5</v>
      </c>
    </row>
    <row r="66" spans="1:10" x14ac:dyDescent="0.35">
      <c r="A66" s="136" t="s">
        <v>142</v>
      </c>
      <c r="B66" s="136"/>
      <c r="C66" s="68">
        <f ca="1">J67</f>
        <v>34</v>
      </c>
      <c r="D66" s="76">
        <f ca="1">((100/H63)*C66)/100</f>
        <v>1</v>
      </c>
      <c r="E66" s="134">
        <f ca="1">(((C67/H63*10)+(40/(D63+F63+H63)*C68)+(7.5/(H63)*C69)+(7.5/(H63)*C70)+(10/H63*C71)+(10/H63*C72)+(5/H63*C73)+(5/H63*C74)+(5/H63*C75))/100)</f>
        <v>0.72184348739495807</v>
      </c>
      <c r="F66" s="134"/>
      <c r="G66" s="134">
        <f ca="1">((((C66/H63)*20)+((C67/H63)*25)+(30/(H63+F63+D63)*C68)+(5/H63*C69)+(5/H63*C70)+(5/H63*C71)+(5/H63*C72)+(0/H63*C73)+(0/H63*C74)+(5/H63*C75))/100)</f>
        <v>0.88025210084033612</v>
      </c>
      <c r="H66" s="134"/>
      <c r="I66" s="38" t="s">
        <v>110</v>
      </c>
      <c r="J66" s="45">
        <f ca="1">H63*50%</f>
        <v>17</v>
      </c>
    </row>
    <row r="67" spans="1:10" x14ac:dyDescent="0.35">
      <c r="A67" s="136" t="s">
        <v>52</v>
      </c>
      <c r="B67" s="136"/>
      <c r="C67" s="69">
        <f ca="1">J67</f>
        <v>34</v>
      </c>
      <c r="D67" s="76">
        <f ca="1">((100/H63)*C67)/100</f>
        <v>1</v>
      </c>
      <c r="E67" s="134"/>
      <c r="F67" s="134"/>
      <c r="G67" s="134"/>
      <c r="H67" s="134"/>
      <c r="I67" s="38" t="s">
        <v>111</v>
      </c>
      <c r="J67" s="45">
        <f ca="1">H63</f>
        <v>34</v>
      </c>
    </row>
    <row r="68" spans="1:10" ht="15.75" customHeight="1" x14ac:dyDescent="0.35">
      <c r="A68" s="136" t="s">
        <v>143</v>
      </c>
      <c r="B68" s="136"/>
      <c r="C68" s="69">
        <v>34</v>
      </c>
      <c r="D68" s="76">
        <f ca="1">((100/(D63+F63+H63))*C68)/100</f>
        <v>0.97142857142857142</v>
      </c>
      <c r="E68" s="134"/>
      <c r="F68" s="134"/>
      <c r="G68" s="134"/>
      <c r="H68" s="134"/>
      <c r="I68" s="38" t="s">
        <v>112</v>
      </c>
      <c r="J68" s="49">
        <f ca="1">(IF(B63&gt;1,(H63/(B63+2)),H63/4))</f>
        <v>8.5</v>
      </c>
    </row>
    <row r="69" spans="1:10" ht="15.75" customHeight="1" x14ac:dyDescent="0.35">
      <c r="A69" s="136" t="s">
        <v>150</v>
      </c>
      <c r="B69" s="136" t="s">
        <v>144</v>
      </c>
      <c r="C69" s="69">
        <f>C68-1</f>
        <v>33</v>
      </c>
      <c r="D69" s="76">
        <f ca="1">((100/H63)*C69)/100</f>
        <v>0.97058823529411764</v>
      </c>
      <c r="E69" s="134"/>
      <c r="F69" s="134"/>
      <c r="G69" s="134"/>
      <c r="H69" s="134"/>
      <c r="I69" s="38" t="s">
        <v>113</v>
      </c>
      <c r="J69" s="49">
        <f ca="1">(IF(B63&gt;1,(H63/(B63+2)+J68),H63/4+J68))</f>
        <v>17</v>
      </c>
    </row>
    <row r="70" spans="1:10" ht="15.75" customHeight="1" x14ac:dyDescent="0.35">
      <c r="A70" s="136" t="s">
        <v>151</v>
      </c>
      <c r="B70" s="136" t="s">
        <v>144</v>
      </c>
      <c r="C70" s="69">
        <f>C69*0.95</f>
        <v>31.349999999999998</v>
      </c>
      <c r="D70" s="76">
        <f ca="1">((100/H63)*C70)/100</f>
        <v>0.92205882352941171</v>
      </c>
      <c r="E70" s="134"/>
      <c r="F70" s="134"/>
      <c r="G70" s="134"/>
      <c r="H70" s="134"/>
      <c r="I70" s="38" t="s">
        <v>160</v>
      </c>
      <c r="J70" s="49">
        <f>(IF(B63&gt;1,(H63/(B63+2)+J69),0))</f>
        <v>0</v>
      </c>
    </row>
    <row r="71" spans="1:10" ht="15" customHeight="1" x14ac:dyDescent="0.35">
      <c r="A71" s="136" t="s">
        <v>149</v>
      </c>
      <c r="B71" s="136" t="s">
        <v>146</v>
      </c>
      <c r="C71" s="69">
        <f>C69*0.85</f>
        <v>28.05</v>
      </c>
      <c r="D71" s="76">
        <f ca="1">((100/(H63))*C71)/100</f>
        <v>0.82500000000000018</v>
      </c>
      <c r="E71" s="134"/>
      <c r="F71" s="134"/>
      <c r="G71" s="134"/>
      <c r="H71" s="134"/>
      <c r="I71" s="38" t="s">
        <v>157</v>
      </c>
      <c r="J71" s="49">
        <f>(IF(B63&gt;2,(H63/(B63+2)+J70),0))</f>
        <v>0</v>
      </c>
    </row>
    <row r="72" spans="1:10" ht="15.75" customHeight="1" x14ac:dyDescent="0.35">
      <c r="A72" s="136" t="s">
        <v>145</v>
      </c>
      <c r="B72" s="136" t="s">
        <v>145</v>
      </c>
      <c r="C72" s="68">
        <v>2</v>
      </c>
      <c r="D72" s="76">
        <f ca="1">((100/H63)*C72)/100</f>
        <v>5.8823529411764712E-2</v>
      </c>
      <c r="E72" s="134"/>
      <c r="F72" s="134"/>
      <c r="G72" s="134"/>
      <c r="H72" s="134"/>
      <c r="I72" s="38" t="s">
        <v>158</v>
      </c>
      <c r="J72" s="50">
        <f>(IF(B63&gt;3,(H63/(B63+2)+J71),0))</f>
        <v>0</v>
      </c>
    </row>
    <row r="73" spans="1:10" ht="15.75" customHeight="1" x14ac:dyDescent="0.35">
      <c r="A73" s="136" t="s">
        <v>152</v>
      </c>
      <c r="B73" s="136"/>
      <c r="C73" s="68">
        <v>2</v>
      </c>
      <c r="D73" s="76">
        <f ca="1">((100/H63)*C73)/100</f>
        <v>5.8823529411764712E-2</v>
      </c>
      <c r="E73" s="134"/>
      <c r="F73" s="134"/>
      <c r="G73" s="134"/>
      <c r="H73" s="134"/>
      <c r="I73" s="38" t="s">
        <v>159</v>
      </c>
      <c r="J73" s="49">
        <f>(IF(B63&gt;4,(H63/(B63+2)+J72),0))</f>
        <v>0</v>
      </c>
    </row>
    <row r="74" spans="1:10" ht="15.75" customHeight="1" x14ac:dyDescent="0.35">
      <c r="A74" s="136" t="s">
        <v>147</v>
      </c>
      <c r="B74" s="136" t="s">
        <v>147</v>
      </c>
      <c r="C74" s="68">
        <v>0</v>
      </c>
      <c r="D74" s="76">
        <f ca="1">((100/(H63))*C74)/100</f>
        <v>0</v>
      </c>
      <c r="E74" s="134"/>
      <c r="F74" s="134"/>
      <c r="G74" s="134"/>
      <c r="H74" s="134"/>
      <c r="I74" s="38" t="s">
        <v>161</v>
      </c>
      <c r="J74" s="49">
        <f ca="1">(IF(B63=1,(H63/(B63+3)+J69),IF(B63=0,(H63/4+J69),IF(B63&gt;1,0))))</f>
        <v>25.5</v>
      </c>
    </row>
    <row r="75" spans="1:10" ht="16" thickBot="1" x14ac:dyDescent="0.4">
      <c r="A75" s="136" t="s">
        <v>148</v>
      </c>
      <c r="B75" s="136"/>
      <c r="C75" s="68">
        <v>0</v>
      </c>
      <c r="D75" s="76">
        <f ca="1">((100/(H63))*C75)/100</f>
        <v>0</v>
      </c>
      <c r="E75" s="134"/>
      <c r="F75" s="134"/>
      <c r="G75" s="134"/>
      <c r="H75" s="134"/>
      <c r="I75" s="48" t="s">
        <v>114</v>
      </c>
      <c r="J75" s="51">
        <f ca="1">(IF(B63&gt;1.5,(H63/(B63+2)+J69+MAX(0,J70-J69)+MAX(0,J71-J70)+MAX(0,J72-J71)+MAX(0,J73-J72)+MAX(0,J74-J73)),IF(B63=1,(H63/(B63+3)+J74),IF(B63=0,H63/4+J74))))</f>
        <v>34</v>
      </c>
    </row>
    <row r="76" spans="1:10" x14ac:dyDescent="0.35">
      <c r="A76" s="110" t="s">
        <v>53</v>
      </c>
      <c r="B76" s="110"/>
      <c r="C76" s="110"/>
      <c r="D76" s="110"/>
      <c r="E76" s="110"/>
      <c r="F76" s="110"/>
      <c r="G76" s="110"/>
      <c r="H76" s="110"/>
    </row>
    <row r="77" spans="1:10" x14ac:dyDescent="0.35">
      <c r="A77" s="83" t="s">
        <v>79</v>
      </c>
      <c r="B77" s="83"/>
      <c r="C77" s="83"/>
      <c r="D77" s="83"/>
      <c r="E77" s="83"/>
      <c r="F77" s="88">
        <v>13500</v>
      </c>
      <c r="G77" s="88"/>
      <c r="H77" s="88"/>
    </row>
    <row r="78" spans="1:10" x14ac:dyDescent="0.35">
      <c r="A78" s="83" t="s">
        <v>85</v>
      </c>
      <c r="B78" s="83"/>
      <c r="C78" s="83"/>
      <c r="D78" s="83"/>
      <c r="E78" s="83"/>
      <c r="F78" s="88">
        <v>27000</v>
      </c>
      <c r="G78" s="88"/>
      <c r="H78" s="88"/>
    </row>
    <row r="79" spans="1:10" x14ac:dyDescent="0.35">
      <c r="A79" s="83" t="s">
        <v>86</v>
      </c>
      <c r="B79" s="83"/>
      <c r="C79" s="83"/>
      <c r="D79" s="83"/>
      <c r="E79" s="83"/>
      <c r="F79" s="88">
        <v>25000</v>
      </c>
      <c r="G79" s="88"/>
      <c r="H79" s="88"/>
    </row>
    <row r="80" spans="1:10" s="7" customFormat="1" hidden="1" x14ac:dyDescent="0.3">
      <c r="A80" s="83" t="s">
        <v>102</v>
      </c>
      <c r="B80" s="83"/>
      <c r="C80" s="83"/>
      <c r="D80" s="83"/>
      <c r="E80" s="83"/>
      <c r="F80" s="88" t="s">
        <v>30</v>
      </c>
      <c r="G80" s="88"/>
      <c r="H80" s="88"/>
    </row>
    <row r="81" spans="1:8" s="7" customFormat="1" hidden="1" x14ac:dyDescent="0.3">
      <c r="A81" s="83" t="s">
        <v>103</v>
      </c>
      <c r="B81" s="83"/>
      <c r="C81" s="83"/>
      <c r="D81" s="83"/>
      <c r="E81" s="83"/>
      <c r="F81" s="88" t="s">
        <v>30</v>
      </c>
      <c r="G81" s="88"/>
      <c r="H81" s="88"/>
    </row>
    <row r="82" spans="1:8" s="7" customFormat="1" hidden="1" x14ac:dyDescent="0.3">
      <c r="A82" s="83" t="s">
        <v>104</v>
      </c>
      <c r="B82" s="83"/>
      <c r="C82" s="83"/>
      <c r="D82" s="83"/>
      <c r="E82" s="83"/>
      <c r="F82" s="88" t="s">
        <v>30</v>
      </c>
      <c r="G82" s="88"/>
      <c r="H82" s="88"/>
    </row>
    <row r="83" spans="1:8" s="7" customFormat="1" hidden="1" x14ac:dyDescent="0.3">
      <c r="A83" s="83" t="s">
        <v>105</v>
      </c>
      <c r="B83" s="83"/>
      <c r="C83" s="83"/>
      <c r="D83" s="83"/>
      <c r="E83" s="83"/>
      <c r="F83" s="88" t="s">
        <v>30</v>
      </c>
      <c r="G83" s="88"/>
      <c r="H83" s="88"/>
    </row>
    <row r="84" spans="1:8" s="7" customFormat="1" hidden="1" x14ac:dyDescent="0.3">
      <c r="A84" s="83" t="s">
        <v>106</v>
      </c>
      <c r="B84" s="83"/>
      <c r="C84" s="83"/>
      <c r="D84" s="83"/>
      <c r="E84" s="83"/>
      <c r="F84" s="88" t="s">
        <v>30</v>
      </c>
      <c r="G84" s="88"/>
      <c r="H84" s="88"/>
    </row>
    <row r="85" spans="1:8" s="7" customFormat="1" hidden="1" x14ac:dyDescent="0.3">
      <c r="A85" s="83" t="s">
        <v>107</v>
      </c>
      <c r="B85" s="83"/>
      <c r="C85" s="83"/>
      <c r="D85" s="83"/>
      <c r="E85" s="83"/>
      <c r="F85" s="88" t="s">
        <v>30</v>
      </c>
      <c r="G85" s="88"/>
      <c r="H85" s="88"/>
    </row>
    <row r="86" spans="1:8" s="7" customFormat="1" hidden="1" x14ac:dyDescent="0.3">
      <c r="A86" s="83" t="s">
        <v>108</v>
      </c>
      <c r="B86" s="83"/>
      <c r="C86" s="83"/>
      <c r="D86" s="83"/>
      <c r="E86" s="83"/>
      <c r="F86" s="88" t="s">
        <v>30</v>
      </c>
      <c r="G86" s="88"/>
      <c r="H86" s="88"/>
    </row>
    <row r="87" spans="1:8" s="7" customFormat="1" hidden="1" x14ac:dyDescent="0.3">
      <c r="A87" s="83" t="s">
        <v>109</v>
      </c>
      <c r="B87" s="83"/>
      <c r="C87" s="83"/>
      <c r="D87" s="83"/>
      <c r="E87" s="83"/>
      <c r="F87" s="88" t="s">
        <v>30</v>
      </c>
      <c r="G87" s="88"/>
      <c r="H87" s="88"/>
    </row>
    <row r="88" spans="1:8" x14ac:dyDescent="0.35">
      <c r="A88" s="83" t="s">
        <v>54</v>
      </c>
      <c r="B88" s="83"/>
      <c r="C88" s="83"/>
      <c r="D88" s="83"/>
      <c r="E88" s="83"/>
      <c r="F88" s="162" t="s">
        <v>204</v>
      </c>
      <c r="G88" s="162"/>
      <c r="H88" s="162"/>
    </row>
    <row r="89" spans="1:8" s="4" customFormat="1" x14ac:dyDescent="0.35">
      <c r="A89" s="110" t="s">
        <v>55</v>
      </c>
      <c r="B89" s="110"/>
      <c r="C89" s="110"/>
      <c r="D89" s="110"/>
      <c r="E89" s="110"/>
      <c r="F89" s="88">
        <f>F77*0.8</f>
        <v>10800</v>
      </c>
      <c r="G89" s="88"/>
      <c r="H89" s="88"/>
    </row>
    <row r="90" spans="1:8" s="1" customFormat="1" ht="15.75" customHeight="1" x14ac:dyDescent="0.35">
      <c r="A90" s="92" t="s">
        <v>80</v>
      </c>
      <c r="B90" s="92"/>
      <c r="C90" s="92"/>
      <c r="D90" s="92"/>
      <c r="E90" s="92"/>
      <c r="F90" s="92"/>
      <c r="G90" s="92"/>
      <c r="H90" s="92"/>
    </row>
    <row r="91" spans="1:8" s="1" customFormat="1" ht="15.75" customHeight="1" x14ac:dyDescent="0.35">
      <c r="A91" s="85" t="s">
        <v>56</v>
      </c>
      <c r="B91" s="85"/>
      <c r="C91" s="84" t="s">
        <v>83</v>
      </c>
      <c r="D91" s="84"/>
      <c r="E91" s="91" t="s">
        <v>57</v>
      </c>
      <c r="F91" s="91"/>
      <c r="G91" s="85" t="s">
        <v>58</v>
      </c>
      <c r="H91" s="85"/>
    </row>
    <row r="92" spans="1:8" s="1" customFormat="1" x14ac:dyDescent="0.35">
      <c r="A92" s="103" t="s">
        <v>168</v>
      </c>
      <c r="B92" s="103"/>
      <c r="C92" s="160">
        <f>COUNT(D105:D111)</f>
        <v>7</v>
      </c>
      <c r="D92" s="80"/>
      <c r="E92" s="81">
        <f>SUM(D105:D111)</f>
        <v>3034.4792400000001</v>
      </c>
      <c r="F92" s="161"/>
      <c r="G92" s="81">
        <f>SUM(F105:F111)</f>
        <v>5088.0672726000003</v>
      </c>
      <c r="H92" s="161"/>
    </row>
    <row r="93" spans="1:8" s="1" customFormat="1" x14ac:dyDescent="0.35">
      <c r="A93" s="103" t="s">
        <v>170</v>
      </c>
      <c r="B93" s="103"/>
      <c r="C93" s="160">
        <f>COUNT(D113)*2</f>
        <v>2</v>
      </c>
      <c r="D93" s="80"/>
      <c r="E93" s="81">
        <f>SUM(D113)*2</f>
        <v>6214.0571999999993</v>
      </c>
      <c r="F93" s="161"/>
      <c r="G93" s="81">
        <f>SUM(F113)*2</f>
        <v>9942.4915199999996</v>
      </c>
      <c r="H93" s="161"/>
    </row>
    <row r="94" spans="1:8" s="71" customFormat="1" ht="15" x14ac:dyDescent="0.35">
      <c r="A94" s="92" t="s">
        <v>182</v>
      </c>
      <c r="B94" s="92"/>
      <c r="C94" s="93">
        <f>SUM(C92:D93)</f>
        <v>9</v>
      </c>
      <c r="D94" s="84"/>
      <c r="E94" s="104">
        <f>SUM(E92:F93)</f>
        <v>9248.5364399999999</v>
      </c>
      <c r="F94" s="91"/>
      <c r="G94" s="85">
        <f>SUM(G92:H93)</f>
        <v>15030.558792600001</v>
      </c>
      <c r="H94" s="85"/>
    </row>
    <row r="95" spans="1:8" s="1" customFormat="1" x14ac:dyDescent="0.35">
      <c r="A95" s="92" t="s">
        <v>74</v>
      </c>
      <c r="B95" s="92"/>
      <c r="C95" s="92"/>
      <c r="D95" s="92"/>
      <c r="E95" s="92"/>
      <c r="F95" s="92"/>
      <c r="G95" s="92"/>
      <c r="H95" s="92"/>
    </row>
    <row r="96" spans="1:8" s="1" customFormat="1" ht="15.75" customHeight="1" x14ac:dyDescent="0.35">
      <c r="A96" s="85" t="s">
        <v>56</v>
      </c>
      <c r="B96" s="85"/>
      <c r="C96" s="84" t="s">
        <v>83</v>
      </c>
      <c r="D96" s="84"/>
      <c r="E96" s="91" t="s">
        <v>57</v>
      </c>
      <c r="F96" s="91"/>
      <c r="G96" s="85" t="s">
        <v>58</v>
      </c>
      <c r="H96" s="85"/>
    </row>
    <row r="97" spans="1:14" s="1" customFormat="1" x14ac:dyDescent="0.35">
      <c r="A97" s="103" t="s">
        <v>183</v>
      </c>
      <c r="B97" s="103"/>
      <c r="C97" s="80">
        <f>COUNT(D119:D122)+COUNT(D124:D127)*22+COUNT(D129:D131)+COUNT(D134:D136)*5+COUNT(D138)*5</f>
        <v>115</v>
      </c>
      <c r="D97" s="80"/>
      <c r="E97" s="81">
        <f>SUM(D119:D122)+SUM(D124:D127)*22+SUM(D129:D131)+SUM(D134:D136)*5+SUM(D138)*5</f>
        <v>61980.403679999996</v>
      </c>
      <c r="F97" s="81"/>
      <c r="G97" s="81">
        <f>SUM(F119:F122)+SUM(F124:F127)*22+SUM(F129:F131)+SUM(F134:F136)*5+SUM(F138)*5</f>
        <v>99766.53226800001</v>
      </c>
      <c r="H97" s="81"/>
    </row>
    <row r="98" spans="1:14" s="4" customFormat="1" x14ac:dyDescent="0.35">
      <c r="A98" s="82" t="s">
        <v>59</v>
      </c>
      <c r="B98" s="82"/>
      <c r="C98" s="82"/>
      <c r="D98" s="82"/>
      <c r="E98" s="82"/>
      <c r="F98" s="82"/>
      <c r="G98" s="82"/>
      <c r="H98" s="82"/>
    </row>
    <row r="99" spans="1:14" x14ac:dyDescent="0.35">
      <c r="A99" s="82" t="s">
        <v>60</v>
      </c>
      <c r="B99" s="82"/>
      <c r="C99" s="82"/>
      <c r="D99" s="82"/>
      <c r="E99" s="82"/>
      <c r="F99" s="82"/>
      <c r="G99" s="82"/>
      <c r="H99" s="82"/>
    </row>
    <row r="100" spans="1:14" ht="47.25" customHeight="1" x14ac:dyDescent="0.35">
      <c r="A100" s="89" t="s">
        <v>131</v>
      </c>
      <c r="B100" s="89" t="s">
        <v>130</v>
      </c>
      <c r="C100" s="89" t="s">
        <v>61</v>
      </c>
      <c r="D100" s="89" t="s">
        <v>62</v>
      </c>
      <c r="E100" s="95" t="s">
        <v>181</v>
      </c>
      <c r="F100" s="31" t="s">
        <v>164</v>
      </c>
      <c r="G100" s="97" t="s">
        <v>64</v>
      </c>
      <c r="H100" s="98"/>
    </row>
    <row r="101" spans="1:14" s="2" customFormat="1" x14ac:dyDescent="0.35">
      <c r="A101" s="90"/>
      <c r="B101" s="90"/>
      <c r="C101" s="90"/>
      <c r="D101" s="90"/>
      <c r="E101" s="96"/>
      <c r="F101" s="32">
        <v>0.6</v>
      </c>
      <c r="G101" s="99"/>
      <c r="H101" s="100"/>
    </row>
    <row r="102" spans="1:14" x14ac:dyDescent="0.35">
      <c r="A102" s="82" t="s">
        <v>165</v>
      </c>
      <c r="B102" s="82"/>
      <c r="C102" s="82"/>
      <c r="D102" s="82"/>
      <c r="E102" s="82"/>
      <c r="F102" s="82"/>
      <c r="G102" s="82"/>
      <c r="H102" s="82"/>
    </row>
    <row r="103" spans="1:14" x14ac:dyDescent="0.35">
      <c r="A103" s="82" t="s">
        <v>166</v>
      </c>
      <c r="B103" s="82"/>
      <c r="C103" s="82"/>
      <c r="D103" s="82"/>
      <c r="E103" s="82"/>
      <c r="F103" s="82"/>
      <c r="G103" s="82"/>
      <c r="H103" s="82"/>
    </row>
    <row r="104" spans="1:14" s="2" customFormat="1" x14ac:dyDescent="0.35">
      <c r="A104" s="77" t="s">
        <v>167</v>
      </c>
      <c r="B104" s="78"/>
      <c r="C104" s="78"/>
      <c r="D104" s="78"/>
      <c r="E104" s="78"/>
      <c r="F104" s="78"/>
      <c r="G104" s="78"/>
      <c r="H104" s="79"/>
      <c r="J104" s="34"/>
    </row>
    <row r="105" spans="1:14" s="2" customFormat="1" ht="15.75" customHeight="1" x14ac:dyDescent="0.35">
      <c r="A105" s="86">
        <v>1</v>
      </c>
      <c r="B105" s="87"/>
      <c r="C105" s="33" t="s">
        <v>168</v>
      </c>
      <c r="D105" s="33">
        <f>(21.66)*10.764</f>
        <v>233.14823999999999</v>
      </c>
      <c r="E105" s="33">
        <v>0</v>
      </c>
      <c r="F105" s="33">
        <f t="shared" ref="F105:F111" si="0">D105*(($F$101)+1)+(IF(E105&lt;101,E105,IF(E105&lt;201,E105/2,IF(E105&lt;=301,E105/3,E105/4))))</f>
        <v>373.03718400000002</v>
      </c>
      <c r="G105" s="171" t="str">
        <f>A104</f>
        <v>Ground Floor for Commercial &amp; Parking</v>
      </c>
      <c r="H105" s="172"/>
      <c r="I105" s="34"/>
      <c r="L105" s="105"/>
      <c r="M105" s="105"/>
      <c r="N105" s="34"/>
    </row>
    <row r="106" spans="1:14" s="2" customFormat="1" ht="15.75" customHeight="1" x14ac:dyDescent="0.35">
      <c r="A106" s="86">
        <f t="shared" ref="A106:A111" si="1">A105+1</f>
        <v>2</v>
      </c>
      <c r="B106" s="87"/>
      <c r="C106" s="60" t="s">
        <v>168</v>
      </c>
      <c r="D106" s="33">
        <f>(23.05)*10.764</f>
        <v>248.11019999999999</v>
      </c>
      <c r="E106" s="44">
        <v>0</v>
      </c>
      <c r="F106" s="58">
        <f t="shared" si="0"/>
        <v>396.97631999999999</v>
      </c>
      <c r="G106" s="173"/>
      <c r="H106" s="174"/>
      <c r="I106" s="34"/>
      <c r="L106" s="105"/>
      <c r="M106" s="105"/>
      <c r="N106" s="34"/>
    </row>
    <row r="107" spans="1:14" s="2" customFormat="1" ht="15.75" customHeight="1" x14ac:dyDescent="0.35">
      <c r="A107" s="86">
        <f t="shared" si="1"/>
        <v>3</v>
      </c>
      <c r="B107" s="87"/>
      <c r="C107" s="60" t="s">
        <v>168</v>
      </c>
      <c r="D107" s="33">
        <f>(52.28)*10.764</f>
        <v>562.74191999999994</v>
      </c>
      <c r="E107" s="44">
        <v>0</v>
      </c>
      <c r="F107" s="58">
        <f t="shared" si="0"/>
        <v>900.38707199999999</v>
      </c>
      <c r="G107" s="173"/>
      <c r="H107" s="174"/>
      <c r="I107" s="34"/>
      <c r="L107" s="105"/>
      <c r="M107" s="105"/>
      <c r="N107" s="34"/>
    </row>
    <row r="108" spans="1:14" s="2" customFormat="1" ht="15.75" customHeight="1" x14ac:dyDescent="0.35">
      <c r="A108" s="86">
        <f t="shared" si="1"/>
        <v>4</v>
      </c>
      <c r="B108" s="87"/>
      <c r="C108" s="60" t="s">
        <v>168</v>
      </c>
      <c r="D108" s="33">
        <f>(76.53)*10.764</f>
        <v>823.76891999999998</v>
      </c>
      <c r="E108" s="44">
        <v>0</v>
      </c>
      <c r="F108" s="58">
        <f t="shared" si="0"/>
        <v>1318.030272</v>
      </c>
      <c r="G108" s="173"/>
      <c r="H108" s="174"/>
      <c r="I108" s="34"/>
      <c r="L108" s="105"/>
      <c r="M108" s="105"/>
      <c r="N108" s="34"/>
    </row>
    <row r="109" spans="1:14" s="2" customFormat="1" ht="15.75" customHeight="1" x14ac:dyDescent="0.35">
      <c r="A109" s="86">
        <f t="shared" si="1"/>
        <v>5</v>
      </c>
      <c r="B109" s="87"/>
      <c r="C109" s="60" t="s">
        <v>168</v>
      </c>
      <c r="D109" s="33">
        <f>(29.69)*10.764</f>
        <v>319.58316000000002</v>
      </c>
      <c r="E109" s="44">
        <f>(4.1*2.8+2.8*1*0.5)*10.764</f>
        <v>138.64031999999997</v>
      </c>
      <c r="F109" s="58">
        <f t="shared" si="0"/>
        <v>580.65321600000004</v>
      </c>
      <c r="G109" s="173"/>
      <c r="H109" s="174"/>
      <c r="I109" s="34"/>
      <c r="L109" s="105"/>
      <c r="M109" s="105"/>
      <c r="N109" s="34"/>
    </row>
    <row r="110" spans="1:14" s="2" customFormat="1" ht="15.75" customHeight="1" x14ac:dyDescent="0.35">
      <c r="A110" s="86">
        <f t="shared" si="1"/>
        <v>6</v>
      </c>
      <c r="B110" s="87"/>
      <c r="C110" s="60" t="s">
        <v>168</v>
      </c>
      <c r="D110" s="33">
        <f>(35.31)*10.764</f>
        <v>380.07684</v>
      </c>
      <c r="E110" s="44">
        <f>(5.95*2.85)*10.764</f>
        <v>182.53052999999997</v>
      </c>
      <c r="F110" s="58">
        <f t="shared" si="0"/>
        <v>699.38820900000007</v>
      </c>
      <c r="G110" s="173"/>
      <c r="H110" s="174"/>
      <c r="I110" s="34"/>
      <c r="L110" s="105"/>
      <c r="M110" s="105"/>
      <c r="N110" s="34"/>
    </row>
    <row r="111" spans="1:14" s="2" customFormat="1" ht="15.75" customHeight="1" x14ac:dyDescent="0.35">
      <c r="A111" s="86">
        <f t="shared" si="1"/>
        <v>7</v>
      </c>
      <c r="B111" s="87"/>
      <c r="C111" s="60" t="s">
        <v>168</v>
      </c>
      <c r="D111" s="33">
        <f>(43.39)*10.764</f>
        <v>467.04996</v>
      </c>
      <c r="E111" s="44">
        <f>(3.21*0.95+5.03*1.46+5.61*1.74)*10.764</f>
        <v>216.94519079999998</v>
      </c>
      <c r="F111" s="58">
        <f t="shared" si="0"/>
        <v>819.59499960000005</v>
      </c>
      <c r="G111" s="175"/>
      <c r="H111" s="176"/>
      <c r="I111" s="34"/>
      <c r="L111" s="105"/>
      <c r="M111" s="105"/>
      <c r="N111" s="34"/>
    </row>
    <row r="112" spans="1:14" s="63" customFormat="1" x14ac:dyDescent="0.35">
      <c r="A112" s="77" t="s">
        <v>169</v>
      </c>
      <c r="B112" s="78"/>
      <c r="C112" s="78"/>
      <c r="D112" s="78"/>
      <c r="E112" s="78"/>
      <c r="F112" s="78"/>
      <c r="G112" s="78"/>
      <c r="H112" s="79"/>
      <c r="J112" s="34"/>
    </row>
    <row r="113" spans="1:16" s="63" customFormat="1" x14ac:dyDescent="0.35">
      <c r="A113" s="86">
        <v>1</v>
      </c>
      <c r="B113" s="87"/>
      <c r="C113" s="60" t="s">
        <v>170</v>
      </c>
      <c r="D113" s="60">
        <f>(288.65)*10.764</f>
        <v>3107.0285999999996</v>
      </c>
      <c r="E113" s="60">
        <v>0</v>
      </c>
      <c r="F113" s="60">
        <f>D113*(($F$101)+1)+(IF(E113&lt;101,E113,IF(E113&lt;201,E113/2,IF(E113&lt;=301,E113/3,E113/4))))</f>
        <v>4971.2457599999998</v>
      </c>
      <c r="G113" s="86" t="str">
        <f>A112</f>
        <v>1st &amp; 2nd Floor for Commercial</v>
      </c>
      <c r="H113" s="87"/>
      <c r="I113" s="34"/>
      <c r="L113" s="105"/>
      <c r="M113" s="105"/>
      <c r="N113" s="34"/>
    </row>
    <row r="114" spans="1:16" s="36" customFormat="1" x14ac:dyDescent="0.35">
      <c r="A114" s="86"/>
      <c r="B114" s="101"/>
      <c r="C114" s="101"/>
      <c r="D114" s="101"/>
      <c r="E114" s="101"/>
      <c r="F114" s="101"/>
      <c r="G114" s="101"/>
      <c r="H114" s="87"/>
      <c r="I114" s="34"/>
      <c r="N114" s="34"/>
    </row>
    <row r="115" spans="1:16" ht="47.25" customHeight="1" x14ac:dyDescent="0.35">
      <c r="A115" s="97" t="s">
        <v>132</v>
      </c>
      <c r="B115" s="97" t="s">
        <v>133</v>
      </c>
      <c r="C115" s="89" t="s">
        <v>61</v>
      </c>
      <c r="D115" s="89" t="s">
        <v>62</v>
      </c>
      <c r="E115" s="95" t="s">
        <v>63</v>
      </c>
      <c r="F115" s="37" t="s">
        <v>164</v>
      </c>
      <c r="G115" s="97" t="s">
        <v>64</v>
      </c>
      <c r="H115" s="98"/>
      <c r="I115" s="34"/>
    </row>
    <row r="116" spans="1:16" s="36" customFormat="1" x14ac:dyDescent="0.35">
      <c r="A116" s="99"/>
      <c r="B116" s="99"/>
      <c r="C116" s="90"/>
      <c r="D116" s="90"/>
      <c r="E116" s="96"/>
      <c r="F116" s="32">
        <v>0.6</v>
      </c>
      <c r="G116" s="99"/>
      <c r="H116" s="100"/>
      <c r="I116" s="34"/>
    </row>
    <row r="117" spans="1:16" x14ac:dyDescent="0.35">
      <c r="A117" s="82" t="s">
        <v>171</v>
      </c>
      <c r="B117" s="82"/>
      <c r="C117" s="82"/>
      <c r="D117" s="82"/>
      <c r="E117" s="82"/>
      <c r="F117" s="82"/>
      <c r="G117" s="82"/>
      <c r="H117" s="82"/>
    </row>
    <row r="118" spans="1:16" s="2" customFormat="1" x14ac:dyDescent="0.35">
      <c r="A118" s="102" t="s">
        <v>172</v>
      </c>
      <c r="B118" s="102"/>
      <c r="C118" s="102"/>
      <c r="D118" s="102"/>
      <c r="E118" s="102"/>
      <c r="F118" s="102"/>
      <c r="G118" s="102"/>
      <c r="H118" s="102"/>
      <c r="I118" s="34"/>
      <c r="L118" s="105"/>
      <c r="M118" s="105"/>
    </row>
    <row r="119" spans="1:16" s="2" customFormat="1" ht="15.75" customHeight="1" x14ac:dyDescent="0.35">
      <c r="A119" s="94">
        <v>1</v>
      </c>
      <c r="B119" s="94"/>
      <c r="C119" s="75" t="s">
        <v>173</v>
      </c>
      <c r="D119" s="75">
        <f>(59.08)*10.764</f>
        <v>635.93711999999994</v>
      </c>
      <c r="E119" s="75">
        <v>0</v>
      </c>
      <c r="F119" s="75">
        <f>D119*(($F$116)+1)+(IF(E119&lt;101,E119,IF(E119&lt;201,E119/2,IF(E119&lt;=301,E119/3,E119/4))))</f>
        <v>1017.4993919999999</v>
      </c>
      <c r="G119" s="94" t="str">
        <f>A118</f>
        <v>4th Floor for Residential</v>
      </c>
      <c r="H119" s="94"/>
      <c r="I119" s="34">
        <f>(4.85*3.05+3.45*2.3+2.25*1.35+3.45*3.05+3.19*3.28+1.2*2.33+2.2*1.2+2.33*0.9+1*3.05+0.6*(2.3+3.05+2.1))*10.764</f>
        <v>665.2550268</v>
      </c>
      <c r="L119" s="42"/>
      <c r="M119" s="42"/>
      <c r="N119" s="34"/>
    </row>
    <row r="120" spans="1:16" s="2" customFormat="1" ht="15.75" customHeight="1" x14ac:dyDescent="0.35">
      <c r="A120" s="94">
        <f>A119+1</f>
        <v>2</v>
      </c>
      <c r="B120" s="94"/>
      <c r="C120" s="75" t="s">
        <v>173</v>
      </c>
      <c r="D120" s="75">
        <f>(59.64)*10.764</f>
        <v>641.96496000000002</v>
      </c>
      <c r="E120" s="75">
        <f>(15.87)*10.764</f>
        <v>170.82467999999997</v>
      </c>
      <c r="F120" s="75">
        <f>D120*(($F$116)+1)+(IF(E120&lt;101,E120,IF(E120&lt;201,E120/2,IF(E120&lt;=301,E120/3,E120/4))))</f>
        <v>1112.5562760000003</v>
      </c>
      <c r="G120" s="94"/>
      <c r="H120" s="94"/>
      <c r="I120" s="34"/>
      <c r="L120" s="42"/>
      <c r="M120" s="42"/>
      <c r="N120" s="34"/>
    </row>
    <row r="121" spans="1:16" s="2" customFormat="1" ht="15.75" customHeight="1" x14ac:dyDescent="0.35">
      <c r="A121" s="94">
        <f>A120+1</f>
        <v>3</v>
      </c>
      <c r="B121" s="94"/>
      <c r="C121" s="75" t="s">
        <v>174</v>
      </c>
      <c r="D121" s="75">
        <f>(41.79)*10.764</f>
        <v>449.82755999999995</v>
      </c>
      <c r="E121" s="75">
        <v>0</v>
      </c>
      <c r="F121" s="75">
        <f>D121*(($F$116)+1)+(IF(E121&lt;101,E121,IF(E121&lt;201,E121/2,IF(E121&lt;=301,E121/3,E121/4))))</f>
        <v>719.72409599999992</v>
      </c>
      <c r="G121" s="94"/>
      <c r="H121" s="94"/>
      <c r="I121" s="34"/>
      <c r="L121" s="42"/>
      <c r="M121" s="42"/>
      <c r="N121" s="34"/>
    </row>
    <row r="122" spans="1:16" s="2" customFormat="1" ht="15.75" customHeight="1" x14ac:dyDescent="0.35">
      <c r="A122" s="94">
        <f>A121+1</f>
        <v>4</v>
      </c>
      <c r="B122" s="94"/>
      <c r="C122" s="75" t="s">
        <v>174</v>
      </c>
      <c r="D122" s="75">
        <f>(42.81)*10.764</f>
        <v>460.80684000000002</v>
      </c>
      <c r="E122" s="75">
        <v>0</v>
      </c>
      <c r="F122" s="75">
        <f>D122*(($F$116)+1)+(IF(E122&lt;101,E122,IF(E122&lt;201,E122/2,IF(E122&lt;=301,E122/3,E122/4))))</f>
        <v>737.29094400000008</v>
      </c>
      <c r="G122" s="94"/>
      <c r="H122" s="94"/>
      <c r="I122" s="34">
        <f>(2.9*4.86+2.15*2.6+3.16*3.65+1.3*2.26+2*1.2+2.31*1.2+1*1+0.6*(2.2+1.4+2.5))*10.764</f>
        <v>473.48683199999999</v>
      </c>
      <c r="L122" s="42"/>
      <c r="M122" s="42"/>
      <c r="N122" s="34"/>
    </row>
    <row r="123" spans="1:16" s="2" customFormat="1" ht="15.75" customHeight="1" x14ac:dyDescent="0.35">
      <c r="A123" s="102" t="s">
        <v>177</v>
      </c>
      <c r="B123" s="102"/>
      <c r="C123" s="102"/>
      <c r="D123" s="102"/>
      <c r="E123" s="102"/>
      <c r="F123" s="102"/>
      <c r="G123" s="102"/>
      <c r="H123" s="102"/>
      <c r="I123" s="34"/>
      <c r="L123" s="42"/>
      <c r="M123" s="42"/>
      <c r="P123" s="35"/>
    </row>
    <row r="124" spans="1:16" s="2" customFormat="1" ht="15.75" customHeight="1" x14ac:dyDescent="0.35">
      <c r="A124" s="94">
        <v>1</v>
      </c>
      <c r="B124" s="94"/>
      <c r="C124" s="75" t="s">
        <v>173</v>
      </c>
      <c r="D124" s="75">
        <f>(59.08)*10.764</f>
        <v>635.93711999999994</v>
      </c>
      <c r="E124" s="75">
        <v>0</v>
      </c>
      <c r="F124" s="75">
        <f>D124*(($F$116)+1)+(IF(E124&lt;101,E124,IF(E124&lt;201,E124/2,IF(E124&lt;=301,E124/3,E124/4))))</f>
        <v>1017.4993919999999</v>
      </c>
      <c r="G124" s="94" t="str">
        <f>A123</f>
        <v>5th, 6th, 8th to 11th, 13th to 16th, 18th to 21st, 23rd to 26th, 28th to 31st Floor</v>
      </c>
      <c r="H124" s="94"/>
      <c r="I124" s="34">
        <f>13800000/F124</f>
        <v>13562.66166692707</v>
      </c>
      <c r="M124" s="42"/>
      <c r="N124" s="42" t="str">
        <f t="shared" ref="N124:N127" ca="1" si="2">O124&amp;""&amp;",..,"&amp;""&amp;P124</f>
        <v>56801,..,3101</v>
      </c>
      <c r="O124" s="56">
        <f ca="1">(SUMPRODUCT(MID(0&amp;(LEFT(A123,SUM(LEN(A123)-LEN(SUBSTITUTE(A123,{0,1,2},""))))), LARGE(INDEX(ISNUMBER(--MID((LEFT(A123,SUM(LEN(A123)-LEN(SUBSTITUTE(A123,{0,1,2},""))))), ROW(INDIRECT("1:"&amp;LEN((LEFT(A123,SUM(LEN(A123)-LEN(SUBSTITUTE(A123,{0,1,2},"")))))))), 1)) * ROW(INDIRECT("1:"&amp;LEN((LEFT(A123,SUM(LEN(A123)-LEN(SUBSTITUTE(A123,{0,1,2},"")))))))), 0), ROW(INDIRECT("1:"&amp;LEN((LEFT(A123,SUM(LEN(A123)-LEN(SUBSTITUTE(A123,{0,1,2},"")))))))))+1, 1) * 10^ROW(INDIRECT("1:"&amp;LEN((LEFT(A123,SUM(LEN(A123)-LEN(SUBSTITUTE(A123,{0,1,2},""))))))))/10))*100+1</f>
        <v>56801</v>
      </c>
      <c r="P124" s="56">
        <f ca="1">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",LEN(A123))),LEN(A123)))))))/10))*100+1</f>
        <v>3101</v>
      </c>
    </row>
    <row r="125" spans="1:16" s="2" customFormat="1" ht="15.75" customHeight="1" x14ac:dyDescent="0.35">
      <c r="A125" s="94">
        <v>2</v>
      </c>
      <c r="B125" s="94"/>
      <c r="C125" s="75" t="s">
        <v>173</v>
      </c>
      <c r="D125" s="75">
        <f>(59.64)*10.764</f>
        <v>641.96496000000002</v>
      </c>
      <c r="E125" s="75">
        <v>0</v>
      </c>
      <c r="F125" s="75">
        <f>D125*(($F$116)+1)+(IF(E125&lt;101,E125,IF(E125&lt;201,E125/2,IF(E125&lt;=301,E125/3,E125/4))))</f>
        <v>1027.1439360000002</v>
      </c>
      <c r="G125" s="94"/>
      <c r="H125" s="94"/>
      <c r="I125" s="34">
        <f>13800000/F125</f>
        <v>13435.312731087377</v>
      </c>
      <c r="M125" s="42"/>
      <c r="N125" s="53" t="str">
        <f t="shared" ca="1" si="2"/>
        <v>56802,..,3102</v>
      </c>
      <c r="O125" s="2">
        <f t="shared" ref="O125:P127" ca="1" si="3">O124+1</f>
        <v>56802</v>
      </c>
      <c r="P125" s="2">
        <f t="shared" ca="1" si="3"/>
        <v>3102</v>
      </c>
    </row>
    <row r="126" spans="1:16" s="2" customFormat="1" ht="15.75" customHeight="1" x14ac:dyDescent="0.35">
      <c r="A126" s="94">
        <v>3</v>
      </c>
      <c r="B126" s="94"/>
      <c r="C126" s="75" t="s">
        <v>174</v>
      </c>
      <c r="D126" s="75">
        <f>(41.79)*10.764</f>
        <v>449.82755999999995</v>
      </c>
      <c r="E126" s="75">
        <v>0</v>
      </c>
      <c r="F126" s="75">
        <f>D126*(($F$116)+1)+(IF(E126&lt;101,E126,IF(E126&lt;201,E126/2,IF(E126&lt;=301,E126/3,E126/4))))</f>
        <v>719.72409599999992</v>
      </c>
      <c r="G126" s="94"/>
      <c r="H126" s="94"/>
      <c r="I126" s="34">
        <f>10000000/F126</f>
        <v>13894.213151368494</v>
      </c>
      <c r="M126" s="42"/>
      <c r="N126" s="53" t="str">
        <f t="shared" ca="1" si="2"/>
        <v>56803,..,3103</v>
      </c>
      <c r="O126" s="2">
        <f t="shared" ca="1" si="3"/>
        <v>56803</v>
      </c>
      <c r="P126" s="2">
        <f t="shared" ca="1" si="3"/>
        <v>3103</v>
      </c>
    </row>
    <row r="127" spans="1:16" s="2" customFormat="1" ht="15.75" customHeight="1" x14ac:dyDescent="0.35">
      <c r="A127" s="94">
        <v>4</v>
      </c>
      <c r="B127" s="94"/>
      <c r="C127" s="75" t="s">
        <v>174</v>
      </c>
      <c r="D127" s="75">
        <f>(42.81)*10.764</f>
        <v>460.80684000000002</v>
      </c>
      <c r="E127" s="75">
        <v>0</v>
      </c>
      <c r="F127" s="75">
        <f>D127*(($F$116)+1)+(IF(E127&lt;101,E127,IF(E127&lt;201,E127/2,IF(E127&lt;=301,E127/3,E127/4))))</f>
        <v>737.29094400000008</v>
      </c>
      <c r="G127" s="94"/>
      <c r="H127" s="94"/>
      <c r="I127" s="34"/>
      <c r="M127" s="42"/>
      <c r="N127" s="53" t="str">
        <f t="shared" ca="1" si="2"/>
        <v>56804,..,3104</v>
      </c>
      <c r="O127" s="2">
        <f t="shared" ca="1" si="3"/>
        <v>56804</v>
      </c>
      <c r="P127" s="2">
        <f t="shared" ca="1" si="3"/>
        <v>3104</v>
      </c>
    </row>
    <row r="128" spans="1:16" s="63" customFormat="1" x14ac:dyDescent="0.35">
      <c r="A128" s="102" t="s">
        <v>175</v>
      </c>
      <c r="B128" s="102"/>
      <c r="C128" s="102"/>
      <c r="D128" s="102"/>
      <c r="E128" s="102"/>
      <c r="F128" s="102"/>
      <c r="G128" s="102"/>
      <c r="H128" s="102"/>
      <c r="I128" s="34"/>
      <c r="L128" s="105"/>
      <c r="M128" s="105"/>
    </row>
    <row r="129" spans="1:14" s="63" customFormat="1" ht="15.75" customHeight="1" x14ac:dyDescent="0.35">
      <c r="A129" s="94">
        <v>1</v>
      </c>
      <c r="B129" s="94"/>
      <c r="C129" s="60" t="s">
        <v>173</v>
      </c>
      <c r="D129" s="60">
        <f>(59.08)*10.764</f>
        <v>635.93711999999994</v>
      </c>
      <c r="E129" s="60">
        <v>0</v>
      </c>
      <c r="F129" s="60">
        <f>D129*(($F$116)+1)+(IF(E129&lt;101,E129,IF(E129&lt;201,E129/2,IF(E129&lt;=301,E129/3,E129/4))))</f>
        <v>1017.4993919999999</v>
      </c>
      <c r="G129" s="171" t="str">
        <f>A128</f>
        <v>7th Floor (Part Refuge Area)</v>
      </c>
      <c r="H129" s="172"/>
      <c r="I129" s="34">
        <f>(4.85*3.05+3.45*2.3+2.25*1.35+3.45*3.05+3.19*3.28+1.2*2.33+2.2*1.2+2.33*0.9+1*3.05+0.6*(2.3+3.05+2.1))*10.764</f>
        <v>665.2550268</v>
      </c>
      <c r="N129" s="34"/>
    </row>
    <row r="130" spans="1:14" s="63" customFormat="1" ht="15.75" customHeight="1" x14ac:dyDescent="0.35">
      <c r="A130" s="94">
        <f>A129+1</f>
        <v>2</v>
      </c>
      <c r="B130" s="94"/>
      <c r="C130" s="60" t="s">
        <v>173</v>
      </c>
      <c r="D130" s="60">
        <f>(59.64)*10.764</f>
        <v>641.96496000000002</v>
      </c>
      <c r="E130" s="60">
        <f>(15.87)*10.764</f>
        <v>170.82467999999997</v>
      </c>
      <c r="F130" s="60">
        <f>D130*(($F$116)+1)+(IF(E130&lt;101,E130,IF(E130&lt;201,E130/2,IF(E130&lt;=301,E130/3,E130/4))))</f>
        <v>1112.5562760000003</v>
      </c>
      <c r="G130" s="173"/>
      <c r="H130" s="174"/>
      <c r="I130" s="34"/>
      <c r="N130" s="34"/>
    </row>
    <row r="131" spans="1:14" s="63" customFormat="1" ht="15.75" customHeight="1" x14ac:dyDescent="0.35">
      <c r="A131" s="94">
        <f>A130+1</f>
        <v>3</v>
      </c>
      <c r="B131" s="94"/>
      <c r="C131" s="60" t="s">
        <v>174</v>
      </c>
      <c r="D131" s="60">
        <f>(41.79)*10.764</f>
        <v>449.82755999999995</v>
      </c>
      <c r="E131" s="60">
        <v>0</v>
      </c>
      <c r="F131" s="60">
        <f>D131*(($F$116)+1)+(IF(E131&lt;101,E131,IF(E131&lt;201,E131/2,IF(E131&lt;=301,E131/3,E131/4))))</f>
        <v>719.72409599999992</v>
      </c>
      <c r="G131" s="173"/>
      <c r="H131" s="174"/>
      <c r="I131" s="34"/>
      <c r="N131" s="34"/>
    </row>
    <row r="132" spans="1:14" s="63" customFormat="1" ht="15.75" customHeight="1" x14ac:dyDescent="0.35">
      <c r="A132" s="94">
        <f>A131+1</f>
        <v>4</v>
      </c>
      <c r="B132" s="94"/>
      <c r="C132" s="86" t="s">
        <v>176</v>
      </c>
      <c r="D132" s="101"/>
      <c r="E132" s="101"/>
      <c r="F132" s="87"/>
      <c r="G132" s="175"/>
      <c r="H132" s="176"/>
      <c r="I132" s="34">
        <f>(2.9*4.86+2.15*2.6+3.16*3.65+1.3*2.26+2*1.2+2.31*1.2+1*1+0.6*(2.2+1.4+2.5))*10.764</f>
        <v>473.48683199999999</v>
      </c>
      <c r="N132" s="34"/>
    </row>
    <row r="133" spans="1:14" s="63" customFormat="1" x14ac:dyDescent="0.35">
      <c r="A133" s="102" t="s">
        <v>178</v>
      </c>
      <c r="B133" s="102"/>
      <c r="C133" s="102"/>
      <c r="D133" s="102"/>
      <c r="E133" s="102"/>
      <c r="F133" s="102"/>
      <c r="G133" s="102"/>
      <c r="H133" s="102"/>
      <c r="I133" s="34"/>
      <c r="L133" s="105"/>
      <c r="M133" s="105"/>
    </row>
    <row r="134" spans="1:14" s="63" customFormat="1" ht="15.75" customHeight="1" x14ac:dyDescent="0.35">
      <c r="A134" s="94">
        <v>1</v>
      </c>
      <c r="B134" s="94"/>
      <c r="C134" s="60" t="s">
        <v>173</v>
      </c>
      <c r="D134" s="60">
        <f>(59.08)*10.764</f>
        <v>635.93711999999994</v>
      </c>
      <c r="E134" s="60">
        <v>0</v>
      </c>
      <c r="F134" s="60">
        <f>D134*(($F$116)+1)+(IF(E134&lt;101,E134,IF(E134&lt;201,E134/2,IF(E134&lt;=301,E134/3,E134/4))))</f>
        <v>1017.4993919999999</v>
      </c>
      <c r="G134" s="171" t="str">
        <f>A133</f>
        <v>12th, 17th, 22nd, 27th &amp; 32nd Floor (Part Refuge Area)</v>
      </c>
      <c r="H134" s="172"/>
      <c r="I134" s="34">
        <f>(4.85*3.05+3.45*2.3+2.25*1.35+3.45*3.05+3.19*3.28+1.2*2.33+2.2*1.2+2.33*0.9+1*3.05+0.6*(2.3+3.05+2.1))*10.764</f>
        <v>665.2550268</v>
      </c>
      <c r="N134" s="34"/>
    </row>
    <row r="135" spans="1:14" s="63" customFormat="1" ht="15.75" customHeight="1" x14ac:dyDescent="0.35">
      <c r="A135" s="94">
        <f>A134+1</f>
        <v>2</v>
      </c>
      <c r="B135" s="94"/>
      <c r="C135" s="60" t="s">
        <v>173</v>
      </c>
      <c r="D135" s="60">
        <f>(59.64)*10.764</f>
        <v>641.96496000000002</v>
      </c>
      <c r="E135" s="60">
        <f>(15.87)*10.764</f>
        <v>170.82467999999997</v>
      </c>
      <c r="F135" s="60">
        <f t="shared" ref="F135:F136" si="4">D135*(($F$116)+1)+(IF(E135&lt;101,E135,IF(E135&lt;201,E135/2,IF(E135&lt;=301,E135/3,E135/4))))</f>
        <v>1112.5562760000003</v>
      </c>
      <c r="G135" s="173"/>
      <c r="H135" s="174"/>
      <c r="I135" s="34"/>
      <c r="N135" s="34"/>
    </row>
    <row r="136" spans="1:14" s="63" customFormat="1" ht="15.75" customHeight="1" x14ac:dyDescent="0.35">
      <c r="A136" s="94">
        <f>A135+1</f>
        <v>3</v>
      </c>
      <c r="B136" s="94"/>
      <c r="C136" s="60" t="s">
        <v>174</v>
      </c>
      <c r="D136" s="60">
        <f>(41.79)*10.764</f>
        <v>449.82755999999995</v>
      </c>
      <c r="E136" s="60">
        <v>0</v>
      </c>
      <c r="F136" s="60">
        <f t="shared" si="4"/>
        <v>719.72409599999992</v>
      </c>
      <c r="G136" s="173"/>
      <c r="H136" s="174"/>
      <c r="I136" s="34"/>
      <c r="N136" s="34"/>
    </row>
    <row r="137" spans="1:14" s="63" customFormat="1" ht="15.75" customHeight="1" x14ac:dyDescent="0.35">
      <c r="A137" s="94">
        <f>A136+1</f>
        <v>4</v>
      </c>
      <c r="B137" s="94"/>
      <c r="C137" s="86" t="s">
        <v>176</v>
      </c>
      <c r="D137" s="101"/>
      <c r="E137" s="101"/>
      <c r="F137" s="87"/>
      <c r="G137" s="173"/>
      <c r="H137" s="174"/>
      <c r="I137" s="34">
        <f>(2.9*4.86+2.15*2.6+3.16*3.65+1.3*2.26+2*1.2+2.31*1.2+1*1+0.6*(2.2+1.4+2.5))*10.764</f>
        <v>473.48683199999999</v>
      </c>
      <c r="N137" s="34"/>
    </row>
    <row r="138" spans="1:14" s="63" customFormat="1" x14ac:dyDescent="0.35">
      <c r="A138" s="94">
        <f>A137+1</f>
        <v>5</v>
      </c>
      <c r="B138" s="94"/>
      <c r="C138" s="60" t="s">
        <v>179</v>
      </c>
      <c r="D138" s="60">
        <f>(23.74)*10.764</f>
        <v>255.53735999999998</v>
      </c>
      <c r="E138" s="60">
        <v>0</v>
      </c>
      <c r="F138" s="60">
        <f t="shared" ref="F138" si="5">D138*(($F$116)+1)+(IF(E138&lt;101,E138,IF(E138&lt;201,E138/2,IF(E138&lt;=301,E138/3,E138/4))))</f>
        <v>408.85977600000001</v>
      </c>
      <c r="G138" s="175"/>
      <c r="H138" s="176"/>
      <c r="I138" s="34"/>
      <c r="N138" s="34"/>
    </row>
    <row r="139" spans="1:14" x14ac:dyDescent="0.35">
      <c r="A139" s="82" t="s">
        <v>180</v>
      </c>
      <c r="B139" s="82"/>
      <c r="C139" s="82"/>
      <c r="D139" s="82"/>
      <c r="E139" s="82"/>
      <c r="F139" s="82"/>
      <c r="G139" s="82"/>
      <c r="H139" s="82"/>
    </row>
    <row r="140" spans="1:14" s="1" customFormat="1" x14ac:dyDescent="0.35">
      <c r="A140" s="157" t="s">
        <v>72</v>
      </c>
      <c r="B140" s="157"/>
      <c r="C140" s="157"/>
      <c r="D140" s="157"/>
      <c r="E140" s="157"/>
      <c r="F140" s="157"/>
      <c r="G140" s="157"/>
      <c r="H140" s="157"/>
    </row>
    <row r="141" spans="1:14" s="1" customFormat="1" x14ac:dyDescent="0.35">
      <c r="A141" s="43">
        <v>1</v>
      </c>
      <c r="B141" s="152" t="s">
        <v>220</v>
      </c>
      <c r="C141" s="153"/>
      <c r="D141" s="153"/>
      <c r="E141" s="153"/>
      <c r="F141" s="153"/>
      <c r="G141" s="153"/>
      <c r="H141" s="154"/>
    </row>
    <row r="142" spans="1:14" s="1" customFormat="1" x14ac:dyDescent="0.35">
      <c r="A142" s="43">
        <f t="shared" ref="A142:A147" si="6">A141+1</f>
        <v>2</v>
      </c>
      <c r="B142" s="152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142" s="153"/>
      <c r="D142" s="153"/>
      <c r="E142" s="153"/>
      <c r="F142" s="153"/>
      <c r="G142" s="153"/>
      <c r="H142" s="154"/>
    </row>
    <row r="143" spans="1:14" s="1" customFormat="1" x14ac:dyDescent="0.35">
      <c r="A143" s="57">
        <f t="shared" si="6"/>
        <v>3</v>
      </c>
      <c r="B143" s="152" t="str">
        <f>(IF(F100="Saleable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3" s="153"/>
      <c r="D143" s="153"/>
      <c r="E143" s="153"/>
      <c r="F143" s="153"/>
      <c r="G143" s="153"/>
      <c r="H143" s="154"/>
    </row>
    <row r="144" spans="1:14" s="1" customFormat="1" x14ac:dyDescent="0.35">
      <c r="A144" s="54">
        <f>A143+1</f>
        <v>4</v>
      </c>
      <c r="B144" s="149" t="s">
        <v>137</v>
      </c>
      <c r="C144" s="150"/>
      <c r="D144" s="150"/>
      <c r="E144" s="150"/>
      <c r="F144" s="150"/>
      <c r="G144" s="150"/>
      <c r="H144" s="151"/>
    </row>
    <row r="145" spans="1:15" s="1" customFormat="1" x14ac:dyDescent="0.35">
      <c r="A145" s="54">
        <f t="shared" si="6"/>
        <v>5</v>
      </c>
      <c r="B145" s="149" t="s">
        <v>205</v>
      </c>
      <c r="C145" s="150"/>
      <c r="D145" s="150"/>
      <c r="E145" s="150"/>
      <c r="F145" s="150"/>
      <c r="G145" s="150"/>
      <c r="H145" s="151"/>
    </row>
    <row r="146" spans="1:15" s="1" customFormat="1" x14ac:dyDescent="0.35">
      <c r="A146" s="54">
        <f t="shared" si="6"/>
        <v>6</v>
      </c>
      <c r="B146" s="149" t="s">
        <v>138</v>
      </c>
      <c r="C146" s="150"/>
      <c r="D146" s="150"/>
      <c r="E146" s="150"/>
      <c r="F146" s="150"/>
      <c r="G146" s="150"/>
      <c r="H146" s="151"/>
    </row>
    <row r="147" spans="1:15" s="1" customFormat="1" ht="31.5" customHeight="1" x14ac:dyDescent="0.35">
      <c r="A147" s="70">
        <f t="shared" si="6"/>
        <v>7</v>
      </c>
      <c r="B147" s="149" t="s">
        <v>206</v>
      </c>
      <c r="C147" s="150"/>
      <c r="D147" s="150"/>
      <c r="E147" s="150"/>
      <c r="F147" s="150"/>
      <c r="G147" s="150"/>
      <c r="H147" s="151"/>
    </row>
    <row r="148" spans="1:15" s="1" customFormat="1" x14ac:dyDescent="0.35">
      <c r="A148" s="54">
        <v>8</v>
      </c>
      <c r="B148" s="149" t="s">
        <v>139</v>
      </c>
      <c r="C148" s="150"/>
      <c r="D148" s="150"/>
      <c r="E148" s="150"/>
      <c r="F148" s="150"/>
      <c r="G148" s="150"/>
      <c r="H148" s="151"/>
    </row>
    <row r="149" spans="1:15" s="1" customFormat="1" x14ac:dyDescent="0.35">
      <c r="A149" s="54">
        <v>9</v>
      </c>
      <c r="B149" s="152" t="s">
        <v>214</v>
      </c>
      <c r="C149" s="153"/>
      <c r="D149" s="153"/>
      <c r="E149" s="153"/>
      <c r="F149" s="153"/>
      <c r="G149" s="153"/>
      <c r="H149" s="154"/>
      <c r="I149" s="152" t="s">
        <v>207</v>
      </c>
      <c r="J149" s="153"/>
      <c r="K149" s="153"/>
      <c r="L149" s="153"/>
      <c r="M149" s="153"/>
      <c r="N149" s="153"/>
      <c r="O149" s="154"/>
    </row>
    <row r="150" spans="1:15" s="1" customFormat="1" x14ac:dyDescent="0.35">
      <c r="A150" s="74">
        <f>A149+1</f>
        <v>10</v>
      </c>
      <c r="B150" s="152" t="s">
        <v>217</v>
      </c>
      <c r="C150" s="153"/>
      <c r="D150" s="153"/>
      <c r="E150" s="153"/>
      <c r="F150" s="153"/>
      <c r="G150" s="153"/>
      <c r="H150" s="154"/>
      <c r="I150" s="73"/>
      <c r="J150" s="73"/>
      <c r="K150" s="73"/>
      <c r="L150" s="73"/>
      <c r="M150" s="73"/>
      <c r="N150" s="73"/>
      <c r="O150" s="73"/>
    </row>
    <row r="151" spans="1:15" x14ac:dyDescent="0.35">
      <c r="A151" s="163" t="s">
        <v>65</v>
      </c>
      <c r="B151" s="163"/>
      <c r="C151" s="163"/>
      <c r="D151" s="163"/>
      <c r="E151" s="163"/>
      <c r="F151" s="163"/>
      <c r="G151" s="163"/>
      <c r="H151" s="163"/>
    </row>
    <row r="152" spans="1:15" x14ac:dyDescent="0.35">
      <c r="A152" s="122" t="s">
        <v>66</v>
      </c>
      <c r="B152" s="122"/>
      <c r="C152" s="122"/>
      <c r="D152" s="122"/>
      <c r="E152" s="122"/>
      <c r="F152" s="122"/>
      <c r="G152" s="122"/>
      <c r="H152" s="122"/>
    </row>
    <row r="153" spans="1:15" ht="15.75" customHeight="1" x14ac:dyDescent="0.35">
      <c r="A153" s="158" t="s">
        <v>67</v>
      </c>
      <c r="B153" s="158"/>
      <c r="C153" s="158"/>
      <c r="D153" s="158"/>
      <c r="E153" s="158"/>
      <c r="F153" s="158"/>
      <c r="G153" s="158"/>
      <c r="H153" s="158"/>
    </row>
    <row r="154" spans="1:15" x14ac:dyDescent="0.35">
      <c r="A154" s="122" t="s">
        <v>68</v>
      </c>
      <c r="B154" s="122"/>
      <c r="C154" s="122"/>
      <c r="D154" s="122"/>
      <c r="E154" s="122"/>
      <c r="F154" s="122"/>
      <c r="G154" s="122"/>
      <c r="H154" s="122"/>
    </row>
    <row r="155" spans="1:15" x14ac:dyDescent="0.35">
      <c r="A155" s="122" t="s">
        <v>69</v>
      </c>
      <c r="B155" s="122"/>
      <c r="C155" s="122"/>
      <c r="D155" s="122"/>
      <c r="E155" s="122"/>
      <c r="F155" s="122"/>
      <c r="G155" s="122"/>
      <c r="H155" s="122"/>
    </row>
    <row r="156" spans="1:15" x14ac:dyDescent="0.35">
      <c r="A156" s="122" t="s">
        <v>140</v>
      </c>
      <c r="B156" s="122"/>
      <c r="C156" s="122"/>
      <c r="D156" s="122"/>
      <c r="E156" s="122"/>
      <c r="F156" s="122"/>
      <c r="G156" s="122"/>
      <c r="H156" s="122"/>
    </row>
    <row r="157" spans="1:15" ht="35.25" customHeight="1" x14ac:dyDescent="0.35">
      <c r="A157" s="119" t="s">
        <v>141</v>
      </c>
      <c r="B157" s="119"/>
      <c r="C157" s="119"/>
      <c r="D157" s="119"/>
      <c r="E157" s="119"/>
      <c r="F157" s="119"/>
      <c r="G157" s="119"/>
      <c r="H157" s="119"/>
    </row>
    <row r="158" spans="1:15" x14ac:dyDescent="0.35">
      <c r="A158" s="156" t="s">
        <v>82</v>
      </c>
      <c r="B158" s="156"/>
      <c r="C158" s="156" t="s">
        <v>211</v>
      </c>
      <c r="D158" s="156"/>
      <c r="E158" s="156" t="s">
        <v>117</v>
      </c>
      <c r="F158" s="156"/>
      <c r="G158" s="156" t="s">
        <v>221</v>
      </c>
      <c r="H158" s="156"/>
    </row>
    <row r="159" spans="1:15" x14ac:dyDescent="0.35">
      <c r="A159" s="155" t="s">
        <v>84</v>
      </c>
      <c r="B159" s="155"/>
      <c r="C159" s="155"/>
      <c r="D159" s="155"/>
      <c r="E159" s="155"/>
      <c r="F159" s="155"/>
      <c r="G159" s="155"/>
      <c r="H159" s="155"/>
    </row>
    <row r="160" spans="1:15" x14ac:dyDescent="0.35">
      <c r="A160" s="155"/>
      <c r="B160" s="155"/>
      <c r="C160" s="155"/>
      <c r="D160" s="155"/>
      <c r="E160" s="155"/>
      <c r="F160" s="155"/>
      <c r="G160" s="155"/>
      <c r="H160" s="155"/>
    </row>
    <row r="161" spans="1:8" x14ac:dyDescent="0.35">
      <c r="A161" s="155"/>
      <c r="B161" s="155"/>
      <c r="C161" s="155"/>
      <c r="D161" s="155"/>
      <c r="E161" s="155"/>
      <c r="F161" s="155"/>
      <c r="G161" s="155"/>
      <c r="H161" s="155"/>
    </row>
    <row r="162" spans="1:8" x14ac:dyDescent="0.35">
      <c r="A162" s="155"/>
      <c r="B162" s="155"/>
      <c r="C162" s="155"/>
      <c r="D162" s="155"/>
      <c r="E162" s="155"/>
      <c r="F162" s="155"/>
      <c r="G162" s="155"/>
      <c r="H162" s="155"/>
    </row>
    <row r="163" spans="1:8" x14ac:dyDescent="0.35">
      <c r="A163" s="72" t="s">
        <v>70</v>
      </c>
      <c r="B163" s="10"/>
      <c r="C163" s="10"/>
      <c r="D163" s="9" t="str">
        <f>E8</f>
        <v>Avesa</v>
      </c>
      <c r="F163" s="10"/>
      <c r="G163" s="10"/>
      <c r="H163" s="10"/>
    </row>
    <row r="164" spans="1:8" x14ac:dyDescent="0.35">
      <c r="A164" s="10"/>
      <c r="B164" s="10"/>
      <c r="C164" s="10"/>
      <c r="D164" s="10"/>
      <c r="E164" s="10"/>
      <c r="F164" s="10"/>
      <c r="G164" s="10"/>
      <c r="H164" s="10"/>
    </row>
    <row r="165" spans="1:8" x14ac:dyDescent="0.35">
      <c r="A165" s="10"/>
      <c r="B165" s="10"/>
      <c r="C165" s="10"/>
      <c r="D165" s="10"/>
      <c r="E165" s="10"/>
      <c r="F165" s="10"/>
      <c r="G165" s="10"/>
      <c r="H165" s="10"/>
    </row>
    <row r="166" spans="1:8" ht="15" customHeight="1" x14ac:dyDescent="0.35"/>
    <row r="204" spans="1:1" x14ac:dyDescent="0.35">
      <c r="A204" s="12" t="s">
        <v>71</v>
      </c>
    </row>
  </sheetData>
  <mergeCells count="295">
    <mergeCell ref="I149:O149"/>
    <mergeCell ref="B150:H150"/>
    <mergeCell ref="L133:M133"/>
    <mergeCell ref="A135:B135"/>
    <mergeCell ref="A103:H103"/>
    <mergeCell ref="A112:H112"/>
    <mergeCell ref="A113:B113"/>
    <mergeCell ref="G113:H113"/>
    <mergeCell ref="L113:M113"/>
    <mergeCell ref="A117:H117"/>
    <mergeCell ref="A128:H128"/>
    <mergeCell ref="L128:M128"/>
    <mergeCell ref="A130:B130"/>
    <mergeCell ref="L118:M118"/>
    <mergeCell ref="A115:A116"/>
    <mergeCell ref="A120:B120"/>
    <mergeCell ref="G134:H138"/>
    <mergeCell ref="G124:H127"/>
    <mergeCell ref="G119:H122"/>
    <mergeCell ref="G129:H132"/>
    <mergeCell ref="G105:H111"/>
    <mergeCell ref="A119:B119"/>
    <mergeCell ref="D115:D116"/>
    <mergeCell ref="A136:B136"/>
    <mergeCell ref="E39:H39"/>
    <mergeCell ref="A39:D39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A40:D40"/>
    <mergeCell ref="E40:H40"/>
    <mergeCell ref="E43:H43"/>
    <mergeCell ref="A41:D41"/>
    <mergeCell ref="A152:H152"/>
    <mergeCell ref="F84:H84"/>
    <mergeCell ref="C91:D91"/>
    <mergeCell ref="F87:H87"/>
    <mergeCell ref="F85:H85"/>
    <mergeCell ref="A125:B125"/>
    <mergeCell ref="A99:H99"/>
    <mergeCell ref="G91:H91"/>
    <mergeCell ref="A86:E86"/>
    <mergeCell ref="C92:D92"/>
    <mergeCell ref="E92:F92"/>
    <mergeCell ref="A121:B121"/>
    <mergeCell ref="A122:B122"/>
    <mergeCell ref="A134:B134"/>
    <mergeCell ref="A127:B127"/>
    <mergeCell ref="A124:B124"/>
    <mergeCell ref="G94:H94"/>
    <mergeCell ref="A131:B131"/>
    <mergeCell ref="A151:H151"/>
    <mergeCell ref="A137:B137"/>
    <mergeCell ref="C137:F137"/>
    <mergeCell ref="A82:E82"/>
    <mergeCell ref="F82:H82"/>
    <mergeCell ref="A83:E83"/>
    <mergeCell ref="A85:E85"/>
    <mergeCell ref="F79:H79"/>
    <mergeCell ref="A90:H90"/>
    <mergeCell ref="A93:B93"/>
    <mergeCell ref="C93:D93"/>
    <mergeCell ref="E93:F93"/>
    <mergeCell ref="G93:H93"/>
    <mergeCell ref="A87:E87"/>
    <mergeCell ref="F88:H88"/>
    <mergeCell ref="A89:E89"/>
    <mergeCell ref="F89:H89"/>
    <mergeCell ref="A92:B92"/>
    <mergeCell ref="G92:H92"/>
    <mergeCell ref="F77:H77"/>
    <mergeCell ref="A67:B67"/>
    <mergeCell ref="A69:B69"/>
    <mergeCell ref="E65:F65"/>
    <mergeCell ref="A58:C58"/>
    <mergeCell ref="D58:H58"/>
    <mergeCell ref="A61:C61"/>
    <mergeCell ref="D61:H61"/>
    <mergeCell ref="A59:C59"/>
    <mergeCell ref="D59:H59"/>
    <mergeCell ref="A76:H76"/>
    <mergeCell ref="A77:E77"/>
    <mergeCell ref="B148:H148"/>
    <mergeCell ref="B149:H149"/>
    <mergeCell ref="G97:H97"/>
    <mergeCell ref="A114:H114"/>
    <mergeCell ref="A159:H162"/>
    <mergeCell ref="A158:B158"/>
    <mergeCell ref="E158:F158"/>
    <mergeCell ref="C158:D158"/>
    <mergeCell ref="G158:H158"/>
    <mergeCell ref="A154:H154"/>
    <mergeCell ref="A157:H157"/>
    <mergeCell ref="A155:H155"/>
    <mergeCell ref="A140:H140"/>
    <mergeCell ref="B146:H146"/>
    <mergeCell ref="B143:H143"/>
    <mergeCell ref="B141:H141"/>
    <mergeCell ref="B142:H142"/>
    <mergeCell ref="B144:H144"/>
    <mergeCell ref="B145:H145"/>
    <mergeCell ref="A156:H156"/>
    <mergeCell ref="A129:B129"/>
    <mergeCell ref="A153:H153"/>
    <mergeCell ref="B147:H147"/>
    <mergeCell ref="A139:H139"/>
    <mergeCell ref="A55:C55"/>
    <mergeCell ref="A56:C56"/>
    <mergeCell ref="D55:H55"/>
    <mergeCell ref="E66:F75"/>
    <mergeCell ref="G66:H75"/>
    <mergeCell ref="A74:B74"/>
    <mergeCell ref="A75:B75"/>
    <mergeCell ref="D56:H56"/>
    <mergeCell ref="A73:B73"/>
    <mergeCell ref="A71:B71"/>
    <mergeCell ref="A72:B72"/>
    <mergeCell ref="A65:B65"/>
    <mergeCell ref="A68:B68"/>
    <mergeCell ref="A60:C60"/>
    <mergeCell ref="D60:H60"/>
    <mergeCell ref="A66:B66"/>
    <mergeCell ref="G65:H65"/>
    <mergeCell ref="A64:B64"/>
    <mergeCell ref="A62:B62"/>
    <mergeCell ref="C62:H62"/>
    <mergeCell ref="A70:B70"/>
    <mergeCell ref="A57:C57"/>
    <mergeCell ref="D57:H57"/>
    <mergeCell ref="C64:H64"/>
    <mergeCell ref="A42:D42"/>
    <mergeCell ref="A43:D43"/>
    <mergeCell ref="A44:H44"/>
    <mergeCell ref="D53:H53"/>
    <mergeCell ref="A53:C53"/>
    <mergeCell ref="G46:H46"/>
    <mergeCell ref="A47:B48"/>
    <mergeCell ref="E41:H41"/>
    <mergeCell ref="E42:H4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A104:H104"/>
    <mergeCell ref="E100:E101"/>
    <mergeCell ref="G100:H101"/>
    <mergeCell ref="L111:M111"/>
    <mergeCell ref="L110:M110"/>
    <mergeCell ref="L109:M109"/>
    <mergeCell ref="L108:M108"/>
    <mergeCell ref="L107:M107"/>
    <mergeCell ref="L106:M106"/>
    <mergeCell ref="L105:M105"/>
    <mergeCell ref="E96:F96"/>
    <mergeCell ref="E91:F91"/>
    <mergeCell ref="A94:B94"/>
    <mergeCell ref="C94:D94"/>
    <mergeCell ref="A84:E84"/>
    <mergeCell ref="A98:H98"/>
    <mergeCell ref="A91:B91"/>
    <mergeCell ref="A138:B138"/>
    <mergeCell ref="B100:B101"/>
    <mergeCell ref="A100:A101"/>
    <mergeCell ref="C115:C116"/>
    <mergeCell ref="A96:B96"/>
    <mergeCell ref="E115:E116"/>
    <mergeCell ref="G115:H116"/>
    <mergeCell ref="A132:B132"/>
    <mergeCell ref="C132:F132"/>
    <mergeCell ref="A133:H133"/>
    <mergeCell ref="A118:H118"/>
    <mergeCell ref="A97:B97"/>
    <mergeCell ref="A126:B126"/>
    <mergeCell ref="E94:F94"/>
    <mergeCell ref="A95:H95"/>
    <mergeCell ref="C100:C101"/>
    <mergeCell ref="B115:B116"/>
    <mergeCell ref="A123:H123"/>
    <mergeCell ref="C97:D97"/>
    <mergeCell ref="E97:F97"/>
    <mergeCell ref="A102:H102"/>
    <mergeCell ref="A79:E79"/>
    <mergeCell ref="C96:D96"/>
    <mergeCell ref="G96:H96"/>
    <mergeCell ref="A110:B110"/>
    <mergeCell ref="F78:H78"/>
    <mergeCell ref="A78:E78"/>
    <mergeCell ref="D100:D101"/>
    <mergeCell ref="A80:E80"/>
    <mergeCell ref="A111:B111"/>
    <mergeCell ref="A105:B105"/>
    <mergeCell ref="A106:B106"/>
    <mergeCell ref="A107:B107"/>
    <mergeCell ref="A108:B108"/>
    <mergeCell ref="A109:B109"/>
    <mergeCell ref="A81:E81"/>
    <mergeCell ref="F81:H81"/>
    <mergeCell ref="F80:H80"/>
    <mergeCell ref="F86:H86"/>
    <mergeCell ref="F83:H83"/>
    <mergeCell ref="A88:E88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5" max="16383" man="1"/>
    <brk id="162" max="16383" man="1"/>
    <brk id="20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>
      <c r="A1" s="17"/>
      <c r="B1" s="17"/>
      <c r="C1" s="17"/>
      <c r="D1" s="17"/>
      <c r="E1" s="17"/>
      <c r="F1" s="17"/>
      <c r="G1" s="17"/>
      <c r="H1" s="17"/>
    </row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177" t="s">
        <v>118</v>
      </c>
      <c r="C3" s="177"/>
      <c r="D3" s="177"/>
      <c r="E3" s="177"/>
      <c r="F3" s="177"/>
      <c r="G3" s="177"/>
      <c r="H3" s="177"/>
    </row>
    <row r="4" spans="1:9" x14ac:dyDescent="0.35">
      <c r="A4" s="19"/>
      <c r="B4" s="20" t="s">
        <v>119</v>
      </c>
      <c r="C4" s="20" t="s">
        <v>120</v>
      </c>
      <c r="D4" s="20" t="s">
        <v>73</v>
      </c>
      <c r="E4" s="20" t="s">
        <v>121</v>
      </c>
      <c r="F4" s="20" t="s">
        <v>127</v>
      </c>
      <c r="G4" s="20" t="s">
        <v>128</v>
      </c>
      <c r="H4" s="20" t="s">
        <v>122</v>
      </c>
    </row>
    <row r="5" spans="1:9" ht="15" customHeight="1" x14ac:dyDescent="0.35">
      <c r="A5" s="19"/>
      <c r="B5" s="22" t="s">
        <v>123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5">
      <c r="A6" s="19"/>
      <c r="B6" s="22" t="s">
        <v>123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123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123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123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124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124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125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A13" s="17"/>
      <c r="B13" s="27" t="s">
        <v>126</v>
      </c>
      <c r="C13" s="29"/>
      <c r="D13" s="29"/>
      <c r="E13" s="29"/>
      <c r="F13" s="30"/>
      <c r="G13" s="27"/>
      <c r="H13" s="27"/>
      <c r="I13" s="21"/>
    </row>
    <row r="14" spans="1:9" ht="15" customHeight="1" x14ac:dyDescent="0.35">
      <c r="B14" s="17"/>
      <c r="C14" s="17"/>
      <c r="D14" s="17"/>
      <c r="E14" s="17"/>
    </row>
    <row r="15" spans="1:9" ht="15" customHeight="1" x14ac:dyDescent="0.35">
      <c r="B15" s="17"/>
      <c r="C15" s="17"/>
      <c r="D15" s="17"/>
      <c r="E15" s="17"/>
    </row>
    <row r="16" spans="1:9" ht="15" customHeight="1" x14ac:dyDescent="0.35">
      <c r="B16" s="17"/>
      <c r="C16" s="17"/>
      <c r="D16" s="17"/>
      <c r="E16" s="17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2025-09-09T05:18:38Z</cp:lastPrinted>
  <dcterms:created xsi:type="dcterms:W3CDTF">2019-07-16T09:29:46Z</dcterms:created>
  <dcterms:modified xsi:type="dcterms:W3CDTF">2025-09-09T05:19:13Z</dcterms:modified>
</cp:coreProperties>
</file>