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G11" i="5" s="1"/>
  <c r="G10" i="5"/>
  <c r="F10" i="5"/>
  <c r="F9" i="5"/>
  <c r="G9" i="5" s="1"/>
  <c r="G8" i="5"/>
  <c r="F8" i="5"/>
  <c r="F7" i="5"/>
  <c r="G7" i="5" s="1"/>
  <c r="G6" i="5"/>
  <c r="F6" i="5"/>
  <c r="F5" i="5"/>
  <c r="G5" i="5" s="1"/>
  <c r="G12" i="5" s="1"/>
  <c r="D224" i="1"/>
  <c r="B204" i="1"/>
  <c r="B203" i="1"/>
  <c r="F200" i="1"/>
  <c r="F199" i="1"/>
  <c r="F198" i="1"/>
  <c r="F197" i="1"/>
  <c r="G196" i="1"/>
  <c r="G197" i="1" s="1"/>
  <c r="G198" i="1" s="1"/>
  <c r="G199" i="1" s="1"/>
  <c r="G200" i="1" s="1"/>
  <c r="F196" i="1"/>
  <c r="F194" i="1"/>
  <c r="F193" i="1"/>
  <c r="F192" i="1"/>
  <c r="F191" i="1"/>
  <c r="G190" i="1"/>
  <c r="G191" i="1" s="1"/>
  <c r="G192" i="1" s="1"/>
  <c r="G193" i="1" s="1"/>
  <c r="G194" i="1" s="1"/>
  <c r="F190" i="1"/>
  <c r="F188" i="1"/>
  <c r="F187" i="1"/>
  <c r="F186" i="1"/>
  <c r="F185" i="1"/>
  <c r="G184" i="1"/>
  <c r="G185" i="1" s="1"/>
  <c r="G186" i="1" s="1"/>
  <c r="G187" i="1" s="1"/>
  <c r="G188" i="1" s="1"/>
  <c r="F184" i="1"/>
  <c r="F182" i="1"/>
  <c r="F181" i="1"/>
  <c r="F180" i="1"/>
  <c r="F179" i="1"/>
  <c r="G178" i="1"/>
  <c r="G179" i="1" s="1"/>
  <c r="G180" i="1" s="1"/>
  <c r="G181" i="1" s="1"/>
  <c r="G182" i="1" s="1"/>
  <c r="F178" i="1"/>
  <c r="A178" i="1"/>
  <c r="A179" i="1" s="1"/>
  <c r="A180" i="1" s="1"/>
  <c r="A181" i="1" s="1"/>
  <c r="A182" i="1" s="1"/>
  <c r="F176" i="1"/>
  <c r="F175" i="1"/>
  <c r="F174" i="1"/>
  <c r="A174" i="1"/>
  <c r="A175" i="1" s="1"/>
  <c r="A176" i="1" s="1"/>
  <c r="G173" i="1"/>
  <c r="G174" i="1" s="1"/>
  <c r="G175" i="1" s="1"/>
  <c r="G176" i="1" s="1"/>
  <c r="F173" i="1"/>
  <c r="F168" i="1"/>
  <c r="F167" i="1"/>
  <c r="F166" i="1"/>
  <c r="A166" i="1"/>
  <c r="A167" i="1" s="1"/>
  <c r="A168" i="1" s="1"/>
  <c r="G165" i="1"/>
  <c r="G166" i="1" s="1"/>
  <c r="G167" i="1" s="1"/>
  <c r="G168" i="1" s="1"/>
  <c r="F165" i="1"/>
  <c r="D163" i="1"/>
  <c r="F163" i="1" s="1"/>
  <c r="D162" i="1"/>
  <c r="F162" i="1" s="1"/>
  <c r="D161" i="1"/>
  <c r="F161" i="1" s="1"/>
  <c r="F160" i="1"/>
  <c r="D160" i="1"/>
  <c r="A160" i="1"/>
  <c r="A161" i="1" s="1"/>
  <c r="A162" i="1" s="1"/>
  <c r="A163" i="1" s="1"/>
  <c r="G159" i="1"/>
  <c r="G160" i="1" s="1"/>
  <c r="G161" i="1" s="1"/>
  <c r="G162" i="1" s="1"/>
  <c r="G163" i="1" s="1"/>
  <c r="D159" i="1"/>
  <c r="F159" i="1" s="1"/>
  <c r="L157" i="1"/>
  <c r="D157" i="1"/>
  <c r="F157" i="1" s="1"/>
  <c r="L156" i="1"/>
  <c r="D156" i="1"/>
  <c r="F156" i="1" s="1"/>
  <c r="L155" i="1"/>
  <c r="F155" i="1"/>
  <c r="D155" i="1"/>
  <c r="L154" i="1"/>
  <c r="D154" i="1"/>
  <c r="F154" i="1" s="1"/>
  <c r="L153" i="1"/>
  <c r="F153" i="1"/>
  <c r="D153" i="1"/>
  <c r="L152" i="1"/>
  <c r="D152" i="1"/>
  <c r="F152" i="1" s="1"/>
  <c r="L151" i="1"/>
  <c r="D151" i="1"/>
  <c r="F151" i="1" s="1"/>
  <c r="N150" i="1"/>
  <c r="L150" i="1"/>
  <c r="G150" i="1"/>
  <c r="G151" i="1" s="1"/>
  <c r="G152" i="1" s="1"/>
  <c r="G153" i="1" s="1"/>
  <c r="G154" i="1" s="1"/>
  <c r="G155" i="1" s="1"/>
  <c r="G156" i="1" s="1"/>
  <c r="G157" i="1" s="1"/>
  <c r="D150" i="1"/>
  <c r="F150" i="1" s="1"/>
  <c r="L148" i="1"/>
  <c r="L147" i="1"/>
  <c r="D147" i="1"/>
  <c r="F147" i="1" s="1"/>
  <c r="L146" i="1"/>
  <c r="D146" i="1"/>
  <c r="F146" i="1" s="1"/>
  <c r="L145" i="1"/>
  <c r="D145" i="1"/>
  <c r="F145" i="1" s="1"/>
  <c r="L144" i="1"/>
  <c r="F144" i="1"/>
  <c r="D144" i="1"/>
  <c r="L143" i="1"/>
  <c r="D143" i="1"/>
  <c r="F143" i="1" s="1"/>
  <c r="L142" i="1"/>
  <c r="D142" i="1"/>
  <c r="F142" i="1" s="1"/>
  <c r="N141" i="1"/>
  <c r="L141" i="1"/>
  <c r="G141" i="1"/>
  <c r="G142" i="1" s="1"/>
  <c r="G143" i="1" s="1"/>
  <c r="G144" i="1" s="1"/>
  <c r="G145" i="1" s="1"/>
  <c r="G146" i="1" s="1"/>
  <c r="G147" i="1" s="1"/>
  <c r="G148" i="1" s="1"/>
  <c r="D141" i="1"/>
  <c r="F141" i="1" s="1"/>
  <c r="L139" i="1"/>
  <c r="D139" i="1"/>
  <c r="F139" i="1" s="1"/>
  <c r="L138" i="1"/>
  <c r="D138" i="1"/>
  <c r="F138" i="1" s="1"/>
  <c r="L137" i="1"/>
  <c r="D137" i="1"/>
  <c r="F137" i="1" s="1"/>
  <c r="L136" i="1"/>
  <c r="D136" i="1"/>
  <c r="F136" i="1" s="1"/>
  <c r="L135" i="1"/>
  <c r="D135" i="1"/>
  <c r="F135" i="1" s="1"/>
  <c r="L134" i="1"/>
  <c r="D134" i="1"/>
  <c r="F134" i="1" s="1"/>
  <c r="L133" i="1"/>
  <c r="D133" i="1"/>
  <c r="F133" i="1" s="1"/>
  <c r="N132" i="1"/>
  <c r="L132" i="1"/>
  <c r="G132" i="1"/>
  <c r="G133" i="1" s="1"/>
  <c r="G134" i="1" s="1"/>
  <c r="G135" i="1" s="1"/>
  <c r="G136" i="1" s="1"/>
  <c r="G137" i="1" s="1"/>
  <c r="G138" i="1" s="1"/>
  <c r="G139" i="1" s="1"/>
  <c r="D132" i="1"/>
  <c r="L130" i="1"/>
  <c r="D130" i="1"/>
  <c r="F130" i="1" s="1"/>
  <c r="L129" i="1"/>
  <c r="D129" i="1"/>
  <c r="F129" i="1" s="1"/>
  <c r="L128" i="1"/>
  <c r="D128" i="1"/>
  <c r="F128" i="1" s="1"/>
  <c r="L127" i="1"/>
  <c r="D127" i="1"/>
  <c r="F127" i="1" s="1"/>
  <c r="L126" i="1"/>
  <c r="D126" i="1"/>
  <c r="F126" i="1" s="1"/>
  <c r="L125" i="1"/>
  <c r="D125" i="1"/>
  <c r="F125" i="1" s="1"/>
  <c r="L124" i="1"/>
  <c r="D124" i="1"/>
  <c r="F124" i="1" s="1"/>
  <c r="N123" i="1"/>
  <c r="L123" i="1"/>
  <c r="G123" i="1"/>
  <c r="F123" i="1"/>
  <c r="D123" i="1"/>
  <c r="D121" i="1"/>
  <c r="F121" i="1" s="1"/>
  <c r="A121" i="1"/>
  <c r="G120" i="1"/>
  <c r="D120" i="1"/>
  <c r="F120" i="1" s="1"/>
  <c r="D118" i="1"/>
  <c r="F118" i="1" s="1"/>
  <c r="D117" i="1"/>
  <c r="F117" i="1" s="1"/>
  <c r="F116" i="1"/>
  <c r="D116" i="1"/>
  <c r="D115" i="1"/>
  <c r="F115" i="1" s="1"/>
  <c r="D114" i="1"/>
  <c r="F114" i="1" s="1"/>
  <c r="D113" i="1"/>
  <c r="F113" i="1" s="1"/>
  <c r="D112" i="1"/>
  <c r="F112" i="1" s="1"/>
  <c r="D111" i="1"/>
  <c r="A111" i="1"/>
  <c r="A112" i="1" s="1"/>
  <c r="A113" i="1" s="1"/>
  <c r="A114" i="1" s="1"/>
  <c r="A115" i="1" s="1"/>
  <c r="A116" i="1" s="1"/>
  <c r="A117" i="1" s="1"/>
  <c r="A118" i="1" s="1"/>
  <c r="G110" i="1"/>
  <c r="D110" i="1"/>
  <c r="F110" i="1" s="1"/>
  <c r="J109" i="1"/>
  <c r="J108" i="1"/>
  <c r="F93" i="1"/>
  <c r="J76" i="1"/>
  <c r="J75" i="1"/>
  <c r="J74" i="1"/>
  <c r="J73" i="1"/>
  <c r="C65" i="1"/>
  <c r="D59" i="1"/>
  <c r="D54" i="1"/>
  <c r="G50" i="1"/>
  <c r="G49" i="1"/>
  <c r="C49" i="1"/>
  <c r="C50" i="1" s="1"/>
  <c r="E42" i="1"/>
  <c r="E43" i="1" s="1"/>
  <c r="E29" i="1"/>
  <c r="E26" i="1"/>
  <c r="E24" i="1"/>
  <c r="C14" i="1"/>
  <c r="E7" i="1"/>
  <c r="E3" i="1"/>
  <c r="A196" i="1"/>
  <c r="A184" i="1"/>
  <c r="A190" i="1"/>
  <c r="H66" i="1"/>
  <c r="C96" i="1" l="1"/>
  <c r="E97" i="1"/>
  <c r="F132" i="1"/>
  <c r="G97" i="1" s="1"/>
  <c r="E96" i="1"/>
  <c r="C97" i="1"/>
  <c r="F111" i="1"/>
  <c r="G96" i="1" s="1"/>
  <c r="D77" i="1"/>
  <c r="D73" i="1"/>
  <c r="J69" i="1"/>
  <c r="D76" i="1"/>
  <c r="J71" i="1"/>
  <c r="J72" i="1" s="1"/>
  <c r="J77" i="1" s="1"/>
  <c r="J78" i="1" s="1"/>
  <c r="C70" i="1" s="1"/>
  <c r="D71" i="1"/>
  <c r="J65" i="1"/>
  <c r="J67" i="1" s="1"/>
  <c r="J70" i="1"/>
  <c r="C69" i="1" s="1"/>
  <c r="D69" i="1" s="1"/>
  <c r="J68" i="1"/>
  <c r="D78" i="1"/>
  <c r="D72" i="1"/>
  <c r="D74" i="1"/>
  <c r="D75" i="1"/>
  <c r="A197" i="1"/>
  <c r="A191" i="1"/>
  <c r="A185" i="1"/>
  <c r="C98" i="1" l="1"/>
  <c r="G98" i="1"/>
  <c r="E98" i="1"/>
  <c r="E69" i="1"/>
  <c r="D70" i="1"/>
  <c r="I66" i="1" s="1"/>
  <c r="J66" i="1"/>
  <c r="G69" i="1"/>
  <c r="D63" i="1" s="1"/>
  <c r="A192" i="1"/>
  <c r="A198" i="1"/>
  <c r="A186" i="1"/>
  <c r="I67" i="1" l="1"/>
  <c r="I65" i="1" s="1"/>
  <c r="C67" i="1" s="1"/>
  <c r="F64" i="1"/>
  <c r="D64" i="1"/>
  <c r="A193" i="1"/>
  <c r="A187" i="1"/>
  <c r="A199" i="1"/>
  <c r="A200" i="1" l="1"/>
  <c r="A188" i="1"/>
  <c r="A194" i="1"/>
</calcChain>
</file>

<file path=xl/sharedStrings.xml><?xml version="1.0" encoding="utf-8"?>
<sst xmlns="http://schemas.openxmlformats.org/spreadsheetml/2006/main" count="350" uniqueCount="263">
  <si>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</si>
  <si>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</si>
  <si>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</si>
  <si>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</si>
  <si>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Thane</t>
  </si>
  <si>
    <t>Date Of Property Visit</t>
  </si>
  <si>
    <t>Name of the builder group</t>
  </si>
  <si>
    <t>Divit Ventures</t>
  </si>
  <si>
    <t>Name of the builder company</t>
  </si>
  <si>
    <t>Name of the Project</t>
  </si>
  <si>
    <t>Konar Business Park</t>
  </si>
  <si>
    <t>Provided Contact Details ( Name &amp; Contact No.)</t>
  </si>
  <si>
    <t>Site Person - Contact Details ( Name &amp; Contact No.)</t>
  </si>
  <si>
    <t>Name / No of the Building</t>
  </si>
  <si>
    <t>1 Building</t>
  </si>
  <si>
    <t>Docouments Provided</t>
  </si>
  <si>
    <t>Approved Plans, CC, Sale Plans, Cost Sheet</t>
  </si>
  <si>
    <t>RERA No.</t>
  </si>
  <si>
    <t xml:space="preserve">P51700031312 </t>
  </si>
  <si>
    <t xml:space="preserve">Project location details       </t>
  </si>
  <si>
    <t>Survey No</t>
  </si>
  <si>
    <t>3, Plot No. A-291, A-A-290</t>
  </si>
  <si>
    <t>Locality</t>
  </si>
  <si>
    <t>Ambica Nagar</t>
  </si>
  <si>
    <t>Road</t>
  </si>
  <si>
    <t>Road No.16A</t>
  </si>
  <si>
    <t>Locality/Village</t>
  </si>
  <si>
    <t>Wagle Industrial Estates</t>
  </si>
  <si>
    <t>City</t>
  </si>
  <si>
    <t>Thane West</t>
  </si>
  <si>
    <t>District</t>
  </si>
  <si>
    <t>Thane</t>
  </si>
  <si>
    <t>Taluka</t>
  </si>
  <si>
    <t>Pin Code</t>
  </si>
  <si>
    <t>Nearby Landmark</t>
  </si>
  <si>
    <t>Balaji Infotech Park</t>
  </si>
  <si>
    <t xml:space="preserve">Distance from city centre: </t>
  </si>
  <si>
    <t>4.4KM from Thane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</si>
  <si>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</si>
  <si>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</si>
  <si>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</si>
  <si>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</si>
  <si>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</si>
  <si>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</si>
  <si>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</si>
  <si>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</si>
  <si>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</si>
  <si>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</si>
  <si>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</si>
  <si>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</si>
  <si>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</si>
  <si>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</si>
  <si>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</si>
  <si>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</si>
  <si>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</si>
  <si>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</si>
  <si>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</si>
  <si>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</si>
  <si>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Kamal Medico Private Limited</t>
  </si>
  <si>
    <t>West</t>
  </si>
  <si>
    <t>North</t>
  </si>
  <si>
    <t>Old Industry</t>
  </si>
  <si>
    <t>South</t>
  </si>
  <si>
    <t>Marble Shop</t>
  </si>
  <si>
    <t>Does the boundaries at site match, as mentioned in the Docoumentation: NA</t>
  </si>
  <si>
    <t>Latitude, Longitude</t>
  </si>
  <si>
    <t>19.2012779,72.953887</t>
  </si>
  <si>
    <t>Location Link</t>
  </si>
  <si>
    <t>https://goo.gl/maps/k2uU2gagZiqSMSEj7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</si>
  <si>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</si>
  <si>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</si>
  <si>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</si>
  <si>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</si>
  <si>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</si>
  <si>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</si>
  <si>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</si>
  <si>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</si>
  <si>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</si>
  <si>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</si>
  <si>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Maharashtra Industrial Development Corporation</t>
  </si>
  <si>
    <t xml:space="preserve">Layout Approval No     </t>
  </si>
  <si>
    <t xml:space="preserve">MIDC/IFMS/THANE I/E&amp;MD/Subdn
Thane PAIII/2022/B01359 </t>
  </si>
  <si>
    <t>Dated</t>
  </si>
  <si>
    <t>23/03/2022.</t>
  </si>
  <si>
    <t xml:space="preserve">Approved Floor plan No.  </t>
  </si>
  <si>
    <t xml:space="preserve">Commencement-CC No
Valid Up to: </t>
  </si>
  <si>
    <t>Gr + 1st to 20th(Pt)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</si>
  <si>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</si>
  <si>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</si>
  <si>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</si>
  <si>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</si>
  <si>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</si>
  <si>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ITSS Unit - 27, IT Offices - 129</t>
  </si>
  <si>
    <t>Approved no of Floors</t>
  </si>
  <si>
    <t>Proposed no of Floors</t>
  </si>
  <si>
    <t>Expected Completion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</si>
  <si>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</si>
  <si>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</si>
  <si>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</si>
  <si>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 Vitrified tiles flooring 2. Granite Kitchen Platform 3. Decorative Enternace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</si>
  <si>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</si>
  <si>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</si>
  <si>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</si>
  <si>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</si>
  <si>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</si>
  <si>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</si>
  <si>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</si>
  <si>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</si>
  <si>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</si>
  <si>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</si>
  <si>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</si>
  <si>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</si>
  <si>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</si>
  <si>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</si>
  <si>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</si>
  <si>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</si>
  <si>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</si>
  <si>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</si>
  <si>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</si>
  <si>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</si>
  <si>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</si>
  <si>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</si>
  <si>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</si>
  <si>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</si>
  <si>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</si>
  <si>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</si>
  <si>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</si>
  <si>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</si>
  <si>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</si>
  <si>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</si>
  <si>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</si>
  <si>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</si>
  <si>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</si>
  <si>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</si>
  <si>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</si>
  <si>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</si>
  <si>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</si>
  <si>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</si>
  <si>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</si>
  <si>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ITSS Unit Per Sq. Ft.</t>
  </si>
  <si>
    <t>Recommended rate of the IT Office Per Sq. Ft. (2nd to 5th Floor)</t>
  </si>
  <si>
    <t>Recommended rate of the IT Office Per Sq. Ft. (6th to 20th Floor)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</si>
  <si>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</si>
  <si>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</si>
  <si>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</si>
  <si>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</si>
  <si>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</si>
  <si>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</si>
  <si>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</si>
  <si>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Other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</si>
  <si>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</si>
  <si>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</si>
  <si>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</si>
  <si>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</si>
  <si>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</si>
  <si>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</si>
  <si>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</si>
  <si>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ITSS Units</t>
  </si>
  <si>
    <t>IT Offices</t>
  </si>
  <si>
    <t>Total</t>
  </si>
  <si>
    <t>Residential Area Details :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</si>
  <si>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</si>
  <si>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</si>
  <si>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</si>
  <si>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</si>
  <si>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</si>
  <si>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</si>
  <si>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</si>
  <si>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</si>
  <si>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</si>
  <si>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Basement Floor For Mechanical Parking</t>
  </si>
  <si>
    <t>Ground Floor For Commercial</t>
  </si>
  <si>
    <t>ITSS Unit</t>
  </si>
  <si>
    <t>1st Floor For Food Court (Part Terrace Area)</t>
  </si>
  <si>
    <t>ITSS Unit (Food Court)</t>
  </si>
  <si>
    <t>ITSS Unit (Food Court)
(Duplex With Ground Floor)</t>
  </si>
  <si>
    <t>2nd &amp; 3rd Floor</t>
  </si>
  <si>
    <t>201 &amp; 301</t>
  </si>
  <si>
    <t>202 &amp; 302</t>
  </si>
  <si>
    <t>203 &amp; 303</t>
  </si>
  <si>
    <t>204 &amp; 304</t>
  </si>
  <si>
    <t>205 &amp; 305</t>
  </si>
  <si>
    <t>206 &amp; 306</t>
  </si>
  <si>
    <t>207 &amp; 307</t>
  </si>
  <si>
    <t>208 &amp; 308</t>
  </si>
  <si>
    <t>4th &amp; 5th Floor</t>
  </si>
  <si>
    <t>401 &amp; 501</t>
  </si>
  <si>
    <t>IT Office</t>
  </si>
  <si>
    <t>402 &amp; 502</t>
  </si>
  <si>
    <t>403 &amp; 503</t>
  </si>
  <si>
    <t>404 &amp; 504</t>
  </si>
  <si>
    <t>405 &amp; 505</t>
  </si>
  <si>
    <t>406 &amp; 506</t>
  </si>
  <si>
    <t>407 &amp; 507</t>
  </si>
  <si>
    <t>408 &amp; 508</t>
  </si>
  <si>
    <t>6th, 10th, 14th &amp; 18th Floor (Part Refuge Area)</t>
  </si>
  <si>
    <t>601 ,., 1801</t>
  </si>
  <si>
    <t>602 ,., 1802</t>
  </si>
  <si>
    <t>603 ,., 1803</t>
  </si>
  <si>
    <t>604 ,., 1804</t>
  </si>
  <si>
    <t>605 ,., 1805</t>
  </si>
  <si>
    <t>606 ,., 1806</t>
  </si>
  <si>
    <t>607 ,., 1807</t>
  </si>
  <si>
    <t>608 ,., 1808</t>
  </si>
  <si>
    <t>Refuge Area</t>
  </si>
  <si>
    <t>7th to 9th, 11th to 13th, 15th to 17th &amp; 19th Floor</t>
  </si>
  <si>
    <t>701 ,., 1901</t>
  </si>
  <si>
    <t>702 ,., 1902</t>
  </si>
  <si>
    <t>703 ,., 1903</t>
  </si>
  <si>
    <t>704 ,., 1904</t>
  </si>
  <si>
    <t>705 ,., 1905</t>
  </si>
  <si>
    <t>706 ,., 1906</t>
  </si>
  <si>
    <t>707 ,., 1907</t>
  </si>
  <si>
    <t>708 ,., 1908</t>
  </si>
  <si>
    <t>20th Floor (Part Terrace Area)</t>
  </si>
  <si>
    <t>Ground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</si>
  <si>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</si>
  <si>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</si>
  <si>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</si>
  <si>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2nd Floor</t>
  </si>
  <si>
    <t>3rd, 5th, 7th, 9th, 11th, 13th, 15th Floor</t>
  </si>
  <si>
    <t>2nd to 5th Floor</t>
  </si>
  <si>
    <t>2nd &amp; 5th Floor</t>
  </si>
  <si>
    <t xml:space="preserve">Remarks:  </t>
  </si>
  <si>
    <t>*</t>
  </si>
  <si>
    <t>Construction work is in process at the time of Visit. Internal Visit was not allowed.</t>
  </si>
  <si>
    <t>We considered Carpet area as per Approved Plan.</t>
  </si>
  <si>
    <t>We considered Gross carpet area = Net carpet + Enclose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</si>
  <si>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</si>
  <si>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</si>
  <si>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</si>
  <si>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</si>
  <si>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Builder will be selling Bareshell offices to customer.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</si>
  <si>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</si>
  <si>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</si>
  <si>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</si>
  <si>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</si>
  <si>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</si>
  <si>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</si>
  <si>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</si>
  <si>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</si>
  <si>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Ajay Songare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</si>
  <si>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</si>
  <si>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</si>
  <si>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</si>
  <si>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</si>
  <si>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</si>
  <si>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</si>
  <si>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</si>
  <si>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</si>
  <si>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</si>
  <si>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</si>
  <si>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</si>
  <si>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</si>
  <si>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</si>
  <si>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</si>
  <si>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</si>
  <si>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</si>
  <si>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</si>
  <si>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Facad Work &amp; Plumbing</t>
  </si>
  <si>
    <t>As per RERA - 31/12/2025</t>
  </si>
  <si>
    <t>Pooja Kawale</t>
  </si>
  <si>
    <t>Rera site not working on 11/9/2025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</si>
</sst>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  <numFmt numFmtId="168" formatCode="[&gt;0]0&quot;BHK&quot;;&quot;1RK&quot;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65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9" fontId="10" fillId="0" borderId="20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9" fillId="0" borderId="25" xfId="0" applyFont="1" applyBorder="1"/>
    <xf numFmtId="0" fontId="19" fillId="0" borderId="14" xfId="0" applyFont="1" applyBorder="1"/>
    <xf numFmtId="0" fontId="20" fillId="0" borderId="0" xfId="0" applyFont="1" applyProtection="1">
      <protection hidden="1"/>
    </xf>
    <xf numFmtId="0" fontId="10" fillId="0" borderId="18" xfId="8" applyFont="1" applyBorder="1"/>
    <xf numFmtId="0" fontId="20" fillId="0" borderId="18" xfId="0" applyFont="1" applyBorder="1" applyProtection="1">
      <protection hidden="1"/>
    </xf>
    <xf numFmtId="1" fontId="0" fillId="0" borderId="18" xfId="0" applyNumberFormat="1" applyBorder="1"/>
    <xf numFmtId="1" fontId="0" fillId="0" borderId="18" xfId="0" applyNumberFormat="1" applyBorder="1" applyAlignment="1">
      <alignment horizontal="right"/>
    </xf>
    <xf numFmtId="0" fontId="20" fillId="0" borderId="26" xfId="0" applyFont="1" applyBorder="1" applyProtection="1">
      <protection hidden="1"/>
    </xf>
    <xf numFmtId="1" fontId="0" fillId="0" borderId="23" xfId="0" applyNumberFormat="1" applyBorder="1"/>
    <xf numFmtId="1" fontId="10" fillId="0" borderId="0" xfId="8" applyNumberFormat="1" applyFont="1" applyAlignment="1">
      <alignment horizontal="center" vertical="center"/>
    </xf>
    <xf numFmtId="168" fontId="9" fillId="0" borderId="1" xfId="8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6" fillId="0" borderId="0" xfId="8" applyFont="1" applyProtection="1"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6" xfId="8" applyNumberFormat="1" applyFont="1" applyBorder="1" applyAlignment="1" applyProtection="1">
      <alignment horizontal="center" vertical="center" wrapText="1"/>
      <protection locked="0"/>
    </xf>
    <xf numFmtId="1" fontId="9" fillId="0" borderId="17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24" xfId="8" applyNumberFormat="1" applyFont="1" applyBorder="1" applyAlignment="1" applyProtection="1">
      <alignment horizontal="center" vertical="center" wrapText="1"/>
      <protection locked="0"/>
    </xf>
    <xf numFmtId="1" fontId="12" fillId="0" borderId="0" xfId="8" applyNumberFormat="1" applyFont="1" applyBorder="1" applyAlignment="1" applyProtection="1">
      <alignment horizontal="center" vertical="center" wrapText="1"/>
      <protection locked="0"/>
    </xf>
    <xf numFmtId="1" fontId="12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24" xfId="8" applyNumberFormat="1" applyFont="1" applyBorder="1" applyAlignment="1" applyProtection="1">
      <alignment horizontal="center" vertical="center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0" fillId="0" borderId="13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6" xfId="2" applyFont="1" applyFill="1" applyBorder="1" applyAlignment="1" applyProtection="1">
      <alignment horizontal="center" vertical="center" wrapText="1"/>
      <protection locked="0"/>
    </xf>
    <xf numFmtId="9" fontId="10" fillId="0" borderId="17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15" xfId="2" applyFont="1" applyFill="1" applyBorder="1" applyAlignment="1" applyProtection="1">
      <alignment horizontal="center" vertical="center" wrapText="1"/>
      <protection locked="0"/>
    </xf>
    <xf numFmtId="9" fontId="10" fillId="0" borderId="18" xfId="2" applyFont="1" applyFill="1" applyBorder="1" applyAlignment="1" applyProtection="1">
      <alignment horizontal="center" vertical="center" wrapText="1"/>
      <protection locked="0"/>
    </xf>
    <xf numFmtId="9" fontId="10" fillId="0" borderId="23" xfId="2" applyFont="1" applyFill="1" applyBorder="1" applyAlignment="1" applyProtection="1">
      <alignment horizontal="center" vertical="center" wrapText="1"/>
      <protection locked="0"/>
    </xf>
    <xf numFmtId="0" fontId="10" fillId="0" borderId="14" xfId="8" applyFont="1" applyBorder="1" applyAlignment="1" applyProtection="1">
      <alignment horizontal="center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NumberFormat="1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  <xf numFmtId="0" fontId="18" fillId="2" borderId="12" xfId="0" applyFont="1" applyFill="1" applyBorder="1"/>
    <xf numFmtId="0" fontId="19" fillId="0" borderId="4" xfId="0" applyFont="1" applyBorder="1"/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242452</xdr:colOff>
      <xdr:row>309</xdr:row>
      <xdr:rowOff>51954</xdr:rowOff>
    </xdr:from>
    <xdr:to>
      <xdr:col>7</xdr:col>
      <xdr:colOff>601429</xdr:colOff>
      <xdr:row>324</xdr:row>
      <xdr:rowOff>26216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241935" y="54321710"/>
          <a:ext cx="6062345" cy="29749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242452</xdr:colOff>
      <xdr:row>325</xdr:row>
      <xdr:rowOff>57183</xdr:rowOff>
    </xdr:from>
    <xdr:to>
      <xdr:col>7</xdr:col>
      <xdr:colOff>601429</xdr:colOff>
      <xdr:row>347</xdr:row>
      <xdr:rowOff>145944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241935" y="57527825"/>
          <a:ext cx="6062345" cy="4488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294406</xdr:colOff>
      <xdr:row>265</xdr:row>
      <xdr:rowOff>43295</xdr:rowOff>
    </xdr:from>
    <xdr:to>
      <xdr:col>7</xdr:col>
      <xdr:colOff>545383</xdr:colOff>
      <xdr:row>292</xdr:row>
      <xdr:rowOff>2099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05" y="47912655"/>
          <a:ext cx="5953760" cy="5359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138546</xdr:colOff>
      <xdr:row>335</xdr:row>
      <xdr:rowOff>51955</xdr:rowOff>
    </xdr:from>
    <xdr:to>
      <xdr:col>4</xdr:col>
      <xdr:colOff>60614</xdr:colOff>
      <xdr:row>341</xdr:row>
      <xdr:rowOff>69272</xdr:rowOff>
    </xdr:to>
    <xdr:sp macro="" textlink="">
      <xdr:nvSpPr>
        <xdr:cNvPr id="11" name="Rectangle 10"/>
        <xdr:cNvSpPr/>
      </xdr:nvSpPr>
      <xdr:spPr>
        <a:xfrm>
          <a:off x="2550795" y="59522360"/>
          <a:ext cx="867410" cy="121793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1042035</xdr:colOff>
      <xdr:row>221</xdr:row>
      <xdr:rowOff>106680</xdr:rowOff>
    </xdr:from>
    <xdr:to>
      <xdr:col>16</xdr:col>
      <xdr:colOff>408978</xdr:colOff>
      <xdr:row>254</xdr:row>
      <xdr:rowOff>156526</xdr:rowOff>
    </xdr:to>
    <xdr:grpSp>
      <xdr:nvGrpSpPr>
        <xdr:cNvPr id="10" name="Group 9"/>
        <xdr:cNvGrpSpPr/>
      </xdr:nvGrpSpPr>
      <xdr:grpSpPr>
        <a:xfrm>
          <a:off x="7887335" y="38511480"/>
          <a:ext cx="6066193" cy="6539546"/>
          <a:chOff x="335279" y="193200"/>
          <a:chExt cx="5916333" cy="6580186"/>
        </a:xfrm>
      </xdr:grpSpPr>
      <xdr:grpSp>
        <xdr:nvGrpSpPr>
          <xdr:cNvPr id="12" name="Group 11"/>
          <xdr:cNvGrpSpPr/>
        </xdr:nvGrpSpPr>
        <xdr:grpSpPr>
          <a:xfrm>
            <a:off x="594501" y="4253386"/>
            <a:ext cx="5397889" cy="2520000"/>
            <a:chOff x="-141610" y="4222906"/>
            <a:chExt cx="5397889" cy="2520000"/>
          </a:xfrm>
        </xdr:grpSpPr>
        <xdr:pic>
          <xdr:nvPicPr>
            <xdr:cNvPr id="20" name="Picture 19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68248" y="422290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141610" y="4222906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/>
          <xdr:cNvGrpSpPr/>
        </xdr:nvGrpSpPr>
        <xdr:grpSpPr>
          <a:xfrm>
            <a:off x="335279" y="193200"/>
            <a:ext cx="5916333" cy="3844005"/>
            <a:chOff x="335279" y="193200"/>
            <a:chExt cx="5916333" cy="3844005"/>
          </a:xfrm>
        </xdr:grpSpPr>
        <xdr:pic>
          <xdr:nvPicPr>
            <xdr:cNvPr id="14" name="Picture 13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5279" y="19320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71612" y="19320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381000</xdr:colOff>
      <xdr:row>224</xdr:row>
      <xdr:rowOff>82550</xdr:rowOff>
    </xdr:from>
    <xdr:to>
      <xdr:col>7</xdr:col>
      <xdr:colOff>483187</xdr:colOff>
      <xdr:row>259</xdr:row>
      <xdr:rowOff>173567</xdr:rowOff>
    </xdr:to>
    <xdr:grpSp>
      <xdr:nvGrpSpPr>
        <xdr:cNvPr id="5" name="Group 4"/>
        <xdr:cNvGrpSpPr/>
      </xdr:nvGrpSpPr>
      <xdr:grpSpPr>
        <a:xfrm>
          <a:off x="381000" y="39077900"/>
          <a:ext cx="6077537" cy="6974417"/>
          <a:chOff x="381000" y="39077900"/>
          <a:chExt cx="6077537" cy="6974417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1630" y="43172317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39077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0156" y="43172317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1630" y="39077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2uU2gagZiqSMSEj7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8"/>
  <sheetViews>
    <sheetView tabSelected="1" view="pageBreakPreview" zoomScaleNormal="100" zoomScaleSheetLayoutView="100" workbookViewId="0">
      <selection activeCell="I14" sqref="I14"/>
    </sheetView>
  </sheetViews>
  <sheetFormatPr defaultColWidth="9.1796875" defaultRowHeight="15.5"/>
  <cols>
    <col min="1" max="1" width="11.453125" style="19" customWidth="1"/>
    <col min="2" max="2" width="12" style="19" customWidth="1"/>
    <col min="3" max="3" width="12.7265625" style="19" customWidth="1"/>
    <col min="4" max="4" width="14.1796875" style="19" customWidth="1"/>
    <col min="5" max="7" width="11.7265625" style="19" customWidth="1"/>
    <col min="8" max="8" width="12.453125" style="19" customWidth="1"/>
    <col min="9" max="9" width="17.453125" style="20" customWidth="1"/>
    <col min="10" max="10" width="11.453125" style="20" customWidth="1"/>
    <col min="11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9" ht="46.5" customHeight="1">
      <c r="A1" s="159" t="s">
        <v>0</v>
      </c>
      <c r="B1" s="159"/>
      <c r="C1" s="159"/>
      <c r="D1" s="159"/>
      <c r="E1" s="159"/>
      <c r="F1" s="159"/>
      <c r="G1" s="159"/>
      <c r="H1" s="159"/>
    </row>
    <row r="2" spans="1:9" ht="16.5" customHeight="1">
      <c r="A2" s="93" t="s">
        <v>1</v>
      </c>
      <c r="B2" s="93"/>
      <c r="C2" s="93"/>
      <c r="D2" s="93"/>
      <c r="E2" s="93"/>
      <c r="F2" s="93"/>
      <c r="G2" s="93"/>
      <c r="H2" s="93"/>
    </row>
    <row r="3" spans="1:9">
      <c r="A3" s="58" t="s">
        <v>2</v>
      </c>
      <c r="B3" s="58"/>
      <c r="C3" s="58"/>
      <c r="D3" s="58"/>
      <c r="E3" s="58" t="str">
        <f ca="1">TEXT(TODAY(),"DD/MM/YYYY")</f>
        <v>11/09/2025</v>
      </c>
      <c r="F3" s="58"/>
      <c r="G3" s="58"/>
      <c r="H3" s="58"/>
    </row>
    <row r="4" spans="1:9" ht="15" customHeight="1">
      <c r="A4" s="58" t="s">
        <v>3</v>
      </c>
      <c r="B4" s="58"/>
      <c r="C4" s="58"/>
      <c r="D4" s="58"/>
      <c r="E4" s="160" t="s">
        <v>4</v>
      </c>
      <c r="F4" s="160"/>
      <c r="G4" s="160"/>
      <c r="H4" s="160"/>
    </row>
    <row r="5" spans="1:9">
      <c r="A5" s="58" t="s">
        <v>5</v>
      </c>
      <c r="B5" s="58"/>
      <c r="C5" s="58"/>
      <c r="D5" s="58"/>
      <c r="E5" s="161">
        <v>45905</v>
      </c>
      <c r="F5" s="58"/>
      <c r="G5" s="58"/>
      <c r="H5" s="58"/>
    </row>
    <row r="6" spans="1:9" ht="16.5" customHeight="1">
      <c r="A6" s="58" t="s">
        <v>6</v>
      </c>
      <c r="B6" s="58"/>
      <c r="C6" s="58"/>
      <c r="D6" s="58"/>
      <c r="E6" s="58" t="s">
        <v>7</v>
      </c>
      <c r="F6" s="58"/>
      <c r="G6" s="58"/>
      <c r="H6" s="58"/>
    </row>
    <row r="7" spans="1:9" ht="15" customHeight="1">
      <c r="A7" s="58" t="s">
        <v>8</v>
      </c>
      <c r="B7" s="58"/>
      <c r="C7" s="58"/>
      <c r="D7" s="58"/>
      <c r="E7" s="58" t="str">
        <f>E6</f>
        <v>Divit Ventures</v>
      </c>
      <c r="F7" s="58"/>
      <c r="G7" s="58"/>
      <c r="H7" s="58"/>
    </row>
    <row r="8" spans="1:9">
      <c r="A8" s="58" t="s">
        <v>9</v>
      </c>
      <c r="B8" s="58"/>
      <c r="C8" s="58"/>
      <c r="D8" s="58"/>
      <c r="E8" s="124" t="s">
        <v>10</v>
      </c>
      <c r="F8" s="124"/>
      <c r="G8" s="124"/>
      <c r="H8" s="124"/>
    </row>
    <row r="9" spans="1:9">
      <c r="A9" s="58" t="s">
        <v>11</v>
      </c>
      <c r="B9" s="58"/>
      <c r="C9" s="58"/>
      <c r="D9" s="58"/>
      <c r="E9" s="58">
        <v>7021937439</v>
      </c>
      <c r="F9" s="58"/>
      <c r="G9" s="58"/>
      <c r="H9" s="58"/>
    </row>
    <row r="10" spans="1:9" hidden="1">
      <c r="A10" s="58" t="s">
        <v>12</v>
      </c>
      <c r="B10" s="58"/>
      <c r="C10" s="58"/>
      <c r="D10" s="58"/>
      <c r="E10" s="58"/>
      <c r="F10" s="58"/>
      <c r="G10" s="58"/>
      <c r="H10" s="58"/>
    </row>
    <row r="11" spans="1:9">
      <c r="A11" s="58" t="s">
        <v>13</v>
      </c>
      <c r="B11" s="58"/>
      <c r="C11" s="58"/>
      <c r="D11" s="58"/>
      <c r="E11" s="58" t="s">
        <v>14</v>
      </c>
      <c r="F11" s="58"/>
      <c r="G11" s="58"/>
      <c r="H11" s="58"/>
    </row>
    <row r="12" spans="1:9">
      <c r="A12" s="65" t="s">
        <v>15</v>
      </c>
      <c r="B12" s="65"/>
      <c r="C12" s="65"/>
      <c r="D12" s="65"/>
      <c r="E12" s="128" t="s">
        <v>16</v>
      </c>
      <c r="F12" s="128"/>
      <c r="G12" s="128"/>
      <c r="H12" s="128"/>
    </row>
    <row r="13" spans="1:9">
      <c r="A13" s="65" t="s">
        <v>17</v>
      </c>
      <c r="B13" s="65"/>
      <c r="C13" s="65"/>
      <c r="D13" s="65"/>
      <c r="E13" s="128" t="s">
        <v>18</v>
      </c>
      <c r="F13" s="58"/>
      <c r="G13" s="58"/>
      <c r="H13" s="58"/>
      <c r="I13" s="20" t="s">
        <v>262</v>
      </c>
    </row>
    <row r="14" spans="1:9" ht="48.75" customHeight="1">
      <c r="A14" s="57" t="s">
        <v>19</v>
      </c>
      <c r="B14" s="57"/>
      <c r="C14" s="5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Konar Business Park, Survey No.3, Plot No. A-291, A-A-290, near Balaji Infotech Park, Road No.16A, Ambica Nagar, Wagle Industrial Estates, Thane West, Thane, Thane - 400604.</v>
      </c>
      <c r="D14" s="57"/>
      <c r="E14" s="57"/>
      <c r="F14" s="57"/>
      <c r="G14" s="57"/>
      <c r="H14" s="57"/>
    </row>
    <row r="15" spans="1:9">
      <c r="A15" s="128" t="s">
        <v>20</v>
      </c>
      <c r="B15" s="128"/>
      <c r="C15" s="128" t="s">
        <v>21</v>
      </c>
      <c r="D15" s="128"/>
      <c r="E15" s="128"/>
      <c r="F15" s="128"/>
      <c r="G15" s="128"/>
      <c r="H15" s="128"/>
    </row>
    <row r="16" spans="1:9" ht="15.75" customHeight="1">
      <c r="A16" s="128" t="s">
        <v>22</v>
      </c>
      <c r="B16" s="128"/>
      <c r="C16" s="128" t="s">
        <v>23</v>
      </c>
      <c r="D16" s="128"/>
      <c r="E16" s="128"/>
      <c r="F16" s="128"/>
      <c r="G16" s="128"/>
      <c r="H16" s="128"/>
    </row>
    <row r="17" spans="1:8" ht="15.75" customHeight="1">
      <c r="A17" s="57" t="s">
        <v>24</v>
      </c>
      <c r="B17" s="57"/>
      <c r="C17" s="58" t="s">
        <v>25</v>
      </c>
      <c r="D17" s="58"/>
      <c r="E17" s="57" t="s">
        <v>26</v>
      </c>
      <c r="F17" s="57"/>
      <c r="G17" s="128" t="s">
        <v>27</v>
      </c>
      <c r="H17" s="128"/>
    </row>
    <row r="18" spans="1:8">
      <c r="A18" s="65" t="s">
        <v>28</v>
      </c>
      <c r="B18" s="65"/>
      <c r="C18" s="128" t="s">
        <v>29</v>
      </c>
      <c r="D18" s="128"/>
      <c r="E18" s="57" t="s">
        <v>30</v>
      </c>
      <c r="F18" s="57"/>
      <c r="G18" s="158" t="s">
        <v>31</v>
      </c>
      <c r="H18" s="158"/>
    </row>
    <row r="19" spans="1:8">
      <c r="A19" s="65" t="s">
        <v>32</v>
      </c>
      <c r="B19" s="65"/>
      <c r="C19" s="128" t="s">
        <v>31</v>
      </c>
      <c r="D19" s="128"/>
      <c r="E19" s="57" t="s">
        <v>33</v>
      </c>
      <c r="F19" s="57"/>
      <c r="G19" s="128">
        <v>400604</v>
      </c>
      <c r="H19" s="128"/>
    </row>
    <row r="20" spans="1:8" ht="32.25" customHeight="1">
      <c r="A20" s="65" t="s">
        <v>34</v>
      </c>
      <c r="B20" s="65"/>
      <c r="C20" s="128" t="s">
        <v>35</v>
      </c>
      <c r="D20" s="128"/>
      <c r="E20" s="57" t="s">
        <v>36</v>
      </c>
      <c r="F20" s="57"/>
      <c r="G20" s="128" t="s">
        <v>37</v>
      </c>
      <c r="H20" s="128"/>
    </row>
    <row r="21" spans="1:8" ht="15" customHeight="1">
      <c r="A21" s="57" t="s">
        <v>38</v>
      </c>
      <c r="B21" s="57"/>
      <c r="C21" s="57"/>
      <c r="D21" s="57"/>
      <c r="E21" s="58" t="s">
        <v>39</v>
      </c>
      <c r="F21" s="58"/>
      <c r="G21" s="58"/>
      <c r="H21" s="58"/>
    </row>
    <row r="22" spans="1:8" ht="18.75" customHeight="1">
      <c r="A22" s="57"/>
      <c r="B22" s="57"/>
      <c r="C22" s="57"/>
      <c r="D22" s="57"/>
      <c r="E22" s="58"/>
      <c r="F22" s="58"/>
      <c r="G22" s="58"/>
      <c r="H22" s="58"/>
    </row>
    <row r="23" spans="1:8" ht="15" customHeight="1">
      <c r="A23" s="57" t="s">
        <v>40</v>
      </c>
      <c r="B23" s="57"/>
      <c r="C23" s="57"/>
      <c r="D23" s="57"/>
      <c r="E23" s="128" t="s">
        <v>41</v>
      </c>
      <c r="F23" s="128"/>
      <c r="G23" s="128"/>
      <c r="H23" s="128"/>
    </row>
    <row r="24" spans="1:8" ht="15" customHeight="1">
      <c r="A24" s="65" t="s">
        <v>42</v>
      </c>
      <c r="B24" s="65"/>
      <c r="C24" s="65"/>
      <c r="D24" s="65"/>
      <c r="E24" s="128" t="str">
        <f>IF(AND(G18="Mumbai"),"Upper Class","Middle Class")</f>
        <v>Middle Class</v>
      </c>
      <c r="F24" s="128"/>
      <c r="G24" s="128"/>
      <c r="H24" s="128"/>
    </row>
    <row r="25" spans="1:8">
      <c r="A25" s="65" t="s">
        <v>43</v>
      </c>
      <c r="B25" s="65"/>
      <c r="C25" s="65"/>
      <c r="D25" s="65"/>
      <c r="E25" s="128" t="s">
        <v>44</v>
      </c>
      <c r="F25" s="128"/>
      <c r="G25" s="128"/>
      <c r="H25" s="128"/>
    </row>
    <row r="26" spans="1:8" ht="15.75" customHeight="1">
      <c r="A26" s="65" t="s">
        <v>45</v>
      </c>
      <c r="B26" s="65"/>
      <c r="C26" s="65"/>
      <c r="D26" s="65"/>
      <c r="E26" s="128" t="str">
        <f>IF(AND(G18="Mumbai"),"Developed","Developing")</f>
        <v>Developing</v>
      </c>
      <c r="F26" s="128"/>
      <c r="G26" s="128"/>
      <c r="H26" s="128"/>
    </row>
    <row r="27" spans="1:8">
      <c r="A27" s="65" t="s">
        <v>46</v>
      </c>
      <c r="B27" s="65"/>
      <c r="C27" s="65"/>
      <c r="D27" s="65"/>
      <c r="E27" s="128" t="s">
        <v>47</v>
      </c>
      <c r="F27" s="128"/>
      <c r="G27" s="128"/>
      <c r="H27" s="128"/>
    </row>
    <row r="28" spans="1:8" ht="15.75" customHeight="1">
      <c r="A28" s="65" t="s">
        <v>48</v>
      </c>
      <c r="B28" s="65"/>
      <c r="C28" s="65"/>
      <c r="D28" s="65"/>
      <c r="E28" s="128" t="s">
        <v>49</v>
      </c>
      <c r="F28" s="128"/>
      <c r="G28" s="128"/>
      <c r="H28" s="128"/>
    </row>
    <row r="29" spans="1:8" ht="15" customHeight="1">
      <c r="A29" s="65" t="s">
        <v>50</v>
      </c>
      <c r="B29" s="65"/>
      <c r="C29" s="65"/>
      <c r="D29" s="65"/>
      <c r="E29" s="12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Commercial</v>
      </c>
      <c r="F29" s="128"/>
      <c r="G29" s="128"/>
      <c r="H29" s="128"/>
    </row>
    <row r="30" spans="1:8" ht="15.75" customHeight="1">
      <c r="A30" s="65" t="s">
        <v>51</v>
      </c>
      <c r="B30" s="65"/>
      <c r="C30" s="65"/>
      <c r="D30" s="65"/>
      <c r="E30" s="128" t="s">
        <v>52</v>
      </c>
      <c r="F30" s="128"/>
      <c r="G30" s="128"/>
      <c r="H30" s="128"/>
    </row>
    <row r="31" spans="1:8" s="13" customFormat="1">
      <c r="A31" s="156" t="s">
        <v>53</v>
      </c>
      <c r="B31" s="156"/>
      <c r="C31" s="157" t="s">
        <v>54</v>
      </c>
      <c r="D31" s="157"/>
      <c r="E31" s="157"/>
      <c r="F31" s="157" t="s">
        <v>55</v>
      </c>
      <c r="G31" s="157"/>
      <c r="H31" s="157"/>
    </row>
    <row r="32" spans="1:8" s="13" customFormat="1">
      <c r="A32" s="154" t="s">
        <v>56</v>
      </c>
      <c r="B32" s="154" t="s">
        <v>57</v>
      </c>
      <c r="C32" s="155" t="s">
        <v>57</v>
      </c>
      <c r="D32" s="155"/>
      <c r="E32" s="155"/>
      <c r="F32" s="155" t="s">
        <v>58</v>
      </c>
      <c r="G32" s="155"/>
      <c r="H32" s="155"/>
    </row>
    <row r="33" spans="1:8">
      <c r="A33" s="154" t="s">
        <v>59</v>
      </c>
      <c r="B33" s="154" t="s">
        <v>57</v>
      </c>
      <c r="C33" s="155" t="s">
        <v>57</v>
      </c>
      <c r="D33" s="155"/>
      <c r="E33" s="155"/>
      <c r="F33" s="155" t="s">
        <v>25</v>
      </c>
      <c r="G33" s="155"/>
      <c r="H33" s="155"/>
    </row>
    <row r="34" spans="1:8" s="13" customFormat="1">
      <c r="A34" s="154" t="s">
        <v>60</v>
      </c>
      <c r="B34" s="154" t="s">
        <v>57</v>
      </c>
      <c r="C34" s="155" t="s">
        <v>57</v>
      </c>
      <c r="D34" s="155"/>
      <c r="E34" s="155"/>
      <c r="F34" s="155" t="s">
        <v>61</v>
      </c>
      <c r="G34" s="155"/>
      <c r="H34" s="155"/>
    </row>
    <row r="35" spans="1:8">
      <c r="A35" s="154" t="s">
        <v>62</v>
      </c>
      <c r="B35" s="154" t="s">
        <v>57</v>
      </c>
      <c r="C35" s="155" t="s">
        <v>57</v>
      </c>
      <c r="D35" s="155"/>
      <c r="E35" s="155"/>
      <c r="F35" s="155" t="s">
        <v>63</v>
      </c>
      <c r="G35" s="155"/>
      <c r="H35" s="155"/>
    </row>
    <row r="36" spans="1:8">
      <c r="A36" s="65" t="s">
        <v>64</v>
      </c>
      <c r="B36" s="65"/>
      <c r="C36" s="65"/>
      <c r="D36" s="65"/>
      <c r="E36" s="65"/>
      <c r="F36" s="65"/>
      <c r="G36" s="65"/>
      <c r="H36" s="65"/>
    </row>
    <row r="37" spans="1:8" ht="15.75" customHeight="1">
      <c r="A37" s="93" t="s">
        <v>65</v>
      </c>
      <c r="B37" s="93"/>
      <c r="C37" s="65" t="s">
        <v>66</v>
      </c>
      <c r="D37" s="65"/>
      <c r="E37" s="65"/>
      <c r="F37" s="65"/>
      <c r="G37" s="65"/>
      <c r="H37" s="65"/>
    </row>
    <row r="38" spans="1:8">
      <c r="A38" s="93" t="s">
        <v>67</v>
      </c>
      <c r="B38" s="93"/>
      <c r="C38" s="152" t="s">
        <v>68</v>
      </c>
      <c r="D38" s="128"/>
      <c r="E38" s="128"/>
      <c r="F38" s="128"/>
      <c r="G38" s="128"/>
      <c r="H38" s="128"/>
    </row>
    <row r="39" spans="1:8">
      <c r="A39" s="106" t="s">
        <v>69</v>
      </c>
      <c r="B39" s="106"/>
      <c r="C39" s="106"/>
      <c r="D39" s="106"/>
      <c r="E39" s="106"/>
      <c r="F39" s="106"/>
      <c r="G39" s="106"/>
      <c r="H39" s="106"/>
    </row>
    <row r="40" spans="1:8">
      <c r="A40" s="65" t="s">
        <v>70</v>
      </c>
      <c r="B40" s="65"/>
      <c r="C40" s="65"/>
      <c r="D40" s="65"/>
      <c r="E40" s="153">
        <v>2808</v>
      </c>
      <c r="F40" s="153"/>
      <c r="G40" s="153"/>
      <c r="H40" s="153"/>
    </row>
    <row r="41" spans="1:8">
      <c r="A41" s="65" t="s">
        <v>71</v>
      </c>
      <c r="B41" s="65"/>
      <c r="C41" s="65"/>
      <c r="D41" s="65"/>
      <c r="E41" s="147">
        <v>3</v>
      </c>
      <c r="F41" s="147"/>
      <c r="G41" s="147"/>
      <c r="H41" s="147"/>
    </row>
    <row r="42" spans="1:8">
      <c r="A42" s="65" t="s">
        <v>72</v>
      </c>
      <c r="B42" s="65"/>
      <c r="C42" s="65"/>
      <c r="D42" s="65"/>
      <c r="E42" s="147">
        <f>E44/E40-E41</f>
        <v>-3.7891737891735389E-3</v>
      </c>
      <c r="F42" s="147"/>
      <c r="G42" s="147"/>
      <c r="H42" s="147"/>
    </row>
    <row r="43" spans="1:8">
      <c r="A43" s="65" t="s">
        <v>73</v>
      </c>
      <c r="B43" s="65"/>
      <c r="C43" s="65"/>
      <c r="D43" s="65"/>
      <c r="E43" s="147">
        <f>E41+E42</f>
        <v>2.9962108262108265</v>
      </c>
      <c r="F43" s="147"/>
      <c r="G43" s="147"/>
      <c r="H43" s="147"/>
    </row>
    <row r="44" spans="1:8">
      <c r="A44" s="65" t="s">
        <v>74</v>
      </c>
      <c r="B44" s="65"/>
      <c r="C44" s="65"/>
      <c r="D44" s="65"/>
      <c r="E44" s="148">
        <v>8413.36</v>
      </c>
      <c r="F44" s="148"/>
      <c r="G44" s="148"/>
      <c r="H44" s="148"/>
    </row>
    <row r="45" spans="1:8">
      <c r="A45" s="58" t="s">
        <v>75</v>
      </c>
      <c r="B45" s="58"/>
      <c r="C45" s="58"/>
      <c r="D45" s="58"/>
      <c r="E45" s="58" t="s">
        <v>76</v>
      </c>
      <c r="F45" s="58"/>
      <c r="G45" s="58"/>
      <c r="H45" s="58"/>
    </row>
    <row r="46" spans="1:8">
      <c r="A46" s="106" t="s">
        <v>77</v>
      </c>
      <c r="B46" s="106"/>
      <c r="C46" s="106"/>
      <c r="D46" s="106"/>
      <c r="E46" s="106"/>
      <c r="F46" s="106"/>
      <c r="G46" s="106"/>
      <c r="H46" s="106"/>
    </row>
    <row r="47" spans="1:8" ht="33.75" customHeight="1">
      <c r="A47" s="138" t="s">
        <v>78</v>
      </c>
      <c r="B47" s="139"/>
      <c r="C47" s="149" t="s">
        <v>79</v>
      </c>
      <c r="D47" s="150"/>
      <c r="E47" s="150"/>
      <c r="F47" s="150"/>
      <c r="G47" s="150"/>
      <c r="H47" s="151"/>
    </row>
    <row r="48" spans="1:8" ht="33" customHeight="1">
      <c r="A48" s="138" t="s">
        <v>80</v>
      </c>
      <c r="B48" s="139"/>
      <c r="C48" s="138" t="s">
        <v>81</v>
      </c>
      <c r="D48" s="140"/>
      <c r="E48" s="139"/>
      <c r="F48" s="21" t="s">
        <v>82</v>
      </c>
      <c r="G48" s="141" t="s">
        <v>83</v>
      </c>
      <c r="H48" s="139"/>
    </row>
    <row r="49" spans="1:14" ht="33" customHeight="1">
      <c r="A49" s="138" t="s">
        <v>84</v>
      </c>
      <c r="B49" s="139"/>
      <c r="C49" s="138" t="str">
        <f>C48</f>
        <v xml:space="preserve">MIDC/IFMS/THANE I/E&amp;MD/Subdn
Thane PAIII/2022/B01359 </v>
      </c>
      <c r="D49" s="140"/>
      <c r="E49" s="139"/>
      <c r="F49" s="21" t="s">
        <v>82</v>
      </c>
      <c r="G49" s="141" t="str">
        <f>G48</f>
        <v>23/03/2022.</v>
      </c>
      <c r="H49" s="142"/>
    </row>
    <row r="50" spans="1:14" s="14" customFormat="1" ht="33" customHeight="1">
      <c r="A50" s="143" t="s">
        <v>85</v>
      </c>
      <c r="B50" s="144"/>
      <c r="C50" s="138" t="str">
        <f>C49</f>
        <v xml:space="preserve">MIDC/IFMS/THANE I/E&amp;MD/Subdn
Thane PAIII/2022/B01359 </v>
      </c>
      <c r="D50" s="140"/>
      <c r="E50" s="139"/>
      <c r="F50" s="21" t="s">
        <v>82</v>
      </c>
      <c r="G50" s="141" t="str">
        <f>G49</f>
        <v>23/03/2022.</v>
      </c>
      <c r="H50" s="142"/>
    </row>
    <row r="51" spans="1:14" s="14" customFormat="1">
      <c r="A51" s="145"/>
      <c r="B51" s="146"/>
      <c r="C51" s="138" t="s">
        <v>86</v>
      </c>
      <c r="D51" s="140"/>
      <c r="E51" s="140"/>
      <c r="F51" s="140"/>
      <c r="G51" s="140"/>
      <c r="H51" s="139"/>
    </row>
    <row r="52" spans="1:14">
      <c r="A52" s="131" t="s">
        <v>87</v>
      </c>
      <c r="B52" s="132"/>
      <c r="C52" s="131" t="s">
        <v>88</v>
      </c>
      <c r="D52" s="133"/>
      <c r="E52" s="132"/>
      <c r="F52" s="22" t="s">
        <v>82</v>
      </c>
      <c r="G52" s="134" t="s">
        <v>57</v>
      </c>
      <c r="H52" s="135"/>
    </row>
    <row r="53" spans="1:14">
      <c r="A53" s="77" t="s">
        <v>89</v>
      </c>
      <c r="B53" s="77"/>
      <c r="C53" s="77"/>
      <c r="D53" s="77"/>
      <c r="E53" s="77"/>
      <c r="F53" s="77"/>
      <c r="G53" s="77"/>
      <c r="H53" s="77"/>
    </row>
    <row r="54" spans="1:14">
      <c r="A54" s="57" t="s">
        <v>90</v>
      </c>
      <c r="B54" s="57"/>
      <c r="C54" s="57"/>
      <c r="D54" s="65">
        <f>E44</f>
        <v>8413.36</v>
      </c>
      <c r="E54" s="65"/>
      <c r="F54" s="65"/>
      <c r="G54" s="65"/>
      <c r="H54" s="65"/>
    </row>
    <row r="55" spans="1:14">
      <c r="A55" s="128" t="s">
        <v>91</v>
      </c>
      <c r="B55" s="58"/>
      <c r="C55" s="58"/>
      <c r="D55" s="58" t="s">
        <v>92</v>
      </c>
      <c r="E55" s="58"/>
      <c r="F55" s="58"/>
      <c r="G55" s="58"/>
      <c r="H55" s="58"/>
      <c r="I55" s="23"/>
    </row>
    <row r="56" spans="1:14">
      <c r="A56" s="126" t="s">
        <v>93</v>
      </c>
      <c r="B56" s="127"/>
      <c r="C56" s="136"/>
      <c r="D56" s="123" t="s">
        <v>86</v>
      </c>
      <c r="E56" s="137"/>
      <c r="F56" s="137"/>
      <c r="G56" s="137"/>
      <c r="H56" s="137"/>
    </row>
    <row r="57" spans="1:14" ht="15.75" customHeight="1">
      <c r="A57" s="126" t="s">
        <v>94</v>
      </c>
      <c r="B57" s="127"/>
      <c r="C57" s="127"/>
      <c r="D57" s="128" t="s">
        <v>86</v>
      </c>
      <c r="E57" s="58"/>
      <c r="F57" s="58"/>
      <c r="G57" s="58"/>
      <c r="H57" s="58"/>
    </row>
    <row r="58" spans="1:14" ht="15.75" customHeight="1">
      <c r="A58" s="65" t="s">
        <v>95</v>
      </c>
      <c r="B58" s="65"/>
      <c r="C58" s="65"/>
      <c r="D58" s="129" t="s">
        <v>260</v>
      </c>
      <c r="E58" s="129"/>
      <c r="F58" s="129"/>
      <c r="G58" s="129"/>
      <c r="H58" s="129"/>
      <c r="J58" s="24"/>
      <c r="K58" s="23"/>
      <c r="N58" s="23"/>
    </row>
    <row r="59" spans="1:14" ht="15.75" customHeight="1">
      <c r="A59" s="65" t="s">
        <v>96</v>
      </c>
      <c r="B59" s="65"/>
      <c r="C59" s="65"/>
      <c r="D59" s="130" t="str">
        <f>(IF(G52="NA","60 Years After Completion",IF(G52&lt;&gt;"NA",""&amp;60-ROUNDDOWN((E3-G52)/360,0)&amp;" Years"," ")))</f>
        <v>60 Years After Completion</v>
      </c>
      <c r="E59" s="130"/>
      <c r="F59" s="130"/>
      <c r="G59" s="130"/>
      <c r="H59" s="130"/>
      <c r="N59" s="23"/>
    </row>
    <row r="60" spans="1:14" ht="15.75" customHeight="1">
      <c r="A60" s="65" t="s">
        <v>97</v>
      </c>
      <c r="B60" s="65"/>
      <c r="C60" s="65"/>
      <c r="D60" s="57" t="s">
        <v>47</v>
      </c>
      <c r="E60" s="57"/>
      <c r="F60" s="57"/>
      <c r="G60" s="57"/>
      <c r="H60" s="57"/>
      <c r="J60" s="25"/>
      <c r="K60" s="25"/>
    </row>
    <row r="61" spans="1:14" ht="30" customHeight="1">
      <c r="A61" s="65" t="s">
        <v>98</v>
      </c>
      <c r="B61" s="65"/>
      <c r="C61" s="65"/>
      <c r="D61" s="128" t="s">
        <v>99</v>
      </c>
      <c r="E61" s="57"/>
      <c r="F61" s="57"/>
      <c r="G61" s="57"/>
      <c r="H61" s="57"/>
    </row>
    <row r="62" spans="1:14">
      <c r="A62" s="57" t="s">
        <v>100</v>
      </c>
      <c r="B62" s="57"/>
      <c r="C62" s="57"/>
      <c r="D62" s="57" t="s">
        <v>57</v>
      </c>
      <c r="E62" s="57"/>
      <c r="F62" s="57"/>
      <c r="G62" s="57"/>
      <c r="H62" s="57"/>
      <c r="I62" s="26"/>
      <c r="J62" s="26"/>
      <c r="K62" s="26"/>
      <c r="L62" s="26"/>
      <c r="M62" s="26"/>
      <c r="N62" s="26"/>
    </row>
    <row r="63" spans="1:14" ht="15.75" customHeight="1">
      <c r="A63" s="65" t="s">
        <v>101</v>
      </c>
      <c r="B63" s="65"/>
      <c r="C63" s="65"/>
      <c r="D63" s="128" t="str">
        <f ca="1">(IF(G69&gt;95%,"Nothing",IF(G69&gt;0%,"Cement, Aggregate, Steel, etc",IF(G69=0%,"Work not yet Started"))))</f>
        <v>Cement, Aggregate, Steel, etc</v>
      </c>
      <c r="E63" s="128"/>
      <c r="F63" s="128"/>
      <c r="G63" s="128"/>
      <c r="H63" s="128"/>
      <c r="J63" s="25"/>
    </row>
    <row r="64" spans="1:14" ht="33.75" customHeight="1">
      <c r="A64" s="57" t="s">
        <v>102</v>
      </c>
      <c r="B64" s="57"/>
      <c r="C64" s="57"/>
      <c r="D64" s="128" t="str">
        <f ca="1">(IF(D63="Nothing","Yes",IF(D63="Cement, Aggregate, Steel, etc","Under Construction",IF(D63="Work not yet Started","Work not yet Started"))))</f>
        <v>Under Construction</v>
      </c>
      <c r="E64" s="128"/>
      <c r="F64" s="128" t="str">
        <f ca="1">(IF(D63="Nothing","Yes",IF(D63="Cement, Aggregate, Steel, etc","Under Construction",IF(D63="Work not yet Started","Work not yet Started"))))</f>
        <v>Under Construction</v>
      </c>
      <c r="G64" s="128"/>
      <c r="H64" s="128"/>
    </row>
    <row r="65" spans="1:10" ht="15.75" customHeight="1">
      <c r="A65" s="125" t="s">
        <v>103</v>
      </c>
      <c r="B65" s="125"/>
      <c r="C65" s="125" t="str">
        <f>D57</f>
        <v>Gr + 1st to 20th(Pt) Floor</v>
      </c>
      <c r="D65" s="125"/>
      <c r="E65" s="125"/>
      <c r="F65" s="125"/>
      <c r="G65" s="125"/>
      <c r="H65" s="125"/>
      <c r="I65" s="16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17 Floor, Painting upto 17 Floor Completed</v>
      </c>
      <c r="J65" s="36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17 Floor, Painting upto 17 Floor</v>
      </c>
    </row>
    <row r="66" spans="1:10">
      <c r="A66" s="50" t="s">
        <v>104</v>
      </c>
      <c r="B66" s="50">
        <v>0</v>
      </c>
      <c r="C66" s="50" t="s">
        <v>105</v>
      </c>
      <c r="D66" s="50">
        <v>1</v>
      </c>
      <c r="E66" s="50" t="s">
        <v>106</v>
      </c>
      <c r="F66" s="50">
        <v>0</v>
      </c>
      <c r="G66" s="50" t="s">
        <v>107</v>
      </c>
      <c r="H66" s="50">
        <f ca="1">--TRIM(RIGHT(SUBSTITUTE(LEFT(C65,_xlfn.AGGREGATE(16,6,FIND({0,1,2,3,4,5,6,7,8,9},C65,ROW(INDIRECT("1:"&amp;LEN(C65)))),1))," ",REPT(" ",LEN(C65))),LEN(C65)))</f>
        <v>20</v>
      </c>
      <c r="I66" s="164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3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>
      <c r="A67" s="124" t="s">
        <v>108</v>
      </c>
      <c r="B67" s="124"/>
      <c r="C67" s="125" t="str">
        <f ca="1">I65</f>
        <v>Excavation, Plinth, RCC Slab, Brickwork, Internal Plaster, External Plaster Completed, Flooring upto 17 Floor, Painting upto 17 Floor Completed</v>
      </c>
      <c r="D67" s="125"/>
      <c r="E67" s="125"/>
      <c r="F67" s="125"/>
      <c r="G67" s="125"/>
      <c r="H67" s="125"/>
      <c r="I67" s="164" t="str">
        <f ca="1">IF(I66&lt;&gt;""," Completed","")</f>
        <v xml:space="preserve"> Completed</v>
      </c>
      <c r="J67" s="37" t="str">
        <f ca="1">IF(J65&lt;&gt;"","Completed","")</f>
        <v>Completed</v>
      </c>
    </row>
    <row r="68" spans="1:10" ht="15.75" customHeight="1">
      <c r="A68" s="107" t="s">
        <v>109</v>
      </c>
      <c r="B68" s="108"/>
      <c r="C68" s="27" t="s">
        <v>110</v>
      </c>
      <c r="D68" s="27" t="s">
        <v>111</v>
      </c>
      <c r="E68" s="108" t="s">
        <v>112</v>
      </c>
      <c r="F68" s="108"/>
      <c r="G68" s="108" t="s">
        <v>113</v>
      </c>
      <c r="H68" s="122"/>
      <c r="I68" s="38" t="s">
        <v>114</v>
      </c>
      <c r="J68" s="39">
        <f ca="1">H66*25%</f>
        <v>5</v>
      </c>
    </row>
    <row r="69" spans="1:10">
      <c r="A69" s="107" t="s">
        <v>115</v>
      </c>
      <c r="B69" s="108"/>
      <c r="C69" s="27">
        <f ca="1">J70</f>
        <v>20</v>
      </c>
      <c r="D69" s="28">
        <f ca="1">((100/H66)*C69)/100</f>
        <v>1</v>
      </c>
      <c r="E69" s="113">
        <f ca="1">(((C70/H66*10)+(40/(D66+F66+H66)*C71)+(7.5/(H66)*C72)+(7.5/(H66)*C73)+(10/H66*C74)+(10/H66*C75)+(5/H66*C76)+(5/H66*C77)+(5/H66*C78))/100)</f>
        <v>0.87749999999999995</v>
      </c>
      <c r="F69" s="114"/>
      <c r="G69" s="113">
        <f ca="1">((((C69/H66)*20)+((C70/H66)*25)+(30/(H66+F66+D66)*C71)+(5/H66*C72)+(5/H66*C73)+(5/H66*C74)+(5/H66*C75)+(0/H66*C76)+(0/H66*C77)+(5/H66*C78))/100)</f>
        <v>0.9425</v>
      </c>
      <c r="H69" s="119"/>
      <c r="I69" s="38" t="s">
        <v>116</v>
      </c>
      <c r="J69" s="40">
        <f ca="1">H66*50%</f>
        <v>10</v>
      </c>
    </row>
    <row r="70" spans="1:10">
      <c r="A70" s="107" t="s">
        <v>117</v>
      </c>
      <c r="B70" s="108"/>
      <c r="C70" s="27">
        <f ca="1">J78</f>
        <v>20</v>
      </c>
      <c r="D70" s="28">
        <f ca="1">((100/H66)*C70)/100</f>
        <v>1</v>
      </c>
      <c r="E70" s="115"/>
      <c r="F70" s="116"/>
      <c r="G70" s="115"/>
      <c r="H70" s="120"/>
      <c r="I70" s="38" t="s">
        <v>118</v>
      </c>
      <c r="J70" s="40">
        <f ca="1">H66</f>
        <v>20</v>
      </c>
    </row>
    <row r="71" spans="1:10" ht="15.75" customHeight="1">
      <c r="A71" s="107" t="s">
        <v>119</v>
      </c>
      <c r="B71" s="108"/>
      <c r="C71" s="27">
        <v>21</v>
      </c>
      <c r="D71" s="28">
        <f ca="1">((100/(D66+F66+H66))*C71)/100</f>
        <v>1</v>
      </c>
      <c r="E71" s="115"/>
      <c r="F71" s="116"/>
      <c r="G71" s="115"/>
      <c r="H71" s="120"/>
      <c r="I71" s="38" t="s">
        <v>120</v>
      </c>
      <c r="J71" s="41">
        <f ca="1">(IF(B66&gt;1,(H66/(B66+2)),H66/4))</f>
        <v>5</v>
      </c>
    </row>
    <row r="72" spans="1:10" ht="15.75" customHeight="1">
      <c r="A72" s="107" t="s">
        <v>121</v>
      </c>
      <c r="B72" s="108" t="s">
        <v>122</v>
      </c>
      <c r="C72" s="27">
        <v>20</v>
      </c>
      <c r="D72" s="28">
        <f ca="1">((100/H66)*C72)/100</f>
        <v>1</v>
      </c>
      <c r="E72" s="115"/>
      <c r="F72" s="116"/>
      <c r="G72" s="115"/>
      <c r="H72" s="120"/>
      <c r="I72" s="38" t="s">
        <v>123</v>
      </c>
      <c r="J72" s="41">
        <f ca="1">(IF(B66&gt;1,(H66/(B66+2)+J71),H66/4+J71))</f>
        <v>10</v>
      </c>
    </row>
    <row r="73" spans="1:10" ht="15.75" customHeight="1">
      <c r="A73" s="107" t="s">
        <v>124</v>
      </c>
      <c r="B73" s="108" t="s">
        <v>122</v>
      </c>
      <c r="C73" s="27">
        <v>20</v>
      </c>
      <c r="D73" s="28">
        <f ca="1">((100/H66)*C73)/100</f>
        <v>1</v>
      </c>
      <c r="E73" s="115"/>
      <c r="F73" s="116"/>
      <c r="G73" s="115"/>
      <c r="H73" s="120"/>
      <c r="I73" s="38" t="s">
        <v>125</v>
      </c>
      <c r="J73" s="41">
        <f>(IF(B66&gt;1,(H66/(B66+2)+J72),0))</f>
        <v>0</v>
      </c>
    </row>
    <row r="74" spans="1:10" ht="15" customHeight="1">
      <c r="A74" s="107" t="s">
        <v>259</v>
      </c>
      <c r="B74" s="108" t="s">
        <v>126</v>
      </c>
      <c r="C74" s="27">
        <v>20</v>
      </c>
      <c r="D74" s="28">
        <f ca="1">((100/(H66))*C74)/100</f>
        <v>1</v>
      </c>
      <c r="E74" s="115"/>
      <c r="F74" s="116"/>
      <c r="G74" s="115"/>
      <c r="H74" s="120"/>
      <c r="I74" s="38" t="s">
        <v>127</v>
      </c>
      <c r="J74" s="41">
        <f>(IF(B66&gt;2,(H66/(B66+2)+J73),0))</f>
        <v>0</v>
      </c>
    </row>
    <row r="75" spans="1:10" ht="15.75" customHeight="1">
      <c r="A75" s="107" t="s">
        <v>128</v>
      </c>
      <c r="B75" s="108" t="s">
        <v>128</v>
      </c>
      <c r="C75" s="27">
        <v>17</v>
      </c>
      <c r="D75" s="28">
        <f ca="1">((100/H66)*C75)/100</f>
        <v>0.85</v>
      </c>
      <c r="E75" s="115"/>
      <c r="F75" s="116"/>
      <c r="G75" s="115"/>
      <c r="H75" s="120"/>
      <c r="I75" s="38" t="s">
        <v>129</v>
      </c>
      <c r="J75" s="42">
        <f>(IF(B66&gt;3,(H66/(B66+2)+J74),0))</f>
        <v>0</v>
      </c>
    </row>
    <row r="76" spans="1:10" ht="15.75" customHeight="1">
      <c r="A76" s="107" t="s">
        <v>130</v>
      </c>
      <c r="B76" s="108"/>
      <c r="C76" s="27">
        <v>17</v>
      </c>
      <c r="D76" s="28">
        <f ca="1">((100/H66)*C76)/100</f>
        <v>0.85</v>
      </c>
      <c r="E76" s="115"/>
      <c r="F76" s="116"/>
      <c r="G76" s="115"/>
      <c r="H76" s="120"/>
      <c r="I76" s="38" t="s">
        <v>131</v>
      </c>
      <c r="J76" s="41">
        <f>(IF(B66&gt;4,(H66/(B66+2)+J75),0))</f>
        <v>0</v>
      </c>
    </row>
    <row r="77" spans="1:10" ht="15.75" customHeight="1">
      <c r="A77" s="107" t="s">
        <v>132</v>
      </c>
      <c r="B77" s="108" t="s">
        <v>132</v>
      </c>
      <c r="C77" s="27">
        <v>0</v>
      </c>
      <c r="D77" s="28">
        <f ca="1">((100/(H66))*C77)/100</f>
        <v>0</v>
      </c>
      <c r="E77" s="115"/>
      <c r="F77" s="116"/>
      <c r="G77" s="115"/>
      <c r="H77" s="120"/>
      <c r="I77" s="38" t="s">
        <v>133</v>
      </c>
      <c r="J77" s="41">
        <f ca="1">(IF(B66=1,(H66/(B66+3)+J72),IF(B66=0,(H66/4+J72),IF(B66&gt;1,0))))</f>
        <v>15</v>
      </c>
    </row>
    <row r="78" spans="1:10">
      <c r="A78" s="109" t="s">
        <v>134</v>
      </c>
      <c r="B78" s="110"/>
      <c r="C78" s="29">
        <v>0</v>
      </c>
      <c r="D78" s="30">
        <f ca="1">((100/(H66))*C78)/100</f>
        <v>0</v>
      </c>
      <c r="E78" s="117"/>
      <c r="F78" s="118"/>
      <c r="G78" s="117"/>
      <c r="H78" s="121"/>
      <c r="I78" s="43" t="s">
        <v>135</v>
      </c>
      <c r="J78" s="44">
        <f ca="1">(IF(B66&gt;1.5,(H66/(B66+2)+J72+MAX(0,J73-J72)+MAX(0,J74-J73)+MAX(0,J75-J74)+MAX(0,J76-J75)+MAX(0,J77-J76)),IF(B66=1,(H66/(B66+3)+J77),IF(B66=0,H66/4+J77))))</f>
        <v>20</v>
      </c>
    </row>
    <row r="79" spans="1:10">
      <c r="A79" s="111" t="s">
        <v>136</v>
      </c>
      <c r="B79" s="111"/>
      <c r="C79" s="111"/>
      <c r="D79" s="111"/>
      <c r="E79" s="111"/>
      <c r="F79" s="112" t="s">
        <v>137</v>
      </c>
      <c r="G79" s="112"/>
      <c r="H79" s="112"/>
    </row>
    <row r="80" spans="1:10" hidden="1">
      <c r="A80" s="65" t="s">
        <v>138</v>
      </c>
      <c r="B80" s="65"/>
      <c r="C80" s="65"/>
      <c r="D80" s="65"/>
      <c r="E80" s="65"/>
      <c r="F80" s="105"/>
      <c r="G80" s="105"/>
      <c r="H80" s="105"/>
    </row>
    <row r="81" spans="1:8">
      <c r="A81" s="65" t="s">
        <v>139</v>
      </c>
      <c r="B81" s="65"/>
      <c r="C81" s="65"/>
      <c r="D81" s="65"/>
      <c r="E81" s="65"/>
      <c r="F81" s="105">
        <v>23000</v>
      </c>
      <c r="G81" s="105"/>
      <c r="H81" s="105"/>
    </row>
    <row r="82" spans="1:8">
      <c r="A82" s="65" t="s">
        <v>140</v>
      </c>
      <c r="B82" s="65"/>
      <c r="C82" s="65"/>
      <c r="D82" s="65"/>
      <c r="E82" s="65"/>
      <c r="F82" s="105">
        <v>9500</v>
      </c>
      <c r="G82" s="105"/>
      <c r="H82" s="105"/>
    </row>
    <row r="83" spans="1:8">
      <c r="A83" s="65" t="s">
        <v>141</v>
      </c>
      <c r="B83" s="65"/>
      <c r="C83" s="65"/>
      <c r="D83" s="65"/>
      <c r="E83" s="65"/>
      <c r="F83" s="105">
        <v>9200</v>
      </c>
      <c r="G83" s="105"/>
      <c r="H83" s="105"/>
    </row>
    <row r="84" spans="1:8" s="15" customFormat="1" hidden="1">
      <c r="A84" s="65" t="s">
        <v>142</v>
      </c>
      <c r="B84" s="65"/>
      <c r="C84" s="65"/>
      <c r="D84" s="65"/>
      <c r="E84" s="65"/>
      <c r="F84" s="105"/>
      <c r="G84" s="105"/>
      <c r="H84" s="105"/>
    </row>
    <row r="85" spans="1:8" s="15" customFormat="1" hidden="1">
      <c r="A85" s="65" t="s">
        <v>143</v>
      </c>
      <c r="B85" s="65"/>
      <c r="C85" s="65"/>
      <c r="D85" s="65"/>
      <c r="E85" s="65"/>
      <c r="F85" s="105"/>
      <c r="G85" s="105"/>
      <c r="H85" s="105"/>
    </row>
    <row r="86" spans="1:8" s="15" customFormat="1" hidden="1">
      <c r="A86" s="65" t="s">
        <v>144</v>
      </c>
      <c r="B86" s="65"/>
      <c r="C86" s="65"/>
      <c r="D86" s="65"/>
      <c r="E86" s="65"/>
      <c r="F86" s="105"/>
      <c r="G86" s="105"/>
      <c r="H86" s="105"/>
    </row>
    <row r="87" spans="1:8" s="15" customFormat="1" hidden="1">
      <c r="A87" s="65" t="s">
        <v>145</v>
      </c>
      <c r="B87" s="65"/>
      <c r="C87" s="65"/>
      <c r="D87" s="65"/>
      <c r="E87" s="65"/>
      <c r="F87" s="105"/>
      <c r="G87" s="105"/>
      <c r="H87" s="105"/>
    </row>
    <row r="88" spans="1:8" s="15" customFormat="1" hidden="1">
      <c r="A88" s="65" t="s">
        <v>146</v>
      </c>
      <c r="B88" s="65"/>
      <c r="C88" s="65"/>
      <c r="D88" s="65"/>
      <c r="E88" s="65"/>
      <c r="F88" s="105"/>
      <c r="G88" s="105"/>
      <c r="H88" s="105"/>
    </row>
    <row r="89" spans="1:8" s="15" customFormat="1" hidden="1">
      <c r="A89" s="65" t="s">
        <v>147</v>
      </c>
      <c r="B89" s="65"/>
      <c r="C89" s="65"/>
      <c r="D89" s="65"/>
      <c r="E89" s="65"/>
      <c r="F89" s="105"/>
      <c r="G89" s="105"/>
      <c r="H89" s="105"/>
    </row>
    <row r="90" spans="1:8" s="15" customFormat="1" hidden="1">
      <c r="A90" s="65" t="s">
        <v>148</v>
      </c>
      <c r="B90" s="65"/>
      <c r="C90" s="65"/>
      <c r="D90" s="65"/>
      <c r="E90" s="65"/>
      <c r="F90" s="105"/>
      <c r="G90" s="105"/>
      <c r="H90" s="105"/>
    </row>
    <row r="91" spans="1:8" s="15" customFormat="1">
      <c r="A91" s="65" t="s">
        <v>149</v>
      </c>
      <c r="B91" s="65"/>
      <c r="C91" s="65"/>
      <c r="D91" s="65"/>
      <c r="E91" s="65"/>
      <c r="F91" s="105">
        <v>400000</v>
      </c>
      <c r="G91" s="105"/>
      <c r="H91" s="105"/>
    </row>
    <row r="92" spans="1:8">
      <c r="A92" s="65" t="s">
        <v>150</v>
      </c>
      <c r="B92" s="65"/>
      <c r="C92" s="65"/>
      <c r="D92" s="65"/>
      <c r="E92" s="65"/>
      <c r="F92" s="105">
        <v>600000</v>
      </c>
      <c r="G92" s="105"/>
      <c r="H92" s="105"/>
    </row>
    <row r="93" spans="1:8" s="16" customFormat="1">
      <c r="A93" s="106" t="s">
        <v>151</v>
      </c>
      <c r="B93" s="106"/>
      <c r="C93" s="106"/>
      <c r="D93" s="106"/>
      <c r="E93" s="106"/>
      <c r="F93" s="105">
        <f>F82*0.8</f>
        <v>7600</v>
      </c>
      <c r="G93" s="105"/>
      <c r="H93" s="105"/>
    </row>
    <row r="94" spans="1:8" s="17" customFormat="1" ht="15.75" customHeight="1">
      <c r="A94" s="98" t="s">
        <v>152</v>
      </c>
      <c r="B94" s="98"/>
      <c r="C94" s="98"/>
      <c r="D94" s="98"/>
      <c r="E94" s="98"/>
      <c r="F94" s="98"/>
      <c r="G94" s="98"/>
      <c r="H94" s="98"/>
    </row>
    <row r="95" spans="1:8" s="17" customFormat="1" ht="15.75" customHeight="1">
      <c r="A95" s="101" t="s">
        <v>153</v>
      </c>
      <c r="B95" s="101"/>
      <c r="C95" s="99" t="s">
        <v>154</v>
      </c>
      <c r="D95" s="99"/>
      <c r="E95" s="100" t="s">
        <v>155</v>
      </c>
      <c r="F95" s="100"/>
      <c r="G95" s="101" t="s">
        <v>156</v>
      </c>
      <c r="H95" s="101"/>
    </row>
    <row r="96" spans="1:8" s="17" customFormat="1">
      <c r="A96" s="94" t="s">
        <v>157</v>
      </c>
      <c r="B96" s="94"/>
      <c r="C96" s="102">
        <f>COUNT(D110:D118)+COUNT(D120:D121)+COUNT(D123:D130)*2</f>
        <v>27</v>
      </c>
      <c r="D96" s="102"/>
      <c r="E96" s="102">
        <f>SUM(D110:D118)+SUM(D120:D121)+SUM(D123:D130)*2</f>
        <v>21158.956259999999</v>
      </c>
      <c r="F96" s="102"/>
      <c r="G96" s="102">
        <f>SUM(F110:F118)+SUM(F120:F121)+SUM(F123:F130)*2</f>
        <v>33854.330016</v>
      </c>
      <c r="H96" s="102"/>
    </row>
    <row r="97" spans="1:14" s="17" customFormat="1">
      <c r="A97" s="94" t="s">
        <v>158</v>
      </c>
      <c r="B97" s="94"/>
      <c r="C97" s="102">
        <f>COUNT(D132:D139)*2+COUNT(D141:D147)*4+COUNT(D150:D157)*10+COUNT(D159:D163)</f>
        <v>129</v>
      </c>
      <c r="D97" s="102"/>
      <c r="E97" s="102">
        <f>SUM(D132:D139)*2+SUM(D141:D147)*4+SUM(D150:D157)*10+SUM(D159:D163)</f>
        <v>74848.119839999985</v>
      </c>
      <c r="F97" s="102"/>
      <c r="G97" s="102">
        <f>SUM(F132:F139)*2+SUM(F141:F147)*4+SUM(F150:F157)*10+SUM(F159:F163)</f>
        <v>119756.991744</v>
      </c>
      <c r="H97" s="102"/>
    </row>
    <row r="98" spans="1:14" s="17" customFormat="1">
      <c r="A98" s="98" t="s">
        <v>159</v>
      </c>
      <c r="B98" s="98"/>
      <c r="C98" s="103">
        <f>SUM(C96:C97)</f>
        <v>156</v>
      </c>
      <c r="D98" s="103"/>
      <c r="E98" s="104">
        <f>SUM(E96:E97)</f>
        <v>96007.076099999977</v>
      </c>
      <c r="F98" s="104"/>
      <c r="G98" s="101">
        <f>SUM(G96:G97)</f>
        <v>153611.32175999999</v>
      </c>
      <c r="H98" s="101"/>
    </row>
    <row r="99" spans="1:14" s="17" customFormat="1" hidden="1">
      <c r="A99" s="98" t="s">
        <v>160</v>
      </c>
      <c r="B99" s="98"/>
      <c r="C99" s="98"/>
      <c r="D99" s="98"/>
      <c r="E99" s="98"/>
      <c r="F99" s="98"/>
      <c r="G99" s="98"/>
      <c r="H99" s="98"/>
    </row>
    <row r="100" spans="1:14" s="17" customFormat="1" ht="15.75" hidden="1" customHeight="1">
      <c r="A100" s="101" t="s">
        <v>153</v>
      </c>
      <c r="B100" s="101"/>
      <c r="C100" s="99" t="s">
        <v>154</v>
      </c>
      <c r="D100" s="99"/>
      <c r="E100" s="100" t="s">
        <v>155</v>
      </c>
      <c r="F100" s="100"/>
      <c r="G100" s="101" t="s">
        <v>156</v>
      </c>
      <c r="H100" s="101"/>
    </row>
    <row r="101" spans="1:14" s="17" customFormat="1" hidden="1">
      <c r="A101" s="94"/>
      <c r="B101" s="94"/>
      <c r="C101" s="95"/>
      <c r="D101" s="95"/>
      <c r="E101" s="96"/>
      <c r="F101" s="96"/>
      <c r="G101" s="97"/>
      <c r="H101" s="97"/>
    </row>
    <row r="102" spans="1:14" s="17" customFormat="1" hidden="1">
      <c r="A102" s="94"/>
      <c r="B102" s="94"/>
      <c r="C102" s="95"/>
      <c r="D102" s="95"/>
      <c r="E102" s="96"/>
      <c r="F102" s="96"/>
      <c r="G102" s="97"/>
      <c r="H102" s="97"/>
    </row>
    <row r="103" spans="1:14" s="17" customFormat="1" hidden="1">
      <c r="A103" s="98" t="s">
        <v>159</v>
      </c>
      <c r="B103" s="98"/>
      <c r="C103" s="99"/>
      <c r="D103" s="99"/>
      <c r="E103" s="100"/>
      <c r="F103" s="100"/>
      <c r="G103" s="101"/>
      <c r="H103" s="101"/>
    </row>
    <row r="104" spans="1:14" s="16" customFormat="1">
      <c r="A104" s="93" t="s">
        <v>161</v>
      </c>
      <c r="B104" s="93"/>
      <c r="C104" s="93"/>
      <c r="D104" s="93"/>
      <c r="E104" s="93"/>
      <c r="F104" s="93"/>
      <c r="G104" s="93"/>
      <c r="H104" s="93"/>
    </row>
    <row r="105" spans="1:14">
      <c r="A105" s="93" t="s">
        <v>162</v>
      </c>
      <c r="B105" s="93"/>
      <c r="C105" s="93"/>
      <c r="D105" s="93"/>
      <c r="E105" s="93"/>
      <c r="F105" s="93"/>
      <c r="G105" s="93"/>
      <c r="H105" s="93"/>
    </row>
    <row r="106" spans="1:14" ht="47.25" customHeight="1">
      <c r="A106" s="67" t="s">
        <v>163</v>
      </c>
      <c r="B106" s="67" t="s">
        <v>164</v>
      </c>
      <c r="C106" s="67" t="s">
        <v>165</v>
      </c>
      <c r="D106" s="67" t="s">
        <v>166</v>
      </c>
      <c r="E106" s="87" t="s">
        <v>167</v>
      </c>
      <c r="F106" s="32" t="s">
        <v>168</v>
      </c>
      <c r="G106" s="53" t="s">
        <v>169</v>
      </c>
      <c r="H106" s="54"/>
    </row>
    <row r="107" spans="1:14" s="18" customFormat="1">
      <c r="A107" s="68"/>
      <c r="B107" s="68"/>
      <c r="C107" s="68"/>
      <c r="D107" s="68"/>
      <c r="E107" s="88"/>
      <c r="F107" s="33">
        <v>0.6</v>
      </c>
      <c r="G107" s="55"/>
      <c r="H107" s="56"/>
    </row>
    <row r="108" spans="1:14" s="18" customFormat="1">
      <c r="A108" s="71" t="s">
        <v>170</v>
      </c>
      <c r="B108" s="72"/>
      <c r="C108" s="72"/>
      <c r="D108" s="91"/>
      <c r="E108" s="72"/>
      <c r="F108" s="72"/>
      <c r="G108" s="72"/>
      <c r="H108" s="73"/>
      <c r="J108" s="45">
        <f>10.764</f>
        <v>10.763999999999999</v>
      </c>
    </row>
    <row r="109" spans="1:14" s="18" customFormat="1">
      <c r="A109" s="85" t="s">
        <v>171</v>
      </c>
      <c r="B109" s="85"/>
      <c r="C109" s="85"/>
      <c r="D109" s="85"/>
      <c r="E109" s="85"/>
      <c r="F109" s="85"/>
      <c r="G109" s="85"/>
      <c r="H109" s="85"/>
      <c r="J109" s="45">
        <f>10.764</f>
        <v>10.763999999999999</v>
      </c>
    </row>
    <row r="110" spans="1:14" s="18" customFormat="1" ht="15.75" customHeight="1">
      <c r="A110" s="83">
        <v>1</v>
      </c>
      <c r="B110" s="83"/>
      <c r="C110" s="51" t="s">
        <v>172</v>
      </c>
      <c r="D110" s="35">
        <f>(6.3*7)*(10.764)</f>
        <v>474.69239999999996</v>
      </c>
      <c r="E110" s="51">
        <v>0</v>
      </c>
      <c r="F110" s="51">
        <f>(D110+E110)*(($F$107)+1)</f>
        <v>759.50783999999999</v>
      </c>
      <c r="G110" s="83" t="str">
        <f>A109</f>
        <v>Ground Floor For Commercial</v>
      </c>
      <c r="H110" s="83"/>
      <c r="I110" s="45"/>
      <c r="L110" s="84"/>
      <c r="M110" s="84"/>
      <c r="N110" s="45"/>
    </row>
    <row r="111" spans="1:14" s="18" customFormat="1" ht="15.75" customHeight="1">
      <c r="A111" s="83">
        <f t="shared" ref="A111:A118" si="0">A110+1</f>
        <v>2</v>
      </c>
      <c r="B111" s="83"/>
      <c r="C111" s="51" t="s">
        <v>172</v>
      </c>
      <c r="D111" s="35">
        <f>(5.3*14.6)*(10.764)</f>
        <v>832.91831999999988</v>
      </c>
      <c r="E111" s="51">
        <v>0</v>
      </c>
      <c r="F111" s="51">
        <f t="shared" ref="F111:F113" si="1">(D111+E111)*(($F$107)+1)</f>
        <v>1332.669312</v>
      </c>
      <c r="G111" s="83"/>
      <c r="H111" s="83"/>
      <c r="I111" s="45"/>
      <c r="L111" s="84"/>
      <c r="M111" s="84"/>
      <c r="N111" s="45"/>
    </row>
    <row r="112" spans="1:14" s="18" customFormat="1" ht="15.75" customHeight="1">
      <c r="A112" s="83">
        <f t="shared" si="0"/>
        <v>3</v>
      </c>
      <c r="B112" s="83"/>
      <c r="C112" s="51" t="s">
        <v>172</v>
      </c>
      <c r="D112" s="35">
        <f>(5.15*14.6)*(10.764)</f>
        <v>809.34515999999996</v>
      </c>
      <c r="E112" s="51">
        <v>0</v>
      </c>
      <c r="F112" s="51">
        <f t="shared" si="1"/>
        <v>1294.952256</v>
      </c>
      <c r="G112" s="83"/>
      <c r="H112" s="83"/>
      <c r="I112" s="45"/>
      <c r="L112" s="84"/>
      <c r="M112" s="84"/>
      <c r="N112" s="45"/>
    </row>
    <row r="113" spans="1:14" s="18" customFormat="1" ht="15.75" customHeight="1">
      <c r="A113" s="83">
        <f t="shared" si="0"/>
        <v>4</v>
      </c>
      <c r="B113" s="83"/>
      <c r="C113" s="51" t="s">
        <v>172</v>
      </c>
      <c r="D113" s="35">
        <f>(5.15*15.5)*(10.764)</f>
        <v>859.23630000000003</v>
      </c>
      <c r="E113" s="51">
        <v>0</v>
      </c>
      <c r="F113" s="51">
        <f t="shared" si="1"/>
        <v>1374.77808</v>
      </c>
      <c r="G113" s="83"/>
      <c r="H113" s="83"/>
      <c r="I113" s="45"/>
      <c r="L113" s="84"/>
      <c r="M113" s="84"/>
      <c r="N113" s="45"/>
    </row>
    <row r="114" spans="1:14" s="18" customFormat="1" ht="15.75" customHeight="1">
      <c r="A114" s="83">
        <f t="shared" si="0"/>
        <v>5</v>
      </c>
      <c r="B114" s="83"/>
      <c r="C114" s="51" t="s">
        <v>172</v>
      </c>
      <c r="D114" s="35">
        <f>(5.15*15.5+3.8*1.15)*(10.764)</f>
        <v>906.27498000000003</v>
      </c>
      <c r="E114" s="51">
        <v>0</v>
      </c>
      <c r="F114" s="51">
        <f t="shared" ref="F114:F116" si="2">(D114+E114)*(($F$107)+1)</f>
        <v>1450.039968</v>
      </c>
      <c r="G114" s="83"/>
      <c r="H114" s="83"/>
      <c r="I114" s="45"/>
      <c r="L114" s="84"/>
      <c r="M114" s="84"/>
      <c r="N114" s="45"/>
    </row>
    <row r="115" spans="1:14" s="18" customFormat="1" ht="15.75" customHeight="1">
      <c r="A115" s="83">
        <f t="shared" si="0"/>
        <v>6</v>
      </c>
      <c r="B115" s="83"/>
      <c r="C115" s="51" t="s">
        <v>172</v>
      </c>
      <c r="D115" s="35">
        <f>(5.15*16.7-(1.23*1))*(10.764)</f>
        <v>912.51809999999989</v>
      </c>
      <c r="E115" s="51">
        <v>0</v>
      </c>
      <c r="F115" s="51">
        <f t="shared" si="2"/>
        <v>1460.0289599999999</v>
      </c>
      <c r="G115" s="83"/>
      <c r="H115" s="83"/>
      <c r="I115" s="45"/>
      <c r="L115" s="84"/>
      <c r="M115" s="84"/>
      <c r="N115" s="45"/>
    </row>
    <row r="116" spans="1:14" s="18" customFormat="1" ht="15.75" customHeight="1">
      <c r="A116" s="83">
        <f t="shared" si="0"/>
        <v>7</v>
      </c>
      <c r="B116" s="83"/>
      <c r="C116" s="51" t="s">
        <v>172</v>
      </c>
      <c r="D116" s="35">
        <f>(5.15*15.7-(1.23*1))*(10.764)</f>
        <v>857.08349999999996</v>
      </c>
      <c r="E116" s="51">
        <v>0</v>
      </c>
      <c r="F116" s="51">
        <f t="shared" si="2"/>
        <v>1371.3335999999999</v>
      </c>
      <c r="G116" s="83"/>
      <c r="H116" s="83"/>
      <c r="I116" s="45"/>
      <c r="L116" s="84"/>
      <c r="M116" s="84"/>
      <c r="N116" s="45"/>
    </row>
    <row r="117" spans="1:14" s="18" customFormat="1" ht="15.75" customHeight="1">
      <c r="A117" s="83">
        <f t="shared" si="0"/>
        <v>8</v>
      </c>
      <c r="B117" s="83"/>
      <c r="C117" s="51" t="s">
        <v>172</v>
      </c>
      <c r="D117" s="35">
        <f>(5.15*15.7-(1.23*1))*(10.764)</f>
        <v>857.08349999999996</v>
      </c>
      <c r="E117" s="51">
        <v>0</v>
      </c>
      <c r="F117" s="51">
        <f t="shared" ref="F117:F118" si="3">(D117+E117)*(($F$107)+1)</f>
        <v>1371.3335999999999</v>
      </c>
      <c r="G117" s="83"/>
      <c r="H117" s="83"/>
      <c r="I117" s="45"/>
      <c r="L117" s="84"/>
      <c r="M117" s="84"/>
      <c r="N117" s="45"/>
    </row>
    <row r="118" spans="1:14" s="18" customFormat="1" ht="15.75" customHeight="1">
      <c r="A118" s="83">
        <f t="shared" si="0"/>
        <v>9</v>
      </c>
      <c r="B118" s="83"/>
      <c r="C118" s="51" t="s">
        <v>172</v>
      </c>
      <c r="D118" s="35">
        <f>(5.3*7)*(10.764)</f>
        <v>399.34440000000001</v>
      </c>
      <c r="E118" s="51">
        <v>0</v>
      </c>
      <c r="F118" s="51">
        <f t="shared" si="3"/>
        <v>638.95104000000003</v>
      </c>
      <c r="G118" s="83"/>
      <c r="H118" s="83"/>
      <c r="I118" s="45"/>
      <c r="L118" s="84"/>
      <c r="M118" s="84"/>
      <c r="N118" s="45"/>
    </row>
    <row r="119" spans="1:14" s="18" customFormat="1">
      <c r="A119" s="85" t="s">
        <v>173</v>
      </c>
      <c r="B119" s="85"/>
      <c r="C119" s="85"/>
      <c r="D119" s="85"/>
      <c r="E119" s="85"/>
      <c r="F119" s="85"/>
      <c r="G119" s="85"/>
      <c r="H119" s="85"/>
      <c r="J119" s="45"/>
    </row>
    <row r="120" spans="1:14" s="18" customFormat="1" ht="53.25" customHeight="1">
      <c r="A120" s="83">
        <v>101</v>
      </c>
      <c r="B120" s="83"/>
      <c r="C120" s="51" t="s">
        <v>174</v>
      </c>
      <c r="D120" s="35">
        <f>(10.6*10.3-(2.6*1))*(10.764)</f>
        <v>1147.22712</v>
      </c>
      <c r="E120" s="51">
        <v>0</v>
      </c>
      <c r="F120" s="51">
        <f>(D120+E120)*(($F$107)+1)</f>
        <v>1835.563392</v>
      </c>
      <c r="G120" s="83" t="str">
        <f>A119</f>
        <v>1st Floor For Food Court (Part Terrace Area)</v>
      </c>
      <c r="H120" s="83"/>
      <c r="I120" s="45"/>
      <c r="L120" s="84"/>
      <c r="M120" s="84"/>
      <c r="N120" s="45"/>
    </row>
    <row r="121" spans="1:14" s="18" customFormat="1" ht="114" customHeight="1">
      <c r="A121" s="83">
        <f t="shared" ref="A121" si="4">A120+1</f>
        <v>102</v>
      </c>
      <c r="B121" s="83"/>
      <c r="C121" s="51" t="s">
        <v>175</v>
      </c>
      <c r="D121" s="35">
        <f>(31.8*10.4+5.3*5+2*2+1.4*1.5)*(10.764)</f>
        <v>3910.7764800000004</v>
      </c>
      <c r="E121" s="51">
        <v>0</v>
      </c>
      <c r="F121" s="51">
        <f t="shared" ref="F121" si="5">(D121+E121)*(($F$107)+1)</f>
        <v>6257.2423680000011</v>
      </c>
      <c r="G121" s="83"/>
      <c r="H121" s="83"/>
      <c r="I121" s="45"/>
      <c r="L121" s="84"/>
      <c r="M121" s="84"/>
      <c r="N121" s="45"/>
    </row>
    <row r="122" spans="1:14" s="18" customFormat="1">
      <c r="A122" s="71" t="s">
        <v>176</v>
      </c>
      <c r="B122" s="72"/>
      <c r="C122" s="72"/>
      <c r="D122" s="91"/>
      <c r="E122" s="72"/>
      <c r="F122" s="72"/>
      <c r="G122" s="72"/>
      <c r="H122" s="73"/>
      <c r="J122" s="45"/>
    </row>
    <row r="123" spans="1:14" s="18" customFormat="1" ht="15.75" customHeight="1">
      <c r="A123" s="69" t="s">
        <v>177</v>
      </c>
      <c r="B123" s="70"/>
      <c r="C123" s="34" t="s">
        <v>172</v>
      </c>
      <c r="D123" s="35">
        <f>54.56*(10.764)</f>
        <v>587.28383999999994</v>
      </c>
      <c r="E123" s="34">
        <v>0</v>
      </c>
      <c r="F123" s="34">
        <f>(D123+E123)*(($F$107)+1)</f>
        <v>939.65414399999997</v>
      </c>
      <c r="G123" s="59" t="str">
        <f>A122</f>
        <v>2nd &amp; 3rd Floor</v>
      </c>
      <c r="H123" s="60"/>
      <c r="I123" s="45"/>
      <c r="J123" s="18">
        <v>201</v>
      </c>
      <c r="K123" s="18">
        <v>301</v>
      </c>
      <c r="L123" s="84" t="str">
        <f>J123&amp;""&amp;" &amp; "&amp;""&amp;K123</f>
        <v>201 &amp; 301</v>
      </c>
      <c r="M123" s="84"/>
      <c r="N123" s="45">
        <f>5.3*10.3</f>
        <v>54.59</v>
      </c>
    </row>
    <row r="124" spans="1:14" s="18" customFormat="1" ht="15.75" customHeight="1">
      <c r="A124" s="69" t="s">
        <v>178</v>
      </c>
      <c r="B124" s="70"/>
      <c r="C124" s="34" t="s">
        <v>172</v>
      </c>
      <c r="D124" s="35">
        <f t="shared" ref="D124:D129" si="6">52.98*(10.764)</f>
        <v>570.27671999999995</v>
      </c>
      <c r="E124" s="34">
        <v>0</v>
      </c>
      <c r="F124" s="34">
        <f t="shared" ref="F124:F126" si="7">(D124+E124)*(($F$107)+1)</f>
        <v>912.44275199999993</v>
      </c>
      <c r="G124" s="61"/>
      <c r="H124" s="62"/>
      <c r="I124" s="45"/>
      <c r="J124" s="18">
        <v>202</v>
      </c>
      <c r="K124" s="18">
        <v>302</v>
      </c>
      <c r="L124" s="84" t="str">
        <f t="shared" ref="L124:L130" si="8">J124&amp;""&amp;" &amp; "&amp;""&amp;K124</f>
        <v>202 &amp; 302</v>
      </c>
      <c r="M124" s="84"/>
      <c r="N124" s="45"/>
    </row>
    <row r="125" spans="1:14" s="18" customFormat="1" ht="15.75" customHeight="1">
      <c r="A125" s="69" t="s">
        <v>179</v>
      </c>
      <c r="B125" s="70"/>
      <c r="C125" s="34" t="s">
        <v>172</v>
      </c>
      <c r="D125" s="35">
        <f t="shared" si="6"/>
        <v>570.27671999999995</v>
      </c>
      <c r="E125" s="34">
        <v>0</v>
      </c>
      <c r="F125" s="34">
        <f t="shared" si="7"/>
        <v>912.44275199999993</v>
      </c>
      <c r="G125" s="61"/>
      <c r="H125" s="62"/>
      <c r="I125" s="45"/>
      <c r="J125" s="18">
        <v>203</v>
      </c>
      <c r="K125" s="18">
        <v>303</v>
      </c>
      <c r="L125" s="84" t="str">
        <f t="shared" si="8"/>
        <v>203 &amp; 303</v>
      </c>
      <c r="M125" s="84"/>
      <c r="N125" s="45"/>
    </row>
    <row r="126" spans="1:14" s="18" customFormat="1" ht="15.75" customHeight="1">
      <c r="A126" s="69" t="s">
        <v>180</v>
      </c>
      <c r="B126" s="70"/>
      <c r="C126" s="34" t="s">
        <v>172</v>
      </c>
      <c r="D126" s="35">
        <f t="shared" si="6"/>
        <v>570.27671999999995</v>
      </c>
      <c r="E126" s="34">
        <v>0</v>
      </c>
      <c r="F126" s="34">
        <f t="shared" si="7"/>
        <v>912.44275199999993</v>
      </c>
      <c r="G126" s="61"/>
      <c r="H126" s="62"/>
      <c r="I126" s="45"/>
      <c r="J126" s="18">
        <v>204</v>
      </c>
      <c r="K126" s="18">
        <v>304</v>
      </c>
      <c r="L126" s="84" t="str">
        <f t="shared" si="8"/>
        <v>204 &amp; 304</v>
      </c>
      <c r="M126" s="84"/>
      <c r="N126" s="45"/>
    </row>
    <row r="127" spans="1:14" s="18" customFormat="1" ht="15.75" customHeight="1">
      <c r="A127" s="69" t="s">
        <v>181</v>
      </c>
      <c r="B127" s="70"/>
      <c r="C127" s="34" t="s">
        <v>172</v>
      </c>
      <c r="D127" s="35">
        <f t="shared" si="6"/>
        <v>570.27671999999995</v>
      </c>
      <c r="E127" s="34">
        <v>0</v>
      </c>
      <c r="F127" s="34">
        <f t="shared" ref="F127:F129" si="9">(D127+E127)*(($F$107)+1)</f>
        <v>912.44275199999993</v>
      </c>
      <c r="G127" s="61"/>
      <c r="H127" s="62"/>
      <c r="I127" s="45"/>
      <c r="J127" s="18">
        <v>205</v>
      </c>
      <c r="K127" s="18">
        <v>305</v>
      </c>
      <c r="L127" s="84" t="str">
        <f t="shared" si="8"/>
        <v>205 &amp; 305</v>
      </c>
      <c r="M127" s="84"/>
      <c r="N127" s="45"/>
    </row>
    <row r="128" spans="1:14" s="18" customFormat="1" ht="15.75" customHeight="1">
      <c r="A128" s="69" t="s">
        <v>182</v>
      </c>
      <c r="B128" s="70"/>
      <c r="C128" s="34" t="s">
        <v>172</v>
      </c>
      <c r="D128" s="35">
        <f t="shared" si="6"/>
        <v>570.27671999999995</v>
      </c>
      <c r="E128" s="34">
        <v>0</v>
      </c>
      <c r="F128" s="34">
        <f t="shared" si="9"/>
        <v>912.44275199999993</v>
      </c>
      <c r="G128" s="61"/>
      <c r="H128" s="62"/>
      <c r="I128" s="45"/>
      <c r="J128" s="18">
        <v>206</v>
      </c>
      <c r="K128" s="18">
        <v>306</v>
      </c>
      <c r="L128" s="84" t="str">
        <f t="shared" si="8"/>
        <v>206 &amp; 306</v>
      </c>
      <c r="M128" s="84"/>
      <c r="N128" s="45"/>
    </row>
    <row r="129" spans="1:14" s="18" customFormat="1" ht="15.75" customHeight="1">
      <c r="A129" s="69" t="s">
        <v>183</v>
      </c>
      <c r="B129" s="70"/>
      <c r="C129" s="34" t="s">
        <v>172</v>
      </c>
      <c r="D129" s="35">
        <f t="shared" si="6"/>
        <v>570.27671999999995</v>
      </c>
      <c r="E129" s="34">
        <v>0</v>
      </c>
      <c r="F129" s="34">
        <f t="shared" si="9"/>
        <v>912.44275199999993</v>
      </c>
      <c r="G129" s="61"/>
      <c r="H129" s="62"/>
      <c r="I129" s="45"/>
      <c r="J129" s="18">
        <v>207</v>
      </c>
      <c r="K129" s="18">
        <v>307</v>
      </c>
      <c r="L129" s="84" t="str">
        <f t="shared" si="8"/>
        <v>207 &amp; 307</v>
      </c>
      <c r="M129" s="84"/>
      <c r="N129" s="45"/>
    </row>
    <row r="130" spans="1:14" s="18" customFormat="1" ht="15.75" customHeight="1">
      <c r="A130" s="69" t="s">
        <v>184</v>
      </c>
      <c r="B130" s="70"/>
      <c r="C130" s="34" t="s">
        <v>172</v>
      </c>
      <c r="D130" s="35">
        <f>54.56*(10.764)</f>
        <v>587.28383999999994</v>
      </c>
      <c r="E130" s="34">
        <v>0</v>
      </c>
      <c r="F130" s="34">
        <f t="shared" ref="F130" si="10">(D130+E130)*(($F$107)+1)</f>
        <v>939.65414399999997</v>
      </c>
      <c r="G130" s="63"/>
      <c r="H130" s="64"/>
      <c r="I130" s="45"/>
      <c r="J130" s="18">
        <v>208</v>
      </c>
      <c r="K130" s="18">
        <v>308</v>
      </c>
      <c r="L130" s="84" t="str">
        <f t="shared" si="8"/>
        <v>208 &amp; 308</v>
      </c>
      <c r="M130" s="84"/>
      <c r="N130" s="45"/>
    </row>
    <row r="131" spans="1:14" s="18" customFormat="1">
      <c r="A131" s="71" t="s">
        <v>185</v>
      </c>
      <c r="B131" s="72"/>
      <c r="C131" s="72"/>
      <c r="D131" s="90"/>
      <c r="E131" s="72"/>
      <c r="F131" s="72"/>
      <c r="G131" s="72"/>
      <c r="H131" s="73"/>
      <c r="J131" s="45"/>
    </row>
    <row r="132" spans="1:14" s="18" customFormat="1" ht="15.75" customHeight="1">
      <c r="A132" s="69" t="s">
        <v>186</v>
      </c>
      <c r="B132" s="70"/>
      <c r="C132" s="34" t="s">
        <v>187</v>
      </c>
      <c r="D132" s="35">
        <f>54.56*(10.764)</f>
        <v>587.28383999999994</v>
      </c>
      <c r="E132" s="34">
        <v>0</v>
      </c>
      <c r="F132" s="34">
        <f>(D132+E132)*(($F$107)+1)</f>
        <v>939.65414399999997</v>
      </c>
      <c r="G132" s="59" t="str">
        <f>A131</f>
        <v>4th &amp; 5th Floor</v>
      </c>
      <c r="H132" s="60"/>
      <c r="I132" s="45"/>
      <c r="J132" s="18">
        <v>401</v>
      </c>
      <c r="K132" s="18">
        <v>501</v>
      </c>
      <c r="L132" s="84" t="str">
        <f>J132&amp;""&amp;" &amp; "&amp;""&amp;K132</f>
        <v>401 &amp; 501</v>
      </c>
      <c r="M132" s="84"/>
      <c r="N132" s="45">
        <f>5.3*10.3</f>
        <v>54.59</v>
      </c>
    </row>
    <row r="133" spans="1:14" s="18" customFormat="1" ht="15.75" customHeight="1">
      <c r="A133" s="69" t="s">
        <v>188</v>
      </c>
      <c r="B133" s="70"/>
      <c r="C133" s="34" t="s">
        <v>187</v>
      </c>
      <c r="D133" s="35">
        <f t="shared" ref="D133:D138" si="11">52.98*(10.764)</f>
        <v>570.27671999999995</v>
      </c>
      <c r="E133" s="34">
        <v>0</v>
      </c>
      <c r="F133" s="34">
        <f t="shared" ref="F133:F139" si="12">(D133+E133)*(($F$107)+1)</f>
        <v>912.44275199999993</v>
      </c>
      <c r="G133" s="61" t="str">
        <f t="shared" ref="G133:G139" si="13">G132</f>
        <v>4th &amp; 5th Floor</v>
      </c>
      <c r="H133" s="62"/>
      <c r="I133" s="45"/>
      <c r="J133" s="18">
        <v>402</v>
      </c>
      <c r="K133" s="18">
        <v>502</v>
      </c>
      <c r="L133" s="84" t="str">
        <f t="shared" ref="L133:L139" si="14">J133&amp;""&amp;" &amp; "&amp;""&amp;K133</f>
        <v>402 &amp; 502</v>
      </c>
      <c r="M133" s="84"/>
      <c r="N133" s="45"/>
    </row>
    <row r="134" spans="1:14" s="18" customFormat="1" ht="15.75" customHeight="1">
      <c r="A134" s="69" t="s">
        <v>189</v>
      </c>
      <c r="B134" s="70"/>
      <c r="C134" s="34" t="s">
        <v>187</v>
      </c>
      <c r="D134" s="35">
        <f t="shared" si="11"/>
        <v>570.27671999999995</v>
      </c>
      <c r="E134" s="34">
        <v>0</v>
      </c>
      <c r="F134" s="34">
        <f t="shared" si="12"/>
        <v>912.44275199999993</v>
      </c>
      <c r="G134" s="61" t="str">
        <f t="shared" si="13"/>
        <v>4th &amp; 5th Floor</v>
      </c>
      <c r="H134" s="62"/>
      <c r="I134" s="45"/>
      <c r="J134" s="18">
        <v>403</v>
      </c>
      <c r="K134" s="18">
        <v>503</v>
      </c>
      <c r="L134" s="84" t="str">
        <f t="shared" si="14"/>
        <v>403 &amp; 503</v>
      </c>
      <c r="M134" s="84"/>
      <c r="N134" s="45"/>
    </row>
    <row r="135" spans="1:14" s="18" customFormat="1" ht="15.75" customHeight="1">
      <c r="A135" s="69" t="s">
        <v>190</v>
      </c>
      <c r="B135" s="70"/>
      <c r="C135" s="34" t="s">
        <v>187</v>
      </c>
      <c r="D135" s="35">
        <f t="shared" si="11"/>
        <v>570.27671999999995</v>
      </c>
      <c r="E135" s="34">
        <v>0</v>
      </c>
      <c r="F135" s="34">
        <f t="shared" si="12"/>
        <v>912.44275199999993</v>
      </c>
      <c r="G135" s="61" t="str">
        <f t="shared" si="13"/>
        <v>4th &amp; 5th Floor</v>
      </c>
      <c r="H135" s="62"/>
      <c r="I135" s="45"/>
      <c r="J135" s="18">
        <v>404</v>
      </c>
      <c r="K135" s="18">
        <v>504</v>
      </c>
      <c r="L135" s="84" t="str">
        <f t="shared" si="14"/>
        <v>404 &amp; 504</v>
      </c>
      <c r="M135" s="84"/>
      <c r="N135" s="45"/>
    </row>
    <row r="136" spans="1:14" s="18" customFormat="1" ht="15.75" customHeight="1">
      <c r="A136" s="69" t="s">
        <v>191</v>
      </c>
      <c r="B136" s="70"/>
      <c r="C136" s="34" t="s">
        <v>187</v>
      </c>
      <c r="D136" s="35">
        <f t="shared" si="11"/>
        <v>570.27671999999995</v>
      </c>
      <c r="E136" s="34">
        <v>0</v>
      </c>
      <c r="F136" s="34">
        <f t="shared" si="12"/>
        <v>912.44275199999993</v>
      </c>
      <c r="G136" s="61" t="str">
        <f t="shared" si="13"/>
        <v>4th &amp; 5th Floor</v>
      </c>
      <c r="H136" s="62"/>
      <c r="I136" s="45"/>
      <c r="J136" s="18">
        <v>405</v>
      </c>
      <c r="K136" s="18">
        <v>505</v>
      </c>
      <c r="L136" s="84" t="str">
        <f t="shared" si="14"/>
        <v>405 &amp; 505</v>
      </c>
      <c r="M136" s="84"/>
      <c r="N136" s="45"/>
    </row>
    <row r="137" spans="1:14" s="18" customFormat="1" ht="15.75" customHeight="1">
      <c r="A137" s="69" t="s">
        <v>192</v>
      </c>
      <c r="B137" s="70"/>
      <c r="C137" s="34" t="s">
        <v>187</v>
      </c>
      <c r="D137" s="35">
        <f t="shared" si="11"/>
        <v>570.27671999999995</v>
      </c>
      <c r="E137" s="34">
        <v>0</v>
      </c>
      <c r="F137" s="34">
        <f t="shared" si="12"/>
        <v>912.44275199999993</v>
      </c>
      <c r="G137" s="61" t="str">
        <f t="shared" si="13"/>
        <v>4th &amp; 5th Floor</v>
      </c>
      <c r="H137" s="62"/>
      <c r="I137" s="45"/>
      <c r="J137" s="18">
        <v>406</v>
      </c>
      <c r="K137" s="18">
        <v>506</v>
      </c>
      <c r="L137" s="84" t="str">
        <f t="shared" si="14"/>
        <v>406 &amp; 506</v>
      </c>
      <c r="M137" s="84"/>
      <c r="N137" s="45"/>
    </row>
    <row r="138" spans="1:14" s="18" customFormat="1" ht="15.75" customHeight="1">
      <c r="A138" s="69" t="s">
        <v>193</v>
      </c>
      <c r="B138" s="70"/>
      <c r="C138" s="34" t="s">
        <v>187</v>
      </c>
      <c r="D138" s="35">
        <f t="shared" si="11"/>
        <v>570.27671999999995</v>
      </c>
      <c r="E138" s="34">
        <v>0</v>
      </c>
      <c r="F138" s="34">
        <f t="shared" si="12"/>
        <v>912.44275199999993</v>
      </c>
      <c r="G138" s="61" t="str">
        <f t="shared" si="13"/>
        <v>4th &amp; 5th Floor</v>
      </c>
      <c r="H138" s="62"/>
      <c r="I138" s="45"/>
      <c r="J138" s="18">
        <v>407</v>
      </c>
      <c r="K138" s="18">
        <v>507</v>
      </c>
      <c r="L138" s="84" t="str">
        <f t="shared" si="14"/>
        <v>407 &amp; 507</v>
      </c>
      <c r="M138" s="84"/>
      <c r="N138" s="45"/>
    </row>
    <row r="139" spans="1:14" s="18" customFormat="1" ht="15.75" customHeight="1">
      <c r="A139" s="69" t="s">
        <v>194</v>
      </c>
      <c r="B139" s="70"/>
      <c r="C139" s="34" t="s">
        <v>187</v>
      </c>
      <c r="D139" s="35">
        <f>54.56*(10.764)</f>
        <v>587.28383999999994</v>
      </c>
      <c r="E139" s="34">
        <v>0</v>
      </c>
      <c r="F139" s="34">
        <f t="shared" si="12"/>
        <v>939.65414399999997</v>
      </c>
      <c r="G139" s="63" t="str">
        <f t="shared" si="13"/>
        <v>4th &amp; 5th Floor</v>
      </c>
      <c r="H139" s="64"/>
      <c r="I139" s="45"/>
      <c r="J139" s="18">
        <v>408</v>
      </c>
      <c r="K139" s="18">
        <v>508</v>
      </c>
      <c r="L139" s="84" t="str">
        <f t="shared" si="14"/>
        <v>408 &amp; 508</v>
      </c>
      <c r="M139" s="84"/>
      <c r="N139" s="45"/>
    </row>
    <row r="140" spans="1:14" s="18" customFormat="1">
      <c r="A140" s="71" t="s">
        <v>195</v>
      </c>
      <c r="B140" s="72"/>
      <c r="C140" s="72"/>
      <c r="D140" s="90"/>
      <c r="E140" s="72"/>
      <c r="F140" s="72"/>
      <c r="G140" s="72"/>
      <c r="H140" s="73"/>
      <c r="J140" s="45"/>
    </row>
    <row r="141" spans="1:14" s="18" customFormat="1" ht="15.75" customHeight="1">
      <c r="A141" s="69" t="s">
        <v>196</v>
      </c>
      <c r="B141" s="70"/>
      <c r="C141" s="34" t="s">
        <v>187</v>
      </c>
      <c r="D141" s="35">
        <f>54.56*(10.764)</f>
        <v>587.28383999999994</v>
      </c>
      <c r="E141" s="34">
        <v>0</v>
      </c>
      <c r="F141" s="34">
        <f>(D141+E141)*(($F$107)+1)</f>
        <v>939.65414399999997</v>
      </c>
      <c r="G141" s="59" t="str">
        <f>A140</f>
        <v>6th, 10th, 14th &amp; 18th Floor (Part Refuge Area)</v>
      </c>
      <c r="H141" s="60"/>
      <c r="I141" s="45"/>
      <c r="J141" s="18">
        <v>601</v>
      </c>
      <c r="K141" s="18">
        <v>1801</v>
      </c>
      <c r="L141" s="84" t="str">
        <f>J141&amp;""&amp;" ,., "&amp;""&amp;K141</f>
        <v>601 ,., 1801</v>
      </c>
      <c r="M141" s="84"/>
      <c r="N141" s="45">
        <f>5.3*10.3</f>
        <v>54.59</v>
      </c>
    </row>
    <row r="142" spans="1:14" s="18" customFormat="1" ht="15.75" customHeight="1">
      <c r="A142" s="69" t="s">
        <v>197</v>
      </c>
      <c r="B142" s="70"/>
      <c r="C142" s="34" t="s">
        <v>187</v>
      </c>
      <c r="D142" s="35">
        <f>52.98*(10.764)</f>
        <v>570.27671999999995</v>
      </c>
      <c r="E142" s="34">
        <v>0</v>
      </c>
      <c r="F142" s="34">
        <f t="shared" ref="F142:F147" si="15">(D142+E142)*(($F$107)+1)</f>
        <v>912.44275199999993</v>
      </c>
      <c r="G142" s="61" t="str">
        <f t="shared" ref="G142:G148" si="16">G141</f>
        <v>6th, 10th, 14th &amp; 18th Floor (Part Refuge Area)</v>
      </c>
      <c r="H142" s="62"/>
      <c r="I142" s="45"/>
      <c r="J142" s="18">
        <v>602</v>
      </c>
      <c r="K142" s="18">
        <v>1802</v>
      </c>
      <c r="L142" s="84" t="str">
        <f t="shared" ref="L142:L148" si="17">J142&amp;""&amp;" ,., "&amp;""&amp;K142</f>
        <v>602 ,., 1802</v>
      </c>
      <c r="M142" s="84"/>
      <c r="N142" s="45"/>
    </row>
    <row r="143" spans="1:14" s="18" customFormat="1" ht="15.75" customHeight="1">
      <c r="A143" s="69" t="s">
        <v>198</v>
      </c>
      <c r="B143" s="70"/>
      <c r="C143" s="34" t="s">
        <v>187</v>
      </c>
      <c r="D143" s="35">
        <f>52.98*(10.764)</f>
        <v>570.27671999999995</v>
      </c>
      <c r="E143" s="34">
        <v>0</v>
      </c>
      <c r="F143" s="34">
        <f t="shared" si="15"/>
        <v>912.44275199999993</v>
      </c>
      <c r="G143" s="61" t="str">
        <f t="shared" si="16"/>
        <v>6th, 10th, 14th &amp; 18th Floor (Part Refuge Area)</v>
      </c>
      <c r="H143" s="62"/>
      <c r="I143" s="45"/>
      <c r="J143" s="18">
        <v>603</v>
      </c>
      <c r="K143" s="18">
        <v>1803</v>
      </c>
      <c r="L143" s="84" t="str">
        <f t="shared" si="17"/>
        <v>603 ,., 1803</v>
      </c>
      <c r="M143" s="84"/>
      <c r="N143" s="45"/>
    </row>
    <row r="144" spans="1:14" s="18" customFormat="1" ht="15.75" customHeight="1">
      <c r="A144" s="69" t="s">
        <v>199</v>
      </c>
      <c r="B144" s="70"/>
      <c r="C144" s="34" t="s">
        <v>187</v>
      </c>
      <c r="D144" s="35">
        <f>52.98*(10.764)</f>
        <v>570.27671999999995</v>
      </c>
      <c r="E144" s="34">
        <v>0</v>
      </c>
      <c r="F144" s="34">
        <f t="shared" si="15"/>
        <v>912.44275199999993</v>
      </c>
      <c r="G144" s="61" t="str">
        <f t="shared" si="16"/>
        <v>6th, 10th, 14th &amp; 18th Floor (Part Refuge Area)</v>
      </c>
      <c r="H144" s="62"/>
      <c r="I144" s="45"/>
      <c r="J144" s="18">
        <v>604</v>
      </c>
      <c r="K144" s="18">
        <v>1804</v>
      </c>
      <c r="L144" s="84" t="str">
        <f t="shared" si="17"/>
        <v>604 ,., 1804</v>
      </c>
      <c r="M144" s="84"/>
      <c r="N144" s="45"/>
    </row>
    <row r="145" spans="1:14" s="18" customFormat="1" ht="15.75" customHeight="1">
      <c r="A145" s="69" t="s">
        <v>200</v>
      </c>
      <c r="B145" s="70"/>
      <c r="C145" s="34" t="s">
        <v>187</v>
      </c>
      <c r="D145" s="35">
        <f>52.98*(10.764)</f>
        <v>570.27671999999995</v>
      </c>
      <c r="E145" s="34">
        <v>0</v>
      </c>
      <c r="F145" s="34">
        <f t="shared" si="15"/>
        <v>912.44275199999993</v>
      </c>
      <c r="G145" s="61" t="str">
        <f t="shared" si="16"/>
        <v>6th, 10th, 14th &amp; 18th Floor (Part Refuge Area)</v>
      </c>
      <c r="H145" s="62"/>
      <c r="I145" s="45"/>
      <c r="J145" s="18">
        <v>605</v>
      </c>
      <c r="K145" s="18">
        <v>1805</v>
      </c>
      <c r="L145" s="84" t="str">
        <f t="shared" si="17"/>
        <v>605 ,., 1805</v>
      </c>
      <c r="M145" s="84"/>
      <c r="N145" s="45"/>
    </row>
    <row r="146" spans="1:14" s="18" customFormat="1" ht="15.75" customHeight="1">
      <c r="A146" s="69" t="s">
        <v>201</v>
      </c>
      <c r="B146" s="70"/>
      <c r="C146" s="34" t="s">
        <v>187</v>
      </c>
      <c r="D146" s="35">
        <f>52.98*(10.764)</f>
        <v>570.27671999999995</v>
      </c>
      <c r="E146" s="34">
        <v>0</v>
      </c>
      <c r="F146" s="34">
        <f t="shared" si="15"/>
        <v>912.44275199999993</v>
      </c>
      <c r="G146" s="61" t="str">
        <f t="shared" si="16"/>
        <v>6th, 10th, 14th &amp; 18th Floor (Part Refuge Area)</v>
      </c>
      <c r="H146" s="62"/>
      <c r="I146" s="45"/>
      <c r="J146" s="18">
        <v>606</v>
      </c>
      <c r="K146" s="18">
        <v>1806</v>
      </c>
      <c r="L146" s="84" t="str">
        <f t="shared" si="17"/>
        <v>606 ,., 1806</v>
      </c>
      <c r="M146" s="84"/>
      <c r="N146" s="45"/>
    </row>
    <row r="147" spans="1:14" s="18" customFormat="1" ht="15.75" customHeight="1">
      <c r="A147" s="69" t="s">
        <v>202</v>
      </c>
      <c r="B147" s="70"/>
      <c r="C147" s="34" t="s">
        <v>187</v>
      </c>
      <c r="D147" s="35">
        <f>71.31*(10.764)</f>
        <v>767.58083999999997</v>
      </c>
      <c r="E147" s="34">
        <v>0</v>
      </c>
      <c r="F147" s="34">
        <f t="shared" si="15"/>
        <v>1228.1293439999999</v>
      </c>
      <c r="G147" s="61" t="str">
        <f t="shared" si="16"/>
        <v>6th, 10th, 14th &amp; 18th Floor (Part Refuge Area)</v>
      </c>
      <c r="H147" s="62"/>
      <c r="I147" s="45"/>
      <c r="J147" s="18">
        <v>607</v>
      </c>
      <c r="K147" s="18">
        <v>1807</v>
      </c>
      <c r="L147" s="84" t="str">
        <f t="shared" si="17"/>
        <v>607 ,., 1807</v>
      </c>
      <c r="M147" s="84"/>
      <c r="N147" s="45"/>
    </row>
    <row r="148" spans="1:14" s="18" customFormat="1" ht="15.75" customHeight="1">
      <c r="A148" s="69" t="s">
        <v>203</v>
      </c>
      <c r="B148" s="70"/>
      <c r="C148" s="69" t="s">
        <v>204</v>
      </c>
      <c r="D148" s="92"/>
      <c r="E148" s="86"/>
      <c r="F148" s="70"/>
      <c r="G148" s="63" t="str">
        <f t="shared" si="16"/>
        <v>6th, 10th, 14th &amp; 18th Floor (Part Refuge Area)</v>
      </c>
      <c r="H148" s="64"/>
      <c r="I148" s="45"/>
      <c r="J148" s="18">
        <v>608</v>
      </c>
      <c r="K148" s="18">
        <v>1808</v>
      </c>
      <c r="L148" s="84" t="str">
        <f t="shared" si="17"/>
        <v>608 ,., 1808</v>
      </c>
      <c r="M148" s="84"/>
      <c r="N148" s="45"/>
    </row>
    <row r="149" spans="1:14" s="18" customFormat="1">
      <c r="A149" s="85" t="s">
        <v>205</v>
      </c>
      <c r="B149" s="85"/>
      <c r="C149" s="85"/>
      <c r="D149" s="85"/>
      <c r="E149" s="85"/>
      <c r="F149" s="85"/>
      <c r="G149" s="85"/>
      <c r="H149" s="85"/>
      <c r="J149" s="45"/>
    </row>
    <row r="150" spans="1:14" s="18" customFormat="1" ht="15.75" customHeight="1">
      <c r="A150" s="83" t="s">
        <v>206</v>
      </c>
      <c r="B150" s="83"/>
      <c r="C150" s="51" t="s">
        <v>187</v>
      </c>
      <c r="D150" s="35">
        <f>54.56*(10.764)</f>
        <v>587.28383999999994</v>
      </c>
      <c r="E150" s="51">
        <v>0</v>
      </c>
      <c r="F150" s="51">
        <f>(D150+E150)*(($F$107)+1)</f>
        <v>939.65414399999997</v>
      </c>
      <c r="G150" s="83" t="str">
        <f>A149</f>
        <v>7th to 9th, 11th to 13th, 15th to 17th &amp; 19th Floor</v>
      </c>
      <c r="H150" s="83"/>
      <c r="I150" s="45"/>
      <c r="J150" s="18">
        <v>701</v>
      </c>
      <c r="K150" s="18">
        <v>1901</v>
      </c>
      <c r="L150" s="84" t="str">
        <f>J150&amp;""&amp;" ,., "&amp;""&amp;K150</f>
        <v>701 ,., 1901</v>
      </c>
      <c r="M150" s="84"/>
      <c r="N150" s="45">
        <f>5.3*10.3</f>
        <v>54.59</v>
      </c>
    </row>
    <row r="151" spans="1:14" s="18" customFormat="1" ht="15.75" customHeight="1">
      <c r="A151" s="83" t="s">
        <v>207</v>
      </c>
      <c r="B151" s="83"/>
      <c r="C151" s="51" t="s">
        <v>187</v>
      </c>
      <c r="D151" s="35">
        <f t="shared" ref="D151:D156" si="18">52.98*(10.764)</f>
        <v>570.27671999999995</v>
      </c>
      <c r="E151" s="51">
        <v>0</v>
      </c>
      <c r="F151" s="51">
        <f t="shared" ref="F151:F157" si="19">(D151+E151)*(($F$107)+1)</f>
        <v>912.44275199999993</v>
      </c>
      <c r="G151" s="83" t="str">
        <f t="shared" ref="G151:G157" si="20">G150</f>
        <v>7th to 9th, 11th to 13th, 15th to 17th &amp; 19th Floor</v>
      </c>
      <c r="H151" s="83"/>
      <c r="I151" s="45"/>
      <c r="J151" s="18">
        <v>702</v>
      </c>
      <c r="K151" s="18">
        <v>1902</v>
      </c>
      <c r="L151" s="84" t="str">
        <f t="shared" ref="L151:L157" si="21">J151&amp;""&amp;" ,., "&amp;""&amp;K151</f>
        <v>702 ,., 1902</v>
      </c>
      <c r="M151" s="84"/>
      <c r="N151" s="45"/>
    </row>
    <row r="152" spans="1:14" s="18" customFormat="1" ht="15.75" customHeight="1">
      <c r="A152" s="83" t="s">
        <v>208</v>
      </c>
      <c r="B152" s="83"/>
      <c r="C152" s="51" t="s">
        <v>187</v>
      </c>
      <c r="D152" s="35">
        <f t="shared" si="18"/>
        <v>570.27671999999995</v>
      </c>
      <c r="E152" s="51">
        <v>0</v>
      </c>
      <c r="F152" s="51">
        <f t="shared" si="19"/>
        <v>912.44275199999993</v>
      </c>
      <c r="G152" s="83" t="str">
        <f t="shared" si="20"/>
        <v>7th to 9th, 11th to 13th, 15th to 17th &amp; 19th Floor</v>
      </c>
      <c r="H152" s="83"/>
      <c r="I152" s="45"/>
      <c r="J152" s="18">
        <v>703</v>
      </c>
      <c r="K152" s="18">
        <v>1903</v>
      </c>
      <c r="L152" s="84" t="str">
        <f t="shared" si="21"/>
        <v>703 ,., 1903</v>
      </c>
      <c r="M152" s="84"/>
      <c r="N152" s="45"/>
    </row>
    <row r="153" spans="1:14" s="18" customFormat="1" ht="15.75" customHeight="1">
      <c r="A153" s="83" t="s">
        <v>209</v>
      </c>
      <c r="B153" s="83"/>
      <c r="C153" s="51" t="s">
        <v>187</v>
      </c>
      <c r="D153" s="35">
        <f t="shared" si="18"/>
        <v>570.27671999999995</v>
      </c>
      <c r="E153" s="51">
        <v>0</v>
      </c>
      <c r="F153" s="51">
        <f t="shared" si="19"/>
        <v>912.44275199999993</v>
      </c>
      <c r="G153" s="83" t="str">
        <f t="shared" si="20"/>
        <v>7th to 9th, 11th to 13th, 15th to 17th &amp; 19th Floor</v>
      </c>
      <c r="H153" s="83"/>
      <c r="I153" s="45"/>
      <c r="J153" s="18">
        <v>704</v>
      </c>
      <c r="K153" s="18">
        <v>1904</v>
      </c>
      <c r="L153" s="84" t="str">
        <f t="shared" si="21"/>
        <v>704 ,., 1904</v>
      </c>
      <c r="M153" s="84"/>
      <c r="N153" s="45"/>
    </row>
    <row r="154" spans="1:14" s="18" customFormat="1" ht="15.75" customHeight="1">
      <c r="A154" s="83" t="s">
        <v>210</v>
      </c>
      <c r="B154" s="83"/>
      <c r="C154" s="51" t="s">
        <v>187</v>
      </c>
      <c r="D154" s="35">
        <f t="shared" si="18"/>
        <v>570.27671999999995</v>
      </c>
      <c r="E154" s="51">
        <v>0</v>
      </c>
      <c r="F154" s="51">
        <f t="shared" si="19"/>
        <v>912.44275199999993</v>
      </c>
      <c r="G154" s="83" t="str">
        <f t="shared" si="20"/>
        <v>7th to 9th, 11th to 13th, 15th to 17th &amp; 19th Floor</v>
      </c>
      <c r="H154" s="83"/>
      <c r="I154" s="45"/>
      <c r="J154" s="18">
        <v>705</v>
      </c>
      <c r="K154" s="18">
        <v>1905</v>
      </c>
      <c r="L154" s="84" t="str">
        <f t="shared" si="21"/>
        <v>705 ,., 1905</v>
      </c>
      <c r="M154" s="84"/>
      <c r="N154" s="45"/>
    </row>
    <row r="155" spans="1:14" s="18" customFormat="1" ht="15.75" customHeight="1">
      <c r="A155" s="83" t="s">
        <v>211</v>
      </c>
      <c r="B155" s="83"/>
      <c r="C155" s="51" t="s">
        <v>187</v>
      </c>
      <c r="D155" s="35">
        <f t="shared" si="18"/>
        <v>570.27671999999995</v>
      </c>
      <c r="E155" s="51">
        <v>0</v>
      </c>
      <c r="F155" s="51">
        <f t="shared" si="19"/>
        <v>912.44275199999993</v>
      </c>
      <c r="G155" s="83" t="str">
        <f t="shared" si="20"/>
        <v>7th to 9th, 11th to 13th, 15th to 17th &amp; 19th Floor</v>
      </c>
      <c r="H155" s="83"/>
      <c r="I155" s="45"/>
      <c r="J155" s="18">
        <v>706</v>
      </c>
      <c r="K155" s="18">
        <v>1906</v>
      </c>
      <c r="L155" s="84" t="str">
        <f t="shared" si="21"/>
        <v>706 ,., 1906</v>
      </c>
      <c r="M155" s="84"/>
      <c r="N155" s="45"/>
    </row>
    <row r="156" spans="1:14" s="18" customFormat="1" ht="15.75" customHeight="1">
      <c r="A156" s="83" t="s">
        <v>212</v>
      </c>
      <c r="B156" s="83"/>
      <c r="C156" s="51" t="s">
        <v>187</v>
      </c>
      <c r="D156" s="35">
        <f t="shared" si="18"/>
        <v>570.27671999999995</v>
      </c>
      <c r="E156" s="51">
        <v>0</v>
      </c>
      <c r="F156" s="51">
        <f t="shared" si="19"/>
        <v>912.44275199999993</v>
      </c>
      <c r="G156" s="83" t="str">
        <f t="shared" si="20"/>
        <v>7th to 9th, 11th to 13th, 15th to 17th &amp; 19th Floor</v>
      </c>
      <c r="H156" s="83"/>
      <c r="I156" s="45"/>
      <c r="J156" s="18">
        <v>707</v>
      </c>
      <c r="K156" s="18">
        <v>1907</v>
      </c>
      <c r="L156" s="84" t="str">
        <f t="shared" si="21"/>
        <v>707 ,., 1907</v>
      </c>
      <c r="M156" s="84"/>
      <c r="N156" s="45"/>
    </row>
    <row r="157" spans="1:14" s="18" customFormat="1" ht="15.75" customHeight="1">
      <c r="A157" s="83" t="s">
        <v>213</v>
      </c>
      <c r="B157" s="83"/>
      <c r="C157" s="51" t="s">
        <v>187</v>
      </c>
      <c r="D157" s="35">
        <f>54.56*(10.764)</f>
        <v>587.28383999999994</v>
      </c>
      <c r="E157" s="51">
        <v>0</v>
      </c>
      <c r="F157" s="51">
        <f t="shared" si="19"/>
        <v>939.65414399999997</v>
      </c>
      <c r="G157" s="83" t="str">
        <f t="shared" si="20"/>
        <v>7th to 9th, 11th to 13th, 15th to 17th &amp; 19th Floor</v>
      </c>
      <c r="H157" s="83"/>
      <c r="I157" s="45"/>
      <c r="J157" s="18">
        <v>708</v>
      </c>
      <c r="K157" s="18">
        <v>1908</v>
      </c>
      <c r="L157" s="84" t="str">
        <f t="shared" si="21"/>
        <v>708 ,., 1908</v>
      </c>
      <c r="M157" s="84"/>
      <c r="N157" s="45"/>
    </row>
    <row r="158" spans="1:14" s="18" customFormat="1">
      <c r="A158" s="71" t="s">
        <v>214</v>
      </c>
      <c r="B158" s="72"/>
      <c r="C158" s="72"/>
      <c r="D158" s="90"/>
      <c r="E158" s="72"/>
      <c r="F158" s="72"/>
      <c r="G158" s="72"/>
      <c r="H158" s="73"/>
      <c r="J158" s="45"/>
    </row>
    <row r="159" spans="1:14" s="18" customFormat="1" ht="15.75" customHeight="1">
      <c r="A159" s="69">
        <v>2001</v>
      </c>
      <c r="B159" s="70"/>
      <c r="C159" s="34" t="s">
        <v>187</v>
      </c>
      <c r="D159" s="35">
        <f>54.56*(10.764)</f>
        <v>587.28383999999994</v>
      </c>
      <c r="E159" s="34">
        <v>0</v>
      </c>
      <c r="F159" s="34">
        <f>(D159+E159)*(($F$107)+1)</f>
        <v>939.65414399999997</v>
      </c>
      <c r="G159" s="59" t="str">
        <f>A158</f>
        <v>20th Floor (Part Terrace Area)</v>
      </c>
      <c r="H159" s="60"/>
      <c r="I159" s="45"/>
      <c r="L159" s="84"/>
      <c r="M159" s="84"/>
      <c r="N159" s="45"/>
    </row>
    <row r="160" spans="1:14" s="18" customFormat="1" ht="15.75" customHeight="1">
      <c r="A160" s="69">
        <f t="shared" ref="A160:A163" si="22">A159+1</f>
        <v>2002</v>
      </c>
      <c r="B160" s="70"/>
      <c r="C160" s="34" t="s">
        <v>187</v>
      </c>
      <c r="D160" s="35">
        <f>52.98*(10.764)</f>
        <v>570.27671999999995</v>
      </c>
      <c r="E160" s="34">
        <v>0</v>
      </c>
      <c r="F160" s="34">
        <f t="shared" ref="F160:F162" si="23">(D160+E160)*(($F$107)+1)</f>
        <v>912.44275199999993</v>
      </c>
      <c r="G160" s="61" t="str">
        <f t="shared" ref="G160:G163" si="24">G159</f>
        <v>20th Floor (Part Terrace Area)</v>
      </c>
      <c r="H160" s="62"/>
      <c r="I160" s="45"/>
      <c r="L160" s="84"/>
      <c r="M160" s="84"/>
      <c r="N160" s="45"/>
    </row>
    <row r="161" spans="1:14" s="18" customFormat="1" ht="15.75" customHeight="1">
      <c r="A161" s="69">
        <f t="shared" si="22"/>
        <v>2003</v>
      </c>
      <c r="B161" s="70"/>
      <c r="C161" s="34" t="s">
        <v>187</v>
      </c>
      <c r="D161" s="35">
        <f>52.98*(10.764)</f>
        <v>570.27671999999995</v>
      </c>
      <c r="E161" s="34">
        <v>0</v>
      </c>
      <c r="F161" s="34">
        <f t="shared" si="23"/>
        <v>912.44275199999993</v>
      </c>
      <c r="G161" s="61" t="str">
        <f t="shared" si="24"/>
        <v>20th Floor (Part Terrace Area)</v>
      </c>
      <c r="H161" s="62"/>
      <c r="I161" s="45"/>
      <c r="L161" s="84"/>
      <c r="M161" s="84"/>
      <c r="N161" s="45"/>
    </row>
    <row r="162" spans="1:14" s="18" customFormat="1" ht="15.75" customHeight="1">
      <c r="A162" s="69">
        <f t="shared" si="22"/>
        <v>2004</v>
      </c>
      <c r="B162" s="70"/>
      <c r="C162" s="34" t="s">
        <v>187</v>
      </c>
      <c r="D162" s="35">
        <f>52.98*(10.764)</f>
        <v>570.27671999999995</v>
      </c>
      <c r="E162" s="34">
        <v>0</v>
      </c>
      <c r="F162" s="34">
        <f t="shared" si="23"/>
        <v>912.44275199999993</v>
      </c>
      <c r="G162" s="61" t="str">
        <f t="shared" si="24"/>
        <v>20th Floor (Part Terrace Area)</v>
      </c>
      <c r="H162" s="62"/>
      <c r="I162" s="45"/>
      <c r="L162" s="84"/>
      <c r="M162" s="84"/>
      <c r="N162" s="45"/>
    </row>
    <row r="163" spans="1:14" s="18" customFormat="1" ht="15.75" customHeight="1">
      <c r="A163" s="69">
        <f t="shared" si="22"/>
        <v>2005</v>
      </c>
      <c r="B163" s="70"/>
      <c r="C163" s="34" t="s">
        <v>187</v>
      </c>
      <c r="D163" s="35">
        <f>52.98*(10.764)</f>
        <v>570.27671999999995</v>
      </c>
      <c r="E163" s="34">
        <v>0</v>
      </c>
      <c r="F163" s="34">
        <f t="shared" ref="F163" si="25">(D163+E163)*(($F$107)+1)</f>
        <v>912.44275199999993</v>
      </c>
      <c r="G163" s="61" t="str">
        <f t="shared" si="24"/>
        <v>20th Floor (Part Terrace Area)</v>
      </c>
      <c r="H163" s="62"/>
      <c r="I163" s="45"/>
      <c r="L163" s="84"/>
      <c r="M163" s="84"/>
      <c r="N163" s="45"/>
    </row>
    <row r="164" spans="1:14" s="18" customFormat="1" hidden="1">
      <c r="A164" s="71" t="s">
        <v>215</v>
      </c>
      <c r="B164" s="72"/>
      <c r="C164" s="72"/>
      <c r="D164" s="89"/>
      <c r="E164" s="72"/>
      <c r="F164" s="72"/>
      <c r="G164" s="72"/>
      <c r="H164" s="73"/>
      <c r="J164" s="45"/>
    </row>
    <row r="165" spans="1:14" s="18" customFormat="1" hidden="1">
      <c r="A165" s="69">
        <v>1</v>
      </c>
      <c r="B165" s="70"/>
      <c r="C165" s="34"/>
      <c r="D165" s="34"/>
      <c r="E165" s="34">
        <v>0</v>
      </c>
      <c r="F165" s="34">
        <f>(D165+E165)*(($F$107)+1)</f>
        <v>0</v>
      </c>
      <c r="G165" s="69" t="str">
        <f>A164</f>
        <v>Ground Floor</v>
      </c>
      <c r="H165" s="70"/>
      <c r="I165" s="45"/>
      <c r="L165" s="84"/>
      <c r="M165" s="84"/>
      <c r="N165" s="45"/>
    </row>
    <row r="166" spans="1:14" s="18" customFormat="1" hidden="1">
      <c r="A166" s="69">
        <f t="shared" ref="A166:A168" si="26">A165+1</f>
        <v>2</v>
      </c>
      <c r="B166" s="70"/>
      <c r="C166" s="34"/>
      <c r="D166" s="34"/>
      <c r="E166" s="34">
        <v>0</v>
      </c>
      <c r="F166" s="34">
        <f t="shared" ref="F166:F168" si="27">(D166+E166)*(($F$107)+1)</f>
        <v>0</v>
      </c>
      <c r="G166" s="69" t="str">
        <f t="shared" ref="G166:G168" si="28">G165</f>
        <v>Ground Floor</v>
      </c>
      <c r="H166" s="70"/>
      <c r="I166" s="45"/>
      <c r="L166" s="84"/>
      <c r="M166" s="84"/>
      <c r="N166" s="45"/>
    </row>
    <row r="167" spans="1:14" s="18" customFormat="1" hidden="1">
      <c r="A167" s="69">
        <f t="shared" si="26"/>
        <v>3</v>
      </c>
      <c r="B167" s="70"/>
      <c r="C167" s="34"/>
      <c r="D167" s="34"/>
      <c r="E167" s="34">
        <v>0</v>
      </c>
      <c r="F167" s="34">
        <f t="shared" si="27"/>
        <v>0</v>
      </c>
      <c r="G167" s="69" t="str">
        <f t="shared" si="28"/>
        <v>Ground Floor</v>
      </c>
      <c r="H167" s="70"/>
      <c r="I167" s="45"/>
      <c r="L167" s="84"/>
      <c r="M167" s="84"/>
      <c r="N167" s="45"/>
    </row>
    <row r="168" spans="1:14" s="18" customFormat="1" hidden="1">
      <c r="A168" s="69">
        <f t="shared" si="26"/>
        <v>4</v>
      </c>
      <c r="B168" s="70"/>
      <c r="C168" s="34"/>
      <c r="D168" s="34"/>
      <c r="E168" s="34">
        <v>0</v>
      </c>
      <c r="F168" s="34">
        <f t="shared" si="27"/>
        <v>0</v>
      </c>
      <c r="G168" s="69" t="str">
        <f t="shared" si="28"/>
        <v>Ground Floor</v>
      </c>
      <c r="H168" s="70"/>
      <c r="I168" s="45"/>
      <c r="L168" s="84"/>
      <c r="M168" s="84"/>
      <c r="N168" s="45"/>
    </row>
    <row r="169" spans="1:14" s="18" customFormat="1">
      <c r="A169" s="69"/>
      <c r="B169" s="86"/>
      <c r="C169" s="86"/>
      <c r="D169" s="86"/>
      <c r="E169" s="86"/>
      <c r="F169" s="86"/>
      <c r="G169" s="86"/>
      <c r="H169" s="70"/>
      <c r="I169" s="45"/>
      <c r="N169" s="45"/>
    </row>
    <row r="170" spans="1:14" ht="47.25" hidden="1" customHeight="1">
      <c r="A170" s="53" t="s">
        <v>216</v>
      </c>
      <c r="B170" s="53" t="s">
        <v>217</v>
      </c>
      <c r="C170" s="67" t="s">
        <v>165</v>
      </c>
      <c r="D170" s="67" t="s">
        <v>166</v>
      </c>
      <c r="E170" s="87" t="s">
        <v>218</v>
      </c>
      <c r="F170" s="32" t="s">
        <v>168</v>
      </c>
      <c r="G170" s="53" t="s">
        <v>169</v>
      </c>
      <c r="H170" s="54"/>
      <c r="I170" s="45"/>
    </row>
    <row r="171" spans="1:14" s="18" customFormat="1" hidden="1">
      <c r="A171" s="55"/>
      <c r="B171" s="55"/>
      <c r="C171" s="68"/>
      <c r="D171" s="68"/>
      <c r="E171" s="88"/>
      <c r="F171" s="33">
        <v>0.5</v>
      </c>
      <c r="G171" s="55"/>
      <c r="H171" s="56"/>
      <c r="I171" s="45"/>
    </row>
    <row r="172" spans="1:14" s="18" customFormat="1" hidden="1">
      <c r="A172" s="71" t="s">
        <v>215</v>
      </c>
      <c r="B172" s="72"/>
      <c r="C172" s="72"/>
      <c r="D172" s="72"/>
      <c r="E172" s="72"/>
      <c r="F172" s="72"/>
      <c r="G172" s="72"/>
      <c r="H172" s="73"/>
      <c r="J172" s="45"/>
    </row>
    <row r="173" spans="1:14" s="18" customFormat="1" hidden="1">
      <c r="A173" s="69">
        <v>1</v>
      </c>
      <c r="B173" s="70"/>
      <c r="C173" s="46"/>
      <c r="D173" s="34"/>
      <c r="E173" s="34">
        <v>0</v>
      </c>
      <c r="F173" s="34">
        <f>D173*(($F$171)+1)+(IF(E173&lt;101,E173,IF(E173&lt;201,E173/2,IF(E173&lt;=301,E173/3,E173/4))))</f>
        <v>0</v>
      </c>
      <c r="G173" s="69" t="str">
        <f>A172</f>
        <v>Ground Floor</v>
      </c>
      <c r="H173" s="70"/>
      <c r="I173" s="45"/>
      <c r="L173" s="84"/>
      <c r="M173" s="84"/>
      <c r="N173" s="45"/>
    </row>
    <row r="174" spans="1:14" s="18" customFormat="1" hidden="1">
      <c r="A174" s="69">
        <f t="shared" ref="A174:A176" si="29">A173+1</f>
        <v>2</v>
      </c>
      <c r="B174" s="70"/>
      <c r="C174" s="46"/>
      <c r="D174" s="34"/>
      <c r="E174" s="34">
        <v>0</v>
      </c>
      <c r="F174" s="34">
        <f>D174*(($F$171)+1)+(IF(E174&lt;101,E174,IF(E174&lt;201,E174/2,IF(E174&lt;=301,E174/3,E174/4))))</f>
        <v>0</v>
      </c>
      <c r="G174" s="69" t="str">
        <f t="shared" ref="G174:G176" si="30">G173</f>
        <v>Ground Floor</v>
      </c>
      <c r="H174" s="70"/>
      <c r="I174" s="45"/>
      <c r="L174" s="84"/>
      <c r="M174" s="84"/>
      <c r="N174" s="45"/>
    </row>
    <row r="175" spans="1:14" s="18" customFormat="1" hidden="1">
      <c r="A175" s="69">
        <f t="shared" si="29"/>
        <v>3</v>
      </c>
      <c r="B175" s="70"/>
      <c r="C175" s="46"/>
      <c r="D175" s="34"/>
      <c r="E175" s="34">
        <v>0</v>
      </c>
      <c r="F175" s="34">
        <f>D175*(($F$171)+1)+(IF(E175&lt;101,E175,IF(E175&lt;201,E175/2,IF(E175&lt;=301,E175/3,E175/4))))</f>
        <v>0</v>
      </c>
      <c r="G175" s="69" t="str">
        <f t="shared" si="30"/>
        <v>Ground Floor</v>
      </c>
      <c r="H175" s="70"/>
      <c r="I175" s="45"/>
      <c r="L175" s="84"/>
      <c r="M175" s="84"/>
      <c r="N175" s="45"/>
    </row>
    <row r="176" spans="1:14" s="18" customFormat="1" hidden="1">
      <c r="A176" s="69">
        <f t="shared" si="29"/>
        <v>4</v>
      </c>
      <c r="B176" s="70"/>
      <c r="C176" s="46"/>
      <c r="D176" s="34"/>
      <c r="E176" s="34">
        <v>0</v>
      </c>
      <c r="F176" s="34">
        <f>D176*(($F$171)+1)+(IF(E176&lt;101,E176,IF(E176&lt;201,E176/2,IF(E176&lt;=301,E176/3,E176/4))))</f>
        <v>0</v>
      </c>
      <c r="G176" s="69" t="str">
        <f t="shared" si="30"/>
        <v>Ground Floor</v>
      </c>
      <c r="H176" s="70"/>
      <c r="I176" s="45"/>
      <c r="L176" s="84"/>
      <c r="M176" s="84"/>
      <c r="N176" s="45"/>
    </row>
    <row r="177" spans="1:14" s="18" customFormat="1" hidden="1">
      <c r="A177" s="85" t="s">
        <v>219</v>
      </c>
      <c r="B177" s="85"/>
      <c r="C177" s="85"/>
      <c r="D177" s="85"/>
      <c r="E177" s="85"/>
      <c r="F177" s="85"/>
      <c r="G177" s="85"/>
      <c r="H177" s="85"/>
      <c r="I177" s="45"/>
      <c r="L177" s="84"/>
      <c r="M177" s="84"/>
    </row>
    <row r="178" spans="1:14" s="18" customFormat="1" hidden="1">
      <c r="A178" s="83">
        <f>LEFT(A177,SUM(LEN(A177)-LEN(SUBSTITUTE(A177,{"0","1","2","3","4","5","6","7","8","9"},""))))*100+1</f>
        <v>201</v>
      </c>
      <c r="B178" s="83"/>
      <c r="C178" s="46"/>
      <c r="D178" s="34"/>
      <c r="E178" s="34">
        <v>0</v>
      </c>
      <c r="F178" s="34">
        <f t="shared" ref="F178:F182" si="31">D178*(($F$171)+1)+(IF(E178&lt;101,E178,IF(E178&lt;201,E178/2,IF(E178&lt;=301,E178/3,E178/4))))</f>
        <v>0</v>
      </c>
      <c r="G178" s="83" t="str">
        <f>A177</f>
        <v>2nd Floor</v>
      </c>
      <c r="H178" s="83"/>
      <c r="I178" s="45"/>
      <c r="N178" s="45"/>
    </row>
    <row r="179" spans="1:14" s="18" customFormat="1" hidden="1">
      <c r="A179" s="83">
        <f>A178+1</f>
        <v>202</v>
      </c>
      <c r="B179" s="83"/>
      <c r="C179" s="46"/>
      <c r="D179" s="34"/>
      <c r="E179" s="34">
        <v>0</v>
      </c>
      <c r="F179" s="34">
        <f t="shared" si="31"/>
        <v>0</v>
      </c>
      <c r="G179" s="83" t="str">
        <f>G178</f>
        <v>2nd Floor</v>
      </c>
      <c r="H179" s="83"/>
      <c r="I179" s="45"/>
      <c r="N179" s="45"/>
    </row>
    <row r="180" spans="1:14" s="18" customFormat="1" hidden="1">
      <c r="A180" s="83">
        <f>A179+1</f>
        <v>203</v>
      </c>
      <c r="B180" s="83"/>
      <c r="C180" s="46"/>
      <c r="D180" s="34"/>
      <c r="E180" s="34">
        <v>0</v>
      </c>
      <c r="F180" s="34">
        <f t="shared" si="31"/>
        <v>0</v>
      </c>
      <c r="G180" s="83" t="str">
        <f>G179</f>
        <v>2nd Floor</v>
      </c>
      <c r="H180" s="83"/>
      <c r="I180" s="45"/>
      <c r="N180" s="45"/>
    </row>
    <row r="181" spans="1:14" s="18" customFormat="1" hidden="1">
      <c r="A181" s="83">
        <f>A180+1</f>
        <v>204</v>
      </c>
      <c r="B181" s="83"/>
      <c r="C181" s="46"/>
      <c r="D181" s="34"/>
      <c r="E181" s="34">
        <v>0</v>
      </c>
      <c r="F181" s="34">
        <f t="shared" si="31"/>
        <v>0</v>
      </c>
      <c r="G181" s="83" t="str">
        <f>G180</f>
        <v>2nd Floor</v>
      </c>
      <c r="H181" s="83"/>
      <c r="I181" s="45"/>
      <c r="N181" s="45"/>
    </row>
    <row r="182" spans="1:14" s="18" customFormat="1" hidden="1">
      <c r="A182" s="83">
        <f>A181+1</f>
        <v>205</v>
      </c>
      <c r="B182" s="83"/>
      <c r="C182" s="46"/>
      <c r="D182" s="34"/>
      <c r="E182" s="34">
        <v>0</v>
      </c>
      <c r="F182" s="34">
        <f t="shared" si="31"/>
        <v>0</v>
      </c>
      <c r="G182" s="83" t="str">
        <f>G181</f>
        <v>2nd Floor</v>
      </c>
      <c r="H182" s="83"/>
      <c r="I182" s="45"/>
      <c r="N182" s="45"/>
    </row>
    <row r="183" spans="1:14" s="18" customFormat="1" ht="15.75" hidden="1" customHeight="1">
      <c r="A183" s="71" t="s">
        <v>220</v>
      </c>
      <c r="B183" s="72"/>
      <c r="C183" s="72"/>
      <c r="D183" s="72"/>
      <c r="E183" s="72"/>
      <c r="F183" s="72"/>
      <c r="G183" s="72"/>
      <c r="H183" s="73"/>
      <c r="I183" s="45"/>
    </row>
    <row r="184" spans="1:14" s="18" customFormat="1" hidden="1">
      <c r="A184" s="69" t="str">
        <f ca="1">(SUMPRODUCT(MID(0&amp;(LEFT(A183,SUM(LEN(A183)-LEN(SUBSTITUTE(A183,{"0","1","2"},""))))),LARGE(INDEX(ISNUMBER(--MID((LEFT(A183,SUM(LEN(A183)-LEN(SUBSTITUTE(A183,{"0","1","2"},""))))),ROW(INDIRECT("1:"&amp;LEN((LEFT(A183,SUM(LEN(A183)-LEN(SUBSTITUTE(A183,{"0","1","2"},"")))))))),1))*ROW(INDIRECT("1:"&amp;LEN((LEFT(A183,SUM(LEN(A183)-LEN(SUBSTITUTE(A183,{"0","1","2"},"")))))))),0),ROW(INDIRECT("1:"&amp;LEN((LEFT(A183,SUM(LEN(A183)-LEN(SUBSTITUTE(A183,{"0","1","2"},"")))))))))+1,1)*10^ROW(INDIRECT("1:"&amp;LEN((LEFT(A183,SUM(LEN(A183)-LEN(SUBSTITUTE(A183,{"0","1","2"},""))))))))/10))*100+1&amp;""&amp;" ,.., "&amp;""&amp;(SUMPRODUCT(MID(0&amp;(--TRIM(RIGHT(SUBSTITUTE(LEFT(A183,_xlfn.AGGREGATE(16,6,FIND({0,1,2,3,4,5,6,7,8,9},A183,ROW(INDIRECT("1:"&amp;LEN(A183)))),1))," ",REPT(" ",LEN(A183))),LEN(A183)))),LARGE(INDEX(ISNUMBER(--MID((--TRIM(RIGHT(SUBSTITUTE(LEFT(A183,_xlfn.AGGREGATE(16,6,FIND({0,1,2,3,4,5,6,7,8,9},A183,ROW(INDIRECT("1:"&amp;LEN(A183)))),1))," ",REPT(" ",LEN(A183))),LEN(A183)))),ROW(INDIRECT("1:"&amp;LEN((--TRIM(RIGHT(SUBSTITUTE(LEFT(A183,_xlfn.AGGREGATE(16,6,FIND({0,1,2,3,4,5,6,7,8,9},A183,ROW(INDIRECT("1:"&amp;LEN(A183)))),1))," ",REPT(" ",LEN(A183))),LEN(A183))))))),1))*ROW(INDIRECT("1:"&amp;LEN((--TRIM(RIGHT(SUBSTITUTE(LEFT(A183,_xlfn.AGGREGATE(16,6,FIND({0,1,2,3,4,5,6,7,8,9},A183,ROW(INDIRECT("1:"&amp;LEN(A183)))),1))," ",REPT(" ",LEN(A183))),LEN(A183))))))),0),ROW(INDIRECT("1:"&amp;LEN((--TRIM(RIGHT(SUBSTITUTE(LEFT(A183,_xlfn.AGGREGATE(16,6,FIND({0,1,2,3,4,5,6,7,8,9},A183,ROW(INDIRECT("1:"&amp;LEN(A183)))),1))," ",REPT(" ",LEN(A183))),LEN(A183))))))))+1,1)*10^ROW(INDIRECT("1:"&amp;LEN((--TRIM(RIGHT(SUBSTITUTE(LEFT(A183,_xlfn.AGGREGATE(16,6,FIND({0,1,2,3,4,5,6,7,8,9},A183,ROW(INDIRECT("1:"&amp;LEN(A183)))),1))," ",REPT(" ",LEN(A183))),LEN(A183)))))))/10))*100+1</f>
        <v>301 ,.., 1501</v>
      </c>
      <c r="B184" s="70"/>
      <c r="C184" s="46"/>
      <c r="D184" s="34"/>
      <c r="E184" s="34">
        <v>0</v>
      </c>
      <c r="F184" s="34">
        <f>D184*(($F$171)+1)+(IF(E184&lt;101,E184,IF(E184&lt;201,E184/2,IF(E184&lt;=301,E184/3,E184/4))))</f>
        <v>0</v>
      </c>
      <c r="G184" s="69" t="str">
        <f>A183</f>
        <v>3rd, 5th, 7th, 9th, 11th, 13th, 15th Floor</v>
      </c>
      <c r="H184" s="70"/>
      <c r="I184" s="45"/>
    </row>
    <row r="185" spans="1:14" s="18" customFormat="1" hidden="1">
      <c r="A185" s="69" t="str">
        <f ca="1">(SUMPRODUCT(MID(0&amp;(LEFT(A184,SUM(LEN(A184)-LEN(SUBSTITUTE(A184,{"0","1","2"},""))))),LARGE(INDEX(ISNUMBER(--MID((LEFT(A184,SUM(LEN(A184)-LEN(SUBSTITUTE(A184,{"0","1","2"},""))))),ROW(INDIRECT("1:"&amp;LEN((LEFT(A184,SUM(LEN(A184)-LEN(SUBSTITUTE(A184,{"0","1","2"},"")))))))),1))*ROW(INDIRECT("1:"&amp;LEN((LEFT(A184,SUM(LEN(A184)-LEN(SUBSTITUTE(A184,{"0","1","2"},"")))))))),0),ROW(INDIRECT("1:"&amp;LEN((LEFT(A184,SUM(LEN(A184)-LEN(SUBSTITUTE(A184,{"0","1","2"},"")))))))))+1,1)*10^ROW(INDIRECT("1:"&amp;LEN((LEFT(A184,SUM(LEN(A184)-LEN(SUBSTITUTE(A184,{"0","1","2"},""))))))))/10))*1+1&amp;""&amp;" ,.., "&amp;""&amp;(SUMPRODUCT(MID(0&amp;(--TRIM(RIGHT(SUBSTITUTE(LEFT(A184,_xlfn.AGGREGATE(16,6,FIND({0,1,2,3,4,5,6,7,8,9},A184,ROW(INDIRECT("1:"&amp;LEN(A184)))),1))," ",REPT(" ",LEN(A184))),LEN(A184)))),LARGE(INDEX(ISNUMBER(--MID((--TRIM(RIGHT(SUBSTITUTE(LEFT(A184,_xlfn.AGGREGATE(16,6,FIND({0,1,2,3,4,5,6,7,8,9},A184,ROW(INDIRECT("1:"&amp;LEN(A184)))),1))," ",REPT(" ",LEN(A184))),LEN(A184)))),ROW(INDIRECT("1:"&amp;LEN((--TRIM(RIGHT(SUBSTITUTE(LEFT(A184,_xlfn.AGGREGATE(16,6,FIND({0,1,2,3,4,5,6,7,8,9},A184,ROW(INDIRECT("1:"&amp;LEN(A184)))),1))," ",REPT(" ",LEN(A184))),LEN(A184))))))),1))*ROW(INDIRECT("1:"&amp;LEN((--TRIM(RIGHT(SUBSTITUTE(LEFT(A184,_xlfn.AGGREGATE(16,6,FIND({0,1,2,3,4,5,6,7,8,9},A184,ROW(INDIRECT("1:"&amp;LEN(A184)))),1))," ",REPT(" ",LEN(A184))),LEN(A184))))))),0),ROW(INDIRECT("1:"&amp;LEN((--TRIM(RIGHT(SUBSTITUTE(LEFT(A184,_xlfn.AGGREGATE(16,6,FIND({0,1,2,3,4,5,6,7,8,9},A184,ROW(INDIRECT("1:"&amp;LEN(A184)))),1))," ",REPT(" ",LEN(A184))),LEN(A184))))))))+1,1)*10^ROW(INDIRECT("1:"&amp;LEN((--TRIM(RIGHT(SUBSTITUTE(LEFT(A184,_xlfn.AGGREGATE(16,6,FIND({0,1,2,3,4,5,6,7,8,9},A184,ROW(INDIRECT("1:"&amp;LEN(A184)))),1))," ",REPT(" ",LEN(A184))),LEN(A184)))))))/10))*1+1</f>
        <v>302 ,.., 1502</v>
      </c>
      <c r="B185" s="70"/>
      <c r="C185" s="46"/>
      <c r="D185" s="34"/>
      <c r="E185" s="34">
        <v>0</v>
      </c>
      <c r="F185" s="34">
        <f>D185*(($F$171)+1)+(IF(E185&lt;101,E185,IF(E185&lt;201,E185/2,IF(E185&lt;=301,E185/3,E185/4))))</f>
        <v>0</v>
      </c>
      <c r="G185" s="69" t="str">
        <f>G184</f>
        <v>3rd, 5th, 7th, 9th, 11th, 13th, 15th Floor</v>
      </c>
      <c r="H185" s="70"/>
      <c r="I185" s="45"/>
    </row>
    <row r="186" spans="1:14" s="18" customFormat="1" ht="15.75" hidden="1" customHeight="1">
      <c r="A186" s="69" t="str">
        <f ca="1">(SUMPRODUCT(MID(0&amp;(LEFT(A185,SUM(LEN(A185)-LEN(SUBSTITUTE(A185,{"0","1","2"},""))))),LARGE(INDEX(ISNUMBER(--MID((LEFT(A185,SUM(LEN(A185)-LEN(SUBSTITUTE(A185,{"0","1","2"},""))))),ROW(INDIRECT("1:"&amp;LEN((LEFT(A185,SUM(LEN(A185)-LEN(SUBSTITUTE(A185,{"0","1","2"},"")))))))),1))*ROW(INDIRECT("1:"&amp;LEN((LEFT(A185,SUM(LEN(A185)-LEN(SUBSTITUTE(A185,{"0","1","2"},"")))))))),0),ROW(INDIRECT("1:"&amp;LEN((LEFT(A185,SUM(LEN(A185)-LEN(SUBSTITUTE(A185,{"0","1","2"},"")))))))))+1,1)*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",LEN(A185))),LEN(A185)))),LARGE(INDEX(ISNUMBER(--MID((--TRIM(RIGHT(SUBSTITUTE(LEFT(A185,_xlfn.AGGREGATE(16,6,FIND({0,1,2,3,4,5,6,7,8,9},A185,ROW(INDIRECT("1:"&amp;LEN(A185)))),1))," ",REPT(" ",LEN(A185))),LEN(A185)))),ROW(INDIRECT("1:"&amp;LEN((--TRIM(RIGHT(SUBSTITUTE(LEFT(A185,_xlfn.AGGREGATE(16,6,FIND({0,1,2,3,4,5,6,7,8,9},A185,ROW(INDIRECT("1:"&amp;LEN(A185)))),1))," ",REPT(" ",LEN(A185))),LEN(A185))))))),1))*ROW(INDIRECT("1:"&amp;LEN((--TRIM(RIGHT(SUBSTITUTE(LEFT(A185,_xlfn.AGGREGATE(16,6,FIND({0,1,2,3,4,5,6,7,8,9},A185,ROW(INDIRECT("1:"&amp;LEN(A185)))),1))," ",REPT(" ",LEN(A185))),LEN(A185))))))),0),ROW(INDIRECT("1:"&amp;LEN((--TRIM(RIGHT(SUBSTITUTE(LEFT(A185,_xlfn.AGGREGATE(16,6,FIND({0,1,2,3,4,5,6,7,8,9},A185,ROW(INDIRECT("1:"&amp;LEN(A185)))),1))," ",REPT(" ",LEN(A185))),LEN(A185))))))))+1,1)*10^ROW(INDIRECT("1:"&amp;LEN((--TRIM(RIGHT(SUBSTITUTE(LEFT(A185,_xlfn.AGGREGATE(16,6,FIND({0,1,2,3,4,5,6,7,8,9},A185,ROW(INDIRECT("1:"&amp;LEN(A185)))),1))," ",REPT(" ",LEN(A185))),LEN(A185)))))))/10))*1+1</f>
        <v>303 ,.., 1503</v>
      </c>
      <c r="B186" s="70"/>
      <c r="C186" s="46"/>
      <c r="D186" s="34"/>
      <c r="E186" s="34">
        <v>0</v>
      </c>
      <c r="F186" s="34">
        <f>D186*(($F$171)+1)+(IF(E186&lt;101,E186,IF(E186&lt;201,E186/2,IF(E186&lt;=301,E186/3,E186/4))))</f>
        <v>0</v>
      </c>
      <c r="G186" s="69" t="str">
        <f>G185</f>
        <v>3rd, 5th, 7th, 9th, 11th, 13th, 15th Floor</v>
      </c>
      <c r="H186" s="70"/>
      <c r="I186" s="45"/>
    </row>
    <row r="187" spans="1:14" s="18" customFormat="1" ht="15.75" hidden="1" customHeight="1">
      <c r="A187" s="69" t="str">
        <f ca="1">(SUMPRODUCT(MID(0&amp;(LEFT(A186,SUM(LEN(A186)-LEN(SUBSTITUTE(A186,{"0","1","2"},""))))),LARGE(INDEX(ISNUMBER(--MID((LEFT(A186,SUM(LEN(A186)-LEN(SUBSTITUTE(A186,{"0","1","2"},""))))),ROW(INDIRECT("1:"&amp;LEN((LEFT(A186,SUM(LEN(A186)-LEN(SUBSTITUTE(A186,{"0","1","2"},"")))))))),1))*ROW(INDIRECT("1:"&amp;LEN((LEFT(A186,SUM(LEN(A186)-LEN(SUBSTITUTE(A186,{"0","1","2"},"")))))))),0),ROW(INDIRECT("1:"&amp;LEN((LEFT(A186,SUM(LEN(A186)-LEN(SUBSTITUTE(A186,{"0","1","2"},"")))))))))+1,1)*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",LEN(A186))),LEN(A186)))),LARGE(INDEX(ISNUMBER(--MID((--TRIM(RIGHT(SUBSTITUTE(LEFT(A186,_xlfn.AGGREGATE(16,6,FIND({0,1,2,3,4,5,6,7,8,9},A186,ROW(INDIRECT("1:"&amp;LEN(A186)))),1))," ",REPT(" ",LEN(A186))),LEN(A186)))),ROW(INDIRECT("1:"&amp;LEN((--TRIM(RIGHT(SUBSTITUTE(LEFT(A186,_xlfn.AGGREGATE(16,6,FIND({0,1,2,3,4,5,6,7,8,9},A186,ROW(INDIRECT("1:"&amp;LEN(A186)))),1))," ",REPT(" ",LEN(A186))),LEN(A186))))))),1))*ROW(INDIRECT("1:"&amp;LEN((--TRIM(RIGHT(SUBSTITUTE(LEFT(A186,_xlfn.AGGREGATE(16,6,FIND({0,1,2,3,4,5,6,7,8,9},A186,ROW(INDIRECT("1:"&amp;LEN(A186)))),1))," ",REPT(" ",LEN(A186))),LEN(A186))))))),0),ROW(INDIRECT("1:"&amp;LEN((--TRIM(RIGHT(SUBSTITUTE(LEFT(A186,_xlfn.AGGREGATE(16,6,FIND({0,1,2,3,4,5,6,7,8,9},A186,ROW(INDIRECT("1:"&amp;LEN(A186)))),1))," ",REPT(" ",LEN(A186))),LEN(A186))))))))+1,1)*10^ROW(INDIRECT("1:"&amp;LEN((--TRIM(RIGHT(SUBSTITUTE(LEFT(A186,_xlfn.AGGREGATE(16,6,FIND({0,1,2,3,4,5,6,7,8,9},A186,ROW(INDIRECT("1:"&amp;LEN(A186)))),1))," ",REPT(" ",LEN(A186))),LEN(A186)))))))/10))*1+1</f>
        <v>304 ,.., 1504</v>
      </c>
      <c r="B187" s="70"/>
      <c r="C187" s="46"/>
      <c r="D187" s="34"/>
      <c r="E187" s="34">
        <v>0</v>
      </c>
      <c r="F187" s="34">
        <f>D187*(($F$171)+1)+(IF(E187&lt;101,E187,IF(E187&lt;201,E187/2,IF(E187&lt;=301,E187/3,E187/4))))</f>
        <v>0</v>
      </c>
      <c r="G187" s="69" t="str">
        <f>G186</f>
        <v>3rd, 5th, 7th, 9th, 11th, 13th, 15th Floor</v>
      </c>
      <c r="H187" s="70"/>
      <c r="I187" s="45"/>
    </row>
    <row r="188" spans="1:14" s="18" customFormat="1" ht="15.75" hidden="1" customHeight="1">
      <c r="A188" s="69" t="str">
        <f ca="1">(SUMPRODUCT(MID(0&amp;(LEFT(A187,SUM(LEN(A187)-LEN(SUBSTITUTE(A187,{"0","1","2"},""))))),LARGE(INDEX(ISNUMBER(--MID((LEFT(A187,SUM(LEN(A187)-LEN(SUBSTITUTE(A187,{"0","1","2"},""))))),ROW(INDIRECT("1:"&amp;LEN((LEFT(A187,SUM(LEN(A187)-LEN(SUBSTITUTE(A187,{"0","1","2"},"")))))))),1))*ROW(INDIRECT("1:"&amp;LEN((LEFT(A187,SUM(LEN(A187)-LEN(SUBSTITUTE(A187,{"0","1","2"},"")))))))),0),ROW(INDIRECT("1:"&amp;LEN((LEFT(A187,SUM(LEN(A187)-LEN(SUBSTITUTE(A187,{"0","1","2"},"")))))))))+1,1)*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",LEN(A187))),LEN(A187)))),LARGE(INDEX(ISNUMBER(--MID((--TRIM(RIGHT(SUBSTITUTE(LEFT(A187,_xlfn.AGGREGATE(16,6,FIND({0,1,2,3,4,5,6,7,8,9},A187,ROW(INDIRECT("1:"&amp;LEN(A187)))),1))," ",REPT(" ",LEN(A187))),LEN(A187)))),ROW(INDIRECT("1:"&amp;LEN((--TRIM(RIGHT(SUBSTITUTE(LEFT(A187,_xlfn.AGGREGATE(16,6,FIND({0,1,2,3,4,5,6,7,8,9},A187,ROW(INDIRECT("1:"&amp;LEN(A187)))),1))," ",REPT(" ",LEN(A187))),LEN(A187))))))),1))*ROW(INDIRECT("1:"&amp;LEN((--TRIM(RIGHT(SUBSTITUTE(LEFT(A187,_xlfn.AGGREGATE(16,6,FIND({0,1,2,3,4,5,6,7,8,9},A187,ROW(INDIRECT("1:"&amp;LEN(A187)))),1))," ",REPT(" ",LEN(A187))),LEN(A187))))))),0),ROW(INDIRECT("1:"&amp;LEN((--TRIM(RIGHT(SUBSTITUTE(LEFT(A187,_xlfn.AGGREGATE(16,6,FIND({0,1,2,3,4,5,6,7,8,9},A187,ROW(INDIRECT("1:"&amp;LEN(A187)))),1))," ",REPT(" ",LEN(A187))),LEN(A187))))))))+1,1)*10^ROW(INDIRECT("1:"&amp;LEN((--TRIM(RIGHT(SUBSTITUTE(LEFT(A187,_xlfn.AGGREGATE(16,6,FIND({0,1,2,3,4,5,6,7,8,9},A187,ROW(INDIRECT("1:"&amp;LEN(A187)))),1))," ",REPT(" ",LEN(A187))),LEN(A187)))))))/10))*1+1</f>
        <v>305 ,.., 1505</v>
      </c>
      <c r="B188" s="70"/>
      <c r="C188" s="46"/>
      <c r="D188" s="34"/>
      <c r="E188" s="34">
        <v>0</v>
      </c>
      <c r="F188" s="34">
        <f>D188*(($F$171)+1)+(IF(E188&lt;101,E188,IF(E188&lt;201,E188/2,IF(E188&lt;=301,E188/3,E188/4))))</f>
        <v>0</v>
      </c>
      <c r="G188" s="69" t="str">
        <f>G187</f>
        <v>3rd, 5th, 7th, 9th, 11th, 13th, 15th Floor</v>
      </c>
      <c r="H188" s="70"/>
      <c r="I188" s="45"/>
    </row>
    <row r="189" spans="1:14" s="18" customFormat="1" hidden="1">
      <c r="A189" s="71" t="s">
        <v>221</v>
      </c>
      <c r="B189" s="72"/>
      <c r="C189" s="72"/>
      <c r="D189" s="72"/>
      <c r="E189" s="72"/>
      <c r="F189" s="72"/>
      <c r="G189" s="72"/>
      <c r="H189" s="73"/>
      <c r="I189" s="45"/>
    </row>
    <row r="190" spans="1:14" s="18" customFormat="1" hidden="1">
      <c r="A190" s="69" t="str">
        <f ca="1">(SUMPRODUCT(MID(0&amp;(LEFT(A189,SUM(LEN(A189)-LEN(SUBSTITUTE(A189,{"0","1","2"},""))))),LARGE(INDEX(ISNUMBER(--MID((LEFT(A189,SUM(LEN(A189)-LEN(SUBSTITUTE(A189,{"0","1","2"},""))))),ROW(INDIRECT("1:"&amp;LEN((LEFT(A189,SUM(LEN(A189)-LEN(SUBSTITUTE(A189,{"0","1","2"},"")))))))),1))*ROW(INDIRECT("1:"&amp;LEN((LEFT(A189,SUM(LEN(A189)-LEN(SUBSTITUTE(A189,{"0","1","2"},"")))))))),0),ROW(INDIRECT("1:"&amp;LEN((LEFT(A189,SUM(LEN(A189)-LEN(SUBSTITUTE(A189,{"0","1","2"},"")))))))))+1,1)*10^ROW(INDIRECT("1:"&amp;LEN((LEFT(A189,SUM(LEN(A189)-LEN(SUBSTITUTE(A189,{"0","1","2"},""))))))))/10))*100+1&amp;""&amp;" to "&amp;""&amp;(SUMPRODUCT(MID(0&amp;(--TRIM(RIGHT(SUBSTITUTE(LEFT(A189,_xlfn.AGGREGATE(16,6,FIND({0,1,2,3,4,5,6,7,8,9},A189,ROW(INDIRECT("1:"&amp;LEN(A189)))),1))," ",REPT(" ",LEN(A189))),LEN(A189)))),LARGE(INDEX(ISNUMBER(--MID((--TRIM(RIGHT(SUBSTITUTE(LEFT(A189,_xlfn.AGGREGATE(16,6,FIND({0,1,2,3,4,5,6,7,8,9},A189,ROW(INDIRECT("1:"&amp;LEN(A189)))),1))," ",REPT(" ",LEN(A189))),LEN(A189)))),ROW(INDIRECT("1:"&amp;LEN((--TRIM(RIGHT(SUBSTITUTE(LEFT(A189,_xlfn.AGGREGATE(16,6,FIND({0,1,2,3,4,5,6,7,8,9},A189,ROW(INDIRECT("1:"&amp;LEN(A189)))),1))," ",REPT(" ",LEN(A189))),LEN(A189))))))),1))*ROW(INDIRECT("1:"&amp;LEN((--TRIM(RIGHT(SUBSTITUTE(LEFT(A189,_xlfn.AGGREGATE(16,6,FIND({0,1,2,3,4,5,6,7,8,9},A189,ROW(INDIRECT("1:"&amp;LEN(A189)))),1))," ",REPT(" ",LEN(A189))),LEN(A189))))))),0),ROW(INDIRECT("1:"&amp;LEN((--TRIM(RIGHT(SUBSTITUTE(LEFT(A189,_xlfn.AGGREGATE(16,6,FIND({0,1,2,3,4,5,6,7,8,9},A189,ROW(INDIRECT("1:"&amp;LEN(A189)))),1))," ",REPT(" ",LEN(A189))),LEN(A189))))))))+1,1)*10^ROW(INDIRECT("1:"&amp;LEN((--TRIM(RIGHT(SUBSTITUTE(LEFT(A189,_xlfn.AGGREGATE(16,6,FIND({0,1,2,3,4,5,6,7,8,9},A189,ROW(INDIRECT("1:"&amp;LEN(A189)))),1))," ",REPT(" ",LEN(A189))),LEN(A189)))))))/10))*100+1</f>
        <v>201 to 501</v>
      </c>
      <c r="B190" s="70"/>
      <c r="C190" s="46"/>
      <c r="D190" s="34"/>
      <c r="E190" s="34">
        <v>0</v>
      </c>
      <c r="F190" s="34">
        <f>D190*(($F$171)+1)+(IF(E190&lt;101,E190,IF(E190&lt;201,E190/2,IF(E190&lt;=301,E190/3,E190/4))))</f>
        <v>0</v>
      </c>
      <c r="G190" s="69" t="str">
        <f>A189</f>
        <v>2nd to 5th Floor</v>
      </c>
      <c r="H190" s="70"/>
      <c r="I190" s="45"/>
    </row>
    <row r="191" spans="1:14" s="18" customFormat="1" hidden="1">
      <c r="A191" s="69" t="str">
        <f ca="1">(SUMPRODUCT(MID(0&amp;(LEFT(A190,SUM(LEN(A190)-LEN(SUBSTITUTE(A190,{"0","1","2"},""))))),LARGE(INDEX(ISNUMBER(--MID((LEFT(A190,SUM(LEN(A190)-LEN(SUBSTITUTE(A190,{"0","1","2"},""))))),ROW(INDIRECT("1:"&amp;LEN((LEFT(A190,SUM(LEN(A190)-LEN(SUBSTITUTE(A190,{"0","1","2"},"")))))))),1))*ROW(INDIRECT("1:"&amp;LEN((LEFT(A190,SUM(LEN(A190)-LEN(SUBSTITUTE(A190,{"0","1","2"},"")))))))),0),ROW(INDIRECT("1:"&amp;LEN((LEFT(A190,SUM(LEN(A190)-LEN(SUBSTITUTE(A190,{"0","1","2"},"")))))))))+1,1)*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",LEN(A190))),LEN(A190)))),LARGE(INDEX(ISNUMBER(--MID((--TRIM(RIGHT(SUBSTITUTE(LEFT(A190,_xlfn.AGGREGATE(16,6,FIND({0,1,2,3,4,5,6,7,8,9},A190,ROW(INDIRECT("1:"&amp;LEN(A190)))),1))," ",REPT(" ",LEN(A190))),LEN(A190)))),ROW(INDIRECT("1:"&amp;LEN((--TRIM(RIGHT(SUBSTITUTE(LEFT(A190,_xlfn.AGGREGATE(16,6,FIND({0,1,2,3,4,5,6,7,8,9},A190,ROW(INDIRECT("1:"&amp;LEN(A190)))),1))," ",REPT(" ",LEN(A190))),LEN(A190))))))),1))*ROW(INDIRECT("1:"&amp;LEN((--TRIM(RIGHT(SUBSTITUTE(LEFT(A190,_xlfn.AGGREGATE(16,6,FIND({0,1,2,3,4,5,6,7,8,9},A190,ROW(INDIRECT("1:"&amp;LEN(A190)))),1))," ",REPT(" ",LEN(A190))),LEN(A190))))))),0),ROW(INDIRECT("1:"&amp;LEN((--TRIM(RIGHT(SUBSTITUTE(LEFT(A190,_xlfn.AGGREGATE(16,6,FIND({0,1,2,3,4,5,6,7,8,9},A190,ROW(INDIRECT("1:"&amp;LEN(A190)))),1))," ",REPT(" ",LEN(A190))),LEN(A190))))))))+1,1)*10^ROW(INDIRECT("1:"&amp;LEN((--TRIM(RIGHT(SUBSTITUTE(LEFT(A190,_xlfn.AGGREGATE(16,6,FIND({0,1,2,3,4,5,6,7,8,9},A190,ROW(INDIRECT("1:"&amp;LEN(A190)))),1))," ",REPT(" ",LEN(A190))),LEN(A190)))))))/10))*1+1</f>
        <v>202 to 502</v>
      </c>
      <c r="B191" s="70"/>
      <c r="C191" s="46"/>
      <c r="D191" s="34"/>
      <c r="E191" s="34">
        <v>0</v>
      </c>
      <c r="F191" s="34">
        <f>D191*(($F$171)+1)+(IF(E191&lt;101,E191,IF(E191&lt;201,E191/2,IF(E191&lt;=301,E191/3,E191/4))))</f>
        <v>0</v>
      </c>
      <c r="G191" s="69" t="str">
        <f>G190</f>
        <v>2nd to 5th Floor</v>
      </c>
      <c r="H191" s="70"/>
      <c r="I191" s="45"/>
    </row>
    <row r="192" spans="1:14" s="18" customFormat="1" hidden="1">
      <c r="A192" s="69" t="str">
        <f ca="1">(SUMPRODUCT(MID(0&amp;(LEFT(A191,SUM(LEN(A191)-LEN(SUBSTITUTE(A191,{"0","1","2"},""))))),LARGE(INDEX(ISNUMBER(--MID((LEFT(A191,SUM(LEN(A191)-LEN(SUBSTITUTE(A191,{"0","1","2"},""))))),ROW(INDIRECT("1:"&amp;LEN((LEFT(A191,SUM(LEN(A191)-LEN(SUBSTITUTE(A191,{"0","1","2"},"")))))))),1))*ROW(INDIRECT("1:"&amp;LEN((LEFT(A191,SUM(LEN(A191)-LEN(SUBSTITUTE(A191,{"0","1","2"},"")))))))),0),ROW(INDIRECT("1:"&amp;LEN((LEFT(A191,SUM(LEN(A191)-LEN(SUBSTITUTE(A191,{"0","1","2"},"")))))))))+1,1)*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",LEN(A191))),LEN(A191)))),LARGE(INDEX(ISNUMBER(--MID((--TRIM(RIGHT(SUBSTITUTE(LEFT(A191,_xlfn.AGGREGATE(16,6,FIND({0,1,2,3,4,5,6,7,8,9},A191,ROW(INDIRECT("1:"&amp;LEN(A191)))),1))," ",REPT(" ",LEN(A191))),LEN(A191)))),ROW(INDIRECT("1:"&amp;LEN((--TRIM(RIGHT(SUBSTITUTE(LEFT(A191,_xlfn.AGGREGATE(16,6,FIND({0,1,2,3,4,5,6,7,8,9},A191,ROW(INDIRECT("1:"&amp;LEN(A191)))),1))," ",REPT(" ",LEN(A191))),LEN(A191))))))),1))*ROW(INDIRECT("1:"&amp;LEN((--TRIM(RIGHT(SUBSTITUTE(LEFT(A191,_xlfn.AGGREGATE(16,6,FIND({0,1,2,3,4,5,6,7,8,9},A191,ROW(INDIRECT("1:"&amp;LEN(A191)))),1))," ",REPT(" ",LEN(A191))),LEN(A191))))))),0),ROW(INDIRECT("1:"&amp;LEN((--TRIM(RIGHT(SUBSTITUTE(LEFT(A191,_xlfn.AGGREGATE(16,6,FIND({0,1,2,3,4,5,6,7,8,9},A191,ROW(INDIRECT("1:"&amp;LEN(A191)))),1))," ",REPT(" ",LEN(A191))),LEN(A191))))))))+1,1)*10^ROW(INDIRECT("1:"&amp;LEN((--TRIM(RIGHT(SUBSTITUTE(LEFT(A191,_xlfn.AGGREGATE(16,6,FIND({0,1,2,3,4,5,6,7,8,9},A191,ROW(INDIRECT("1:"&amp;LEN(A191)))),1))," ",REPT(" ",LEN(A191))),LEN(A191)))))))/10))*1+1</f>
        <v>203 to 503</v>
      </c>
      <c r="B192" s="70"/>
      <c r="C192" s="46"/>
      <c r="D192" s="34"/>
      <c r="E192" s="34">
        <v>0</v>
      </c>
      <c r="F192" s="34">
        <f>D192*(($F$171)+1)+(IF(E192&lt;101,E192,IF(E192&lt;201,E192/2,IF(E192&lt;=301,E192/3,E192/4))))</f>
        <v>0</v>
      </c>
      <c r="G192" s="69" t="str">
        <f>G191</f>
        <v>2nd to 5th Floor</v>
      </c>
      <c r="H192" s="70"/>
      <c r="I192" s="45"/>
    </row>
    <row r="193" spans="1:9" s="18" customFormat="1" hidden="1">
      <c r="A193" s="69" t="str">
        <f ca="1">(SUMPRODUCT(MID(0&amp;(LEFT(A192,SUM(LEN(A192)-LEN(SUBSTITUTE(A192,{"0","1","2"},""))))),LARGE(INDEX(ISNUMBER(--MID((LEFT(A192,SUM(LEN(A192)-LEN(SUBSTITUTE(A192,{"0","1","2"},""))))),ROW(INDIRECT("1:"&amp;LEN((LEFT(A192,SUM(LEN(A192)-LEN(SUBSTITUTE(A192,{"0","1","2"},"")))))))),1))*ROW(INDIRECT("1:"&amp;LEN((LEFT(A192,SUM(LEN(A192)-LEN(SUBSTITUTE(A192,{"0","1","2"},"")))))))),0),ROW(INDIRECT("1:"&amp;LEN((LEFT(A192,SUM(LEN(A192)-LEN(SUBSTITUTE(A192,{"0","1","2"},"")))))))))+1,1)*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",LEN(A192))),LEN(A192)))),LARGE(INDEX(ISNUMBER(--MID((--TRIM(RIGHT(SUBSTITUTE(LEFT(A192,_xlfn.AGGREGATE(16,6,FIND({0,1,2,3,4,5,6,7,8,9},A192,ROW(INDIRECT("1:"&amp;LEN(A192)))),1))," ",REPT(" ",LEN(A192))),LEN(A192)))),ROW(INDIRECT("1:"&amp;LEN((--TRIM(RIGHT(SUBSTITUTE(LEFT(A192,_xlfn.AGGREGATE(16,6,FIND({0,1,2,3,4,5,6,7,8,9},A192,ROW(INDIRECT("1:"&amp;LEN(A192)))),1))," ",REPT(" ",LEN(A192))),LEN(A192))))))),1))*ROW(INDIRECT("1:"&amp;LEN((--TRIM(RIGHT(SUBSTITUTE(LEFT(A192,_xlfn.AGGREGATE(16,6,FIND({0,1,2,3,4,5,6,7,8,9},A192,ROW(INDIRECT("1:"&amp;LEN(A192)))),1))," ",REPT(" ",LEN(A192))),LEN(A192))))))),0),ROW(INDIRECT("1:"&amp;LEN((--TRIM(RIGHT(SUBSTITUTE(LEFT(A192,_xlfn.AGGREGATE(16,6,FIND({0,1,2,3,4,5,6,7,8,9},A192,ROW(INDIRECT("1:"&amp;LEN(A192)))),1))," ",REPT(" ",LEN(A192))),LEN(A192))))))))+1,1)*10^ROW(INDIRECT("1:"&amp;LEN((--TRIM(RIGHT(SUBSTITUTE(LEFT(A192,_xlfn.AGGREGATE(16,6,FIND({0,1,2,3,4,5,6,7,8,9},A192,ROW(INDIRECT("1:"&amp;LEN(A192)))),1))," ",REPT(" ",LEN(A192))),LEN(A192)))))))/10))*1+1</f>
        <v>204 to 504</v>
      </c>
      <c r="B193" s="70"/>
      <c r="C193" s="46"/>
      <c r="D193" s="34"/>
      <c r="E193" s="34">
        <v>0</v>
      </c>
      <c r="F193" s="34">
        <f>D193*(($F$171)+1)+(IF(E193&lt;101,E193,IF(E193&lt;201,E193/2,IF(E193&lt;=301,E193/3,E193/4))))</f>
        <v>0</v>
      </c>
      <c r="G193" s="69" t="str">
        <f>G192</f>
        <v>2nd to 5th Floor</v>
      </c>
      <c r="H193" s="70"/>
      <c r="I193" s="45"/>
    </row>
    <row r="194" spans="1:9" s="18" customFormat="1" hidden="1">
      <c r="A194" s="69" t="str">
        <f ca="1">(SUMPRODUCT(MID(0&amp;(LEFT(A193,SUM(LEN(A193)-LEN(SUBSTITUTE(A193,{"0","1","2"},""))))),LARGE(INDEX(ISNUMBER(--MID((LEFT(A193,SUM(LEN(A193)-LEN(SUBSTITUTE(A193,{"0","1","2"},""))))),ROW(INDIRECT("1:"&amp;LEN((LEFT(A193,SUM(LEN(A193)-LEN(SUBSTITUTE(A193,{"0","1","2"},"")))))))),1))*ROW(INDIRECT("1:"&amp;LEN((LEFT(A193,SUM(LEN(A193)-LEN(SUBSTITUTE(A193,{"0","1","2"},"")))))))),0),ROW(INDIRECT("1:"&amp;LEN((LEFT(A193,SUM(LEN(A193)-LEN(SUBSTITUTE(A193,{"0","1","2"},"")))))))))+1,1)*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",LEN(A193))),LEN(A193)))),LARGE(INDEX(ISNUMBER(--MID((--TRIM(RIGHT(SUBSTITUTE(LEFT(A193,_xlfn.AGGREGATE(16,6,FIND({0,1,2,3,4,5,6,7,8,9},A193,ROW(INDIRECT("1:"&amp;LEN(A193)))),1))," ",REPT(" ",LEN(A193))),LEN(A193)))),ROW(INDIRECT("1:"&amp;LEN((--TRIM(RIGHT(SUBSTITUTE(LEFT(A193,_xlfn.AGGREGATE(16,6,FIND({0,1,2,3,4,5,6,7,8,9},A193,ROW(INDIRECT("1:"&amp;LEN(A193)))),1))," ",REPT(" ",LEN(A193))),LEN(A193))))))),1))*ROW(INDIRECT("1:"&amp;LEN((--TRIM(RIGHT(SUBSTITUTE(LEFT(A193,_xlfn.AGGREGATE(16,6,FIND({0,1,2,3,4,5,6,7,8,9},A193,ROW(INDIRECT("1:"&amp;LEN(A193)))),1))," ",REPT(" ",LEN(A193))),LEN(A193))))))),0),ROW(INDIRECT("1:"&amp;LEN((--TRIM(RIGHT(SUBSTITUTE(LEFT(A193,_xlfn.AGGREGATE(16,6,FIND({0,1,2,3,4,5,6,7,8,9},A193,ROW(INDIRECT("1:"&amp;LEN(A193)))),1))," ",REPT(" ",LEN(A193))),LEN(A193))))))))+1,1)*10^ROW(INDIRECT("1:"&amp;LEN((--TRIM(RIGHT(SUBSTITUTE(LEFT(A193,_xlfn.AGGREGATE(16,6,FIND({0,1,2,3,4,5,6,7,8,9},A193,ROW(INDIRECT("1:"&amp;LEN(A193)))),1))," ",REPT(" ",LEN(A193))),LEN(A193)))))))/10))*1+1</f>
        <v>205 to 505</v>
      </c>
      <c r="B194" s="70"/>
      <c r="C194" s="46"/>
      <c r="D194" s="34"/>
      <c r="E194" s="34">
        <v>0</v>
      </c>
      <c r="F194" s="34">
        <f>D194*(($F$171)+1)+(IF(E194&lt;101,E194,IF(E194&lt;201,E194/2,IF(E194&lt;=301,E194/3,E194/4))))</f>
        <v>0</v>
      </c>
      <c r="G194" s="69" t="str">
        <f>G193</f>
        <v>2nd to 5th Floor</v>
      </c>
      <c r="H194" s="70"/>
      <c r="I194" s="45"/>
    </row>
    <row r="195" spans="1:9" s="18" customFormat="1" hidden="1">
      <c r="A195" s="71" t="s">
        <v>222</v>
      </c>
      <c r="B195" s="72"/>
      <c r="C195" s="72"/>
      <c r="D195" s="72"/>
      <c r="E195" s="72"/>
      <c r="F195" s="72"/>
      <c r="G195" s="72"/>
      <c r="H195" s="73"/>
      <c r="I195" s="45"/>
    </row>
    <row r="196" spans="1:9" s="18" customFormat="1" hidden="1">
      <c r="A196" s="69" t="str">
        <f ca="1">(SUMPRODUCT(MID(0&amp;(LEFT(A195,SUM(LEN(A195)-LEN(SUBSTITUTE(A195,{"0","1","2"},""))))),LARGE(INDEX(ISNUMBER(--MID((LEFT(A195,SUM(LEN(A195)-LEN(SUBSTITUTE(A195,{"0","1","2"},""))))),ROW(INDIRECT("1:"&amp;LEN((LEFT(A195,SUM(LEN(A195)-LEN(SUBSTITUTE(A195,{"0","1","2"},"")))))))),1))*ROW(INDIRECT("1:"&amp;LEN((LEFT(A195,SUM(LEN(A195)-LEN(SUBSTITUTE(A195,{"0","1","2"},"")))))))),0),ROW(INDIRECT("1:"&amp;LEN((LEFT(A195,SUM(LEN(A195)-LEN(SUBSTITUTE(A195,{"0","1","2"},"")))))))))+1,1)*10^ROW(INDIRECT("1:"&amp;LEN((LEFT(A195,SUM(LEN(A195)-LEN(SUBSTITUTE(A195,{"0","1","2"},""))))))))/10))*100+1&amp;""&amp;" &amp; "&amp;""&amp;(SUMPRODUCT(MID(0&amp;(--TRIM(RIGHT(SUBSTITUTE(LEFT(A195,_xlfn.AGGREGATE(16,6,FIND({0,1,2,3,4,5,6,7,8,9},A195,ROW(INDIRECT("1:"&amp;LEN(A195)))),1))," ",REPT(" ",LEN(A195))),LEN(A195)))),LARGE(INDEX(ISNUMBER(--MID((--TRIM(RIGHT(SUBSTITUTE(LEFT(A195,_xlfn.AGGREGATE(16,6,FIND({0,1,2,3,4,5,6,7,8,9},A195,ROW(INDIRECT("1:"&amp;LEN(A195)))),1))," ",REPT(" ",LEN(A195))),LEN(A195)))),ROW(INDIRECT("1:"&amp;LEN((--TRIM(RIGHT(SUBSTITUTE(LEFT(A195,_xlfn.AGGREGATE(16,6,FIND({0,1,2,3,4,5,6,7,8,9},A195,ROW(INDIRECT("1:"&amp;LEN(A195)))),1))," ",REPT(" ",LEN(A195))),LEN(A195))))))),1))*ROW(INDIRECT("1:"&amp;LEN((--TRIM(RIGHT(SUBSTITUTE(LEFT(A195,_xlfn.AGGREGATE(16,6,FIND({0,1,2,3,4,5,6,7,8,9},A195,ROW(INDIRECT("1:"&amp;LEN(A195)))),1))," ",REPT(" ",LEN(A195))),LEN(A195))))))),0),ROW(INDIRECT("1:"&amp;LEN((--TRIM(RIGHT(SUBSTITUTE(LEFT(A195,_xlfn.AGGREGATE(16,6,FIND({0,1,2,3,4,5,6,7,8,9},A195,ROW(INDIRECT("1:"&amp;LEN(A195)))),1))," ",REPT(" ",LEN(A195))),LEN(A195))))))))+1,1)*10^ROW(INDIRECT("1:"&amp;LEN((--TRIM(RIGHT(SUBSTITUTE(LEFT(A195,_xlfn.AGGREGATE(16,6,FIND({0,1,2,3,4,5,6,7,8,9},A195,ROW(INDIRECT("1:"&amp;LEN(A195)))),1))," ",REPT(" ",LEN(A195))),LEN(A195)))))))/10))*100+1</f>
        <v>201 &amp; 501</v>
      </c>
      <c r="B196" s="70"/>
      <c r="C196" s="46"/>
      <c r="D196" s="34"/>
      <c r="E196" s="34">
        <v>0</v>
      </c>
      <c r="F196" s="34">
        <f>D196*(($F$171)+1)+(IF(E196&lt;101,E196,IF(E196&lt;201,E196/2,IF(E196&lt;=301,E196/3,E196/4))))</f>
        <v>0</v>
      </c>
      <c r="G196" s="69" t="str">
        <f>A195</f>
        <v>2nd &amp; 5th Floor</v>
      </c>
      <c r="H196" s="70"/>
      <c r="I196" s="45"/>
    </row>
    <row r="197" spans="1:9" s="18" customFormat="1" hidden="1">
      <c r="A197" s="69" t="str">
        <f ca="1">(SUMPRODUCT(MID(0&amp;(LEFT(A196,SUM(LEN(A196)-LEN(SUBSTITUTE(A196,{"0","1","2"},""))))),LARGE(INDEX(ISNUMBER(--MID((LEFT(A196,SUM(LEN(A196)-LEN(SUBSTITUTE(A196,{"0","1","2"},""))))),ROW(INDIRECT("1:"&amp;LEN((LEFT(A196,SUM(LEN(A196)-LEN(SUBSTITUTE(A196,{"0","1","2"},"")))))))),1))*ROW(INDIRECT("1:"&amp;LEN((LEFT(A196,SUM(LEN(A196)-LEN(SUBSTITUTE(A196,{"0","1","2"},"")))))))),0),ROW(INDIRECT("1:"&amp;LEN((LEFT(A196,SUM(LEN(A196)-LEN(SUBSTITUTE(A196,{"0","1","2"},"")))))))))+1,1)*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",LEN(A196))),LEN(A196)))),LARGE(INDEX(ISNUMBER(--MID((--TRIM(RIGHT(SUBSTITUTE(LEFT(A196,_xlfn.AGGREGATE(16,6,FIND({0,1,2,3,4,5,6,7,8,9},A196,ROW(INDIRECT("1:"&amp;LEN(A196)))),1))," ",REPT(" ",LEN(A196))),LEN(A196)))),ROW(INDIRECT("1:"&amp;LEN((--TRIM(RIGHT(SUBSTITUTE(LEFT(A196,_xlfn.AGGREGATE(16,6,FIND({0,1,2,3,4,5,6,7,8,9},A196,ROW(INDIRECT("1:"&amp;LEN(A196)))),1))," ",REPT(" ",LEN(A196))),LEN(A196))))))),1))*ROW(INDIRECT("1:"&amp;LEN((--TRIM(RIGHT(SUBSTITUTE(LEFT(A196,_xlfn.AGGREGATE(16,6,FIND({0,1,2,3,4,5,6,7,8,9},A196,ROW(INDIRECT("1:"&amp;LEN(A196)))),1))," ",REPT(" ",LEN(A196))),LEN(A196))))))),0),ROW(INDIRECT("1:"&amp;LEN((--TRIM(RIGHT(SUBSTITUTE(LEFT(A196,_xlfn.AGGREGATE(16,6,FIND({0,1,2,3,4,5,6,7,8,9},A196,ROW(INDIRECT("1:"&amp;LEN(A196)))),1))," ",REPT(" ",LEN(A196))),LEN(A196))))))))+1,1)*10^ROW(INDIRECT("1:"&amp;LEN((--TRIM(RIGHT(SUBSTITUTE(LEFT(A196,_xlfn.AGGREGATE(16,6,FIND({0,1,2,3,4,5,6,7,8,9},A196,ROW(INDIRECT("1:"&amp;LEN(A196)))),1))," ",REPT(" ",LEN(A196))),LEN(A196)))))))/10))*1+1</f>
        <v>202 &amp; 502</v>
      </c>
      <c r="B197" s="70"/>
      <c r="C197" s="46"/>
      <c r="D197" s="34"/>
      <c r="E197" s="34">
        <v>0</v>
      </c>
      <c r="F197" s="34">
        <f>D197*(($F$171)+1)+(IF(E197&lt;101,E197,IF(E197&lt;201,E197/2,IF(E197&lt;=301,E197/3,E197/4))))</f>
        <v>0</v>
      </c>
      <c r="G197" s="69" t="str">
        <f t="shared" ref="G197:G200" si="32">G196</f>
        <v>2nd &amp; 5th Floor</v>
      </c>
      <c r="H197" s="70"/>
      <c r="I197" s="45"/>
    </row>
    <row r="198" spans="1:9" s="18" customFormat="1" hidden="1">
      <c r="A198" s="69" t="str">
        <f ca="1">(SUMPRODUCT(MID(0&amp;(LEFT(A197,SUM(LEN(A197)-LEN(SUBSTITUTE(A197,{"0","1","2"},""))))),LARGE(INDEX(ISNUMBER(--MID((LEFT(A197,SUM(LEN(A197)-LEN(SUBSTITUTE(A197,{"0","1","2"},""))))),ROW(INDIRECT("1:"&amp;LEN((LEFT(A197,SUM(LEN(A197)-LEN(SUBSTITUTE(A197,{"0","1","2"},"")))))))),1))*ROW(INDIRECT("1:"&amp;LEN((LEFT(A197,SUM(LEN(A197)-LEN(SUBSTITUTE(A197,{"0","1","2"},"")))))))),0),ROW(INDIRECT("1:"&amp;LEN((LEFT(A197,SUM(LEN(A197)-LEN(SUBSTITUTE(A197,{"0","1","2"},"")))))))))+1,1)*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",LEN(A197))),LEN(A197)))),LARGE(INDEX(ISNUMBER(--MID((--TRIM(RIGHT(SUBSTITUTE(LEFT(A197,_xlfn.AGGREGATE(16,6,FIND({0,1,2,3,4,5,6,7,8,9},A197,ROW(INDIRECT("1:"&amp;LEN(A197)))),1))," ",REPT(" ",LEN(A197))),LEN(A197)))),ROW(INDIRECT("1:"&amp;LEN((--TRIM(RIGHT(SUBSTITUTE(LEFT(A197,_xlfn.AGGREGATE(16,6,FIND({0,1,2,3,4,5,6,7,8,9},A197,ROW(INDIRECT("1:"&amp;LEN(A197)))),1))," ",REPT(" ",LEN(A197))),LEN(A197))))))),1))*ROW(INDIRECT("1:"&amp;LEN((--TRIM(RIGHT(SUBSTITUTE(LEFT(A197,_xlfn.AGGREGATE(16,6,FIND({0,1,2,3,4,5,6,7,8,9},A197,ROW(INDIRECT("1:"&amp;LEN(A197)))),1))," ",REPT(" ",LEN(A197))),LEN(A197))))))),0),ROW(INDIRECT("1:"&amp;LEN((--TRIM(RIGHT(SUBSTITUTE(LEFT(A197,_xlfn.AGGREGATE(16,6,FIND({0,1,2,3,4,5,6,7,8,9},A197,ROW(INDIRECT("1:"&amp;LEN(A197)))),1))," ",REPT(" ",LEN(A197))),LEN(A197))))))))+1,1)*10^ROW(INDIRECT("1:"&amp;LEN((--TRIM(RIGHT(SUBSTITUTE(LEFT(A197,_xlfn.AGGREGATE(16,6,FIND({0,1,2,3,4,5,6,7,8,9},A197,ROW(INDIRECT("1:"&amp;LEN(A197)))),1))," ",REPT(" ",LEN(A197))),LEN(A197)))))))/10))*1+1</f>
        <v>203 &amp; 503</v>
      </c>
      <c r="B198" s="70"/>
      <c r="C198" s="46"/>
      <c r="D198" s="34"/>
      <c r="E198" s="34">
        <v>0</v>
      </c>
      <c r="F198" s="34">
        <f>D198*(($F$171)+1)+(IF(E198&lt;101,E198,IF(E198&lt;201,E198/2,IF(E198&lt;=301,E198/3,E198/4))))</f>
        <v>0</v>
      </c>
      <c r="G198" s="69" t="str">
        <f t="shared" si="32"/>
        <v>2nd &amp; 5th Floor</v>
      </c>
      <c r="H198" s="70"/>
      <c r="I198" s="45"/>
    </row>
    <row r="199" spans="1:9" s="18" customFormat="1" hidden="1">
      <c r="A199" s="69" t="str">
        <f ca="1">(SUMPRODUCT(MID(0&amp;(LEFT(A198,SUM(LEN(A198)-LEN(SUBSTITUTE(A198,{"0","1","2"},""))))),LARGE(INDEX(ISNUMBER(--MID((LEFT(A198,SUM(LEN(A198)-LEN(SUBSTITUTE(A198,{"0","1","2"},""))))),ROW(INDIRECT("1:"&amp;LEN((LEFT(A198,SUM(LEN(A198)-LEN(SUBSTITUTE(A198,{"0","1","2"},"")))))))),1))*ROW(INDIRECT("1:"&amp;LEN((LEFT(A198,SUM(LEN(A198)-LEN(SUBSTITUTE(A198,{"0","1","2"},"")))))))),0),ROW(INDIRECT("1:"&amp;LEN((LEFT(A198,SUM(LEN(A198)-LEN(SUBSTITUTE(A198,{"0","1","2"},"")))))))))+1,1)*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",LEN(A198))),LEN(A198)))),LARGE(INDEX(ISNUMBER(--MID((--TRIM(RIGHT(SUBSTITUTE(LEFT(A198,_xlfn.AGGREGATE(16,6,FIND({0,1,2,3,4,5,6,7,8,9},A198,ROW(INDIRECT("1:"&amp;LEN(A198)))),1))," ",REPT(" ",LEN(A198))),LEN(A198)))),ROW(INDIRECT("1:"&amp;LEN((--TRIM(RIGHT(SUBSTITUTE(LEFT(A198,_xlfn.AGGREGATE(16,6,FIND({0,1,2,3,4,5,6,7,8,9},A198,ROW(INDIRECT("1:"&amp;LEN(A198)))),1))," ",REPT(" ",LEN(A198))),LEN(A198))))))),1))*ROW(INDIRECT("1:"&amp;LEN((--TRIM(RIGHT(SUBSTITUTE(LEFT(A198,_xlfn.AGGREGATE(16,6,FIND({0,1,2,3,4,5,6,7,8,9},A198,ROW(INDIRECT("1:"&amp;LEN(A198)))),1))," ",REPT(" ",LEN(A198))),LEN(A198))))))),0),ROW(INDIRECT("1:"&amp;LEN((--TRIM(RIGHT(SUBSTITUTE(LEFT(A198,_xlfn.AGGREGATE(16,6,FIND({0,1,2,3,4,5,6,7,8,9},A198,ROW(INDIRECT("1:"&amp;LEN(A198)))),1))," ",REPT(" ",LEN(A198))),LEN(A198))))))))+1,1)*10^ROW(INDIRECT("1:"&amp;LEN((--TRIM(RIGHT(SUBSTITUTE(LEFT(A198,_xlfn.AGGREGATE(16,6,FIND({0,1,2,3,4,5,6,7,8,9},A198,ROW(INDIRECT("1:"&amp;LEN(A198)))),1))," ",REPT(" ",LEN(A198))),LEN(A198)))))))/10))*1+1</f>
        <v>204 &amp; 504</v>
      </c>
      <c r="B199" s="70"/>
      <c r="C199" s="46"/>
      <c r="D199" s="34"/>
      <c r="E199" s="34">
        <v>0</v>
      </c>
      <c r="F199" s="34">
        <f>D199*(($F$171)+1)+(IF(E199&lt;101,E199,IF(E199&lt;201,E199/2,IF(E199&lt;=301,E199/3,E199/4))))</f>
        <v>0</v>
      </c>
      <c r="G199" s="69" t="str">
        <f t="shared" si="32"/>
        <v>2nd &amp; 5th Floor</v>
      </c>
      <c r="H199" s="70"/>
      <c r="I199" s="45"/>
    </row>
    <row r="200" spans="1:9" s="18" customFormat="1" hidden="1">
      <c r="A200" s="69" t="str">
        <f ca="1">(SUMPRODUCT(MID(0&amp;(LEFT(A199,SUM(LEN(A199)-LEN(SUBSTITUTE(A199,{"0","1","2"},""))))),LARGE(INDEX(ISNUMBER(--MID((LEFT(A199,SUM(LEN(A199)-LEN(SUBSTITUTE(A199,{"0","1","2"},""))))),ROW(INDIRECT("1:"&amp;LEN((LEFT(A199,SUM(LEN(A199)-LEN(SUBSTITUTE(A199,{"0","1","2"},"")))))))),1))*ROW(INDIRECT("1:"&amp;LEN((LEFT(A199,SUM(LEN(A199)-LEN(SUBSTITUTE(A199,{"0","1","2"},"")))))))),0),ROW(INDIRECT("1:"&amp;LEN((LEFT(A199,SUM(LEN(A199)-LEN(SUBSTITUTE(A199,{"0","1","2"},"")))))))))+1,1)*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",LEN(A199))),LEN(A199)))),LARGE(INDEX(ISNUMBER(--MID((--TRIM(RIGHT(SUBSTITUTE(LEFT(A199,_xlfn.AGGREGATE(16,6,FIND({0,1,2,3,4,5,6,7,8,9},A199,ROW(INDIRECT("1:"&amp;LEN(A199)))),1))," ",REPT(" ",LEN(A199))),LEN(A199)))),ROW(INDIRECT("1:"&amp;LEN((--TRIM(RIGHT(SUBSTITUTE(LEFT(A199,_xlfn.AGGREGATE(16,6,FIND({0,1,2,3,4,5,6,7,8,9},A199,ROW(INDIRECT("1:"&amp;LEN(A199)))),1))," ",REPT(" ",LEN(A199))),LEN(A199))))))),1))*ROW(INDIRECT("1:"&amp;LEN((--TRIM(RIGHT(SUBSTITUTE(LEFT(A199,_xlfn.AGGREGATE(16,6,FIND({0,1,2,3,4,5,6,7,8,9},A199,ROW(INDIRECT("1:"&amp;LEN(A199)))),1))," ",REPT(" ",LEN(A199))),LEN(A199))))))),0),ROW(INDIRECT("1:"&amp;LEN((--TRIM(RIGHT(SUBSTITUTE(LEFT(A199,_xlfn.AGGREGATE(16,6,FIND({0,1,2,3,4,5,6,7,8,9},A199,ROW(INDIRECT("1:"&amp;LEN(A199)))),1))," ",REPT(" ",LEN(A199))),LEN(A199))))))))+1,1)*10^ROW(INDIRECT("1:"&amp;LEN((--TRIM(RIGHT(SUBSTITUTE(LEFT(A199,_xlfn.AGGREGATE(16,6,FIND({0,1,2,3,4,5,6,7,8,9},A199,ROW(INDIRECT("1:"&amp;LEN(A199)))),1))," ",REPT(" ",LEN(A199))),LEN(A199)))))))/10))*1+1</f>
        <v>205 &amp; 505</v>
      </c>
      <c r="B200" s="70"/>
      <c r="C200" s="46"/>
      <c r="D200" s="34"/>
      <c r="E200" s="34">
        <v>0</v>
      </c>
      <c r="F200" s="34">
        <f>D200*(($F$171)+1)+(IF(E200&lt;101,E200,IF(E200&lt;201,E200/2,IF(E200&lt;=301,E200/3,E200/4))))</f>
        <v>0</v>
      </c>
      <c r="G200" s="69" t="str">
        <f t="shared" si="32"/>
        <v>2nd &amp; 5th Floor</v>
      </c>
      <c r="H200" s="70"/>
      <c r="I200" s="45"/>
    </row>
    <row r="201" spans="1:9" s="17" customFormat="1">
      <c r="A201" s="79" t="s">
        <v>223</v>
      </c>
      <c r="B201" s="79"/>
      <c r="C201" s="79"/>
      <c r="D201" s="79"/>
      <c r="E201" s="79"/>
      <c r="F201" s="79"/>
      <c r="G201" s="79"/>
      <c r="H201" s="79"/>
    </row>
    <row r="202" spans="1:9" s="17" customFormat="1">
      <c r="A202" s="31" t="s">
        <v>224</v>
      </c>
      <c r="B202" s="80" t="s">
        <v>225</v>
      </c>
      <c r="C202" s="81"/>
      <c r="D202" s="81"/>
      <c r="E202" s="81"/>
      <c r="F202" s="81"/>
      <c r="G202" s="81"/>
      <c r="H202" s="82"/>
    </row>
    <row r="203" spans="1:9" s="17" customFormat="1" hidden="1">
      <c r="A203" s="31" t="s">
        <v>224</v>
      </c>
      <c r="B203" s="80" t="str">
        <f>(IF(F170="Saleable area Loading :","We have considered Saleable area of Flats as per our Calculation.","We considered Saleable area of Flat as per Builder area Sheet."))</f>
        <v>We have considered Saleable area of Flats as per our Calculation.</v>
      </c>
      <c r="C203" s="81"/>
      <c r="D203" s="81"/>
      <c r="E203" s="81"/>
      <c r="F203" s="81"/>
      <c r="G203" s="81"/>
      <c r="H203" s="82"/>
    </row>
    <row r="204" spans="1:9" s="17" customFormat="1">
      <c r="A204" s="31" t="s">
        <v>224</v>
      </c>
      <c r="B204" s="80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4" s="81"/>
      <c r="D204" s="81"/>
      <c r="E204" s="81"/>
      <c r="F204" s="81"/>
      <c r="G204" s="81"/>
      <c r="H204" s="82"/>
    </row>
    <row r="205" spans="1:9" s="17" customFormat="1">
      <c r="A205" s="31" t="s">
        <v>224</v>
      </c>
      <c r="B205" s="74" t="s">
        <v>226</v>
      </c>
      <c r="C205" s="75"/>
      <c r="D205" s="75"/>
      <c r="E205" s="75"/>
      <c r="F205" s="75"/>
      <c r="G205" s="75"/>
      <c r="H205" s="76"/>
    </row>
    <row r="206" spans="1:9" s="17" customFormat="1">
      <c r="A206" s="31" t="s">
        <v>224</v>
      </c>
      <c r="B206" s="74" t="s">
        <v>227</v>
      </c>
      <c r="C206" s="75"/>
      <c r="D206" s="75"/>
      <c r="E206" s="75"/>
      <c r="F206" s="75"/>
      <c r="G206" s="75"/>
      <c r="H206" s="76"/>
    </row>
    <row r="207" spans="1:9" s="17" customFormat="1">
      <c r="A207" s="31" t="s">
        <v>224</v>
      </c>
      <c r="B207" s="74" t="s">
        <v>228</v>
      </c>
      <c r="C207" s="75"/>
      <c r="D207" s="75"/>
      <c r="E207" s="75"/>
      <c r="F207" s="75"/>
      <c r="G207" s="75"/>
      <c r="H207" s="76"/>
    </row>
    <row r="208" spans="1:9" s="17" customFormat="1">
      <c r="A208" s="31" t="s">
        <v>224</v>
      </c>
      <c r="B208" s="74" t="s">
        <v>229</v>
      </c>
      <c r="C208" s="75"/>
      <c r="D208" s="75"/>
      <c r="E208" s="75"/>
      <c r="F208" s="75"/>
      <c r="G208" s="75"/>
      <c r="H208" s="76"/>
    </row>
    <row r="209" spans="1:8" s="17" customFormat="1" ht="34.5" customHeight="1">
      <c r="A209" s="31" t="s">
        <v>224</v>
      </c>
      <c r="B209" s="74" t="s">
        <v>230</v>
      </c>
      <c r="C209" s="75"/>
      <c r="D209" s="75"/>
      <c r="E209" s="75"/>
      <c r="F209" s="75"/>
      <c r="G209" s="75"/>
      <c r="H209" s="76"/>
    </row>
    <row r="210" spans="1:8" s="17" customFormat="1">
      <c r="A210" s="31" t="s">
        <v>224</v>
      </c>
      <c r="B210" s="74" t="s">
        <v>231</v>
      </c>
      <c r="C210" s="75"/>
      <c r="D210" s="75"/>
      <c r="E210" s="75"/>
      <c r="F210" s="75"/>
      <c r="G210" s="75"/>
      <c r="H210" s="76"/>
    </row>
    <row r="211" spans="1:8" s="17" customFormat="1">
      <c r="A211" s="31" t="s">
        <v>224</v>
      </c>
      <c r="B211" s="74" t="s">
        <v>232</v>
      </c>
      <c r="C211" s="75"/>
      <c r="D211" s="75"/>
      <c r="E211" s="75"/>
      <c r="F211" s="75"/>
      <c r="G211" s="75"/>
      <c r="H211" s="76"/>
    </row>
    <row r="212" spans="1:8">
      <c r="A212" s="77" t="s">
        <v>233</v>
      </c>
      <c r="B212" s="77"/>
      <c r="C212" s="77"/>
      <c r="D212" s="77"/>
      <c r="E212" s="77"/>
      <c r="F212" s="77"/>
      <c r="G212" s="77"/>
      <c r="H212" s="77"/>
    </row>
    <row r="213" spans="1:8">
      <c r="A213" s="65" t="s">
        <v>234</v>
      </c>
      <c r="B213" s="65"/>
      <c r="C213" s="65"/>
      <c r="D213" s="65"/>
      <c r="E213" s="65"/>
      <c r="F213" s="65"/>
      <c r="G213" s="65"/>
      <c r="H213" s="65"/>
    </row>
    <row r="214" spans="1:8" ht="15.75" customHeight="1">
      <c r="A214" s="78" t="s">
        <v>235</v>
      </c>
      <c r="B214" s="78"/>
      <c r="C214" s="78"/>
      <c r="D214" s="78"/>
      <c r="E214" s="78"/>
      <c r="F214" s="78"/>
      <c r="G214" s="78"/>
      <c r="H214" s="78"/>
    </row>
    <row r="215" spans="1:8">
      <c r="A215" s="65" t="s">
        <v>236</v>
      </c>
      <c r="B215" s="65"/>
      <c r="C215" s="65"/>
      <c r="D215" s="65"/>
      <c r="E215" s="65"/>
      <c r="F215" s="65"/>
      <c r="G215" s="65"/>
      <c r="H215" s="65"/>
    </row>
    <row r="216" spans="1:8">
      <c r="A216" s="65" t="s">
        <v>237</v>
      </c>
      <c r="B216" s="65"/>
      <c r="C216" s="65"/>
      <c r="D216" s="65"/>
      <c r="E216" s="65"/>
      <c r="F216" s="65"/>
      <c r="G216" s="65"/>
      <c r="H216" s="65"/>
    </row>
    <row r="217" spans="1:8">
      <c r="A217" s="65" t="s">
        <v>238</v>
      </c>
      <c r="B217" s="65"/>
      <c r="C217" s="65"/>
      <c r="D217" s="65"/>
      <c r="E217" s="65"/>
      <c r="F217" s="65"/>
      <c r="G217" s="65"/>
      <c r="H217" s="65"/>
    </row>
    <row r="218" spans="1:8">
      <c r="A218" s="57" t="s">
        <v>239</v>
      </c>
      <c r="B218" s="57"/>
      <c r="C218" s="57"/>
      <c r="D218" s="57"/>
      <c r="E218" s="57"/>
      <c r="F218" s="57"/>
      <c r="G218" s="57"/>
      <c r="H218" s="57"/>
    </row>
    <row r="219" spans="1:8">
      <c r="A219" s="66" t="s">
        <v>240</v>
      </c>
      <c r="B219" s="66"/>
      <c r="C219" s="66" t="s">
        <v>241</v>
      </c>
      <c r="D219" s="66"/>
      <c r="E219" s="66" t="s">
        <v>242</v>
      </c>
      <c r="F219" s="66"/>
      <c r="G219" s="66" t="s">
        <v>261</v>
      </c>
      <c r="H219" s="66"/>
    </row>
    <row r="220" spans="1:8">
      <c r="A220" s="52" t="s">
        <v>243</v>
      </c>
      <c r="B220" s="52"/>
      <c r="C220" s="52"/>
      <c r="D220" s="52"/>
      <c r="E220" s="52"/>
      <c r="F220" s="52"/>
      <c r="G220" s="52"/>
      <c r="H220" s="52"/>
    </row>
    <row r="221" spans="1:8">
      <c r="A221" s="52"/>
      <c r="B221" s="52"/>
      <c r="C221" s="52"/>
      <c r="D221" s="52"/>
      <c r="E221" s="52"/>
      <c r="F221" s="52"/>
      <c r="G221" s="52"/>
      <c r="H221" s="52"/>
    </row>
    <row r="222" spans="1:8">
      <c r="A222" s="52"/>
      <c r="B222" s="52"/>
      <c r="C222" s="52"/>
      <c r="D222" s="52"/>
      <c r="E222" s="52"/>
      <c r="F222" s="52"/>
      <c r="G222" s="52"/>
      <c r="H222" s="52"/>
    </row>
    <row r="223" spans="1:8">
      <c r="A223" s="52"/>
      <c r="B223" s="52"/>
      <c r="C223" s="52"/>
      <c r="D223" s="52"/>
      <c r="E223" s="52"/>
      <c r="F223" s="52"/>
      <c r="G223" s="52"/>
      <c r="H223" s="52"/>
    </row>
    <row r="224" spans="1:8">
      <c r="A224" s="47" t="s">
        <v>244</v>
      </c>
      <c r="B224" s="48"/>
      <c r="C224" s="48"/>
      <c r="D224" s="47" t="str">
        <f>E8</f>
        <v>Konar Business Park</v>
      </c>
      <c r="F224" s="48"/>
      <c r="G224" s="48"/>
      <c r="H224" s="48"/>
    </row>
    <row r="225" spans="1:8">
      <c r="A225" s="48"/>
      <c r="B225" s="48"/>
      <c r="C225" s="48"/>
      <c r="D225" s="48"/>
      <c r="E225" s="48"/>
      <c r="F225" s="48"/>
      <c r="G225" s="48"/>
      <c r="H225" s="48"/>
    </row>
    <row r="226" spans="1:8">
      <c r="A226" s="48"/>
      <c r="B226" s="48"/>
      <c r="C226" s="48"/>
      <c r="D226" s="48"/>
      <c r="E226" s="48"/>
      <c r="F226" s="48"/>
      <c r="G226" s="48"/>
      <c r="H226" s="48"/>
    </row>
    <row r="227" spans="1:8" ht="15" customHeight="1"/>
    <row r="264" spans="1:1">
      <c r="A264" s="49" t="s">
        <v>245</v>
      </c>
    </row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spans="1:1" hidden="1"/>
    <row r="306" spans="1:1" hidden="1"/>
    <row r="308" spans="1:1">
      <c r="A308" s="49" t="s">
        <v>246</v>
      </c>
    </row>
  </sheetData>
  <mergeCells count="440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E79"/>
    <mergeCell ref="F79:H79"/>
    <mergeCell ref="A80:E80"/>
    <mergeCell ref="F80:H80"/>
    <mergeCell ref="A81:E81"/>
    <mergeCell ref="F81:H81"/>
    <mergeCell ref="E69:F78"/>
    <mergeCell ref="G69:H78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E92"/>
    <mergeCell ref="F92:H92"/>
    <mergeCell ref="A93:E93"/>
    <mergeCell ref="F93:H93"/>
    <mergeCell ref="A94:H94"/>
    <mergeCell ref="A95:B95"/>
    <mergeCell ref="C95:D95"/>
    <mergeCell ref="E95:F95"/>
    <mergeCell ref="G95:H95"/>
    <mergeCell ref="A96:B96"/>
    <mergeCell ref="C96:D96"/>
    <mergeCell ref="E96:F96"/>
    <mergeCell ref="G96:H96"/>
    <mergeCell ref="A97:B97"/>
    <mergeCell ref="C97:D97"/>
    <mergeCell ref="E97:F97"/>
    <mergeCell ref="G97:H97"/>
    <mergeCell ref="A98:B98"/>
    <mergeCell ref="C98:D98"/>
    <mergeCell ref="E98:F98"/>
    <mergeCell ref="G98:H98"/>
    <mergeCell ref="A99:H99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A104:H104"/>
    <mergeCell ref="A105:H105"/>
    <mergeCell ref="A108:H108"/>
    <mergeCell ref="A109:H109"/>
    <mergeCell ref="A110:B110"/>
    <mergeCell ref="L110:M110"/>
    <mergeCell ref="A111:B111"/>
    <mergeCell ref="L111:M111"/>
    <mergeCell ref="A112:B112"/>
    <mergeCell ref="L112:M112"/>
    <mergeCell ref="D106:D107"/>
    <mergeCell ref="E106:E107"/>
    <mergeCell ref="G106:H107"/>
    <mergeCell ref="A113:B113"/>
    <mergeCell ref="L113:M113"/>
    <mergeCell ref="A114:B114"/>
    <mergeCell ref="L114:M114"/>
    <mergeCell ref="A115:B115"/>
    <mergeCell ref="L115:M115"/>
    <mergeCell ref="A116:B116"/>
    <mergeCell ref="L116:M116"/>
    <mergeCell ref="A117:B117"/>
    <mergeCell ref="L117:M117"/>
    <mergeCell ref="A118:B118"/>
    <mergeCell ref="L118:M118"/>
    <mergeCell ref="A119:H119"/>
    <mergeCell ref="A120:B120"/>
    <mergeCell ref="L120:M120"/>
    <mergeCell ref="A121:B121"/>
    <mergeCell ref="L121:M121"/>
    <mergeCell ref="A122:H122"/>
    <mergeCell ref="A123:B123"/>
    <mergeCell ref="L123:M123"/>
    <mergeCell ref="A124:B124"/>
    <mergeCell ref="L124:M124"/>
    <mergeCell ref="A125:B125"/>
    <mergeCell ref="L125:M125"/>
    <mergeCell ref="A126:B126"/>
    <mergeCell ref="L126:M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131:H131"/>
    <mergeCell ref="A132:B132"/>
    <mergeCell ref="L132:M132"/>
    <mergeCell ref="A133:B133"/>
    <mergeCell ref="L133:M133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A139:B139"/>
    <mergeCell ref="L139:M139"/>
    <mergeCell ref="A140:H140"/>
    <mergeCell ref="A141:B141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C148:F148"/>
    <mergeCell ref="L148:M148"/>
    <mergeCell ref="A149:H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H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H164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A168:B168"/>
    <mergeCell ref="G168:H168"/>
    <mergeCell ref="L168:M168"/>
    <mergeCell ref="A169:H169"/>
    <mergeCell ref="A172:H172"/>
    <mergeCell ref="A173:B173"/>
    <mergeCell ref="G173:H173"/>
    <mergeCell ref="L173:M173"/>
    <mergeCell ref="A174:B174"/>
    <mergeCell ref="G174:H174"/>
    <mergeCell ref="L174:M174"/>
    <mergeCell ref="C170:C171"/>
    <mergeCell ref="D170:D171"/>
    <mergeCell ref="E170:E171"/>
    <mergeCell ref="A175:B175"/>
    <mergeCell ref="G175:H175"/>
    <mergeCell ref="L175:M175"/>
    <mergeCell ref="A176:B176"/>
    <mergeCell ref="G176:H176"/>
    <mergeCell ref="L176:M176"/>
    <mergeCell ref="A177:H177"/>
    <mergeCell ref="L177:M177"/>
    <mergeCell ref="A178:B178"/>
    <mergeCell ref="G178:H178"/>
    <mergeCell ref="A179:B179"/>
    <mergeCell ref="G179:H179"/>
    <mergeCell ref="A180:B180"/>
    <mergeCell ref="G180:H180"/>
    <mergeCell ref="A181:B181"/>
    <mergeCell ref="G181:H181"/>
    <mergeCell ref="A182:B182"/>
    <mergeCell ref="G182:H182"/>
    <mergeCell ref="A183:H183"/>
    <mergeCell ref="G192:H192"/>
    <mergeCell ref="A193:B193"/>
    <mergeCell ref="G193:H193"/>
    <mergeCell ref="A184:B184"/>
    <mergeCell ref="G184:H184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89:H189"/>
    <mergeCell ref="A190:B190"/>
    <mergeCell ref="G190:H190"/>
    <mergeCell ref="A191:B191"/>
    <mergeCell ref="G191:H191"/>
    <mergeCell ref="A192:B192"/>
    <mergeCell ref="B209:H209"/>
    <mergeCell ref="B210:H210"/>
    <mergeCell ref="B211:H211"/>
    <mergeCell ref="A212:H212"/>
    <mergeCell ref="A213:H213"/>
    <mergeCell ref="A214:H214"/>
    <mergeCell ref="A199:B199"/>
    <mergeCell ref="G199:H199"/>
    <mergeCell ref="A200:B200"/>
    <mergeCell ref="G200:H200"/>
    <mergeCell ref="A201:H201"/>
    <mergeCell ref="B202:H202"/>
    <mergeCell ref="B203:H203"/>
    <mergeCell ref="B204:H204"/>
    <mergeCell ref="B205:H205"/>
    <mergeCell ref="B206:H206"/>
    <mergeCell ref="B207:H207"/>
    <mergeCell ref="B208:H208"/>
    <mergeCell ref="A194:B194"/>
    <mergeCell ref="G194:H194"/>
    <mergeCell ref="A195:H195"/>
    <mergeCell ref="A196:B196"/>
    <mergeCell ref="G196:H196"/>
    <mergeCell ref="A197:B197"/>
    <mergeCell ref="G197:H197"/>
    <mergeCell ref="A198:B198"/>
    <mergeCell ref="G198:H198"/>
    <mergeCell ref="A220:H223"/>
    <mergeCell ref="G170:H171"/>
    <mergeCell ref="A21:D22"/>
    <mergeCell ref="E21:H22"/>
    <mergeCell ref="G110:H118"/>
    <mergeCell ref="G123:H130"/>
    <mergeCell ref="G132:H139"/>
    <mergeCell ref="G141:H148"/>
    <mergeCell ref="G150:H157"/>
    <mergeCell ref="G159:H163"/>
    <mergeCell ref="G120:H121"/>
    <mergeCell ref="A215:H215"/>
    <mergeCell ref="A216:H216"/>
    <mergeCell ref="A217:H217"/>
    <mergeCell ref="A218:H218"/>
    <mergeCell ref="A219:B219"/>
    <mergeCell ref="C219:D219"/>
    <mergeCell ref="E219:F219"/>
    <mergeCell ref="G219:H219"/>
    <mergeCell ref="A106:A107"/>
    <mergeCell ref="A170:A171"/>
    <mergeCell ref="B106:B107"/>
    <mergeCell ref="B170:B171"/>
    <mergeCell ref="C106:C107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223" max="16383" man="1"/>
    <brk id="263" max="16383" man="1"/>
    <brk id="3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62" t="s">
        <v>247</v>
      </c>
      <c r="C3" s="162"/>
      <c r="D3" s="162"/>
      <c r="E3" s="162"/>
      <c r="F3" s="162"/>
      <c r="G3" s="162"/>
      <c r="H3" s="162"/>
    </row>
    <row r="4" spans="1:9">
      <c r="A4" s="2"/>
      <c r="B4" s="3" t="s">
        <v>248</v>
      </c>
      <c r="C4" s="3" t="s">
        <v>249</v>
      </c>
      <c r="D4" s="3" t="s">
        <v>250</v>
      </c>
      <c r="E4" s="3" t="s">
        <v>251</v>
      </c>
      <c r="F4" s="3" t="s">
        <v>252</v>
      </c>
      <c r="G4" s="3" t="s">
        <v>253</v>
      </c>
      <c r="H4" s="3" t="s">
        <v>254</v>
      </c>
    </row>
    <row r="5" spans="1:9" ht="15" customHeight="1">
      <c r="A5" s="2"/>
      <c r="B5" s="4" t="s">
        <v>255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255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255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255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255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256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256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257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258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2025-06-06T07:02:33Z</cp:lastPrinted>
  <dcterms:created xsi:type="dcterms:W3CDTF">2019-07-16T09:29:00Z</dcterms:created>
  <dcterms:modified xsi:type="dcterms:W3CDTF">2025-09-11T07:07:45Z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92A1CD23274A48D8B4CD669B52DEF6A2_12</vt:lpwstr>
  </property>
  <property fmtid="{D5CDD505-2E9C-101B-9397-08002B2CF9AE}" pid="3" name="KSOProductBuildVer">
    <vt:lpwstr>1033-12.2.0.17562</vt:lpwstr>
  </property>
</Properties>
</file>