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1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66" i="1" l="1"/>
  <c r="L172" i="1" l="1"/>
  <c r="K166" i="1"/>
  <c r="E227" i="1"/>
  <c r="D227" i="1"/>
  <c r="A227" i="1"/>
  <c r="G226" i="1"/>
  <c r="G227" i="1" s="1"/>
  <c r="E226" i="1"/>
  <c r="D226" i="1"/>
  <c r="E224" i="1"/>
  <c r="D224" i="1"/>
  <c r="A224" i="1"/>
  <c r="G223" i="1"/>
  <c r="G224" i="1" s="1"/>
  <c r="E223" i="1"/>
  <c r="D223" i="1"/>
  <c r="D221" i="1"/>
  <c r="E221" i="1"/>
  <c r="E220" i="1"/>
  <c r="D220" i="1"/>
  <c r="A221" i="1"/>
  <c r="G220" i="1"/>
  <c r="G221" i="1" s="1"/>
  <c r="E217" i="1"/>
  <c r="D217" i="1"/>
  <c r="E216" i="1"/>
  <c r="D216" i="1"/>
  <c r="E215" i="1"/>
  <c r="D215" i="1"/>
  <c r="E214" i="1"/>
  <c r="D214" i="1"/>
  <c r="E213" i="1"/>
  <c r="D213" i="1"/>
  <c r="E211" i="1"/>
  <c r="D211" i="1"/>
  <c r="E210" i="1"/>
  <c r="D210" i="1"/>
  <c r="E208" i="1"/>
  <c r="D208" i="1"/>
  <c r="E207" i="1"/>
  <c r="D207" i="1"/>
  <c r="E205" i="1"/>
  <c r="D205" i="1"/>
  <c r="E204" i="1"/>
  <c r="D204" i="1"/>
  <c r="E203" i="1"/>
  <c r="D203" i="1"/>
  <c r="E202" i="1"/>
  <c r="D202" i="1"/>
  <c r="E201" i="1"/>
  <c r="D201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87" i="1"/>
  <c r="D187" i="1"/>
  <c r="E192" i="1"/>
  <c r="D192" i="1"/>
  <c r="E191" i="1"/>
  <c r="D191" i="1"/>
  <c r="E190" i="1"/>
  <c r="D190" i="1"/>
  <c r="E189" i="1"/>
  <c r="D189" i="1"/>
  <c r="E188" i="1"/>
  <c r="D188" i="1"/>
  <c r="E185" i="1"/>
  <c r="D185" i="1"/>
  <c r="E184" i="1"/>
  <c r="D184" i="1"/>
  <c r="E183" i="1"/>
  <c r="D183" i="1"/>
  <c r="E181" i="1"/>
  <c r="D181" i="1"/>
  <c r="E180" i="1"/>
  <c r="D180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D154" i="1"/>
  <c r="D153" i="1"/>
  <c r="D152" i="1"/>
  <c r="D151" i="1"/>
  <c r="D150" i="1"/>
  <c r="D149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K128" i="1"/>
  <c r="A208" i="1"/>
  <c r="A209" i="1" s="1"/>
  <c r="A210" i="1" s="1"/>
  <c r="A211" i="1" s="1"/>
  <c r="G207" i="1"/>
  <c r="A202" i="1"/>
  <c r="A203" i="1" s="1"/>
  <c r="A204" i="1" s="1"/>
  <c r="A205" i="1" s="1"/>
  <c r="G201" i="1"/>
  <c r="A214" i="1"/>
  <c r="A215" i="1" s="1"/>
  <c r="A216" i="1" s="1"/>
  <c r="A217" i="1" s="1"/>
  <c r="G213" i="1"/>
  <c r="G214" i="1" s="1"/>
  <c r="G215" i="1" s="1"/>
  <c r="G216" i="1" s="1"/>
  <c r="G217" i="1" s="1"/>
  <c r="A195" i="1"/>
  <c r="A196" i="1" s="1"/>
  <c r="A197" i="1" s="1"/>
  <c r="A198" i="1" s="1"/>
  <c r="A199" i="1" s="1"/>
  <c r="G194" i="1"/>
  <c r="A181" i="1"/>
  <c r="A182" i="1" s="1"/>
  <c r="A183" i="1" s="1"/>
  <c r="A184" i="1" s="1"/>
  <c r="A185" i="1" s="1"/>
  <c r="G180" i="1"/>
  <c r="G181" i="1" s="1"/>
  <c r="G182" i="1" s="1"/>
  <c r="G183" i="1" s="1"/>
  <c r="G184" i="1" s="1"/>
  <c r="G185" i="1" s="1"/>
  <c r="F175" i="1" l="1"/>
  <c r="K175" i="1" s="1"/>
  <c r="F210" i="1"/>
  <c r="F215" i="1"/>
  <c r="F176" i="1"/>
  <c r="J176" i="1" s="1"/>
  <c r="F223" i="1"/>
  <c r="E111" i="1"/>
  <c r="F221" i="1"/>
  <c r="F184" i="1"/>
  <c r="F194" i="1"/>
  <c r="L170" i="1"/>
  <c r="E117" i="1"/>
  <c r="L166" i="1"/>
  <c r="C112" i="1"/>
  <c r="L167" i="1"/>
  <c r="L171" i="1"/>
  <c r="F196" i="1"/>
  <c r="F205" i="1"/>
  <c r="E112" i="1"/>
  <c r="L168" i="1"/>
  <c r="C116" i="1"/>
  <c r="F220" i="1"/>
  <c r="L169" i="1"/>
  <c r="C111" i="1"/>
  <c r="C117" i="1"/>
  <c r="F227" i="1"/>
  <c r="F224" i="1"/>
  <c r="E116" i="1"/>
  <c r="E118" i="1" s="1"/>
  <c r="F226" i="1"/>
  <c r="J175" i="1"/>
  <c r="F203" i="1"/>
  <c r="F213" i="1"/>
  <c r="F211" i="1"/>
  <c r="F204" i="1"/>
  <c r="F201" i="1"/>
  <c r="F216" i="1"/>
  <c r="F208" i="1"/>
  <c r="F185" i="1"/>
  <c r="F198" i="1"/>
  <c r="F207" i="1"/>
  <c r="F202" i="1"/>
  <c r="F180" i="1"/>
  <c r="F199" i="1"/>
  <c r="F183" i="1"/>
  <c r="F195" i="1"/>
  <c r="F214" i="1"/>
  <c r="F217" i="1"/>
  <c r="J104" i="1" s="1"/>
  <c r="F197" i="1"/>
  <c r="F181" i="1"/>
  <c r="F191" i="1"/>
  <c r="F190" i="1"/>
  <c r="F189" i="1"/>
  <c r="A188" i="1"/>
  <c r="A189" i="1" s="1"/>
  <c r="A190" i="1" s="1"/>
  <c r="A191" i="1" s="1"/>
  <c r="A192" i="1" s="1"/>
  <c r="G187" i="1"/>
  <c r="F187" i="1"/>
  <c r="F178" i="1"/>
  <c r="F177" i="1"/>
  <c r="A174" i="1"/>
  <c r="A175" i="1" s="1"/>
  <c r="A176" i="1" s="1"/>
  <c r="A177" i="1" s="1"/>
  <c r="A178" i="1" s="1"/>
  <c r="G173" i="1"/>
  <c r="G174" i="1" s="1"/>
  <c r="G175" i="1" s="1"/>
  <c r="G176" i="1" s="1"/>
  <c r="G177" i="1" s="1"/>
  <c r="G178" i="1" s="1"/>
  <c r="F168" i="1"/>
  <c r="M168" i="1" s="1"/>
  <c r="F171" i="1"/>
  <c r="M171" i="1" s="1"/>
  <c r="J171" i="1"/>
  <c r="J166" i="1"/>
  <c r="A167" i="1"/>
  <c r="A168" i="1" s="1"/>
  <c r="A169" i="1" s="1"/>
  <c r="A170" i="1" s="1"/>
  <c r="A171" i="1" s="1"/>
  <c r="G166" i="1"/>
  <c r="E113" i="1" l="1"/>
  <c r="C113" i="1"/>
  <c r="G117" i="1"/>
  <c r="C118" i="1"/>
  <c r="F173" i="1"/>
  <c r="F166" i="1"/>
  <c r="F167" i="1"/>
  <c r="M167" i="1" s="1"/>
  <c r="F174" i="1"/>
  <c r="F188" i="1"/>
  <c r="F192" i="1"/>
  <c r="F169" i="1"/>
  <c r="M169" i="1" s="1"/>
  <c r="F170" i="1"/>
  <c r="F154" i="1"/>
  <c r="F153" i="1"/>
  <c r="F152" i="1"/>
  <c r="F151" i="1"/>
  <c r="F150" i="1"/>
  <c r="A150" i="1"/>
  <c r="A151" i="1" s="1"/>
  <c r="A152" i="1" s="1"/>
  <c r="A153" i="1" s="1"/>
  <c r="A154" i="1" s="1"/>
  <c r="K149" i="1"/>
  <c r="J149" i="1"/>
  <c r="G149" i="1"/>
  <c r="F149" i="1"/>
  <c r="F133" i="1"/>
  <c r="F145" i="1"/>
  <c r="F138" i="1"/>
  <c r="K126" i="1"/>
  <c r="J126" i="1"/>
  <c r="F143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G126" i="1"/>
  <c r="J97" i="1" l="1"/>
  <c r="M170" i="1"/>
  <c r="M166" i="1"/>
  <c r="G116" i="1"/>
  <c r="G118" i="1" s="1"/>
  <c r="G112" i="1"/>
  <c r="F139" i="1"/>
  <c r="F126" i="1"/>
  <c r="F136" i="1"/>
  <c r="F132" i="1"/>
  <c r="F129" i="1"/>
  <c r="F128" i="1"/>
  <c r="F127" i="1"/>
  <c r="F142" i="1"/>
  <c r="F130" i="1"/>
  <c r="F137" i="1"/>
  <c r="F146" i="1"/>
  <c r="F144" i="1"/>
  <c r="F140" i="1"/>
  <c r="F141" i="1"/>
  <c r="F135" i="1"/>
  <c r="F134" i="1"/>
  <c r="F131" i="1"/>
  <c r="E43" i="1"/>
  <c r="E42" i="1" s="1"/>
  <c r="G49" i="1"/>
  <c r="C49" i="1"/>
  <c r="G111" i="1" l="1"/>
  <c r="G113" i="1" s="1"/>
  <c r="G50" i="1"/>
  <c r="C50" i="1"/>
  <c r="E7" i="1" l="1"/>
  <c r="D60" i="1" l="1"/>
  <c r="E29" i="1"/>
  <c r="B259" i="1"/>
  <c r="B67" i="1"/>
  <c r="E24" i="1"/>
  <c r="E26" i="1" l="1"/>
  <c r="C14" i="1"/>
  <c r="G119" i="1" l="1"/>
  <c r="E119" i="1"/>
  <c r="C119" i="1"/>
  <c r="F230" i="1" l="1"/>
  <c r="F231" i="1"/>
  <c r="F232" i="1"/>
  <c r="F229" i="1"/>
  <c r="A230" i="1"/>
  <c r="A231" i="1" s="1"/>
  <c r="A232" i="1" s="1"/>
  <c r="G229" i="1"/>
  <c r="G230" i="1" s="1"/>
  <c r="G231" i="1" s="1"/>
  <c r="G232" i="1" s="1"/>
  <c r="F108" i="1" l="1"/>
  <c r="F157" i="1" l="1"/>
  <c r="F158" i="1"/>
  <c r="F159" i="1"/>
  <c r="F156" i="1"/>
  <c r="A246" i="1"/>
  <c r="A240" i="1"/>
  <c r="A252" i="1"/>
  <c r="F256" i="1" l="1"/>
  <c r="F255" i="1"/>
  <c r="F254" i="1"/>
  <c r="F253" i="1"/>
  <c r="F252" i="1"/>
  <c r="F250" i="1"/>
  <c r="F249" i="1"/>
  <c r="F248" i="1"/>
  <c r="F247" i="1"/>
  <c r="F246" i="1"/>
  <c r="F244" i="1"/>
  <c r="F243" i="1"/>
  <c r="F242" i="1"/>
  <c r="F241" i="1"/>
  <c r="F240" i="1"/>
  <c r="F238" i="1"/>
  <c r="F237" i="1"/>
  <c r="F235" i="1"/>
  <c r="F234" i="1"/>
  <c r="F236" i="1"/>
  <c r="A253" i="1"/>
  <c r="A241" i="1"/>
  <c r="A24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1" i="1"/>
  <c r="G252" i="1"/>
  <c r="G253" i="1" s="1"/>
  <c r="G254" i="1" s="1"/>
  <c r="G255" i="1" s="1"/>
  <c r="G256" i="1" s="1"/>
  <c r="G246" i="1"/>
  <c r="G247" i="1" s="1"/>
  <c r="G248" i="1" s="1"/>
  <c r="G249" i="1" s="1"/>
  <c r="G250" i="1" s="1"/>
  <c r="G240" i="1"/>
  <c r="G241" i="1" s="1"/>
  <c r="G242" i="1" s="1"/>
  <c r="G243" i="1" s="1"/>
  <c r="G244" i="1" s="1"/>
  <c r="G234" i="1"/>
  <c r="G235" i="1" s="1"/>
  <c r="G236" i="1" s="1"/>
  <c r="G237" i="1" s="1"/>
  <c r="G238" i="1" s="1"/>
  <c r="A234" i="1"/>
  <c r="A235" i="1" s="1"/>
  <c r="A236" i="1" s="1"/>
  <c r="A237" i="1" s="1"/>
  <c r="A238" i="1" s="1"/>
  <c r="A157" i="1"/>
  <c r="A158" i="1" s="1"/>
  <c r="A159" i="1" s="1"/>
  <c r="G156" i="1"/>
  <c r="G157" i="1" s="1"/>
  <c r="G158" i="1" s="1"/>
  <c r="G159" i="1" s="1"/>
  <c r="C80" i="1"/>
  <c r="B81" i="1" s="1"/>
  <c r="D54" i="1"/>
  <c r="E3" i="1"/>
  <c r="A254" i="1"/>
  <c r="A248" i="1"/>
  <c r="A242" i="1"/>
  <c r="H67" i="1"/>
  <c r="J70" i="1" l="1"/>
  <c r="J71" i="1"/>
  <c r="C70" i="1" s="1"/>
  <c r="J69" i="1"/>
  <c r="J72" i="1"/>
  <c r="J73" i="1" s="1"/>
  <c r="J78" i="1" s="1"/>
  <c r="A255" i="1"/>
  <c r="A249" i="1"/>
  <c r="H81" i="1"/>
  <c r="A243" i="1"/>
  <c r="D90" i="1" l="1"/>
  <c r="J84" i="1"/>
  <c r="D75" i="1" s="1"/>
  <c r="J80" i="1"/>
  <c r="J83" i="1" s="1"/>
  <c r="D74" i="1" s="1"/>
  <c r="J87" i="1"/>
  <c r="J88" i="1" s="1"/>
  <c r="D79" i="1" s="1"/>
  <c r="D91" i="1"/>
  <c r="D92" i="1"/>
  <c r="D93" i="1"/>
  <c r="D94" i="1"/>
  <c r="I80" i="1" s="1"/>
  <c r="D88" i="1"/>
  <c r="J85" i="1"/>
  <c r="D76" i="1" s="1"/>
  <c r="D89" i="1"/>
  <c r="J86" i="1"/>
  <c r="C85" i="1" s="1"/>
  <c r="D85" i="1" s="1"/>
  <c r="D77" i="1"/>
  <c r="D78" i="1"/>
  <c r="J89" i="1"/>
  <c r="J90" i="1" s="1"/>
  <c r="J91" i="1" s="1"/>
  <c r="J92" i="1" s="1"/>
  <c r="J74" i="1"/>
  <c r="J75" i="1" s="1"/>
  <c r="J76" i="1" s="1"/>
  <c r="J77" i="1" s="1"/>
  <c r="D87" i="1"/>
  <c r="D72" i="1"/>
  <c r="D70" i="1"/>
  <c r="A244" i="1"/>
  <c r="A256" i="1"/>
  <c r="A250" i="1"/>
  <c r="J93" i="1" l="1"/>
  <c r="J94" i="1" s="1"/>
  <c r="J81" i="1" s="1"/>
  <c r="D73" i="1" s="1"/>
  <c r="J79" i="1"/>
  <c r="C71" i="1" s="1"/>
  <c r="G70" i="1" l="1"/>
  <c r="D64" i="1" s="1"/>
  <c r="J66" i="1"/>
  <c r="J68" i="1" s="1"/>
  <c r="J67" i="1"/>
  <c r="D71" i="1"/>
  <c r="I67" i="1" s="1"/>
  <c r="E70" i="1"/>
  <c r="E85" i="1"/>
  <c r="G85" i="1"/>
  <c r="D86" i="1"/>
  <c r="I81" i="1" s="1"/>
  <c r="I83" i="1" s="1"/>
  <c r="D65" i="1" l="1"/>
  <c r="F65" i="1"/>
  <c r="I68" i="1"/>
  <c r="I66" i="1" s="1"/>
  <c r="C68" i="1" s="1"/>
</calcChain>
</file>

<file path=xl/sharedStrings.xml><?xml version="1.0" encoding="utf-8"?>
<sst xmlns="http://schemas.openxmlformats.org/spreadsheetml/2006/main" count="410" uniqueCount="251">
  <si>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</si>
  <si>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</si>
  <si>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</si>
  <si>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</si>
  <si>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</si>
  <si>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</si>
  <si>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</si>
  <si>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</si>
  <si>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</si>
  <si>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</si>
  <si>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</si>
  <si>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</si>
  <si>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</si>
  <si>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</si>
  <si>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</si>
  <si>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</si>
  <si>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</si>
  <si>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</si>
  <si>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</si>
  <si>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</si>
  <si>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</si>
  <si>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</si>
  <si>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</si>
  <si>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</si>
  <si>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</si>
  <si>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</si>
  <si>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</si>
  <si>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</si>
  <si>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</si>
  <si>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</si>
  <si>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</si>
  <si>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</si>
  <si>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</si>
  <si>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</si>
  <si>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</si>
  <si>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</si>
  <si>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</si>
  <si>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</si>
  <si>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</si>
  <si>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</si>
  <si>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</si>
  <si>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</si>
  <si>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</si>
  <si>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</si>
  <si>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</si>
  <si>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</si>
  <si>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</si>
  <si>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</si>
  <si>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</si>
  <si>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</si>
  <si>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</si>
  <si>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</si>
  <si>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</si>
  <si>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</si>
  <si>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</si>
  <si>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</si>
  <si>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</si>
  <si>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</si>
  <si>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</si>
  <si>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</si>
  <si>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</si>
  <si>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</si>
  <si>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</si>
  <si>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</si>
  <si>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</si>
  <si>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</si>
  <si>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</si>
  <si>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</si>
  <si>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</si>
  <si>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</si>
  <si>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</si>
  <si>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</si>
  <si>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</si>
  <si>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</si>
  <si>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</si>
  <si>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</si>
  <si>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</si>
  <si>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</si>
  <si>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</si>
  <si>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</si>
  <si>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</si>
  <si>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</si>
  <si>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</si>
  <si>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</si>
  <si>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</si>
  <si>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</si>
  <si>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</si>
  <si>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</si>
  <si>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</si>
  <si>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</si>
  <si>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</si>
  <si>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</si>
  <si>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</si>
  <si>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</si>
  <si>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</si>
  <si>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</si>
  <si>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</si>
  <si>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</si>
  <si>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</si>
  <si>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</si>
  <si>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</si>
  <si>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</si>
  <si>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</si>
  <si>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</si>
  <si>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</si>
  <si>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</si>
  <si>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</si>
  <si>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</si>
  <si>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</si>
  <si>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</si>
  <si>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</si>
  <si>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</si>
  <si>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</si>
  <si>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</si>
  <si>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</si>
  <si>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</si>
  <si>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</si>
  <si>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</si>
  <si>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</si>
  <si>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</si>
  <si>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</si>
  <si>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</si>
  <si>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</si>
  <si>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</si>
  <si>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</si>
  <si>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</si>
  <si>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</si>
  <si>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</si>
  <si>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</si>
  <si>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</si>
  <si>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</si>
  <si>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</si>
  <si>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</si>
  <si>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</si>
  <si>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</si>
  <si>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</si>
  <si>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</si>
  <si>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</si>
  <si>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</si>
  <si>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</si>
  <si>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</si>
  <si>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</si>
  <si>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</si>
  <si>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</si>
  <si>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</si>
  <si>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</si>
  <si>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</si>
  <si>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</si>
  <si>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</si>
  <si>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</si>
  <si>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</si>
  <si>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</si>
  <si>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</si>
  <si>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</si>
  <si>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</si>
  <si>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</si>
  <si>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</si>
  <si>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</si>
  <si>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</si>
  <si>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</si>
  <si>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</si>
  <si>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</si>
  <si>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</si>
  <si>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</si>
  <si>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</si>
  <si>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</si>
  <si>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</si>
  <si>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</si>
  <si>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</si>
  <si>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</si>
  <si>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</si>
  <si>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</si>
  <si>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</si>
  <si>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</si>
  <si>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</si>
  <si>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</si>
  <si>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</si>
  <si>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</si>
  <si>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</si>
  <si>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Saiji Developers</t>
  </si>
  <si>
    <t>Marathe Tower</t>
  </si>
  <si>
    <t>Wing A &amp; B</t>
  </si>
  <si>
    <t>P51700022652</t>
  </si>
  <si>
    <t>Survey No</t>
  </si>
  <si>
    <t>111, H.No. 2A/6</t>
  </si>
  <si>
    <t>Manda</t>
  </si>
  <si>
    <t>Kalyan</t>
  </si>
  <si>
    <t>Thane</t>
  </si>
  <si>
    <t>https://goo.gl/maps/DA4XfppBVJamscKH6</t>
  </si>
  <si>
    <t>Open Plot</t>
  </si>
  <si>
    <t>Pardeshi Paradise</t>
  </si>
  <si>
    <t>Internal Road</t>
  </si>
  <si>
    <t>Pardeshi Empire</t>
  </si>
  <si>
    <t>1.5 KM from Titvala Railway Station</t>
  </si>
  <si>
    <t>Titvala (East)</t>
  </si>
  <si>
    <t>KDMC/TPD/BP/KD/2014-15/97/175</t>
  </si>
  <si>
    <t>Energy management, Storm Water Drains, Closed Car Parking, Recreation Facilities, Fire Protection</t>
  </si>
  <si>
    <t xml:space="preserve">We have received an approved floor plan (i.e Sheet no.2/6 to 6/6) &amp; CC.
Please provide an approved layout plan (i.e Sheet no.1/6) &amp; Sale plan.
</t>
  </si>
  <si>
    <t>Approved Plans, CC &amp; Cot Sheet</t>
  </si>
  <si>
    <t>19.291782,73.212076</t>
  </si>
  <si>
    <t>Hari Om Valley CHS</t>
  </si>
  <si>
    <t>2 Wings</t>
  </si>
  <si>
    <t>plot no.1 &amp; 2 on CC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</si>
  <si>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</si>
  <si>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9.00 M Wide Road</t>
  </si>
  <si>
    <t>30.00 M Wide Road</t>
  </si>
  <si>
    <t>18.00 M Wide Road</t>
  </si>
  <si>
    <t>Other Plot</t>
  </si>
  <si>
    <t>Kalyan Dombivli Municipal Corporation (KDMC)</t>
  </si>
  <si>
    <t>Wing A = Stilt/Gr + 1P + 30th Floor
Wing B = Gr (Pt) +7th Floor</t>
  </si>
  <si>
    <t>Wing A</t>
  </si>
  <si>
    <t>Ground Floor For Commercial</t>
  </si>
  <si>
    <t>Shop</t>
  </si>
  <si>
    <t>Wing B</t>
  </si>
  <si>
    <t>1BHK</t>
  </si>
  <si>
    <t>1st, 3rd, 5th, 7th, 9th, 11th, 13th, 15th, 17th, 19th Floor For Residential</t>
  </si>
  <si>
    <t>2nd, 4th, 6th, 8th, 10th, 12th, 14th, 16th, 18th &amp; 20th Floor</t>
  </si>
  <si>
    <t>21st Floor</t>
  </si>
  <si>
    <t>23rd Floor (Part Refuge Area)</t>
  </si>
  <si>
    <t>Refuge Area</t>
  </si>
  <si>
    <t>22nd Floor</t>
  </si>
  <si>
    <t>25th, 27th &amp; 29th Floor</t>
  </si>
  <si>
    <t>2BHK</t>
  </si>
  <si>
    <t>28th Floor (Part Refuge Area)</t>
  </si>
  <si>
    <t>24th, 26th &amp; 30th Floor</t>
  </si>
  <si>
    <t>We considered Gross carpet area = Net carpet + Enclose balcony + F.B Area + Chajja.</t>
  </si>
  <si>
    <t>We have updated approved layout plan, floor plans &amp; CC (on 31/10/2023).</t>
  </si>
  <si>
    <t>Layout Plan :</t>
  </si>
  <si>
    <t>Ground Floor For Commercial, Society Office &amp; Parking</t>
  </si>
  <si>
    <t>1st, 3rd &amp; 7th Floor For Residential</t>
  </si>
  <si>
    <t>2nd, 4th &amp; 6th Floor</t>
  </si>
  <si>
    <t>5th Floor</t>
  </si>
  <si>
    <t>Water, Electricity, Development Charges</t>
  </si>
  <si>
    <t>Visitor</t>
  </si>
  <si>
    <t>Flats - 185, Shops - 27</t>
  </si>
  <si>
    <t>4000 given on location</t>
  </si>
  <si>
    <t>1st Podium Floor For Parking</t>
  </si>
  <si>
    <t>Wing A = Stilt/Gr + 1P + 1st to 30th Floor
Wing B = Gr (Pt) + 1st to 7th Floor</t>
  </si>
  <si>
    <t>Wing B = Gr (Pt) + 1st to 7th Floor</t>
  </si>
  <si>
    <t xml:space="preserve">Details of Commercial &amp; Residential in Building   </t>
  </si>
  <si>
    <t>4000 to 4200</t>
  </si>
  <si>
    <t>rushikesh</t>
  </si>
  <si>
    <t>Mrs. Padma ravat 7045871101</t>
  </si>
  <si>
    <t>All work Completed, Provide OC</t>
  </si>
  <si>
    <t>Mr. Prasanna Marathe 9892257564</t>
  </si>
  <si>
    <t>As per RERA -  30/03/2026</t>
  </si>
  <si>
    <t>Mangesh Bapardekar</t>
  </si>
  <si>
    <t>Wing A = Stilt/Gr + 1P + 1st to 31st Floor</t>
  </si>
  <si>
    <t>Pooja Kawale</t>
  </si>
  <si>
    <t>Please provide revised approved plans &amp; CC for Wing A.</t>
  </si>
  <si>
    <t>Building No. A - Construction work is in process at the time of visit. Internal photos was not allowed.
Building No. B - All work Completed. Please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</si>
</sst>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center" vertical="top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9" fontId="13" fillId="0" borderId="7" xfId="1" applyNumberFormat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31" xfId="1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  <xf numFmtId="0" fontId="13" fillId="0" borderId="5" xfId="1" applyFont="1" applyBorder="1" applyAlignment="1" applyProtection="1">
      <alignment horizontal="left" vertical="center"/>
      <protection locked="0"/>
    </xf>
    <xf numFmtId="0" fontId="13" fillId="0" borderId="6" xfId="1" applyFont="1" applyBorder="1" applyAlignment="1" applyProtection="1">
      <alignment horizontal="left" vertical="center"/>
      <protection locked="0"/>
    </xf>
    <xf numFmtId="0" fontId="13" fillId="0" borderId="6" xfId="1" applyFont="1" applyBorder="1" applyAlignment="1" applyProtection="1">
      <alignment horizontal="left" vertical="center" wrapText="1"/>
      <protection locked="0"/>
    </xf>
    <xf numFmtId="0" fontId="13" fillId="0" borderId="34" xfId="1" applyFont="1" applyBorder="1" applyAlignment="1" applyProtection="1">
      <alignment horizontal="left" vertical="center" wrapText="1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1" fontId="8" fillId="0" borderId="36" xfId="0" applyNumberFormat="1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1" fontId="10" fillId="0" borderId="36" xfId="0" applyNumberFormat="1" applyFont="1" applyBorder="1" applyAlignment="1" applyProtection="1">
      <alignment horizontal="center" vertical="top" wrapText="1"/>
      <protection locked="0"/>
    </xf>
    <xf numFmtId="1" fontId="8" fillId="0" borderId="36" xfId="0" applyNumberFormat="1" applyFont="1" applyBorder="1" applyAlignment="1" applyProtection="1">
      <alignment horizontal="center" vertical="top" wrapText="1"/>
      <protection locked="0"/>
    </xf>
    <xf numFmtId="1" fontId="8" fillId="0" borderId="37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25" fillId="2" borderId="14" xfId="0" applyFont="1" applyFill="1" applyBorder="1"/>
    <xf numFmtId="0" fontId="26" fillId="0" borderId="8" xfId="0" applyFont="1" applyBorder="1"/>
    <xf numFmtId="0" fontId="13" fillId="0" borderId="1" xfId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478734</xdr:colOff>
      <xdr:row>357</xdr:row>
      <xdr:rowOff>27333</xdr:rowOff>
    </xdr:from>
    <xdr:to>
      <xdr:col>7</xdr:col>
      <xdr:colOff>309531</xdr:colOff>
      <xdr:row>375</xdr:row>
      <xdr:rowOff>49246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8734" y="65756183"/>
          <a:ext cx="5806147" cy="35652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497234</xdr:colOff>
      <xdr:row>375</xdr:row>
      <xdr:rowOff>142525</xdr:rowOff>
    </xdr:from>
    <xdr:to>
      <xdr:col>7</xdr:col>
      <xdr:colOff>292122</xdr:colOff>
      <xdr:row>393</xdr:row>
      <xdr:rowOff>164439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7234" y="69414675"/>
          <a:ext cx="5770238" cy="35652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36719</xdr:colOff>
      <xdr:row>382</xdr:row>
      <xdr:rowOff>132522</xdr:rowOff>
    </xdr:from>
    <xdr:to>
      <xdr:col>4</xdr:col>
      <xdr:colOff>787123</xdr:colOff>
      <xdr:row>387</xdr:row>
      <xdr:rowOff>82826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0899839">
          <a:off x="3554619" y="70782622"/>
          <a:ext cx="750404" cy="93455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364435</xdr:colOff>
      <xdr:row>325</xdr:row>
      <xdr:rowOff>91109</xdr:rowOff>
    </xdr:from>
    <xdr:to>
      <xdr:col>7</xdr:col>
      <xdr:colOff>434283</xdr:colOff>
      <xdr:row>347</xdr:row>
      <xdr:rowOff>84095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435" y="59129544"/>
          <a:ext cx="5760000" cy="43662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546100</xdr:colOff>
      <xdr:row>286</xdr:row>
      <xdr:rowOff>177800</xdr:rowOff>
    </xdr:from>
    <xdr:to>
      <xdr:col>9</xdr:col>
      <xdr:colOff>476250</xdr:colOff>
      <xdr:row>288</xdr:row>
      <xdr:rowOff>92421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070725" y="51879500"/>
          <a:ext cx="1092200" cy="31467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 </a:t>
          </a:r>
        </a:p>
      </xdr:txBody>
    </xdr:sp>
    <xdr:clientData/>
  </xdr:twoCellAnchor>
  <xdr:twoCellAnchor>
    <xdr:from>
      <xdr:col>10</xdr:col>
      <xdr:colOff>93295</xdr:colOff>
      <xdr:row>283</xdr:row>
      <xdr:rowOff>25337</xdr:rowOff>
    </xdr:from>
    <xdr:to>
      <xdr:col>11</xdr:col>
      <xdr:colOff>61545</xdr:colOff>
      <xdr:row>284</xdr:row>
      <xdr:rowOff>149508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8541970" y="51136487"/>
          <a:ext cx="673100" cy="31467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 </a:t>
          </a:r>
        </a:p>
      </xdr:txBody>
    </xdr:sp>
    <xdr:clientData/>
  </xdr:twoCellAnchor>
  <xdr:twoCellAnchor>
    <xdr:from>
      <xdr:col>8</xdr:col>
      <xdr:colOff>822325</xdr:colOff>
      <xdr:row>282</xdr:row>
      <xdr:rowOff>63500</xdr:rowOff>
    </xdr:from>
    <xdr:to>
      <xdr:col>9</xdr:col>
      <xdr:colOff>752475</xdr:colOff>
      <xdr:row>283</xdr:row>
      <xdr:rowOff>178146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346950" y="50974625"/>
          <a:ext cx="1092200" cy="31467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 </a:t>
          </a:r>
        </a:p>
      </xdr:txBody>
    </xdr:sp>
    <xdr:clientData/>
  </xdr:twoCellAnchor>
  <xdr:twoCellAnchor>
    <xdr:from>
      <xdr:col>0</xdr:col>
      <xdr:colOff>114300</xdr:colOff>
      <xdr:row>281</xdr:row>
      <xdr:rowOff>82550</xdr:rowOff>
    </xdr:from>
    <xdr:to>
      <xdr:col>7</xdr:col>
      <xdr:colOff>738199</xdr:colOff>
      <xdr:row>316</xdr:row>
      <xdr:rowOff>36553</xdr:rowOff>
    </xdr:to>
    <xdr:grpSp>
      <xdr:nvGrpSpPr>
        <xdr:cNvPr id="4" name="Group 3"/>
        <xdr:cNvGrpSpPr/>
      </xdr:nvGrpSpPr>
      <xdr:grpSpPr>
        <a:xfrm>
          <a:off x="114300" y="48933100"/>
          <a:ext cx="6599249" cy="6837403"/>
          <a:chOff x="114300" y="48723550"/>
          <a:chExt cx="6599249" cy="6837403"/>
        </a:xfrm>
      </xdr:grpSpPr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76152" y="5350895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8306" y="51130422"/>
            <a:ext cx="1699229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1584" y="5350895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8307" y="48723550"/>
            <a:ext cx="1699229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5350895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8868" y="5350895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1223" y="48723550"/>
            <a:ext cx="3506345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846723" y="49072800"/>
            <a:ext cx="704850" cy="31467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984250" y="53572453"/>
            <a:ext cx="704850" cy="31467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A4XfppBVJamscKH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56"/>
  <sheetViews>
    <sheetView tabSelected="1" view="pageBreakPreview" topLeftCell="A257" zoomScaleNormal="100" zoomScaleSheetLayoutView="100" zoomScalePageLayoutView="85" workbookViewId="0">
      <selection activeCell="B259" sqref="B259:H25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12.453125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12" ht="46.5" customHeight="1" x14ac:dyDescent="0.35">
      <c r="A1" s="171" t="s">
        <v>203</v>
      </c>
      <c r="B1" s="171"/>
      <c r="C1" s="171"/>
      <c r="D1" s="171"/>
      <c r="E1" s="171"/>
      <c r="F1" s="171"/>
      <c r="G1" s="171"/>
      <c r="H1" s="171"/>
    </row>
    <row r="2" spans="1:12" ht="16.5" customHeight="1" x14ac:dyDescent="0.35">
      <c r="A2" s="172" t="s">
        <v>0</v>
      </c>
      <c r="B2" s="172"/>
      <c r="C2" s="172"/>
      <c r="D2" s="172"/>
      <c r="E2" s="172"/>
      <c r="F2" s="172"/>
      <c r="G2" s="172"/>
      <c r="H2" s="172"/>
    </row>
    <row r="3" spans="1:12" x14ac:dyDescent="0.35">
      <c r="A3" s="139" t="s">
        <v>1</v>
      </c>
      <c r="B3" s="139"/>
      <c r="C3" s="139"/>
      <c r="D3" s="139"/>
      <c r="E3" s="139" t="str">
        <f ca="1">TEXT(TODAY(),"DD/MM/YYYY")</f>
        <v>11/09/2025</v>
      </c>
      <c r="F3" s="139"/>
      <c r="G3" s="139"/>
      <c r="H3" s="139"/>
    </row>
    <row r="4" spans="1:12" x14ac:dyDescent="0.35">
      <c r="A4" s="139" t="s">
        <v>2</v>
      </c>
      <c r="B4" s="139"/>
      <c r="C4" s="139"/>
      <c r="D4" s="139"/>
      <c r="E4" s="139" t="s">
        <v>178</v>
      </c>
      <c r="F4" s="139"/>
      <c r="G4" s="139"/>
      <c r="H4" s="139"/>
    </row>
    <row r="5" spans="1:12" x14ac:dyDescent="0.35">
      <c r="A5" s="139" t="s">
        <v>3</v>
      </c>
      <c r="B5" s="139"/>
      <c r="C5" s="139"/>
      <c r="D5" s="139"/>
      <c r="E5" s="173">
        <v>45906</v>
      </c>
      <c r="F5" s="139"/>
      <c r="G5" s="139"/>
      <c r="H5" s="139"/>
    </row>
    <row r="6" spans="1:12" ht="16.5" customHeight="1" x14ac:dyDescent="0.35">
      <c r="A6" s="139" t="s">
        <v>4</v>
      </c>
      <c r="B6" s="139"/>
      <c r="C6" s="139"/>
      <c r="D6" s="139"/>
      <c r="E6" s="139" t="s">
        <v>179</v>
      </c>
      <c r="F6" s="139"/>
      <c r="G6" s="139"/>
      <c r="H6" s="139"/>
    </row>
    <row r="7" spans="1:12" x14ac:dyDescent="0.35">
      <c r="A7" s="139" t="s">
        <v>5</v>
      </c>
      <c r="B7" s="139"/>
      <c r="C7" s="139"/>
      <c r="D7" s="139"/>
      <c r="E7" s="139" t="str">
        <f>E6</f>
        <v>Saiji Developers</v>
      </c>
      <c r="F7" s="139"/>
      <c r="G7" s="139"/>
      <c r="H7" s="139"/>
    </row>
    <row r="8" spans="1:12" x14ac:dyDescent="0.35">
      <c r="A8" s="139" t="s">
        <v>6</v>
      </c>
      <c r="B8" s="139"/>
      <c r="C8" s="139"/>
      <c r="D8" s="139"/>
      <c r="E8" s="92" t="s">
        <v>180</v>
      </c>
      <c r="F8" s="93"/>
      <c r="G8" s="93"/>
      <c r="H8" s="94"/>
    </row>
    <row r="9" spans="1:12" x14ac:dyDescent="0.35">
      <c r="A9" s="139" t="s">
        <v>176</v>
      </c>
      <c r="B9" s="139"/>
      <c r="C9" s="139"/>
      <c r="D9" s="139"/>
      <c r="E9" s="139" t="s">
        <v>244</v>
      </c>
      <c r="F9" s="139"/>
      <c r="G9" s="139"/>
      <c r="H9" s="139"/>
    </row>
    <row r="10" spans="1:12" x14ac:dyDescent="0.35">
      <c r="A10" s="139" t="s">
        <v>177</v>
      </c>
      <c r="B10" s="139"/>
      <c r="C10" s="139"/>
      <c r="D10" s="139"/>
      <c r="E10" s="139" t="s">
        <v>30</v>
      </c>
      <c r="F10" s="139"/>
      <c r="G10" s="139"/>
      <c r="H10" s="139"/>
      <c r="I10" s="139" t="s">
        <v>242</v>
      </c>
      <c r="J10" s="139"/>
      <c r="K10" s="139"/>
      <c r="L10" s="139"/>
    </row>
    <row r="11" spans="1:12" x14ac:dyDescent="0.35">
      <c r="A11" s="139" t="s">
        <v>7</v>
      </c>
      <c r="B11" s="139"/>
      <c r="C11" s="139"/>
      <c r="D11" s="139"/>
      <c r="E11" s="139" t="s">
        <v>181</v>
      </c>
      <c r="F11" s="139"/>
      <c r="G11" s="139"/>
      <c r="H11" s="139"/>
    </row>
    <row r="12" spans="1:12" x14ac:dyDescent="0.35">
      <c r="A12" s="139" t="s">
        <v>8</v>
      </c>
      <c r="B12" s="139"/>
      <c r="C12" s="139"/>
      <c r="D12" s="139"/>
      <c r="E12" s="142" t="s">
        <v>198</v>
      </c>
      <c r="F12" s="142"/>
      <c r="G12" s="142"/>
      <c r="H12" s="142"/>
    </row>
    <row r="13" spans="1:12" x14ac:dyDescent="0.35">
      <c r="A13" s="139" t="s">
        <v>9</v>
      </c>
      <c r="B13" s="139"/>
      <c r="C13" s="139"/>
      <c r="D13" s="139"/>
      <c r="E13" s="142" t="s">
        <v>182</v>
      </c>
      <c r="F13" s="139"/>
      <c r="G13" s="139"/>
      <c r="H13" s="139"/>
    </row>
    <row r="14" spans="1:12" ht="33.75" customHeight="1" x14ac:dyDescent="0.35">
      <c r="A14" s="142" t="s">
        <v>10</v>
      </c>
      <c r="B14" s="142"/>
      <c r="C14" s="14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Marathe Tower, Survey No.111, H.No. 2A/6, near Hari Om Valley CHS, Internal Road, , Manda, Titvala (East), Kalyan, Thane - 421605.</v>
      </c>
      <c r="D14" s="142"/>
      <c r="E14" s="142"/>
      <c r="F14" s="142"/>
      <c r="G14" s="142"/>
      <c r="H14" s="142"/>
    </row>
    <row r="15" spans="1:12" x14ac:dyDescent="0.35">
      <c r="A15" s="142" t="s">
        <v>183</v>
      </c>
      <c r="B15" s="142"/>
      <c r="C15" s="142" t="s">
        <v>184</v>
      </c>
      <c r="D15" s="142"/>
      <c r="E15" s="142"/>
      <c r="F15" s="142"/>
      <c r="G15" s="142"/>
      <c r="H15" s="142"/>
      <c r="I15" s="19" t="s">
        <v>202</v>
      </c>
    </row>
    <row r="16" spans="1:12" ht="15.75" customHeight="1" x14ac:dyDescent="0.35">
      <c r="A16" s="142" t="s">
        <v>173</v>
      </c>
      <c r="B16" s="142"/>
      <c r="C16" s="142" t="s">
        <v>30</v>
      </c>
      <c r="D16" s="142"/>
      <c r="E16" s="142"/>
      <c r="F16" s="142"/>
      <c r="G16" s="142"/>
      <c r="H16" s="142"/>
    </row>
    <row r="17" spans="1:8" ht="15.75" customHeight="1" x14ac:dyDescent="0.35">
      <c r="A17" s="142" t="s">
        <v>11</v>
      </c>
      <c r="B17" s="142"/>
      <c r="C17" s="139" t="s">
        <v>191</v>
      </c>
      <c r="D17" s="139"/>
      <c r="E17" s="142" t="s">
        <v>74</v>
      </c>
      <c r="F17" s="142"/>
      <c r="G17" s="142" t="s">
        <v>185</v>
      </c>
      <c r="H17" s="142"/>
    </row>
    <row r="18" spans="1:8" x14ac:dyDescent="0.35">
      <c r="A18" s="139" t="s">
        <v>13</v>
      </c>
      <c r="B18" s="139"/>
      <c r="C18" s="142" t="s">
        <v>194</v>
      </c>
      <c r="D18" s="142"/>
      <c r="E18" s="142" t="s">
        <v>12</v>
      </c>
      <c r="F18" s="142"/>
      <c r="G18" s="170" t="s">
        <v>187</v>
      </c>
      <c r="H18" s="170"/>
    </row>
    <row r="19" spans="1:8" x14ac:dyDescent="0.35">
      <c r="A19" s="139" t="s">
        <v>75</v>
      </c>
      <c r="B19" s="139"/>
      <c r="C19" s="142" t="s">
        <v>186</v>
      </c>
      <c r="D19" s="142"/>
      <c r="E19" s="137" t="s">
        <v>14</v>
      </c>
      <c r="F19" s="137"/>
      <c r="G19" s="142">
        <v>421605</v>
      </c>
      <c r="H19" s="142"/>
    </row>
    <row r="20" spans="1:8" ht="32.25" customHeight="1" x14ac:dyDescent="0.35">
      <c r="A20" s="104" t="s">
        <v>127</v>
      </c>
      <c r="B20" s="104"/>
      <c r="C20" s="142" t="s">
        <v>200</v>
      </c>
      <c r="D20" s="142"/>
      <c r="E20" s="137" t="s">
        <v>15</v>
      </c>
      <c r="F20" s="137"/>
      <c r="G20" s="142" t="s">
        <v>193</v>
      </c>
      <c r="H20" s="142"/>
    </row>
    <row r="21" spans="1:8" ht="15" customHeight="1" x14ac:dyDescent="0.35">
      <c r="A21" s="137" t="s">
        <v>78</v>
      </c>
      <c r="B21" s="137"/>
      <c r="C21" s="137"/>
      <c r="D21" s="137"/>
      <c r="E21" s="139" t="s">
        <v>16</v>
      </c>
      <c r="F21" s="139"/>
      <c r="G21" s="139"/>
      <c r="H21" s="139"/>
    </row>
    <row r="22" spans="1:8" ht="18.75" customHeight="1" x14ac:dyDescent="0.35">
      <c r="A22" s="137"/>
      <c r="B22" s="137"/>
      <c r="C22" s="137"/>
      <c r="D22" s="137"/>
      <c r="E22" s="139"/>
      <c r="F22" s="139"/>
      <c r="G22" s="139"/>
      <c r="H22" s="139"/>
    </row>
    <row r="23" spans="1:8" ht="15" customHeight="1" x14ac:dyDescent="0.35">
      <c r="A23" s="137" t="s">
        <v>17</v>
      </c>
      <c r="B23" s="137"/>
      <c r="C23" s="137"/>
      <c r="D23" s="137"/>
      <c r="E23" s="142" t="s">
        <v>18</v>
      </c>
      <c r="F23" s="142"/>
      <c r="G23" s="142"/>
      <c r="H23" s="142"/>
    </row>
    <row r="24" spans="1:8" ht="15" customHeight="1" x14ac:dyDescent="0.35">
      <c r="A24" s="104" t="s">
        <v>19</v>
      </c>
      <c r="B24" s="104"/>
      <c r="C24" s="104"/>
      <c r="D24" s="104"/>
      <c r="E24" s="167" t="str">
        <f>IF(AND(G18="Mumbai"),"Upper Class","Middle Class")</f>
        <v>Middle Class</v>
      </c>
      <c r="F24" s="167"/>
      <c r="G24" s="167"/>
      <c r="H24" s="167"/>
    </row>
    <row r="25" spans="1:8" x14ac:dyDescent="0.35">
      <c r="A25" s="104" t="s">
        <v>20</v>
      </c>
      <c r="B25" s="104"/>
      <c r="C25" s="104"/>
      <c r="D25" s="104"/>
      <c r="E25" s="142" t="s">
        <v>21</v>
      </c>
      <c r="F25" s="142"/>
      <c r="G25" s="142"/>
      <c r="H25" s="142"/>
    </row>
    <row r="26" spans="1:8" ht="15.75" customHeight="1" x14ac:dyDescent="0.35">
      <c r="A26" s="104" t="s">
        <v>22</v>
      </c>
      <c r="B26" s="104"/>
      <c r="C26" s="104"/>
      <c r="D26" s="104"/>
      <c r="E26" s="167" t="str">
        <f>IF(AND(G18="Mumbai"),"Developed","Developing")</f>
        <v>Developing</v>
      </c>
      <c r="F26" s="167"/>
      <c r="G26" s="167"/>
      <c r="H26" s="167"/>
    </row>
    <row r="27" spans="1:8" x14ac:dyDescent="0.35">
      <c r="A27" s="104" t="s">
        <v>23</v>
      </c>
      <c r="B27" s="104"/>
      <c r="C27" s="104"/>
      <c r="D27" s="104"/>
      <c r="E27" s="142" t="s">
        <v>24</v>
      </c>
      <c r="F27" s="142"/>
      <c r="G27" s="142"/>
      <c r="H27" s="142"/>
    </row>
    <row r="28" spans="1:8" ht="15.75" customHeight="1" x14ac:dyDescent="0.35">
      <c r="A28" s="104" t="s">
        <v>83</v>
      </c>
      <c r="B28" s="104"/>
      <c r="C28" s="104"/>
      <c r="D28" s="104"/>
      <c r="E28" s="142" t="s">
        <v>84</v>
      </c>
      <c r="F28" s="142"/>
      <c r="G28" s="142"/>
      <c r="H28" s="142"/>
    </row>
    <row r="29" spans="1:8" ht="15" customHeight="1" x14ac:dyDescent="0.35">
      <c r="A29" s="104" t="s">
        <v>33</v>
      </c>
      <c r="B29" s="104"/>
      <c r="C29" s="104"/>
      <c r="D29" s="104"/>
      <c r="E29" s="16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67"/>
      <c r="G29" s="167"/>
      <c r="H29" s="167"/>
    </row>
    <row r="30" spans="1:8" ht="15.75" customHeight="1" x14ac:dyDescent="0.35">
      <c r="A30" s="104" t="s">
        <v>95</v>
      </c>
      <c r="B30" s="104"/>
      <c r="C30" s="104"/>
      <c r="D30" s="104"/>
      <c r="E30" s="142" t="s">
        <v>34</v>
      </c>
      <c r="F30" s="142"/>
      <c r="G30" s="142"/>
      <c r="H30" s="142"/>
    </row>
    <row r="31" spans="1:8" s="20" customFormat="1" x14ac:dyDescent="0.35">
      <c r="A31" s="169" t="s">
        <v>96</v>
      </c>
      <c r="B31" s="169"/>
      <c r="C31" s="168" t="s">
        <v>29</v>
      </c>
      <c r="D31" s="168"/>
      <c r="E31" s="168"/>
      <c r="F31" s="168" t="s">
        <v>31</v>
      </c>
      <c r="G31" s="168"/>
      <c r="H31" s="168"/>
    </row>
    <row r="32" spans="1:8" s="20" customFormat="1" x14ac:dyDescent="0.35">
      <c r="A32" s="140" t="s">
        <v>25</v>
      </c>
      <c r="B32" s="140" t="s">
        <v>30</v>
      </c>
      <c r="C32" s="138" t="s">
        <v>204</v>
      </c>
      <c r="D32" s="138"/>
      <c r="E32" s="138"/>
      <c r="F32" s="138" t="s">
        <v>192</v>
      </c>
      <c r="G32" s="138"/>
      <c r="H32" s="138"/>
    </row>
    <row r="33" spans="1:8" x14ac:dyDescent="0.35">
      <c r="A33" s="140" t="s">
        <v>26</v>
      </c>
      <c r="B33" s="140" t="s">
        <v>30</v>
      </c>
      <c r="C33" s="138" t="s">
        <v>206</v>
      </c>
      <c r="D33" s="138"/>
      <c r="E33" s="138"/>
      <c r="F33" s="138" t="s">
        <v>189</v>
      </c>
      <c r="G33" s="138"/>
      <c r="H33" s="138"/>
    </row>
    <row r="34" spans="1:8" s="20" customFormat="1" x14ac:dyDescent="0.35">
      <c r="A34" s="140" t="s">
        <v>28</v>
      </c>
      <c r="B34" s="140" t="s">
        <v>30</v>
      </c>
      <c r="C34" s="138" t="s">
        <v>207</v>
      </c>
      <c r="D34" s="138"/>
      <c r="E34" s="138"/>
      <c r="F34" s="102" t="s">
        <v>190</v>
      </c>
      <c r="G34" s="138"/>
      <c r="H34" s="138"/>
    </row>
    <row r="35" spans="1:8" x14ac:dyDescent="0.35">
      <c r="A35" s="140" t="s">
        <v>27</v>
      </c>
      <c r="B35" s="140" t="s">
        <v>30</v>
      </c>
      <c r="C35" s="138" t="s">
        <v>205</v>
      </c>
      <c r="D35" s="138"/>
      <c r="E35" s="138"/>
      <c r="F35" s="138" t="s">
        <v>191</v>
      </c>
      <c r="G35" s="138"/>
      <c r="H35" s="138"/>
    </row>
    <row r="36" spans="1:8" x14ac:dyDescent="0.35">
      <c r="A36" s="104" t="s">
        <v>32</v>
      </c>
      <c r="B36" s="104"/>
      <c r="C36" s="104"/>
      <c r="D36" s="104"/>
      <c r="E36" s="104"/>
      <c r="F36" s="104"/>
      <c r="G36" s="104"/>
      <c r="H36" s="104"/>
    </row>
    <row r="37" spans="1:8" ht="15.75" customHeight="1" x14ac:dyDescent="0.35">
      <c r="A37" s="104" t="s">
        <v>174</v>
      </c>
      <c r="B37" s="104"/>
      <c r="C37" s="104" t="s">
        <v>199</v>
      </c>
      <c r="D37" s="104"/>
      <c r="E37" s="104"/>
      <c r="F37" s="104"/>
      <c r="G37" s="104"/>
      <c r="H37" s="104"/>
    </row>
    <row r="38" spans="1:8" x14ac:dyDescent="0.35">
      <c r="A38" s="104" t="s">
        <v>172</v>
      </c>
      <c r="B38" s="104"/>
      <c r="C38" s="141" t="s">
        <v>188</v>
      </c>
      <c r="D38" s="142"/>
      <c r="E38" s="142"/>
      <c r="F38" s="142"/>
      <c r="G38" s="142"/>
      <c r="H38" s="142"/>
    </row>
    <row r="39" spans="1:8" x14ac:dyDescent="0.35">
      <c r="A39" s="151" t="s">
        <v>35</v>
      </c>
      <c r="B39" s="151"/>
      <c r="C39" s="151"/>
      <c r="D39" s="151"/>
      <c r="E39" s="151"/>
      <c r="F39" s="151"/>
      <c r="G39" s="151"/>
      <c r="H39" s="151"/>
    </row>
    <row r="40" spans="1:8" x14ac:dyDescent="0.35">
      <c r="A40" s="139" t="s">
        <v>36</v>
      </c>
      <c r="B40" s="139"/>
      <c r="C40" s="139"/>
      <c r="D40" s="139"/>
      <c r="E40" s="150">
        <v>2473</v>
      </c>
      <c r="F40" s="150"/>
      <c r="G40" s="150"/>
      <c r="H40" s="150"/>
    </row>
    <row r="41" spans="1:8" x14ac:dyDescent="0.35">
      <c r="A41" s="139" t="s">
        <v>37</v>
      </c>
      <c r="B41" s="139"/>
      <c r="C41" s="139"/>
      <c r="D41" s="139"/>
      <c r="E41" s="154">
        <v>1.1000000000000001</v>
      </c>
      <c r="F41" s="154"/>
      <c r="G41" s="154"/>
      <c r="H41" s="154"/>
    </row>
    <row r="42" spans="1:8" x14ac:dyDescent="0.35">
      <c r="A42" s="139" t="s">
        <v>38</v>
      </c>
      <c r="B42" s="139"/>
      <c r="C42" s="139"/>
      <c r="D42" s="139"/>
      <c r="E42" s="154">
        <f>E43-E41</f>
        <v>2.2457420137484836</v>
      </c>
      <c r="F42" s="154"/>
      <c r="G42" s="154"/>
      <c r="H42" s="154"/>
    </row>
    <row r="43" spans="1:8" x14ac:dyDescent="0.35">
      <c r="A43" s="139" t="s">
        <v>39</v>
      </c>
      <c r="B43" s="139"/>
      <c r="C43" s="139"/>
      <c r="D43" s="139"/>
      <c r="E43" s="154">
        <f>E44/E40</f>
        <v>3.3457420137484837</v>
      </c>
      <c r="F43" s="154"/>
      <c r="G43" s="154"/>
      <c r="H43" s="154"/>
    </row>
    <row r="44" spans="1:8" x14ac:dyDescent="0.35">
      <c r="A44" s="139" t="s">
        <v>94</v>
      </c>
      <c r="B44" s="139"/>
      <c r="C44" s="139"/>
      <c r="D44" s="139"/>
      <c r="E44" s="155">
        <v>8274.02</v>
      </c>
      <c r="F44" s="155"/>
      <c r="G44" s="155"/>
      <c r="H44" s="155"/>
    </row>
    <row r="45" spans="1:8" x14ac:dyDescent="0.35">
      <c r="A45" s="139" t="s">
        <v>40</v>
      </c>
      <c r="B45" s="139"/>
      <c r="C45" s="139"/>
      <c r="D45" s="139"/>
      <c r="E45" s="139" t="s">
        <v>201</v>
      </c>
      <c r="F45" s="139"/>
      <c r="G45" s="139"/>
      <c r="H45" s="139"/>
    </row>
    <row r="46" spans="1:8" x14ac:dyDescent="0.35">
      <c r="A46" s="156" t="s">
        <v>41</v>
      </c>
      <c r="B46" s="156"/>
      <c r="C46" s="156"/>
      <c r="D46" s="156"/>
      <c r="E46" s="156"/>
      <c r="F46" s="156"/>
      <c r="G46" s="156"/>
      <c r="H46" s="156"/>
    </row>
    <row r="47" spans="1:8" ht="33.75" customHeight="1" x14ac:dyDescent="0.35">
      <c r="A47" s="90" t="s">
        <v>159</v>
      </c>
      <c r="B47" s="91"/>
      <c r="C47" s="92" t="s">
        <v>208</v>
      </c>
      <c r="D47" s="93"/>
      <c r="E47" s="93"/>
      <c r="F47" s="93"/>
      <c r="G47" s="93"/>
      <c r="H47" s="94"/>
    </row>
    <row r="48" spans="1:8" ht="15.75" customHeight="1" x14ac:dyDescent="0.35">
      <c r="A48" s="146" t="s">
        <v>42</v>
      </c>
      <c r="B48" s="147"/>
      <c r="C48" s="146" t="s">
        <v>195</v>
      </c>
      <c r="D48" s="149"/>
      <c r="E48" s="147"/>
      <c r="F48" s="18" t="s">
        <v>43</v>
      </c>
      <c r="G48" s="160">
        <v>44285</v>
      </c>
      <c r="H48" s="147"/>
    </row>
    <row r="49" spans="1:14" x14ac:dyDescent="0.35">
      <c r="A49" s="146" t="s">
        <v>44</v>
      </c>
      <c r="B49" s="147"/>
      <c r="C49" s="146" t="str">
        <f>C48</f>
        <v>KDMC/TPD/BP/KD/2014-15/97/175</v>
      </c>
      <c r="D49" s="149"/>
      <c r="E49" s="147"/>
      <c r="F49" s="18" t="s">
        <v>43</v>
      </c>
      <c r="G49" s="160">
        <f>G48</f>
        <v>44285</v>
      </c>
      <c r="H49" s="147"/>
    </row>
    <row r="50" spans="1:14" s="21" customFormat="1" ht="15.75" customHeight="1" x14ac:dyDescent="0.35">
      <c r="A50" s="161" t="s">
        <v>163</v>
      </c>
      <c r="B50" s="162"/>
      <c r="C50" s="146" t="str">
        <f>C49</f>
        <v>KDMC/TPD/BP/KD/2014-15/97/175</v>
      </c>
      <c r="D50" s="149"/>
      <c r="E50" s="147"/>
      <c r="F50" s="18" t="s">
        <v>43</v>
      </c>
      <c r="G50" s="160">
        <f>G49</f>
        <v>44285</v>
      </c>
      <c r="H50" s="147"/>
    </row>
    <row r="51" spans="1:14" s="21" customFormat="1" ht="33.75" customHeight="1" x14ac:dyDescent="0.35">
      <c r="A51" s="163"/>
      <c r="B51" s="164"/>
      <c r="C51" s="146" t="s">
        <v>209</v>
      </c>
      <c r="D51" s="149"/>
      <c r="E51" s="149"/>
      <c r="F51" s="149"/>
      <c r="G51" s="149"/>
      <c r="H51" s="147"/>
    </row>
    <row r="52" spans="1:14" x14ac:dyDescent="0.35">
      <c r="A52" s="143" t="s">
        <v>45</v>
      </c>
      <c r="B52" s="145"/>
      <c r="C52" s="143" t="s">
        <v>107</v>
      </c>
      <c r="D52" s="144"/>
      <c r="E52" s="145"/>
      <c r="F52" s="42" t="s">
        <v>43</v>
      </c>
      <c r="G52" s="183" t="s">
        <v>30</v>
      </c>
      <c r="H52" s="184"/>
    </row>
    <row r="53" spans="1:14" x14ac:dyDescent="0.35">
      <c r="A53" s="148" t="s">
        <v>47</v>
      </c>
      <c r="B53" s="148"/>
      <c r="C53" s="148"/>
      <c r="D53" s="148"/>
      <c r="E53" s="148"/>
      <c r="F53" s="148"/>
      <c r="G53" s="148"/>
      <c r="H53" s="148"/>
    </row>
    <row r="54" spans="1:14" x14ac:dyDescent="0.35">
      <c r="A54" s="137" t="s">
        <v>93</v>
      </c>
      <c r="B54" s="137"/>
      <c r="C54" s="137"/>
      <c r="D54" s="139">
        <f>E44</f>
        <v>8274.02</v>
      </c>
      <c r="E54" s="139"/>
      <c r="F54" s="139"/>
      <c r="G54" s="139"/>
      <c r="H54" s="139"/>
    </row>
    <row r="55" spans="1:14" x14ac:dyDescent="0.35">
      <c r="A55" s="142" t="s">
        <v>48</v>
      </c>
      <c r="B55" s="139"/>
      <c r="C55" s="139"/>
      <c r="D55" s="139" t="s">
        <v>234</v>
      </c>
      <c r="E55" s="139"/>
      <c r="F55" s="139"/>
      <c r="G55" s="139"/>
      <c r="H55" s="139"/>
      <c r="I55" s="22"/>
    </row>
    <row r="56" spans="1:14" ht="33.75" customHeight="1" x14ac:dyDescent="0.35">
      <c r="A56" s="157" t="s">
        <v>49</v>
      </c>
      <c r="B56" s="158"/>
      <c r="C56" s="159"/>
      <c r="D56" s="142" t="s">
        <v>237</v>
      </c>
      <c r="E56" s="139"/>
      <c r="F56" s="139"/>
      <c r="G56" s="139"/>
      <c r="H56" s="139"/>
    </row>
    <row r="57" spans="1:14" ht="15.75" customHeight="1" x14ac:dyDescent="0.35">
      <c r="A57" s="157" t="s">
        <v>91</v>
      </c>
      <c r="B57" s="158"/>
      <c r="C57" s="158"/>
      <c r="D57" s="139" t="s">
        <v>247</v>
      </c>
      <c r="E57" s="139"/>
      <c r="F57" s="139"/>
      <c r="G57" s="139"/>
      <c r="H57" s="139"/>
    </row>
    <row r="58" spans="1:14" ht="15.75" customHeight="1" x14ac:dyDescent="0.35">
      <c r="A58" s="165"/>
      <c r="B58" s="166"/>
      <c r="C58" s="166"/>
      <c r="D58" s="139" t="s">
        <v>238</v>
      </c>
      <c r="E58" s="139"/>
      <c r="F58" s="139"/>
      <c r="G58" s="139"/>
      <c r="H58" s="139"/>
    </row>
    <row r="59" spans="1:14" ht="15.75" customHeight="1" x14ac:dyDescent="0.35">
      <c r="A59" s="104" t="s">
        <v>46</v>
      </c>
      <c r="B59" s="104"/>
      <c r="C59" s="104"/>
      <c r="D59" s="137" t="s">
        <v>245</v>
      </c>
      <c r="E59" s="137"/>
      <c r="F59" s="137"/>
      <c r="G59" s="137"/>
      <c r="H59" s="137"/>
      <c r="J59" s="23"/>
      <c r="K59" s="22"/>
      <c r="N59" s="22"/>
    </row>
    <row r="60" spans="1:14" ht="15.75" customHeight="1" x14ac:dyDescent="0.35">
      <c r="A60" s="104" t="s">
        <v>89</v>
      </c>
      <c r="B60" s="104"/>
      <c r="C60" s="104"/>
      <c r="D60" s="153" t="str">
        <f>(IF(G52="NA","60 Years After Completion",IF(G52&lt;&gt;"NA",""&amp;60-ROUNDDOWN((E3-G52)/360,0)&amp;" Years"," ")))</f>
        <v>60 Years After Completion</v>
      </c>
      <c r="E60" s="153"/>
      <c r="F60" s="153"/>
      <c r="G60" s="153"/>
      <c r="H60" s="153"/>
      <c r="N60" s="22"/>
    </row>
    <row r="61" spans="1:14" ht="15.75" customHeight="1" x14ac:dyDescent="0.35">
      <c r="A61" s="104" t="s">
        <v>90</v>
      </c>
      <c r="B61" s="104"/>
      <c r="C61" s="104"/>
      <c r="D61" s="137" t="s">
        <v>24</v>
      </c>
      <c r="E61" s="137"/>
      <c r="F61" s="137"/>
      <c r="G61" s="137"/>
      <c r="H61" s="137"/>
      <c r="J61" s="24"/>
      <c r="K61" s="24"/>
    </row>
    <row r="62" spans="1:14" ht="31.5" customHeight="1" x14ac:dyDescent="0.35">
      <c r="A62" s="104" t="s">
        <v>76</v>
      </c>
      <c r="B62" s="104"/>
      <c r="C62" s="104"/>
      <c r="D62" s="142" t="s">
        <v>196</v>
      </c>
      <c r="E62" s="137"/>
      <c r="F62" s="137"/>
      <c r="G62" s="137"/>
      <c r="H62" s="137"/>
    </row>
    <row r="63" spans="1:14" x14ac:dyDescent="0.35">
      <c r="A63" s="137" t="s">
        <v>155</v>
      </c>
      <c r="B63" s="137"/>
      <c r="C63" s="137"/>
      <c r="D63" s="137" t="s">
        <v>30</v>
      </c>
      <c r="E63" s="137"/>
      <c r="F63" s="137"/>
      <c r="G63" s="137"/>
      <c r="H63" s="137"/>
      <c r="I63" s="25"/>
      <c r="J63" s="25"/>
      <c r="K63" s="25"/>
      <c r="L63" s="25"/>
      <c r="M63" s="25"/>
      <c r="N63" s="25"/>
    </row>
    <row r="64" spans="1:14" ht="15.75" customHeight="1" x14ac:dyDescent="0.35">
      <c r="A64" s="104" t="s">
        <v>88</v>
      </c>
      <c r="B64" s="104"/>
      <c r="C64" s="104"/>
      <c r="D64" s="142" t="str">
        <f ca="1">(IF(G70&gt;95%,"Nothing",IF(G70&gt;0%,"Cement, Aggregate, Steel, etc",IF(G70=0%,"Work not yet Started"))))</f>
        <v>Cement, Aggregate, Steel, etc</v>
      </c>
      <c r="E64" s="142"/>
      <c r="F64" s="142"/>
      <c r="G64" s="142"/>
      <c r="H64" s="142"/>
      <c r="J64" s="24"/>
    </row>
    <row r="65" spans="1:10" ht="33.75" customHeight="1" thickBot="1" x14ac:dyDescent="0.4">
      <c r="A65" s="137" t="s">
        <v>120</v>
      </c>
      <c r="B65" s="137"/>
      <c r="C65" s="137"/>
      <c r="D65" s="142" t="str">
        <f ca="1">(IF(D64="Nothing","Yes",IF(D64="Cement, Aggregate, Steel, etc","Under Construction",IF(D64="Work not yet Started","Work not yet Started"))))</f>
        <v>Under Construction</v>
      </c>
      <c r="E65" s="142"/>
      <c r="F65" s="142" t="str">
        <f ca="1">(IF(D64="Nothing","Yes",IF(D64="Cement, Aggregate, Steel, etc","Under Construction",IF(D64="Work not yet Started","Work not yet Started"))))</f>
        <v>Under Construction</v>
      </c>
      <c r="G65" s="142"/>
      <c r="H65" s="142"/>
    </row>
    <row r="66" spans="1:10" ht="15.75" customHeight="1" x14ac:dyDescent="0.35">
      <c r="A66" s="221" t="s">
        <v>145</v>
      </c>
      <c r="B66" s="221"/>
      <c r="C66" s="185" t="str">
        <f>D57</f>
        <v>Wing A = Stilt/Gr + 1P + 1st to 31st Floor</v>
      </c>
      <c r="D66" s="185"/>
      <c r="E66" s="185"/>
      <c r="F66" s="185"/>
      <c r="G66" s="185"/>
      <c r="H66" s="185"/>
      <c r="I66" s="219" t="str">
        <f ca="1">IF(D79=100%,"All work Completed. Possession granted to the Building.",IF(D78=100%,"All work Completed, Waiting for OC",I67&amp;""&amp;I68&amp;""&amp;J67&amp;""&amp;J66&amp;" "&amp;J68))</f>
        <v>Excavation, Plinth, RCC Slab Completed, Brickwork upto 28 Floor, Internal Plaster upto 22 Floor, External Plaster upto 19 Floor, Flooring upto 10 Floor, Painting upto 6 Floor Completed</v>
      </c>
      <c r="J66" s="45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Brickwork upto 28 Floor, Internal Plaster upto 22 Floor, External Plaster upto 19 Floor, Flooring upto 10 Floor, Painting upto 6 Floor</v>
      </c>
    </row>
    <row r="67" spans="1:10" x14ac:dyDescent="0.35">
      <c r="A67" s="70" t="s">
        <v>147</v>
      </c>
      <c r="B67" s="70">
        <f>IF(AND(ISNUMBER(SEARCH("1B",C66))),1,IF(AND(ISNUMBER(SEARCH("2B",C66))),2,IF(AND(ISNUMBER(SEARCH("3B",C66))),3,IF(AND(ISNUMBER(SEARCH("4B",C66))),4,IF(ISNUMBER(SEARCH("5B",C66)),5,0)))))</f>
        <v>0</v>
      </c>
      <c r="C67" s="63" t="s">
        <v>73</v>
      </c>
      <c r="D67" s="63">
        <v>1</v>
      </c>
      <c r="E67" s="63" t="s">
        <v>72</v>
      </c>
      <c r="F67" s="63">
        <v>1</v>
      </c>
      <c r="G67" s="63" t="s">
        <v>82</v>
      </c>
      <c r="H67" s="63">
        <f ca="1">--TRIM(RIGHT(SUBSTITUTE(LEFT(C66,_xlfn.AGGREGATE(16,6,FIND({0,1,2,3,4,5,6,7,8,9},C66,ROW(INDIRECT("1:"&amp;LEN(C66)))),1))," ",REPT(" ",LEN(C66))),LEN(C66)))</f>
        <v>31</v>
      </c>
      <c r="I67" s="22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</v>
      </c>
      <c r="J67" s="47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51" customHeight="1" x14ac:dyDescent="0.35">
      <c r="A68" s="151" t="s">
        <v>92</v>
      </c>
      <c r="B68" s="151"/>
      <c r="C68" s="185" t="str">
        <f ca="1">I66</f>
        <v>Excavation, Plinth, RCC Slab Completed, Brickwork upto 28 Floor, Internal Plaster upto 22 Floor, External Plaster upto 19 Floor, Flooring upto 10 Floor, Painting upto 6 Floor Completed</v>
      </c>
      <c r="D68" s="185"/>
      <c r="E68" s="185"/>
      <c r="F68" s="185"/>
      <c r="G68" s="185"/>
      <c r="H68" s="185"/>
      <c r="I68" s="220" t="str">
        <f ca="1">IF(I67&lt;&gt;""," Completed","")</f>
        <v xml:space="preserve"> Completed</v>
      </c>
      <c r="J68" s="47" t="str">
        <f ca="1">IF(J66&lt;&gt;"","Completed","")</f>
        <v>Completed</v>
      </c>
    </row>
    <row r="69" spans="1:10" ht="15.75" customHeight="1" x14ac:dyDescent="0.35">
      <c r="A69" s="101" t="s">
        <v>50</v>
      </c>
      <c r="B69" s="102"/>
      <c r="C69" s="49" t="s">
        <v>144</v>
      </c>
      <c r="D69" s="49" t="s">
        <v>85</v>
      </c>
      <c r="E69" s="102" t="s">
        <v>87</v>
      </c>
      <c r="F69" s="102"/>
      <c r="G69" s="102" t="s">
        <v>86</v>
      </c>
      <c r="H69" s="152"/>
      <c r="I69" s="14" t="s">
        <v>146</v>
      </c>
      <c r="J69" s="26">
        <f ca="1">H67*25%</f>
        <v>7.75</v>
      </c>
    </row>
    <row r="70" spans="1:10" x14ac:dyDescent="0.35">
      <c r="A70" s="101" t="s">
        <v>133</v>
      </c>
      <c r="B70" s="102"/>
      <c r="C70" s="49">
        <f ca="1">J71</f>
        <v>31</v>
      </c>
      <c r="D70" s="50">
        <f ca="1">((100/H67)*C70)/100</f>
        <v>1</v>
      </c>
      <c r="E70" s="95">
        <f ca="1">(((C71/H67*10)+(40/(D67+F67+H67)*C72)+(7.5/(H67)*C73)+(7.5/(H67)*C74)+(10/H67*C75)+(10/H67*C76)+(5/H67*C77)+(5/H67*C78)+(5/H67*C79))/100)</f>
        <v>0.72419354838709671</v>
      </c>
      <c r="F70" s="114"/>
      <c r="G70" s="95">
        <f ca="1">((((C70/H67)*20)+((C71/H67)*25)+(30/(H67+F67+D67)*C72)+(5/H67*C73)+(5/H67*C74)+(5/H67*C75)+(5/H67*C76)+(0/H67*C77)+(0/H67*C78)+(5/H67*C79))/100)</f>
        <v>0.87741935483870959</v>
      </c>
      <c r="H70" s="96"/>
      <c r="I70" s="14" t="s">
        <v>102</v>
      </c>
      <c r="J70" s="27">
        <f ca="1">H67*50%</f>
        <v>15.5</v>
      </c>
    </row>
    <row r="71" spans="1:10" x14ac:dyDescent="0.35">
      <c r="A71" s="101" t="s">
        <v>51</v>
      </c>
      <c r="B71" s="102"/>
      <c r="C71" s="49">
        <f ca="1">J79</f>
        <v>31</v>
      </c>
      <c r="D71" s="50">
        <f ca="1">((100/H67)*C71)/100</f>
        <v>1</v>
      </c>
      <c r="E71" s="97"/>
      <c r="F71" s="115"/>
      <c r="G71" s="97"/>
      <c r="H71" s="98"/>
      <c r="I71" s="14" t="s">
        <v>103</v>
      </c>
      <c r="J71" s="27">
        <f ca="1">H67</f>
        <v>31</v>
      </c>
    </row>
    <row r="72" spans="1:10" ht="15.75" customHeight="1" x14ac:dyDescent="0.35">
      <c r="A72" s="101" t="s">
        <v>134</v>
      </c>
      <c r="B72" s="102"/>
      <c r="C72" s="49">
        <f>F67+32</f>
        <v>33</v>
      </c>
      <c r="D72" s="50">
        <f ca="1">((100/(D67+F67+H67))*C72)/100</f>
        <v>1</v>
      </c>
      <c r="E72" s="97"/>
      <c r="F72" s="115"/>
      <c r="G72" s="97"/>
      <c r="H72" s="98"/>
      <c r="I72" s="14" t="s">
        <v>104</v>
      </c>
      <c r="J72" s="28">
        <f ca="1">(IF(B67&gt;1,(H67/(B67+2)),H67/4))</f>
        <v>7.75</v>
      </c>
    </row>
    <row r="73" spans="1:10" ht="15.75" customHeight="1" x14ac:dyDescent="0.35">
      <c r="A73" s="101" t="s">
        <v>141</v>
      </c>
      <c r="B73" s="102" t="s">
        <v>135</v>
      </c>
      <c r="C73" s="49">
        <v>28</v>
      </c>
      <c r="D73" s="50">
        <f ca="1">((100/H67)*C73)/100</f>
        <v>0.90322580645161277</v>
      </c>
      <c r="E73" s="97"/>
      <c r="F73" s="115"/>
      <c r="G73" s="97"/>
      <c r="H73" s="98"/>
      <c r="I73" s="14" t="s">
        <v>105</v>
      </c>
      <c r="J73" s="28">
        <f ca="1">(IF(B67&gt;1,(H67/(B67+2)+J72),H67/4+J72))</f>
        <v>15.5</v>
      </c>
    </row>
    <row r="74" spans="1:10" ht="15.75" customHeight="1" x14ac:dyDescent="0.35">
      <c r="A74" s="101" t="s">
        <v>142</v>
      </c>
      <c r="B74" s="102" t="s">
        <v>135</v>
      </c>
      <c r="C74" s="49">
        <v>22</v>
      </c>
      <c r="D74" s="50">
        <f ca="1">((100/H67)*C74)/100</f>
        <v>0.70967741935483875</v>
      </c>
      <c r="E74" s="97"/>
      <c r="F74" s="115"/>
      <c r="G74" s="97"/>
      <c r="H74" s="98"/>
      <c r="I74" s="14" t="s">
        <v>153</v>
      </c>
      <c r="J74" s="28">
        <f>(IF(B67&gt;1,(H67/(B67+2)+J73),0))</f>
        <v>0</v>
      </c>
    </row>
    <row r="75" spans="1:10" ht="15" customHeight="1" x14ac:dyDescent="0.35">
      <c r="A75" s="101" t="s">
        <v>140</v>
      </c>
      <c r="B75" s="102" t="s">
        <v>137</v>
      </c>
      <c r="C75" s="49">
        <v>19</v>
      </c>
      <c r="D75" s="50">
        <f ca="1">((100/(H67))*C75)/100</f>
        <v>0.61290322580645162</v>
      </c>
      <c r="E75" s="97"/>
      <c r="F75" s="115"/>
      <c r="G75" s="97"/>
      <c r="H75" s="98"/>
      <c r="I75" s="14" t="s">
        <v>148</v>
      </c>
      <c r="J75" s="28">
        <f>(IF(B67&gt;2,(H67/(B67+2)+J74),0))</f>
        <v>0</v>
      </c>
    </row>
    <row r="76" spans="1:10" ht="15.75" customHeight="1" x14ac:dyDescent="0.35">
      <c r="A76" s="101" t="s">
        <v>136</v>
      </c>
      <c r="B76" s="102" t="s">
        <v>136</v>
      </c>
      <c r="C76" s="49">
        <v>10</v>
      </c>
      <c r="D76" s="50">
        <f ca="1">((100/H67)*C76)/100</f>
        <v>0.32258064516129031</v>
      </c>
      <c r="E76" s="97"/>
      <c r="F76" s="115"/>
      <c r="G76" s="97"/>
      <c r="H76" s="98"/>
      <c r="I76" s="14" t="s">
        <v>149</v>
      </c>
      <c r="J76" s="29">
        <f>(IF(B67&gt;3,(H67/(B67+2)+J75),0))</f>
        <v>0</v>
      </c>
    </row>
    <row r="77" spans="1:10" ht="15.75" customHeight="1" x14ac:dyDescent="0.35">
      <c r="A77" s="101" t="s">
        <v>143</v>
      </c>
      <c r="B77" s="102"/>
      <c r="C77" s="49">
        <v>6</v>
      </c>
      <c r="D77" s="50">
        <f ca="1">((100/H67)*C77)/100</f>
        <v>0.19354838709677416</v>
      </c>
      <c r="E77" s="97"/>
      <c r="F77" s="115"/>
      <c r="G77" s="97"/>
      <c r="H77" s="98"/>
      <c r="I77" s="14" t="s">
        <v>150</v>
      </c>
      <c r="J77" s="28">
        <f>(IF(B67&gt;4,(H67/(B67+2)+J76),0))</f>
        <v>0</v>
      </c>
    </row>
    <row r="78" spans="1:10" ht="15.75" customHeight="1" x14ac:dyDescent="0.35">
      <c r="A78" s="101" t="s">
        <v>138</v>
      </c>
      <c r="B78" s="102" t="s">
        <v>138</v>
      </c>
      <c r="C78" s="49">
        <v>0</v>
      </c>
      <c r="D78" s="50">
        <f ca="1">((100/(H67))*C78)/100</f>
        <v>0</v>
      </c>
      <c r="E78" s="97"/>
      <c r="F78" s="115"/>
      <c r="G78" s="97"/>
      <c r="H78" s="98"/>
      <c r="I78" s="14" t="s">
        <v>154</v>
      </c>
      <c r="J78" s="28">
        <f ca="1">(IF(B67=1,(H67/(B67+3)+J73),IF(B67=0,(H67/4+J73),IF(B67&gt;1,0))))</f>
        <v>23.25</v>
      </c>
    </row>
    <row r="79" spans="1:10" ht="16" thickBot="1" x14ac:dyDescent="0.4">
      <c r="A79" s="134" t="s">
        <v>139</v>
      </c>
      <c r="B79" s="135"/>
      <c r="C79" s="49">
        <v>0</v>
      </c>
      <c r="D79" s="51">
        <f ca="1">((100/(H67))*C79)/100</f>
        <v>0</v>
      </c>
      <c r="E79" s="99"/>
      <c r="F79" s="116"/>
      <c r="G79" s="99"/>
      <c r="H79" s="100"/>
      <c r="I79" s="15" t="s">
        <v>106</v>
      </c>
      <c r="J79" s="30">
        <f ca="1">(IF(B67&gt;1.5,(H67/(B67+2)+J73+MAX(0,J74-J73)+MAX(0,J75-J74)+MAX(0,J76-J75)+MAX(0,J77-J76)+MAX(0,J78-J77)),IF(B67=1,(H67/(B67+3)+J78),IF(B67=0,H67/4+J78))))</f>
        <v>31</v>
      </c>
    </row>
    <row r="80" spans="1:10" ht="15.75" customHeight="1" x14ac:dyDescent="0.35">
      <c r="A80" s="186" t="s">
        <v>145</v>
      </c>
      <c r="B80" s="187"/>
      <c r="C80" s="188" t="str">
        <f>D58</f>
        <v>Wing B = Gr (Pt) + 1st to 7th Floor</v>
      </c>
      <c r="D80" s="189"/>
      <c r="E80" s="189"/>
      <c r="F80" s="189"/>
      <c r="G80" s="189"/>
      <c r="H80" s="190"/>
      <c r="I80" s="44" t="str">
        <f ca="1">IF(D94=100%,"All work Completed. Possession granted to the Building.",IF(D93=100%,"All work Completed, Waiting for OC",I81&amp;""&amp;I83&amp;""&amp;J81&amp;""&amp;J80&amp;" "&amp;J83))</f>
        <v>All work Completed. Possession granted to the Building.</v>
      </c>
      <c r="J80" s="45" t="str">
        <f ca="1">(IF(C87=(D81+F81+H81),"",IF(C87&gt;0,", RCC upto "&amp;C87&amp;" Slab","")))&amp;(IF(C88=H81,"",IF(C88&gt;0,", Brickwork upto "&amp;C88&amp;" Floor","")))&amp;(IF(C89=H81,"",IF(C89&gt;0,", Internal Plaster upto "&amp;C89&amp;" Floor","")))&amp;(IF(C90=H81,"",IF(C90&gt;0,", External Plaster upto "&amp;C90&amp;" Floor","")))&amp;(IF(C91=H81,"",IF(C91&gt;0,", Flooring upto "&amp;C91&amp;" Floor","")))&amp;(IF(C92=H81,"",IF(C92&gt;0,", Painting upto "&amp;C92&amp;" Floor","")))&amp;(IF(C93=H81,"",IF(C93&gt;0,", Finishing upto "&amp;C93&amp;" Floor","")))&amp;(IF(C94=H81,"",IF(C94&gt;0,", Possession upto "&amp;C94&amp;" Floor","")))</f>
        <v/>
      </c>
    </row>
    <row r="81" spans="1:15" x14ac:dyDescent="0.35">
      <c r="A81" s="16" t="s">
        <v>147</v>
      </c>
      <c r="B81" s="66">
        <f>IF(AND(ISNUMBER(SEARCH("1B",C80))),1,IF(AND(ISNUMBER(SEARCH("2B",C80))),2,IF(AND(ISNUMBER(SEARCH("3B",C80))),3,IF(AND(ISNUMBER(SEARCH("4B",C80))),4,IF(ISNUMBER(SEARCH("5B",C80)),5,0)))))</f>
        <v>0</v>
      </c>
      <c r="C81" s="66" t="s">
        <v>73</v>
      </c>
      <c r="D81" s="66">
        <v>1</v>
      </c>
      <c r="E81" s="66" t="s">
        <v>72</v>
      </c>
      <c r="F81" s="66">
        <v>0</v>
      </c>
      <c r="G81" s="66" t="s">
        <v>82</v>
      </c>
      <c r="H81" s="17">
        <f ca="1">--TRIM(RIGHT(SUBSTITUTE(LEFT(C80,_xlfn.AGGREGATE(16,6,FIND({0,1,2,3,4,5,6,7,8,9},C80,ROW(INDIRECT("1:"&amp;LEN(C80)))),1))," ",REPT(" ",LEN(C80))),LEN(C80)))</f>
        <v>7</v>
      </c>
      <c r="I81" s="46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Painting, Building common Amenities</v>
      </c>
      <c r="J81" s="47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2" spans="1:15" x14ac:dyDescent="0.35">
      <c r="A82" s="198" t="s">
        <v>87</v>
      </c>
      <c r="B82" s="174"/>
      <c r="C82" s="199">
        <v>1</v>
      </c>
      <c r="D82" s="200"/>
      <c r="E82" s="174" t="s">
        <v>86</v>
      </c>
      <c r="F82" s="201"/>
      <c r="G82" s="199">
        <v>1</v>
      </c>
      <c r="H82" s="202"/>
      <c r="I82" s="46"/>
      <c r="J82" s="47"/>
    </row>
    <row r="83" spans="1:15" ht="31.5" customHeight="1" thickBot="1" x14ac:dyDescent="0.4">
      <c r="A83" s="204" t="s">
        <v>92</v>
      </c>
      <c r="B83" s="205"/>
      <c r="C83" s="206" t="s">
        <v>243</v>
      </c>
      <c r="D83" s="206"/>
      <c r="E83" s="206"/>
      <c r="F83" s="206"/>
      <c r="G83" s="206"/>
      <c r="H83" s="207"/>
      <c r="I83" s="46" t="str">
        <f ca="1">IF(I81&lt;&gt;""," Completed","")</f>
        <v xml:space="preserve"> Completed</v>
      </c>
      <c r="J83" s="47" t="str">
        <f ca="1">IF(J80&lt;&gt;"","Completed","")</f>
        <v/>
      </c>
    </row>
    <row r="84" spans="1:15" ht="15.75" hidden="1" customHeight="1" x14ac:dyDescent="0.35">
      <c r="A84" s="136" t="s">
        <v>50</v>
      </c>
      <c r="B84" s="108"/>
      <c r="C84" s="67" t="s">
        <v>144</v>
      </c>
      <c r="D84" s="67" t="s">
        <v>85</v>
      </c>
      <c r="E84" s="108" t="s">
        <v>87</v>
      </c>
      <c r="F84" s="108"/>
      <c r="G84" s="108" t="s">
        <v>86</v>
      </c>
      <c r="H84" s="109"/>
      <c r="I84" s="14" t="s">
        <v>146</v>
      </c>
      <c r="J84" s="26">
        <f ca="1">H81*25%</f>
        <v>1.75</v>
      </c>
    </row>
    <row r="85" spans="1:15" hidden="1" x14ac:dyDescent="0.35">
      <c r="A85" s="101" t="s">
        <v>133</v>
      </c>
      <c r="B85" s="102"/>
      <c r="C85" s="49">
        <f ca="1">J86</f>
        <v>7</v>
      </c>
      <c r="D85" s="50">
        <f ca="1">((100/H81)*C85)/100</f>
        <v>1</v>
      </c>
      <c r="E85" s="95">
        <f ca="1">(((C86/H81*10)+(40/(D81+F81+H81)*C87)+(7.5/(H81)*C88)+(7.5/(H81)*C89)+(10/H81*C90)+(10/H81*C91)+(5/H81*C92)+(5/H81*C93)+(5/H81*C94))/100)</f>
        <v>1</v>
      </c>
      <c r="F85" s="114"/>
      <c r="G85" s="95">
        <f ca="1">((((C85/H81)*20)+((C86/H81)*25)+(30/(H81+F81+D81)*C87)+(5/H81*C88)+(5/H81*C89)+(5/H81*C90)+(5/H81*C91)+(0/H81*C92)+(0/H81*C93)+(5/H81*C94))/100)</f>
        <v>1</v>
      </c>
      <c r="H85" s="96"/>
      <c r="I85" s="14" t="s">
        <v>102</v>
      </c>
      <c r="J85" s="27">
        <f ca="1">H81*50%</f>
        <v>3.5</v>
      </c>
    </row>
    <row r="86" spans="1:15" hidden="1" x14ac:dyDescent="0.35">
      <c r="A86" s="101" t="s">
        <v>51</v>
      </c>
      <c r="B86" s="102"/>
      <c r="C86" s="52">
        <v>7</v>
      </c>
      <c r="D86" s="50">
        <f ca="1">((100/H81)*C86)/100</f>
        <v>1</v>
      </c>
      <c r="E86" s="97"/>
      <c r="F86" s="115"/>
      <c r="G86" s="97"/>
      <c r="H86" s="98"/>
      <c r="I86" s="14" t="s">
        <v>103</v>
      </c>
      <c r="J86" s="27">
        <f ca="1">H81</f>
        <v>7</v>
      </c>
    </row>
    <row r="87" spans="1:15" ht="15.75" hidden="1" customHeight="1" x14ac:dyDescent="0.35">
      <c r="A87" s="101" t="s">
        <v>134</v>
      </c>
      <c r="B87" s="102"/>
      <c r="C87" s="49">
        <v>8</v>
      </c>
      <c r="D87" s="50">
        <f ca="1">((100/(D81+F81+H81))*C87)/100</f>
        <v>1</v>
      </c>
      <c r="E87" s="97"/>
      <c r="F87" s="115"/>
      <c r="G87" s="97"/>
      <c r="H87" s="98"/>
      <c r="I87" s="14" t="s">
        <v>104</v>
      </c>
      <c r="J87" s="28">
        <f ca="1">(IF(B81&gt;1,(H81/(B81+2)),H81/4))</f>
        <v>1.75</v>
      </c>
    </row>
    <row r="88" spans="1:15" ht="15.75" hidden="1" customHeight="1" x14ac:dyDescent="0.35">
      <c r="A88" s="101" t="s">
        <v>141</v>
      </c>
      <c r="B88" s="102" t="s">
        <v>135</v>
      </c>
      <c r="C88" s="49">
        <v>7</v>
      </c>
      <c r="D88" s="50">
        <f ca="1">((100/H81)*C88)/100</f>
        <v>1</v>
      </c>
      <c r="E88" s="97"/>
      <c r="F88" s="115"/>
      <c r="G88" s="97"/>
      <c r="H88" s="98"/>
      <c r="I88" s="14" t="s">
        <v>105</v>
      </c>
      <c r="J88" s="28">
        <f ca="1">(IF(B81&gt;1,(H81/(B81+2)+J87),H81/4+J87))</f>
        <v>3.5</v>
      </c>
    </row>
    <row r="89" spans="1:15" ht="15.75" hidden="1" customHeight="1" x14ac:dyDescent="0.35">
      <c r="A89" s="101" t="s">
        <v>142</v>
      </c>
      <c r="B89" s="102" t="s">
        <v>135</v>
      </c>
      <c r="C89" s="49">
        <v>7</v>
      </c>
      <c r="D89" s="50">
        <f ca="1">((100/H81)*C89)/100</f>
        <v>1</v>
      </c>
      <c r="E89" s="97"/>
      <c r="F89" s="115"/>
      <c r="G89" s="97"/>
      <c r="H89" s="98"/>
      <c r="I89" s="14" t="s">
        <v>153</v>
      </c>
      <c r="J89" s="28">
        <f>(IF(B81&gt;1,(H81/(B81+2)+J88),0))</f>
        <v>0</v>
      </c>
    </row>
    <row r="90" spans="1:15" ht="15" hidden="1" customHeight="1" x14ac:dyDescent="0.35">
      <c r="A90" s="101" t="s">
        <v>140</v>
      </c>
      <c r="B90" s="102" t="s">
        <v>137</v>
      </c>
      <c r="C90" s="49">
        <v>7</v>
      </c>
      <c r="D90" s="50">
        <f ca="1">((100/(H81))*C90)/100</f>
        <v>1</v>
      </c>
      <c r="E90" s="97"/>
      <c r="F90" s="115"/>
      <c r="G90" s="97"/>
      <c r="H90" s="98"/>
      <c r="I90" s="14" t="s">
        <v>148</v>
      </c>
      <c r="J90" s="28">
        <f>(IF(B81&gt;2,(H81/(B81+2)+J89),0))</f>
        <v>0</v>
      </c>
    </row>
    <row r="91" spans="1:15" ht="15.75" hidden="1" customHeight="1" x14ac:dyDescent="0.35">
      <c r="A91" s="101" t="s">
        <v>136</v>
      </c>
      <c r="B91" s="102" t="s">
        <v>136</v>
      </c>
      <c r="C91" s="49">
        <v>7</v>
      </c>
      <c r="D91" s="50">
        <f ca="1">((100/H81)*C91)/100</f>
        <v>1</v>
      </c>
      <c r="E91" s="97"/>
      <c r="F91" s="115"/>
      <c r="G91" s="97"/>
      <c r="H91" s="98"/>
      <c r="I91" s="14" t="s">
        <v>149</v>
      </c>
      <c r="J91" s="29">
        <f>(IF(B81&gt;3,(H81/(B81+2)+J90),0))</f>
        <v>0</v>
      </c>
    </row>
    <row r="92" spans="1:15" ht="15.75" hidden="1" customHeight="1" x14ac:dyDescent="0.35">
      <c r="A92" s="101" t="s">
        <v>143</v>
      </c>
      <c r="B92" s="102"/>
      <c r="C92" s="49">
        <v>7</v>
      </c>
      <c r="D92" s="50">
        <f ca="1">((100/H81)*C92)/100</f>
        <v>1</v>
      </c>
      <c r="E92" s="97"/>
      <c r="F92" s="115"/>
      <c r="G92" s="97"/>
      <c r="H92" s="98"/>
      <c r="I92" s="14" t="s">
        <v>150</v>
      </c>
      <c r="J92" s="28">
        <f>(IF(B81&gt;4,(H81/(B81+2)+J91),0))</f>
        <v>0</v>
      </c>
    </row>
    <row r="93" spans="1:15" ht="15.75" hidden="1" customHeight="1" x14ac:dyDescent="0.35">
      <c r="A93" s="101" t="s">
        <v>138</v>
      </c>
      <c r="B93" s="102" t="s">
        <v>138</v>
      </c>
      <c r="C93" s="49">
        <v>7</v>
      </c>
      <c r="D93" s="50">
        <f ca="1">((100/(H81))*C93)/100</f>
        <v>1</v>
      </c>
      <c r="E93" s="97"/>
      <c r="F93" s="115"/>
      <c r="G93" s="97"/>
      <c r="H93" s="98"/>
      <c r="I93" s="14" t="s">
        <v>154</v>
      </c>
      <c r="J93" s="28">
        <f ca="1">(IF(B81=1,(H81/(B81+3)+J88),IF(B81=0,(H81/4+J88),IF(B81&gt;1,0))))</f>
        <v>5.25</v>
      </c>
    </row>
    <row r="94" spans="1:15" ht="16" hidden="1" thickBot="1" x14ac:dyDescent="0.4">
      <c r="A94" s="134" t="s">
        <v>139</v>
      </c>
      <c r="B94" s="135"/>
      <c r="C94" s="53">
        <v>7</v>
      </c>
      <c r="D94" s="51">
        <f ca="1">((100/(H81))*C94)/100</f>
        <v>1</v>
      </c>
      <c r="E94" s="99"/>
      <c r="F94" s="116"/>
      <c r="G94" s="99"/>
      <c r="H94" s="100"/>
      <c r="I94" s="15" t="s">
        <v>106</v>
      </c>
      <c r="J94" s="30">
        <f ca="1">(IF(B81&gt;1.5,(H81/(B81+2)+J88+MAX(0,J89-J88)+MAX(0,J90-J89)+MAX(0,J91-J90)+MAX(0,J92-J91)+MAX(0,J93-J92)),IF(B81=1,(H81/(B81+3)+J93),IF(B81=0,H81/4+J93))))</f>
        <v>7</v>
      </c>
    </row>
    <row r="95" spans="1:15" x14ac:dyDescent="0.35">
      <c r="A95" s="110" t="s">
        <v>165</v>
      </c>
      <c r="B95" s="110"/>
      <c r="C95" s="110"/>
      <c r="D95" s="110"/>
      <c r="E95" s="110"/>
      <c r="F95" s="117" t="s">
        <v>170</v>
      </c>
      <c r="G95" s="117"/>
      <c r="H95" s="117"/>
    </row>
    <row r="96" spans="1:15" x14ac:dyDescent="0.35">
      <c r="A96" s="104" t="s">
        <v>168</v>
      </c>
      <c r="B96" s="104"/>
      <c r="C96" s="104"/>
      <c r="D96" s="104"/>
      <c r="E96" s="104"/>
      <c r="F96" s="103">
        <v>4200</v>
      </c>
      <c r="G96" s="103"/>
      <c r="H96" s="103"/>
      <c r="J96" s="19" t="s">
        <v>233</v>
      </c>
      <c r="K96" s="19" t="s">
        <v>235</v>
      </c>
      <c r="M96" s="19" t="s">
        <v>240</v>
      </c>
      <c r="N96" s="23">
        <v>45270</v>
      </c>
      <c r="O96" s="19" t="s">
        <v>241</v>
      </c>
    </row>
    <row r="97" spans="1:10" x14ac:dyDescent="0.35">
      <c r="A97" s="104" t="s">
        <v>167</v>
      </c>
      <c r="B97" s="104"/>
      <c r="C97" s="104"/>
      <c r="D97" s="104"/>
      <c r="E97" s="104"/>
      <c r="F97" s="103">
        <v>7500</v>
      </c>
      <c r="G97" s="103"/>
      <c r="H97" s="103"/>
      <c r="J97" s="19">
        <f>3100000/F170</f>
        <v>4635.729726560945</v>
      </c>
    </row>
    <row r="98" spans="1:10" hidden="1" x14ac:dyDescent="0.35">
      <c r="A98" s="104" t="s">
        <v>169</v>
      </c>
      <c r="B98" s="104"/>
      <c r="C98" s="104"/>
      <c r="D98" s="104"/>
      <c r="E98" s="104"/>
      <c r="F98" s="103"/>
      <c r="G98" s="103"/>
      <c r="H98" s="103"/>
    </row>
    <row r="99" spans="1:10" s="31" customFormat="1" hidden="1" x14ac:dyDescent="0.3">
      <c r="A99" s="104" t="s">
        <v>166</v>
      </c>
      <c r="B99" s="104"/>
      <c r="C99" s="104"/>
      <c r="D99" s="104"/>
      <c r="E99" s="104"/>
      <c r="F99" s="103"/>
      <c r="G99" s="103"/>
      <c r="H99" s="103"/>
    </row>
    <row r="100" spans="1:10" s="31" customFormat="1" hidden="1" x14ac:dyDescent="0.3">
      <c r="A100" s="104" t="s">
        <v>97</v>
      </c>
      <c r="B100" s="104"/>
      <c r="C100" s="104"/>
      <c r="D100" s="104"/>
      <c r="E100" s="104"/>
      <c r="F100" s="103"/>
      <c r="G100" s="103"/>
      <c r="H100" s="103"/>
    </row>
    <row r="101" spans="1:10" s="31" customFormat="1" hidden="1" x14ac:dyDescent="0.3">
      <c r="A101" s="104" t="s">
        <v>98</v>
      </c>
      <c r="B101" s="104"/>
      <c r="C101" s="104"/>
      <c r="D101" s="104"/>
      <c r="E101" s="104"/>
      <c r="F101" s="103"/>
      <c r="G101" s="103"/>
      <c r="H101" s="103"/>
    </row>
    <row r="102" spans="1:10" s="31" customFormat="1" hidden="1" x14ac:dyDescent="0.3">
      <c r="A102" s="104" t="s">
        <v>171</v>
      </c>
      <c r="B102" s="104"/>
      <c r="C102" s="104"/>
      <c r="D102" s="104"/>
      <c r="E102" s="104"/>
      <c r="F102" s="103"/>
      <c r="G102" s="103"/>
      <c r="H102" s="103"/>
    </row>
    <row r="103" spans="1:10" s="31" customFormat="1" hidden="1" x14ac:dyDescent="0.3">
      <c r="A103" s="104" t="s">
        <v>99</v>
      </c>
      <c r="B103" s="104"/>
      <c r="C103" s="104"/>
      <c r="D103" s="104"/>
      <c r="E103" s="104"/>
      <c r="F103" s="103"/>
      <c r="G103" s="103"/>
      <c r="H103" s="103"/>
    </row>
    <row r="104" spans="1:10" s="31" customFormat="1" x14ac:dyDescent="0.3">
      <c r="A104" s="104" t="s">
        <v>232</v>
      </c>
      <c r="B104" s="104"/>
      <c r="C104" s="104"/>
      <c r="D104" s="104"/>
      <c r="E104" s="104"/>
      <c r="F104" s="103">
        <v>200000</v>
      </c>
      <c r="G104" s="103"/>
      <c r="H104" s="103"/>
      <c r="J104" s="31">
        <f>3900000/F217</f>
        <v>4654.2876577832612</v>
      </c>
    </row>
    <row r="105" spans="1:10" s="31" customFormat="1" hidden="1" x14ac:dyDescent="0.3">
      <c r="A105" s="104" t="s">
        <v>100</v>
      </c>
      <c r="B105" s="104"/>
      <c r="C105" s="104"/>
      <c r="D105" s="104"/>
      <c r="E105" s="104"/>
      <c r="F105" s="103"/>
      <c r="G105" s="103"/>
      <c r="H105" s="103"/>
    </row>
    <row r="106" spans="1:10" s="31" customFormat="1" hidden="1" x14ac:dyDescent="0.3">
      <c r="A106" s="104" t="s">
        <v>101</v>
      </c>
      <c r="B106" s="104"/>
      <c r="C106" s="104"/>
      <c r="D106" s="104"/>
      <c r="E106" s="104"/>
      <c r="F106" s="103"/>
      <c r="G106" s="103"/>
      <c r="H106" s="103"/>
    </row>
    <row r="107" spans="1:10" x14ac:dyDescent="0.35">
      <c r="A107" s="104" t="s">
        <v>52</v>
      </c>
      <c r="B107" s="104"/>
      <c r="C107" s="104"/>
      <c r="D107" s="104"/>
      <c r="E107" s="104"/>
      <c r="F107" s="103">
        <v>150000</v>
      </c>
      <c r="G107" s="103"/>
      <c r="H107" s="103"/>
    </row>
    <row r="108" spans="1:10" s="32" customFormat="1" x14ac:dyDescent="0.35">
      <c r="A108" s="156" t="s">
        <v>53</v>
      </c>
      <c r="B108" s="156"/>
      <c r="C108" s="156"/>
      <c r="D108" s="156"/>
      <c r="E108" s="156"/>
      <c r="F108" s="103">
        <f>F96*0.8</f>
        <v>3360</v>
      </c>
      <c r="G108" s="103"/>
      <c r="H108" s="103"/>
    </row>
    <row r="109" spans="1:10" s="33" customFormat="1" ht="15.75" customHeight="1" x14ac:dyDescent="0.35">
      <c r="A109" s="123" t="s">
        <v>77</v>
      </c>
      <c r="B109" s="123"/>
      <c r="C109" s="123"/>
      <c r="D109" s="123"/>
      <c r="E109" s="123"/>
      <c r="F109" s="123"/>
      <c r="G109" s="123"/>
      <c r="H109" s="123"/>
    </row>
    <row r="110" spans="1:10" s="33" customFormat="1" ht="15.75" customHeight="1" x14ac:dyDescent="0.35">
      <c r="A110" s="128" t="s">
        <v>54</v>
      </c>
      <c r="B110" s="128"/>
      <c r="C110" s="125" t="s">
        <v>80</v>
      </c>
      <c r="D110" s="125"/>
      <c r="E110" s="127" t="s">
        <v>55</v>
      </c>
      <c r="F110" s="127"/>
      <c r="G110" s="128" t="s">
        <v>56</v>
      </c>
      <c r="H110" s="128"/>
    </row>
    <row r="111" spans="1:10" s="33" customFormat="1" x14ac:dyDescent="0.35">
      <c r="A111" s="129" t="s">
        <v>210</v>
      </c>
      <c r="B111" s="129"/>
      <c r="C111" s="121">
        <f>COUNT(D126:D146)</f>
        <v>21</v>
      </c>
      <c r="D111" s="122"/>
      <c r="E111" s="121">
        <f>SUM(D126:D146)</f>
        <v>3730.694759999999</v>
      </c>
      <c r="F111" s="122"/>
      <c r="G111" s="121">
        <f>SUM(F126:F146)</f>
        <v>8651.9255940000003</v>
      </c>
      <c r="H111" s="122"/>
    </row>
    <row r="112" spans="1:10" s="33" customFormat="1" x14ac:dyDescent="0.35">
      <c r="A112" s="129" t="s">
        <v>213</v>
      </c>
      <c r="B112" s="129"/>
      <c r="C112" s="121">
        <f>COUNT(D149:D154)</f>
        <v>6</v>
      </c>
      <c r="D112" s="122"/>
      <c r="E112" s="121">
        <f>SUM(D149:D154)</f>
        <v>571.89131999999995</v>
      </c>
      <c r="F112" s="122"/>
      <c r="G112" s="121">
        <f>SUM(F149:F154)</f>
        <v>886.43154599999991</v>
      </c>
      <c r="H112" s="122"/>
    </row>
    <row r="113" spans="1:14" s="33" customFormat="1" x14ac:dyDescent="0.35">
      <c r="A113" s="123" t="s">
        <v>158</v>
      </c>
      <c r="B113" s="123"/>
      <c r="C113" s="124">
        <f>SUM(C111:C112)</f>
        <v>27</v>
      </c>
      <c r="D113" s="125"/>
      <c r="E113" s="126">
        <f>SUM(E111:E112)</f>
        <v>4302.5860799999991</v>
      </c>
      <c r="F113" s="127"/>
      <c r="G113" s="128">
        <f>SUM(G111:G112)</f>
        <v>9538.3571400000001</v>
      </c>
      <c r="H113" s="128"/>
    </row>
    <row r="114" spans="1:14" s="33" customFormat="1" x14ac:dyDescent="0.35">
      <c r="A114" s="123" t="s">
        <v>71</v>
      </c>
      <c r="B114" s="123"/>
      <c r="C114" s="123"/>
      <c r="D114" s="123"/>
      <c r="E114" s="123"/>
      <c r="F114" s="123"/>
      <c r="G114" s="123"/>
      <c r="H114" s="123"/>
    </row>
    <row r="115" spans="1:14" s="33" customFormat="1" ht="15.75" customHeight="1" x14ac:dyDescent="0.35">
      <c r="A115" s="128" t="s">
        <v>54</v>
      </c>
      <c r="B115" s="128"/>
      <c r="C115" s="125" t="s">
        <v>80</v>
      </c>
      <c r="D115" s="125"/>
      <c r="E115" s="127" t="s">
        <v>55</v>
      </c>
      <c r="F115" s="127"/>
      <c r="G115" s="128" t="s">
        <v>56</v>
      </c>
      <c r="H115" s="128"/>
    </row>
    <row r="116" spans="1:14" s="33" customFormat="1" x14ac:dyDescent="0.35">
      <c r="A116" s="129" t="s">
        <v>210</v>
      </c>
      <c r="B116" s="129"/>
      <c r="C116" s="121">
        <f>COUNT(D166:D171)*10+COUNT(D173:D178)+COUNT(D180:D181,D183:D185)+COUNT(D187:D192)*10+COUNT(D194:D199)+COUNT(D201:D205)*3+COUNT(D207:D208,D210:D211)+COUNT(D213:D217)*3</f>
        <v>171</v>
      </c>
      <c r="D116" s="121"/>
      <c r="E116" s="121">
        <f>SUM(D166:D171)*10+SUM(D173:D178)+SUM(D180:D181,D183:D185)+SUM(D187:D192)*10+SUM(D194:D199)+SUM(D201:D205)*3+SUM(D207:D208,D210:D211)+SUM(D213:D217)*3</f>
        <v>77886.215784</v>
      </c>
      <c r="F116" s="121"/>
      <c r="G116" s="121">
        <f>SUM(F166:F171)*10+SUM(F173:F178)+SUM(F180:F181,F183:F185)+SUM(F187:F192)*10+SUM(F194:F199)+SUM(F201:F205)*3+SUM(F207:F208,F210:F211)+SUM(F213:F217)*3</f>
        <v>126412.87077899998</v>
      </c>
      <c r="H116" s="121"/>
    </row>
    <row r="117" spans="1:14" s="33" customFormat="1" x14ac:dyDescent="0.35">
      <c r="A117" s="129" t="s">
        <v>213</v>
      </c>
      <c r="B117" s="129"/>
      <c r="C117" s="121">
        <f>COUNT(D220:D221)*3+COUNT(D223:D224)*3+COUNT(D226:D227)</f>
        <v>14</v>
      </c>
      <c r="D117" s="121"/>
      <c r="E117" s="121">
        <f>SUM(D220:D221)*3+SUM(D223:D224)*3+SUM(D226:D227)</f>
        <v>5279.6343599999991</v>
      </c>
      <c r="F117" s="121"/>
      <c r="G117" s="121">
        <f>SUM(F220:F221)*3+SUM(F223:F224)*3+SUM(F226:F227)</f>
        <v>8712.8659799999987</v>
      </c>
      <c r="H117" s="121"/>
    </row>
    <row r="118" spans="1:14" s="33" customFormat="1" ht="16" thickBot="1" x14ac:dyDescent="0.4">
      <c r="A118" s="111" t="s">
        <v>158</v>
      </c>
      <c r="B118" s="111"/>
      <c r="C118" s="181">
        <f>SUM(C116:C117)</f>
        <v>185</v>
      </c>
      <c r="D118" s="182"/>
      <c r="E118" s="112">
        <f>SUM(E116:E117)</f>
        <v>83165.850143999996</v>
      </c>
      <c r="F118" s="113"/>
      <c r="G118" s="120">
        <f>SUM(G116:G117)</f>
        <v>135125.73675899996</v>
      </c>
      <c r="H118" s="120"/>
    </row>
    <row r="119" spans="1:14" s="33" customFormat="1" x14ac:dyDescent="0.35">
      <c r="A119" s="208" t="s">
        <v>175</v>
      </c>
      <c r="B119" s="209"/>
      <c r="C119" s="210">
        <f>C113+C118</f>
        <v>212</v>
      </c>
      <c r="D119" s="210"/>
      <c r="E119" s="211">
        <f>E113+E118</f>
        <v>87468.43622399999</v>
      </c>
      <c r="F119" s="211"/>
      <c r="G119" s="212">
        <f>G113+G118</f>
        <v>144664.09389899997</v>
      </c>
      <c r="H119" s="213"/>
    </row>
    <row r="120" spans="1:14" s="32" customFormat="1" x14ac:dyDescent="0.35">
      <c r="A120" s="172" t="s">
        <v>57</v>
      </c>
      <c r="B120" s="172"/>
      <c r="C120" s="172"/>
      <c r="D120" s="172"/>
      <c r="E120" s="172"/>
      <c r="F120" s="172"/>
      <c r="G120" s="172"/>
      <c r="H120" s="172"/>
    </row>
    <row r="121" spans="1:14" x14ac:dyDescent="0.35">
      <c r="A121" s="172" t="s">
        <v>239</v>
      </c>
      <c r="B121" s="172"/>
      <c r="C121" s="172"/>
      <c r="D121" s="172"/>
      <c r="E121" s="172"/>
      <c r="F121" s="172"/>
      <c r="G121" s="172"/>
      <c r="H121" s="172"/>
    </row>
    <row r="122" spans="1:14" ht="47.25" customHeight="1" x14ac:dyDescent="0.35">
      <c r="A122" s="214" t="s">
        <v>124</v>
      </c>
      <c r="B122" s="214" t="s">
        <v>123</v>
      </c>
      <c r="C122" s="214" t="s">
        <v>58</v>
      </c>
      <c r="D122" s="214" t="s">
        <v>59</v>
      </c>
      <c r="E122" s="215" t="s">
        <v>164</v>
      </c>
      <c r="F122" s="216" t="s">
        <v>156</v>
      </c>
      <c r="G122" s="214" t="s">
        <v>61</v>
      </c>
      <c r="H122" s="214"/>
    </row>
    <row r="123" spans="1:14" s="35" customFormat="1" x14ac:dyDescent="0.35">
      <c r="A123" s="214"/>
      <c r="B123" s="214"/>
      <c r="C123" s="214"/>
      <c r="D123" s="214"/>
      <c r="E123" s="215"/>
      <c r="F123" s="217">
        <v>0.55000000000000004</v>
      </c>
      <c r="G123" s="214"/>
      <c r="H123" s="214"/>
    </row>
    <row r="124" spans="1:14" s="55" customFormat="1" x14ac:dyDescent="0.35">
      <c r="A124" s="176" t="s">
        <v>210</v>
      </c>
      <c r="B124" s="176"/>
      <c r="C124" s="176"/>
      <c r="D124" s="176"/>
      <c r="E124" s="176"/>
      <c r="F124" s="176"/>
      <c r="G124" s="176"/>
      <c r="H124" s="176"/>
      <c r="J124" s="34"/>
    </row>
    <row r="125" spans="1:14" s="55" customFormat="1" x14ac:dyDescent="0.35">
      <c r="A125" s="176" t="s">
        <v>228</v>
      </c>
      <c r="B125" s="176"/>
      <c r="C125" s="176"/>
      <c r="D125" s="176"/>
      <c r="E125" s="176"/>
      <c r="F125" s="176"/>
      <c r="G125" s="176"/>
      <c r="H125" s="176"/>
      <c r="J125" s="34"/>
    </row>
    <row r="126" spans="1:14" s="55" customFormat="1" ht="15.75" customHeight="1" x14ac:dyDescent="0.35">
      <c r="A126" s="72">
        <v>1</v>
      </c>
      <c r="B126" s="73"/>
      <c r="C126" s="54" t="s">
        <v>212</v>
      </c>
      <c r="D126" s="64">
        <f>(19.27)*(10.764)</f>
        <v>207.42227999999997</v>
      </c>
      <c r="E126" s="64">
        <f>(9.63)*(10.764)</f>
        <v>103.65732</v>
      </c>
      <c r="F126" s="54">
        <f>(D126+E126)*(($F$123)+1)</f>
        <v>482.17337999999995</v>
      </c>
      <c r="G126" s="77" t="str">
        <f>A125</f>
        <v>Ground Floor For Commercial, Society Office &amp; Parking</v>
      </c>
      <c r="H126" s="78"/>
      <c r="I126" s="34"/>
      <c r="J126" s="54">
        <f>2.9*6.65</f>
        <v>19.285</v>
      </c>
      <c r="K126" s="54">
        <f>2.9*3.32</f>
        <v>9.6280000000000001</v>
      </c>
      <c r="L126" s="71"/>
      <c r="M126" s="71"/>
      <c r="N126" s="34"/>
    </row>
    <row r="127" spans="1:14" s="55" customFormat="1" ht="15.75" customHeight="1" x14ac:dyDescent="0.35">
      <c r="A127" s="72">
        <f t="shared" ref="A127:A146" si="0">A126+1</f>
        <v>2</v>
      </c>
      <c r="B127" s="73"/>
      <c r="C127" s="54" t="s">
        <v>212</v>
      </c>
      <c r="D127" s="64">
        <f>(15.54)*(10.764)</f>
        <v>167.27255999999997</v>
      </c>
      <c r="E127" s="64">
        <f>(7.77)*(10.764)</f>
        <v>83.636279999999985</v>
      </c>
      <c r="F127" s="54">
        <f t="shared" ref="F127:F129" si="1">(D127+E127)*(($F$123)+1)</f>
        <v>388.90870199999989</v>
      </c>
      <c r="G127" s="79"/>
      <c r="H127" s="80"/>
      <c r="I127" s="34"/>
      <c r="L127" s="71"/>
      <c r="M127" s="71"/>
      <c r="N127" s="34"/>
    </row>
    <row r="128" spans="1:14" s="55" customFormat="1" ht="15.75" customHeight="1" x14ac:dyDescent="0.35">
      <c r="A128" s="72">
        <f t="shared" si="0"/>
        <v>3</v>
      </c>
      <c r="B128" s="73"/>
      <c r="C128" s="54" t="s">
        <v>212</v>
      </c>
      <c r="D128" s="64">
        <f>(17.26)*(10.764)</f>
        <v>185.78664000000001</v>
      </c>
      <c r="E128" s="64">
        <f>(8.63)*(10.764)</f>
        <v>92.893320000000003</v>
      </c>
      <c r="F128" s="54">
        <f t="shared" si="1"/>
        <v>431.95393799999999</v>
      </c>
      <c r="G128" s="79"/>
      <c r="H128" s="80"/>
      <c r="I128" s="34"/>
      <c r="K128" s="64">
        <f>10.764</f>
        <v>10.763999999999999</v>
      </c>
      <c r="L128" s="71"/>
      <c r="M128" s="71"/>
      <c r="N128" s="34"/>
    </row>
    <row r="129" spans="1:14" s="55" customFormat="1" ht="15.75" customHeight="1" x14ac:dyDescent="0.35">
      <c r="A129" s="72">
        <f t="shared" si="0"/>
        <v>4</v>
      </c>
      <c r="B129" s="73"/>
      <c r="C129" s="54" t="s">
        <v>212</v>
      </c>
      <c r="D129" s="64">
        <f>(14.18)*(10.764)</f>
        <v>152.63351999999998</v>
      </c>
      <c r="E129" s="64">
        <f>(7.09)*(10.764)</f>
        <v>76.316759999999988</v>
      </c>
      <c r="F129" s="54">
        <f t="shared" si="1"/>
        <v>354.87293399999993</v>
      </c>
      <c r="G129" s="79"/>
      <c r="H129" s="80"/>
      <c r="I129" s="34"/>
      <c r="L129" s="71"/>
      <c r="M129" s="71"/>
      <c r="N129" s="34"/>
    </row>
    <row r="130" spans="1:14" s="55" customFormat="1" ht="15.75" customHeight="1" x14ac:dyDescent="0.35">
      <c r="A130" s="72">
        <f t="shared" si="0"/>
        <v>5</v>
      </c>
      <c r="B130" s="73"/>
      <c r="C130" s="54" t="s">
        <v>212</v>
      </c>
      <c r="D130" s="64">
        <f>(10.98)*(10.764)</f>
        <v>118.18872</v>
      </c>
      <c r="E130" s="64">
        <f>(4.97)*(10.764)</f>
        <v>53.497079999999997</v>
      </c>
      <c r="F130" s="54">
        <f t="shared" ref="F130:F135" si="2">(D130+E130)*(($F$123)+1)</f>
        <v>266.11299000000002</v>
      </c>
      <c r="G130" s="79"/>
      <c r="H130" s="80"/>
      <c r="I130" s="34"/>
      <c r="L130" s="71"/>
      <c r="M130" s="71"/>
      <c r="N130" s="34"/>
    </row>
    <row r="131" spans="1:14" s="55" customFormat="1" ht="15.75" customHeight="1" x14ac:dyDescent="0.35">
      <c r="A131" s="72">
        <f t="shared" si="0"/>
        <v>6</v>
      </c>
      <c r="B131" s="73"/>
      <c r="C131" s="54" t="s">
        <v>212</v>
      </c>
      <c r="D131" s="64">
        <f>(9.23)*(10.764)</f>
        <v>99.35172</v>
      </c>
      <c r="E131" s="64">
        <f>(4.61)*(10.764)</f>
        <v>49.622039999999998</v>
      </c>
      <c r="F131" s="54">
        <f t="shared" si="2"/>
        <v>230.90932800000002</v>
      </c>
      <c r="G131" s="79"/>
      <c r="H131" s="80"/>
      <c r="I131" s="34"/>
      <c r="L131" s="71"/>
      <c r="M131" s="71"/>
      <c r="N131" s="34"/>
    </row>
    <row r="132" spans="1:14" s="55" customFormat="1" ht="15.75" customHeight="1" x14ac:dyDescent="0.35">
      <c r="A132" s="72">
        <f t="shared" si="0"/>
        <v>7</v>
      </c>
      <c r="B132" s="73"/>
      <c r="C132" s="54" t="s">
        <v>212</v>
      </c>
      <c r="D132" s="64">
        <f>(19.88)*(10.764)</f>
        <v>213.98831999999999</v>
      </c>
      <c r="E132" s="64">
        <f>(9.9)*(10.764)</f>
        <v>106.56359999999999</v>
      </c>
      <c r="F132" s="54">
        <f t="shared" si="2"/>
        <v>496.85547600000001</v>
      </c>
      <c r="G132" s="79"/>
      <c r="H132" s="80"/>
      <c r="I132" s="34"/>
      <c r="L132" s="71"/>
      <c r="M132" s="71"/>
      <c r="N132" s="34"/>
    </row>
    <row r="133" spans="1:14" s="55" customFormat="1" ht="15.75" customHeight="1" x14ac:dyDescent="0.35">
      <c r="A133" s="72">
        <f t="shared" si="0"/>
        <v>8</v>
      </c>
      <c r="B133" s="73"/>
      <c r="C133" s="54" t="s">
        <v>212</v>
      </c>
      <c r="D133" s="64">
        <f>(14.87)*(10.764)</f>
        <v>160.06067999999999</v>
      </c>
      <c r="E133" s="64">
        <f>(7.53)*(10.764)</f>
        <v>81.05292</v>
      </c>
      <c r="F133" s="54">
        <f t="shared" si="2"/>
        <v>373.72608000000002</v>
      </c>
      <c r="G133" s="79"/>
      <c r="H133" s="80"/>
      <c r="I133" s="34"/>
      <c r="L133" s="71"/>
      <c r="M133" s="71"/>
      <c r="N133" s="34"/>
    </row>
    <row r="134" spans="1:14" s="55" customFormat="1" ht="15.75" customHeight="1" x14ac:dyDescent="0.35">
      <c r="A134" s="72">
        <f t="shared" si="0"/>
        <v>9</v>
      </c>
      <c r="B134" s="73"/>
      <c r="C134" s="54" t="s">
        <v>212</v>
      </c>
      <c r="D134" s="64">
        <f>(23.71)*(10.764)</f>
        <v>255.21444</v>
      </c>
      <c r="E134" s="64">
        <f>(11.9)*(10.764)</f>
        <v>128.0916</v>
      </c>
      <c r="F134" s="54">
        <f t="shared" si="2"/>
        <v>594.12436200000002</v>
      </c>
      <c r="G134" s="79"/>
      <c r="H134" s="80"/>
      <c r="I134" s="34"/>
      <c r="L134" s="71"/>
      <c r="M134" s="71"/>
      <c r="N134" s="34"/>
    </row>
    <row r="135" spans="1:14" s="55" customFormat="1" ht="15.75" customHeight="1" x14ac:dyDescent="0.35">
      <c r="A135" s="72">
        <f t="shared" si="0"/>
        <v>10</v>
      </c>
      <c r="B135" s="73"/>
      <c r="C135" s="54" t="s">
        <v>212</v>
      </c>
      <c r="D135" s="64">
        <f>(15.91)*(10.764)</f>
        <v>171.25523999999999</v>
      </c>
      <c r="E135" s="64">
        <f>(11.08)*(10.764)</f>
        <v>119.26512</v>
      </c>
      <c r="F135" s="54">
        <f t="shared" si="2"/>
        <v>450.306558</v>
      </c>
      <c r="G135" s="79"/>
      <c r="H135" s="80"/>
      <c r="I135" s="34"/>
      <c r="L135" s="71"/>
      <c r="M135" s="71"/>
      <c r="N135" s="34"/>
    </row>
    <row r="136" spans="1:14" s="55" customFormat="1" ht="15.75" customHeight="1" x14ac:dyDescent="0.35">
      <c r="A136" s="72">
        <f t="shared" si="0"/>
        <v>11</v>
      </c>
      <c r="B136" s="73"/>
      <c r="C136" s="54" t="s">
        <v>212</v>
      </c>
      <c r="D136" s="64">
        <f>(19.18)*(10.764)</f>
        <v>206.45352</v>
      </c>
      <c r="E136" s="64">
        <f>(9.63)*(10.764)</f>
        <v>103.65732</v>
      </c>
      <c r="F136" s="54">
        <f t="shared" ref="F136:F144" si="3">(D136+E136)*(($F$123)+1)</f>
        <v>480.67180200000001</v>
      </c>
      <c r="G136" s="79"/>
      <c r="H136" s="80"/>
      <c r="I136" s="34"/>
      <c r="L136" s="71"/>
      <c r="M136" s="71"/>
      <c r="N136" s="34"/>
    </row>
    <row r="137" spans="1:14" s="55" customFormat="1" ht="15.75" customHeight="1" x14ac:dyDescent="0.35">
      <c r="A137" s="72">
        <f t="shared" si="0"/>
        <v>12</v>
      </c>
      <c r="B137" s="73"/>
      <c r="C137" s="54" t="s">
        <v>212</v>
      </c>
      <c r="D137" s="64">
        <f>(18.85)*(10.764)</f>
        <v>202.9014</v>
      </c>
      <c r="E137" s="64">
        <f>(9.42)*(10.764)</f>
        <v>101.39688</v>
      </c>
      <c r="F137" s="54">
        <f t="shared" si="3"/>
        <v>471.66233399999999</v>
      </c>
      <c r="G137" s="79"/>
      <c r="H137" s="80"/>
      <c r="I137" s="34"/>
      <c r="L137" s="71"/>
      <c r="M137" s="71"/>
      <c r="N137" s="34"/>
    </row>
    <row r="138" spans="1:14" s="55" customFormat="1" ht="15.75" customHeight="1" x14ac:dyDescent="0.35">
      <c r="A138" s="72">
        <f t="shared" si="0"/>
        <v>13</v>
      </c>
      <c r="B138" s="73"/>
      <c r="C138" s="54" t="s">
        <v>212</v>
      </c>
      <c r="D138" s="64">
        <f>(21.49)*(10.764)</f>
        <v>231.31835999999996</v>
      </c>
      <c r="E138" s="64">
        <f>(8.8)*(10.764)</f>
        <v>94.723200000000006</v>
      </c>
      <c r="F138" s="54">
        <f t="shared" si="3"/>
        <v>505.36441799999994</v>
      </c>
      <c r="G138" s="79"/>
      <c r="H138" s="80"/>
      <c r="I138" s="34"/>
      <c r="L138" s="71"/>
      <c r="M138" s="71"/>
      <c r="N138" s="34"/>
    </row>
    <row r="139" spans="1:14" s="55" customFormat="1" ht="15.75" customHeight="1" x14ac:dyDescent="0.35">
      <c r="A139" s="72">
        <f t="shared" si="0"/>
        <v>14</v>
      </c>
      <c r="B139" s="73"/>
      <c r="C139" s="54" t="s">
        <v>212</v>
      </c>
      <c r="D139" s="64">
        <f>(16.77)*(10.764)</f>
        <v>180.51227999999998</v>
      </c>
      <c r="E139" s="64">
        <f>(8.38)*(10.764)</f>
        <v>90.20232</v>
      </c>
      <c r="F139" s="54">
        <f t="shared" si="3"/>
        <v>419.60762999999997</v>
      </c>
      <c r="G139" s="79"/>
      <c r="H139" s="80"/>
      <c r="I139" s="34"/>
      <c r="L139" s="71"/>
      <c r="M139" s="71"/>
      <c r="N139" s="34"/>
    </row>
    <row r="140" spans="1:14" s="55" customFormat="1" ht="15.75" customHeight="1" x14ac:dyDescent="0.35">
      <c r="A140" s="72">
        <f t="shared" si="0"/>
        <v>15</v>
      </c>
      <c r="B140" s="73"/>
      <c r="C140" s="54" t="s">
        <v>212</v>
      </c>
      <c r="D140" s="64">
        <f>(19.44)*(10.764)</f>
        <v>209.25216</v>
      </c>
      <c r="E140" s="64">
        <f>(7.46)*(10.764)</f>
        <v>80.29943999999999</v>
      </c>
      <c r="F140" s="54">
        <f t="shared" si="3"/>
        <v>448.80498</v>
      </c>
      <c r="G140" s="79"/>
      <c r="H140" s="80"/>
      <c r="I140" s="34"/>
      <c r="L140" s="71"/>
      <c r="M140" s="71"/>
      <c r="N140" s="34"/>
    </row>
    <row r="141" spans="1:14" s="55" customFormat="1" ht="15.75" customHeight="1" x14ac:dyDescent="0.35">
      <c r="A141" s="72">
        <f t="shared" si="0"/>
        <v>16</v>
      </c>
      <c r="B141" s="73"/>
      <c r="C141" s="54" t="s">
        <v>212</v>
      </c>
      <c r="D141" s="64">
        <f>(3.78)*(10.764)</f>
        <v>40.687919999999998</v>
      </c>
      <c r="E141" s="64">
        <f>(1.78)*(10.764)</f>
        <v>19.15992</v>
      </c>
      <c r="F141" s="54">
        <f t="shared" si="3"/>
        <v>92.764151999999996</v>
      </c>
      <c r="G141" s="79"/>
      <c r="H141" s="80"/>
      <c r="I141" s="34"/>
      <c r="L141" s="71"/>
      <c r="M141" s="71"/>
      <c r="N141" s="34"/>
    </row>
    <row r="142" spans="1:14" s="55" customFormat="1" ht="15.75" customHeight="1" x14ac:dyDescent="0.35">
      <c r="A142" s="72">
        <f t="shared" si="0"/>
        <v>17</v>
      </c>
      <c r="B142" s="73"/>
      <c r="C142" s="54" t="s">
        <v>212</v>
      </c>
      <c r="D142" s="64">
        <f>(16.28)*(10.764)</f>
        <v>175.23792</v>
      </c>
      <c r="E142" s="64">
        <f>(8.14)*(10.764)</f>
        <v>87.618960000000001</v>
      </c>
      <c r="F142" s="54">
        <f t="shared" si="3"/>
        <v>407.42816399999998</v>
      </c>
      <c r="G142" s="79"/>
      <c r="H142" s="80"/>
      <c r="I142" s="34"/>
      <c r="L142" s="71"/>
      <c r="M142" s="71"/>
      <c r="N142" s="34"/>
    </row>
    <row r="143" spans="1:14" s="55" customFormat="1" ht="15.75" customHeight="1" x14ac:dyDescent="0.35">
      <c r="A143" s="72">
        <f t="shared" si="0"/>
        <v>18</v>
      </c>
      <c r="B143" s="73"/>
      <c r="C143" s="54" t="s">
        <v>212</v>
      </c>
      <c r="D143" s="64">
        <f>(16.02)*(10.764)</f>
        <v>172.43928</v>
      </c>
      <c r="E143" s="64">
        <f>(8.02)*(10.764)</f>
        <v>86.327279999999988</v>
      </c>
      <c r="F143" s="54">
        <f t="shared" si="3"/>
        <v>401.08816799999994</v>
      </c>
      <c r="G143" s="79"/>
      <c r="H143" s="80"/>
      <c r="I143" s="34"/>
      <c r="L143" s="71"/>
      <c r="M143" s="71"/>
      <c r="N143" s="34"/>
    </row>
    <row r="144" spans="1:14" s="55" customFormat="1" ht="15.75" customHeight="1" x14ac:dyDescent="0.35">
      <c r="A144" s="72">
        <f t="shared" si="0"/>
        <v>19</v>
      </c>
      <c r="B144" s="73"/>
      <c r="C144" s="54" t="s">
        <v>212</v>
      </c>
      <c r="D144" s="64">
        <f>(17.99)*(10.764)</f>
        <v>193.64435999999998</v>
      </c>
      <c r="E144" s="64">
        <f>(9.14)*(10.764)</f>
        <v>98.382959999999997</v>
      </c>
      <c r="F144" s="54">
        <f t="shared" si="3"/>
        <v>452.64234599999997</v>
      </c>
      <c r="G144" s="79"/>
      <c r="H144" s="80"/>
      <c r="I144" s="34"/>
      <c r="L144" s="71"/>
      <c r="M144" s="71"/>
      <c r="N144" s="34"/>
    </row>
    <row r="145" spans="1:14" s="55" customFormat="1" ht="15.75" customHeight="1" x14ac:dyDescent="0.35">
      <c r="A145" s="72">
        <f t="shared" si="0"/>
        <v>20</v>
      </c>
      <c r="B145" s="73"/>
      <c r="C145" s="54" t="s">
        <v>212</v>
      </c>
      <c r="D145" s="64">
        <f>(17.99)*(10.764)</f>
        <v>193.64435999999998</v>
      </c>
      <c r="E145" s="64">
        <f>(9.08)*(10.764)</f>
        <v>97.73711999999999</v>
      </c>
      <c r="F145" s="54">
        <f t="shared" ref="F145:F146" si="4">(D145+E145)*(($F$123)+1)</f>
        <v>451.64129399999996</v>
      </c>
      <c r="G145" s="79"/>
      <c r="H145" s="80"/>
      <c r="I145" s="34"/>
      <c r="L145" s="71"/>
      <c r="M145" s="71"/>
      <c r="N145" s="34"/>
    </row>
    <row r="146" spans="1:14" s="55" customFormat="1" ht="15.75" customHeight="1" x14ac:dyDescent="0.35">
      <c r="A146" s="72">
        <f t="shared" si="0"/>
        <v>21</v>
      </c>
      <c r="B146" s="73"/>
      <c r="C146" s="54" t="s">
        <v>212</v>
      </c>
      <c r="D146" s="64">
        <f>(17.97)*(10.764)</f>
        <v>193.42907999999997</v>
      </c>
      <c r="E146" s="64">
        <f>(9.02)*(10.764)</f>
        <v>97.091279999999983</v>
      </c>
      <c r="F146" s="54">
        <f t="shared" si="4"/>
        <v>450.306558</v>
      </c>
      <c r="G146" s="81"/>
      <c r="H146" s="82"/>
      <c r="I146" s="34"/>
      <c r="L146" s="71"/>
      <c r="M146" s="71"/>
      <c r="N146" s="34"/>
    </row>
    <row r="147" spans="1:14" s="55" customFormat="1" x14ac:dyDescent="0.35">
      <c r="A147" s="83" t="s">
        <v>213</v>
      </c>
      <c r="B147" s="84"/>
      <c r="C147" s="84"/>
      <c r="D147" s="84"/>
      <c r="E147" s="84"/>
      <c r="F147" s="84"/>
      <c r="G147" s="84"/>
      <c r="H147" s="85"/>
      <c r="J147" s="34"/>
    </row>
    <row r="148" spans="1:14" s="55" customFormat="1" x14ac:dyDescent="0.35">
      <c r="A148" s="83" t="s">
        <v>211</v>
      </c>
      <c r="B148" s="84"/>
      <c r="C148" s="84"/>
      <c r="D148" s="84"/>
      <c r="E148" s="84"/>
      <c r="F148" s="84"/>
      <c r="G148" s="84"/>
      <c r="H148" s="85"/>
      <c r="J148" s="34"/>
    </row>
    <row r="149" spans="1:14" s="55" customFormat="1" ht="15.75" customHeight="1" x14ac:dyDescent="0.35">
      <c r="A149" s="72">
        <v>1</v>
      </c>
      <c r="B149" s="73"/>
      <c r="C149" s="54" t="s">
        <v>212</v>
      </c>
      <c r="D149" s="64">
        <f>(5.26)*(10.764)</f>
        <v>56.618639999999992</v>
      </c>
      <c r="E149" s="54">
        <v>0</v>
      </c>
      <c r="F149" s="54">
        <f>(D149+E149)*(($F$123)+1)</f>
        <v>87.758891999999989</v>
      </c>
      <c r="G149" s="77" t="str">
        <f>A148</f>
        <v>Ground Floor For Commercial</v>
      </c>
      <c r="H149" s="78"/>
      <c r="I149" s="34"/>
      <c r="J149" s="54">
        <f>2.9*6.65</f>
        <v>19.285</v>
      </c>
      <c r="K149" s="54">
        <f>2.9*3.32</f>
        <v>9.6280000000000001</v>
      </c>
      <c r="L149" s="71"/>
      <c r="M149" s="71"/>
      <c r="N149" s="34"/>
    </row>
    <row r="150" spans="1:14" s="55" customFormat="1" ht="15.75" customHeight="1" x14ac:dyDescent="0.35">
      <c r="A150" s="72">
        <f t="shared" ref="A150:A154" si="5">A149+1</f>
        <v>2</v>
      </c>
      <c r="B150" s="73"/>
      <c r="C150" s="54" t="s">
        <v>212</v>
      </c>
      <c r="D150" s="64">
        <f>(9.35)*(10.764)</f>
        <v>100.64339999999999</v>
      </c>
      <c r="E150" s="54">
        <v>0</v>
      </c>
      <c r="F150" s="54">
        <f t="shared" ref="F150:F154" si="6">(D150+E150)*(($F$123)+1)</f>
        <v>155.99726999999999</v>
      </c>
      <c r="G150" s="79"/>
      <c r="H150" s="80"/>
      <c r="I150" s="34"/>
      <c r="L150" s="71"/>
      <c r="M150" s="71"/>
      <c r="N150" s="34"/>
    </row>
    <row r="151" spans="1:14" s="55" customFormat="1" ht="15.75" customHeight="1" x14ac:dyDescent="0.35">
      <c r="A151" s="72">
        <f t="shared" si="5"/>
        <v>3</v>
      </c>
      <c r="B151" s="73"/>
      <c r="C151" s="54" t="s">
        <v>212</v>
      </c>
      <c r="D151" s="64">
        <f>(11.75)*(10.764)</f>
        <v>126.47699999999999</v>
      </c>
      <c r="E151" s="54">
        <v>0</v>
      </c>
      <c r="F151" s="54">
        <f t="shared" si="6"/>
        <v>196.03934999999998</v>
      </c>
      <c r="G151" s="79"/>
      <c r="H151" s="80"/>
      <c r="I151" s="34"/>
      <c r="L151" s="71"/>
      <c r="M151" s="71"/>
      <c r="N151" s="34"/>
    </row>
    <row r="152" spans="1:14" s="55" customFormat="1" ht="15.75" customHeight="1" x14ac:dyDescent="0.35">
      <c r="A152" s="72">
        <f t="shared" si="5"/>
        <v>4</v>
      </c>
      <c r="B152" s="73"/>
      <c r="C152" s="54" t="s">
        <v>212</v>
      </c>
      <c r="D152" s="64">
        <f>(11.75)*(10.764)</f>
        <v>126.47699999999999</v>
      </c>
      <c r="E152" s="54">
        <v>0</v>
      </c>
      <c r="F152" s="54">
        <f t="shared" si="6"/>
        <v>196.03934999999998</v>
      </c>
      <c r="G152" s="79"/>
      <c r="H152" s="80"/>
      <c r="I152" s="34"/>
      <c r="L152" s="71"/>
      <c r="M152" s="71"/>
      <c r="N152" s="34"/>
    </row>
    <row r="153" spans="1:14" s="55" customFormat="1" ht="15.75" customHeight="1" x14ac:dyDescent="0.35">
      <c r="A153" s="72">
        <f t="shared" si="5"/>
        <v>5</v>
      </c>
      <c r="B153" s="73"/>
      <c r="C153" s="54" t="s">
        <v>212</v>
      </c>
      <c r="D153" s="64">
        <f>(9.35)*(10.764)</f>
        <v>100.64339999999999</v>
      </c>
      <c r="E153" s="54">
        <v>0</v>
      </c>
      <c r="F153" s="54">
        <f t="shared" si="6"/>
        <v>155.99726999999999</v>
      </c>
      <c r="G153" s="79"/>
      <c r="H153" s="80"/>
      <c r="I153" s="34"/>
      <c r="L153" s="71"/>
      <c r="M153" s="71"/>
      <c r="N153" s="34"/>
    </row>
    <row r="154" spans="1:14" s="55" customFormat="1" ht="15.75" customHeight="1" x14ac:dyDescent="0.35">
      <c r="A154" s="72">
        <f t="shared" si="5"/>
        <v>6</v>
      </c>
      <c r="B154" s="73"/>
      <c r="C154" s="54" t="s">
        <v>212</v>
      </c>
      <c r="D154" s="64">
        <f>(5.67)*(10.764)</f>
        <v>61.031879999999994</v>
      </c>
      <c r="E154" s="54">
        <v>0</v>
      </c>
      <c r="F154" s="54">
        <f t="shared" si="6"/>
        <v>94.599413999999996</v>
      </c>
      <c r="G154" s="81"/>
      <c r="H154" s="82"/>
      <c r="I154" s="34"/>
      <c r="L154" s="71"/>
      <c r="M154" s="71"/>
      <c r="N154" s="34"/>
    </row>
    <row r="155" spans="1:14" s="35" customFormat="1" hidden="1" x14ac:dyDescent="0.35">
      <c r="A155" s="83" t="s">
        <v>121</v>
      </c>
      <c r="B155" s="84"/>
      <c r="C155" s="84"/>
      <c r="D155" s="84"/>
      <c r="E155" s="84"/>
      <c r="F155" s="84"/>
      <c r="G155" s="84"/>
      <c r="H155" s="85"/>
      <c r="J155" s="34"/>
    </row>
    <row r="156" spans="1:14" s="35" customFormat="1" hidden="1" x14ac:dyDescent="0.35">
      <c r="A156" s="72">
        <v>1</v>
      </c>
      <c r="B156" s="73"/>
      <c r="C156" s="40"/>
      <c r="D156" s="40"/>
      <c r="E156" s="40">
        <v>0</v>
      </c>
      <c r="F156" s="40">
        <f>(D156+E156)*(($F$123)+1)</f>
        <v>0</v>
      </c>
      <c r="G156" s="72" t="str">
        <f>A155</f>
        <v>Ground Floor</v>
      </c>
      <c r="H156" s="73"/>
      <c r="I156" s="34"/>
      <c r="L156" s="71"/>
      <c r="M156" s="71"/>
      <c r="N156" s="34"/>
    </row>
    <row r="157" spans="1:14" s="35" customFormat="1" hidden="1" x14ac:dyDescent="0.35">
      <c r="A157" s="72">
        <f t="shared" ref="A157:A159" si="7">A156+1</f>
        <v>2</v>
      </c>
      <c r="B157" s="73"/>
      <c r="C157" s="40"/>
      <c r="D157" s="40"/>
      <c r="E157" s="40">
        <v>0</v>
      </c>
      <c r="F157" s="40">
        <f t="shared" ref="F157:F159" si="8">(D157+E157)*(($F$123)+1)</f>
        <v>0</v>
      </c>
      <c r="G157" s="72" t="str">
        <f t="shared" ref="G157:G159" si="9">G156</f>
        <v>Ground Floor</v>
      </c>
      <c r="H157" s="73"/>
      <c r="I157" s="34"/>
      <c r="L157" s="71"/>
      <c r="M157" s="71"/>
      <c r="N157" s="34"/>
    </row>
    <row r="158" spans="1:14" s="35" customFormat="1" hidden="1" x14ac:dyDescent="0.35">
      <c r="A158" s="72">
        <f t="shared" si="7"/>
        <v>3</v>
      </c>
      <c r="B158" s="73"/>
      <c r="C158" s="40"/>
      <c r="D158" s="40"/>
      <c r="E158" s="40">
        <v>0</v>
      </c>
      <c r="F158" s="40">
        <f t="shared" si="8"/>
        <v>0</v>
      </c>
      <c r="G158" s="72" t="str">
        <f t="shared" si="9"/>
        <v>Ground Floor</v>
      </c>
      <c r="H158" s="73"/>
      <c r="I158" s="34"/>
      <c r="L158" s="71"/>
      <c r="M158" s="71"/>
      <c r="N158" s="34"/>
    </row>
    <row r="159" spans="1:14" s="35" customFormat="1" hidden="1" x14ac:dyDescent="0.35">
      <c r="A159" s="72">
        <f t="shared" si="7"/>
        <v>4</v>
      </c>
      <c r="B159" s="73"/>
      <c r="C159" s="40"/>
      <c r="D159" s="40"/>
      <c r="E159" s="40">
        <v>0</v>
      </c>
      <c r="F159" s="40">
        <f t="shared" si="8"/>
        <v>0</v>
      </c>
      <c r="G159" s="72" t="str">
        <f t="shared" si="9"/>
        <v>Ground Floor</v>
      </c>
      <c r="H159" s="73"/>
      <c r="I159" s="34"/>
      <c r="L159" s="71"/>
      <c r="M159" s="71"/>
      <c r="N159" s="34"/>
    </row>
    <row r="160" spans="1:14" s="35" customFormat="1" x14ac:dyDescent="0.35">
      <c r="A160" s="72"/>
      <c r="B160" s="89"/>
      <c r="C160" s="89"/>
      <c r="D160" s="89"/>
      <c r="E160" s="89"/>
      <c r="F160" s="89"/>
      <c r="G160" s="89"/>
      <c r="H160" s="73"/>
      <c r="I160" s="34"/>
      <c r="N160" s="34"/>
    </row>
    <row r="161" spans="1:14" ht="47.25" customHeight="1" x14ac:dyDescent="0.35">
      <c r="A161" s="118" t="s">
        <v>125</v>
      </c>
      <c r="B161" s="118" t="s">
        <v>126</v>
      </c>
      <c r="C161" s="106" t="s">
        <v>58</v>
      </c>
      <c r="D161" s="106" t="s">
        <v>59</v>
      </c>
      <c r="E161" s="130" t="s">
        <v>60</v>
      </c>
      <c r="F161" s="41" t="s">
        <v>156</v>
      </c>
      <c r="G161" s="118" t="s">
        <v>61</v>
      </c>
      <c r="H161" s="132"/>
      <c r="I161" s="34"/>
    </row>
    <row r="162" spans="1:14" s="35" customFormat="1" x14ac:dyDescent="0.35">
      <c r="A162" s="119"/>
      <c r="B162" s="119"/>
      <c r="C162" s="107"/>
      <c r="D162" s="107"/>
      <c r="E162" s="131"/>
      <c r="F162" s="13">
        <v>0.5</v>
      </c>
      <c r="G162" s="119"/>
      <c r="H162" s="133"/>
      <c r="I162" s="34"/>
    </row>
    <row r="163" spans="1:14" s="57" customFormat="1" x14ac:dyDescent="0.35">
      <c r="A163" s="83" t="s">
        <v>210</v>
      </c>
      <c r="B163" s="84"/>
      <c r="C163" s="84"/>
      <c r="D163" s="84"/>
      <c r="E163" s="84"/>
      <c r="F163" s="84"/>
      <c r="G163" s="84"/>
      <c r="H163" s="85"/>
      <c r="J163" s="34"/>
    </row>
    <row r="164" spans="1:14" s="61" customFormat="1" x14ac:dyDescent="0.35">
      <c r="A164" s="176" t="s">
        <v>236</v>
      </c>
      <c r="B164" s="176"/>
      <c r="C164" s="176"/>
      <c r="D164" s="176"/>
      <c r="E164" s="176"/>
      <c r="F164" s="176"/>
      <c r="G164" s="176"/>
      <c r="H164" s="176"/>
      <c r="J164" s="34"/>
    </row>
    <row r="165" spans="1:14" s="57" customFormat="1" x14ac:dyDescent="0.35">
      <c r="A165" s="176" t="s">
        <v>215</v>
      </c>
      <c r="B165" s="176"/>
      <c r="C165" s="176"/>
      <c r="D165" s="176"/>
      <c r="E165" s="176"/>
      <c r="F165" s="176"/>
      <c r="G165" s="176"/>
      <c r="H165" s="176"/>
      <c r="J165" s="34"/>
    </row>
    <row r="166" spans="1:14" s="57" customFormat="1" ht="15.75" customHeight="1" x14ac:dyDescent="0.35">
      <c r="A166" s="105">
        <v>1</v>
      </c>
      <c r="B166" s="105"/>
      <c r="C166" s="69" t="s">
        <v>214</v>
      </c>
      <c r="D166" s="64">
        <f>(30.77+2.5*1.2+0.95*(2.5+2.95))*(10.764)</f>
        <v>419.23088999999993</v>
      </c>
      <c r="E166" s="64">
        <f>(2.92*1.95)*(10.764)</f>
        <v>61.290215999999994</v>
      </c>
      <c r="F166" s="69">
        <f t="shared" ref="F166:F171" si="10">D166*(($F$162)+1)+(IF(E166&lt;101,E166,IF(E166&lt;201,E166/2,IF(E166&lt;=301,E166/3,E166/4))))</f>
        <v>690.13655099999994</v>
      </c>
      <c r="G166" s="105" t="str">
        <f>A165</f>
        <v>1st, 3rd, 5th, 7th, 9th, 11th, 13th, 15th, 17th, 19th Floor For Residential</v>
      </c>
      <c r="H166" s="105"/>
      <c r="I166" s="34"/>
      <c r="J166" s="57">
        <f>2.92*3.28+2.5*2.08+2.95*3.28+1*1.05+1.9*1.2+0.8*1.05</f>
        <v>28.623600000000003</v>
      </c>
      <c r="K166" s="57">
        <f>650</f>
        <v>650</v>
      </c>
      <c r="L166" s="65">
        <f>(K166-E166)/D166</f>
        <v>1.4042614655613763</v>
      </c>
      <c r="M166" s="65">
        <f>2*F166</f>
        <v>1380.2731019999999</v>
      </c>
      <c r="N166" s="34"/>
    </row>
    <row r="167" spans="1:14" s="57" customFormat="1" ht="15.75" customHeight="1" x14ac:dyDescent="0.35">
      <c r="A167" s="105">
        <f t="shared" ref="A167:A171" si="11">A166+1</f>
        <v>2</v>
      </c>
      <c r="B167" s="105"/>
      <c r="C167" s="69" t="s">
        <v>214</v>
      </c>
      <c r="D167" s="64">
        <f>(29.87+2.5*1.2+0.95*(2.5+2.85))*(10.764)</f>
        <v>408.52071000000001</v>
      </c>
      <c r="E167" s="64">
        <f>(2.95*1.95)*(10.764)</f>
        <v>61.919910000000002</v>
      </c>
      <c r="F167" s="69">
        <f t="shared" si="10"/>
        <v>674.70097499999997</v>
      </c>
      <c r="G167" s="105"/>
      <c r="H167" s="105"/>
      <c r="I167" s="34"/>
      <c r="K167" s="57">
        <v>635</v>
      </c>
      <c r="L167" s="65">
        <f t="shared" ref="L167:L172" si="12">(K167-E167)/D167</f>
        <v>1.4028177176133863</v>
      </c>
      <c r="M167" s="65">
        <f t="shared" ref="M167:M171" si="13">2*F167</f>
        <v>1349.4019499999999</v>
      </c>
      <c r="N167" s="34"/>
    </row>
    <row r="168" spans="1:14" s="57" customFormat="1" ht="15.75" customHeight="1" x14ac:dyDescent="0.35">
      <c r="A168" s="105">
        <f t="shared" si="11"/>
        <v>3</v>
      </c>
      <c r="B168" s="105"/>
      <c r="C168" s="69" t="s">
        <v>214</v>
      </c>
      <c r="D168" s="64">
        <f>(29.64+2.4*1.2+3*1.2+0.95*(3+2.4))*(10.764)</f>
        <v>444.01500000000004</v>
      </c>
      <c r="E168" s="64">
        <f>(3*1.95)*(10.764)</f>
        <v>62.969399999999993</v>
      </c>
      <c r="F168" s="69">
        <f t="shared" si="10"/>
        <v>728.99189999999999</v>
      </c>
      <c r="G168" s="105"/>
      <c r="H168" s="105"/>
      <c r="I168" s="34"/>
      <c r="K168" s="57">
        <v>675</v>
      </c>
      <c r="L168" s="65">
        <f t="shared" si="12"/>
        <v>1.3784007297050775</v>
      </c>
      <c r="M168" s="65">
        <f t="shared" si="13"/>
        <v>1457.9838</v>
      </c>
      <c r="N168" s="34"/>
    </row>
    <row r="169" spans="1:14" s="57" customFormat="1" ht="15.75" customHeight="1" x14ac:dyDescent="0.35">
      <c r="A169" s="105">
        <f t="shared" si="11"/>
        <v>4</v>
      </c>
      <c r="B169" s="105"/>
      <c r="C169" s="69" t="s">
        <v>214</v>
      </c>
      <c r="D169" s="64">
        <f>(41.67+1.98*1.2+3*1.2+0.95*(3.04+1.98+3))*(10.764)</f>
        <v>594.87245999999993</v>
      </c>
      <c r="E169" s="64">
        <f>(3*1.95)*(10.764)</f>
        <v>62.969399999999993</v>
      </c>
      <c r="F169" s="69">
        <f t="shared" si="10"/>
        <v>955.27808999999979</v>
      </c>
      <c r="G169" s="105"/>
      <c r="H169" s="105"/>
      <c r="I169" s="34"/>
      <c r="K169" s="57">
        <v>890</v>
      </c>
      <c r="L169" s="65">
        <f t="shared" si="12"/>
        <v>1.3902654024360115</v>
      </c>
      <c r="M169" s="65">
        <f t="shared" si="13"/>
        <v>1910.5561799999996</v>
      </c>
      <c r="N169" s="34"/>
    </row>
    <row r="170" spans="1:14" s="57" customFormat="1" ht="15.75" customHeight="1" x14ac:dyDescent="0.35">
      <c r="A170" s="105">
        <f t="shared" si="11"/>
        <v>5</v>
      </c>
      <c r="B170" s="105"/>
      <c r="C170" s="69" t="s">
        <v>214</v>
      </c>
      <c r="D170" s="64">
        <f>(29.49+2.5*1.2+0.95*(2.5+2.86))*(10.764)</f>
        <v>404.53264799999988</v>
      </c>
      <c r="E170" s="64">
        <f>(2.95*1.95)*(10.764)</f>
        <v>61.919910000000002</v>
      </c>
      <c r="F170" s="69">
        <f t="shared" si="10"/>
        <v>668.71888199999978</v>
      </c>
      <c r="G170" s="105"/>
      <c r="H170" s="105"/>
      <c r="I170" s="34"/>
      <c r="K170" s="57">
        <v>615</v>
      </c>
      <c r="L170" s="65">
        <f t="shared" si="12"/>
        <v>1.3672075485981547</v>
      </c>
      <c r="M170" s="65">
        <f t="shared" si="13"/>
        <v>1337.4377639999996</v>
      </c>
      <c r="N170" s="34"/>
    </row>
    <row r="171" spans="1:14" s="57" customFormat="1" ht="15.75" customHeight="1" x14ac:dyDescent="0.35">
      <c r="A171" s="105">
        <f t="shared" si="11"/>
        <v>6</v>
      </c>
      <c r="B171" s="105"/>
      <c r="C171" s="69" t="s">
        <v>214</v>
      </c>
      <c r="D171" s="64">
        <f>(29.97+2.34*1.2+0.95*(2.34+2.9))*(10.764)</f>
        <v>406.40558399999998</v>
      </c>
      <c r="E171" s="64">
        <f>(2.6*1.95)*(10.764)</f>
        <v>54.573479999999996</v>
      </c>
      <c r="F171" s="69">
        <f t="shared" si="10"/>
        <v>664.18185599999993</v>
      </c>
      <c r="G171" s="105"/>
      <c r="H171" s="105"/>
      <c r="I171" s="34"/>
      <c r="J171" s="57">
        <f>3.9*2.9+1.22*1.81+1.05*1+2.9*3+2.34*2.14</f>
        <v>28.2758</v>
      </c>
      <c r="K171" s="57">
        <v>620</v>
      </c>
      <c r="L171" s="65">
        <f t="shared" si="12"/>
        <v>1.3912862968930073</v>
      </c>
      <c r="M171" s="65">
        <f t="shared" si="13"/>
        <v>1328.3637119999999</v>
      </c>
      <c r="N171" s="34"/>
    </row>
    <row r="172" spans="1:14" s="57" customFormat="1" x14ac:dyDescent="0.35">
      <c r="A172" s="176" t="s">
        <v>217</v>
      </c>
      <c r="B172" s="176"/>
      <c r="C172" s="176"/>
      <c r="D172" s="176"/>
      <c r="E172" s="176"/>
      <c r="F172" s="176"/>
      <c r="G172" s="176"/>
      <c r="H172" s="176"/>
      <c r="J172" s="34"/>
      <c r="L172" s="65" t="e">
        <f t="shared" si="12"/>
        <v>#DIV/0!</v>
      </c>
    </row>
    <row r="173" spans="1:14" s="57" customFormat="1" ht="15.75" customHeight="1" x14ac:dyDescent="0.35">
      <c r="A173" s="105">
        <v>1</v>
      </c>
      <c r="B173" s="105"/>
      <c r="C173" s="69" t="s">
        <v>214</v>
      </c>
      <c r="D173" s="64">
        <f>(30.77+2.5*1.2+0.95*(2.5+2.95))*(10.764)</f>
        <v>419.23088999999993</v>
      </c>
      <c r="E173" s="64">
        <f>(2.92*1.95)*(10.764)</f>
        <v>61.290215999999994</v>
      </c>
      <c r="F173" s="69">
        <f>D173*(($F$162)+1)+(IF(E173&lt;101,E173,IF(E173&lt;201,E173/2,IF(E173&lt;=301,E173/3,E173/4))))</f>
        <v>690.13655099999994</v>
      </c>
      <c r="G173" s="105" t="str">
        <f>A172</f>
        <v>21st Floor</v>
      </c>
      <c r="H173" s="105"/>
      <c r="I173" s="34"/>
      <c r="L173" s="71"/>
      <c r="M173" s="71"/>
      <c r="N173" s="34"/>
    </row>
    <row r="174" spans="1:14" s="57" customFormat="1" ht="15.75" customHeight="1" x14ac:dyDescent="0.35">
      <c r="A174" s="105">
        <f t="shared" ref="A174:A178" si="14">A173+1</f>
        <v>2</v>
      </c>
      <c r="B174" s="105"/>
      <c r="C174" s="69" t="s">
        <v>214</v>
      </c>
      <c r="D174" s="64">
        <f>(29.87+2.5*1.2+0.95*(2.5+2.85))*(10.764)</f>
        <v>408.52071000000001</v>
      </c>
      <c r="E174" s="64">
        <f>(2.95*1.95)*(10.764)</f>
        <v>61.919910000000002</v>
      </c>
      <c r="F174" s="69">
        <f>D174*(($F$162)+1)+(IF(E174&lt;101,E174,IF(E174&lt;201,E174/2,IF(E174&lt;=301,E174/3,E174/4))))</f>
        <v>674.70097499999997</v>
      </c>
      <c r="G174" s="105" t="str">
        <f t="shared" ref="G174:G178" si="15">G173</f>
        <v>21st Floor</v>
      </c>
      <c r="H174" s="105"/>
      <c r="I174" s="34"/>
      <c r="L174" s="71"/>
      <c r="M174" s="71"/>
      <c r="N174" s="34"/>
    </row>
    <row r="175" spans="1:14" s="57" customFormat="1" ht="15.75" customHeight="1" x14ac:dyDescent="0.35">
      <c r="A175" s="105">
        <f t="shared" si="14"/>
        <v>3</v>
      </c>
      <c r="B175" s="105"/>
      <c r="C175" s="62" t="s">
        <v>214</v>
      </c>
      <c r="D175" s="64">
        <f>(29.64+2.4*1.2+3*1.2+0.95*(3+2.4))*(10.764)</f>
        <v>444.01500000000004</v>
      </c>
      <c r="E175" s="64">
        <f>(3*1.95)*(10.764)</f>
        <v>62.969399999999993</v>
      </c>
      <c r="F175" s="69">
        <f t="shared" ref="F175:F176" si="16">D175*(($F$162)+1)+(IF(E175&lt;101,E175,IF(E175&lt;201,E175/2,IF(E175&lt;=301,E175/3,E175/4))))</f>
        <v>728.99189999999999</v>
      </c>
      <c r="G175" s="105" t="str">
        <f t="shared" si="15"/>
        <v>21st Floor</v>
      </c>
      <c r="H175" s="105"/>
      <c r="I175" s="34"/>
      <c r="J175" s="57">
        <f>1880000/F175</f>
        <v>2578.9038259547192</v>
      </c>
      <c r="K175" s="57">
        <f>3000000/F175</f>
        <v>4115.2720626937007</v>
      </c>
      <c r="L175" s="71"/>
      <c r="M175" s="71"/>
      <c r="N175" s="34"/>
    </row>
    <row r="176" spans="1:14" s="57" customFormat="1" ht="15.75" customHeight="1" x14ac:dyDescent="0.35">
      <c r="A176" s="105">
        <f t="shared" si="14"/>
        <v>4</v>
      </c>
      <c r="B176" s="105"/>
      <c r="C176" s="62" t="s">
        <v>214</v>
      </c>
      <c r="D176" s="64">
        <f>(41.67+1.98*1.2+3*1.2+0.95*(3.04+1.98)+0.9*3.04)*(10.764)</f>
        <v>593.64536399999997</v>
      </c>
      <c r="E176" s="64">
        <f>(3*1.95)*(10.764)</f>
        <v>62.969399999999993</v>
      </c>
      <c r="F176" s="69">
        <f t="shared" si="16"/>
        <v>953.43744599999991</v>
      </c>
      <c r="G176" s="105" t="str">
        <f t="shared" si="15"/>
        <v>21st Floor</v>
      </c>
      <c r="H176" s="105"/>
      <c r="I176" s="34"/>
      <c r="J176" s="57">
        <f>3420000/F176</f>
        <v>3587.0208521262552</v>
      </c>
      <c r="L176" s="71"/>
      <c r="M176" s="71"/>
      <c r="N176" s="34"/>
    </row>
    <row r="177" spans="1:14" s="57" customFormat="1" ht="15.75" customHeight="1" x14ac:dyDescent="0.35">
      <c r="A177" s="105">
        <f t="shared" si="14"/>
        <v>5</v>
      </c>
      <c r="B177" s="105"/>
      <c r="C177" s="69" t="s">
        <v>214</v>
      </c>
      <c r="D177" s="64">
        <f>(29.49+2.5*1.2+0.95*(2.5+2.86))*(10.764)</f>
        <v>404.53264799999988</v>
      </c>
      <c r="E177" s="64">
        <f>(2.95*1.95)*(10.764)</f>
        <v>61.919910000000002</v>
      </c>
      <c r="F177" s="69">
        <f>D177*(($F$162)+1)+(IF(E177&lt;101,E177,IF(E177&lt;201,E177/2,IF(E177&lt;=301,E177/3,E177/4))))</f>
        <v>668.71888199999978</v>
      </c>
      <c r="G177" s="105" t="str">
        <f t="shared" si="15"/>
        <v>21st Floor</v>
      </c>
      <c r="H177" s="105"/>
      <c r="I177" s="34"/>
      <c r="L177" s="71"/>
      <c r="M177" s="71"/>
      <c r="N177" s="34"/>
    </row>
    <row r="178" spans="1:14" s="57" customFormat="1" ht="15.75" customHeight="1" x14ac:dyDescent="0.35">
      <c r="A178" s="105">
        <f t="shared" si="14"/>
        <v>6</v>
      </c>
      <c r="B178" s="105"/>
      <c r="C178" s="69" t="s">
        <v>214</v>
      </c>
      <c r="D178" s="64">
        <f>(29.97+2.34*1.2+0.95*(2.34+2.9))*(10.764)</f>
        <v>406.40558399999998</v>
      </c>
      <c r="E178" s="64">
        <f>(2.6*1.95)*(10.764)</f>
        <v>54.573479999999996</v>
      </c>
      <c r="F178" s="69">
        <f>D178*(($F$162)+1)+(IF(E178&lt;101,E178,IF(E178&lt;201,E178/2,IF(E178&lt;=301,E178/3,E178/4))))</f>
        <v>664.18185599999993</v>
      </c>
      <c r="G178" s="105" t="str">
        <f t="shared" si="15"/>
        <v>21st Floor</v>
      </c>
      <c r="H178" s="105"/>
      <c r="I178" s="34"/>
      <c r="L178" s="71"/>
      <c r="M178" s="71"/>
      <c r="N178" s="34"/>
    </row>
    <row r="179" spans="1:14" s="58" customFormat="1" x14ac:dyDescent="0.35">
      <c r="A179" s="83" t="s">
        <v>218</v>
      </c>
      <c r="B179" s="84"/>
      <c r="C179" s="84"/>
      <c r="D179" s="84"/>
      <c r="E179" s="84"/>
      <c r="F179" s="84"/>
      <c r="G179" s="84"/>
      <c r="H179" s="85"/>
      <c r="J179" s="34"/>
    </row>
    <row r="180" spans="1:14" s="58" customFormat="1" ht="15.75" customHeight="1" x14ac:dyDescent="0.35">
      <c r="A180" s="72">
        <v>1</v>
      </c>
      <c r="B180" s="73"/>
      <c r="C180" s="59" t="s">
        <v>214</v>
      </c>
      <c r="D180" s="64">
        <f>(30.77+2.5*1.2+0.95*(2.5+2.95))*(10.764)</f>
        <v>419.23088999999993</v>
      </c>
      <c r="E180" s="64">
        <f>(2.92*1.95)*(10.764)</f>
        <v>61.290215999999994</v>
      </c>
      <c r="F180" s="59">
        <f>D180*(($F$162)+1)+(IF(E180&lt;101,E180,IF(E180&lt;201,E180/2,IF(E180&lt;=301,E180/3,E180/4))))</f>
        <v>690.13655099999994</v>
      </c>
      <c r="G180" s="77" t="str">
        <f>A179</f>
        <v>23rd Floor (Part Refuge Area)</v>
      </c>
      <c r="H180" s="78"/>
      <c r="I180" s="34"/>
      <c r="L180" s="71"/>
      <c r="M180" s="71"/>
      <c r="N180" s="34"/>
    </row>
    <row r="181" spans="1:14" s="58" customFormat="1" ht="15.75" customHeight="1" x14ac:dyDescent="0.35">
      <c r="A181" s="72">
        <f t="shared" ref="A181:A185" si="17">A180+1</f>
        <v>2</v>
      </c>
      <c r="B181" s="73"/>
      <c r="C181" s="59" t="s">
        <v>214</v>
      </c>
      <c r="D181" s="64">
        <f>(29.87+2.5*1.2+0.95*(2.5+2.85))*(10.764)</f>
        <v>408.52071000000001</v>
      </c>
      <c r="E181" s="64">
        <f>(2.95*1.95)*(10.764)</f>
        <v>61.919910000000002</v>
      </c>
      <c r="F181" s="59">
        <f>D181*(($F$162)+1)+(IF(E181&lt;101,E181,IF(E181&lt;201,E181/2,IF(E181&lt;=301,E181/3,E181/4))))</f>
        <v>674.70097499999997</v>
      </c>
      <c r="G181" s="79" t="str">
        <f t="shared" ref="G181:G185" si="18">G180</f>
        <v>23rd Floor (Part Refuge Area)</v>
      </c>
      <c r="H181" s="80"/>
      <c r="I181" s="34"/>
      <c r="L181" s="71"/>
      <c r="M181" s="71"/>
      <c r="N181" s="34"/>
    </row>
    <row r="182" spans="1:14" s="58" customFormat="1" ht="15.75" customHeight="1" x14ac:dyDescent="0.35">
      <c r="A182" s="72">
        <f t="shared" si="17"/>
        <v>3</v>
      </c>
      <c r="B182" s="73"/>
      <c r="C182" s="195" t="s">
        <v>219</v>
      </c>
      <c r="D182" s="196"/>
      <c r="E182" s="196"/>
      <c r="F182" s="197"/>
      <c r="G182" s="79" t="str">
        <f t="shared" si="18"/>
        <v>23rd Floor (Part Refuge Area)</v>
      </c>
      <c r="H182" s="80"/>
      <c r="I182" s="34"/>
      <c r="L182" s="71"/>
      <c r="M182" s="71"/>
      <c r="N182" s="34"/>
    </row>
    <row r="183" spans="1:14" s="58" customFormat="1" ht="15.75" customHeight="1" x14ac:dyDescent="0.35">
      <c r="A183" s="72">
        <f t="shared" si="17"/>
        <v>4</v>
      </c>
      <c r="B183" s="73"/>
      <c r="C183" s="62" t="s">
        <v>214</v>
      </c>
      <c r="D183" s="64">
        <f>(41.67+1.98*1.2+3*1.2+0.95*(3.04+1.98)+0.9*3.04)*(10.764)</f>
        <v>593.64536399999997</v>
      </c>
      <c r="E183" s="64">
        <f>(3*1.95)*(10.764)</f>
        <v>62.969399999999993</v>
      </c>
      <c r="F183" s="59">
        <f t="shared" ref="F183" si="19">D183*(($F$162)+1)+(IF(E183&lt;101,E183,IF(E183&lt;201,E183/2,IF(E183&lt;=301,E183/3,E183/4))))</f>
        <v>953.43744599999991</v>
      </c>
      <c r="G183" s="79" t="str">
        <f t="shared" si="18"/>
        <v>23rd Floor (Part Refuge Area)</v>
      </c>
      <c r="H183" s="80"/>
      <c r="I183" s="34"/>
      <c r="L183" s="71"/>
      <c r="M183" s="71"/>
      <c r="N183" s="34"/>
    </row>
    <row r="184" spans="1:14" s="58" customFormat="1" ht="15.75" customHeight="1" x14ac:dyDescent="0.35">
      <c r="A184" s="72">
        <f t="shared" si="17"/>
        <v>5</v>
      </c>
      <c r="B184" s="73"/>
      <c r="C184" s="59" t="s">
        <v>214</v>
      </c>
      <c r="D184" s="64">
        <f>(29.49+2.5*1.2+0.95*(2.5+2.86))*(10.764)</f>
        <v>404.53264799999988</v>
      </c>
      <c r="E184" s="64">
        <f>(2.95*1.95)*(10.764)</f>
        <v>61.919910000000002</v>
      </c>
      <c r="F184" s="59">
        <f>D184*(($F$162)+1)+(IF(E184&lt;101,E184,IF(E184&lt;201,E184/2,IF(E184&lt;=301,E184/3,E184/4))))</f>
        <v>668.71888199999978</v>
      </c>
      <c r="G184" s="79" t="str">
        <f t="shared" si="18"/>
        <v>23rd Floor (Part Refuge Area)</v>
      </c>
      <c r="H184" s="80"/>
      <c r="I184" s="34"/>
      <c r="L184" s="71"/>
      <c r="M184" s="71"/>
      <c r="N184" s="34"/>
    </row>
    <row r="185" spans="1:14" s="58" customFormat="1" ht="15.75" customHeight="1" x14ac:dyDescent="0.35">
      <c r="A185" s="72">
        <f t="shared" si="17"/>
        <v>6</v>
      </c>
      <c r="B185" s="73"/>
      <c r="C185" s="59" t="s">
        <v>214</v>
      </c>
      <c r="D185" s="64">
        <f>(29.97+2.34*1.2+0.95*(2.34+2.9))*(10.764)</f>
        <v>406.40558399999998</v>
      </c>
      <c r="E185" s="64">
        <f>(2.6*1.95)*(10.764)</f>
        <v>54.573479999999996</v>
      </c>
      <c r="F185" s="59">
        <f>D185*(($F$162)+1)+(IF(E185&lt;101,E185,IF(E185&lt;201,E185/2,IF(E185&lt;=301,E185/3,E185/4))))</f>
        <v>664.18185599999993</v>
      </c>
      <c r="G185" s="81" t="str">
        <f t="shared" si="18"/>
        <v>23rd Floor (Part Refuge Area)</v>
      </c>
      <c r="H185" s="82"/>
      <c r="I185" s="34"/>
      <c r="L185" s="71"/>
      <c r="M185" s="71"/>
      <c r="N185" s="34"/>
    </row>
    <row r="186" spans="1:14" s="57" customFormat="1" x14ac:dyDescent="0.35">
      <c r="A186" s="86" t="s">
        <v>216</v>
      </c>
      <c r="B186" s="87"/>
      <c r="C186" s="87"/>
      <c r="D186" s="87"/>
      <c r="E186" s="87"/>
      <c r="F186" s="87"/>
      <c r="G186" s="87"/>
      <c r="H186" s="88"/>
      <c r="J186" s="34"/>
    </row>
    <row r="187" spans="1:14" s="57" customFormat="1" ht="15.75" customHeight="1" x14ac:dyDescent="0.35">
      <c r="A187" s="72">
        <v>1</v>
      </c>
      <c r="B187" s="73"/>
      <c r="C187" s="56" t="s">
        <v>214</v>
      </c>
      <c r="D187" s="64">
        <f>(30.77+2.5*1.2+0.95*(2.5+2.92))*(10.764)</f>
        <v>418.92411599999997</v>
      </c>
      <c r="E187" s="64">
        <f>(2.95*1.95)*(10.764)</f>
        <v>61.919910000000002</v>
      </c>
      <c r="F187" s="56">
        <f t="shared" ref="F187:F192" si="20">D187*(($F$162)+1)+(IF(E187&lt;101,E187,IF(E187&lt;201,E187/2,IF(E187&lt;=301,E187/3,E187/4))))</f>
        <v>690.30608399999994</v>
      </c>
      <c r="G187" s="77" t="str">
        <f>A186</f>
        <v>2nd, 4th, 6th, 8th, 10th, 12th, 14th, 16th, 18th &amp; 20th Floor</v>
      </c>
      <c r="H187" s="78"/>
      <c r="I187" s="34"/>
      <c r="L187" s="71"/>
      <c r="M187" s="71"/>
      <c r="N187" s="34"/>
    </row>
    <row r="188" spans="1:14" s="57" customFormat="1" ht="15.75" customHeight="1" x14ac:dyDescent="0.35">
      <c r="A188" s="72">
        <f t="shared" ref="A188:A192" si="21">A187+1</f>
        <v>2</v>
      </c>
      <c r="B188" s="73"/>
      <c r="C188" s="56" t="s">
        <v>214</v>
      </c>
      <c r="D188" s="64">
        <f>(29.87+2.5*1.2+0.95*(2.5+2.95))*(10.764)</f>
        <v>409.54329000000007</v>
      </c>
      <c r="E188" s="64">
        <f>(2.85*1.95)*(10.764)</f>
        <v>59.820929999999997</v>
      </c>
      <c r="F188" s="56">
        <f t="shared" si="20"/>
        <v>674.13586500000008</v>
      </c>
      <c r="G188" s="79"/>
      <c r="H188" s="80"/>
      <c r="I188" s="34"/>
      <c r="L188" s="71"/>
      <c r="M188" s="71"/>
      <c r="N188" s="34"/>
    </row>
    <row r="189" spans="1:14" s="57" customFormat="1" ht="15.75" customHeight="1" x14ac:dyDescent="0.35">
      <c r="A189" s="72">
        <f t="shared" si="21"/>
        <v>3</v>
      </c>
      <c r="B189" s="73"/>
      <c r="C189" s="56" t="s">
        <v>214</v>
      </c>
      <c r="D189" s="64">
        <f>(29.64+2.4*1.2+3*1.2+0.95*(3+2.4+3))*(10.764)</f>
        <v>474.69239999999996</v>
      </c>
      <c r="E189" s="64">
        <f>0*(10.764)</f>
        <v>0</v>
      </c>
      <c r="F189" s="56">
        <f t="shared" si="20"/>
        <v>712.03859999999997</v>
      </c>
      <c r="G189" s="79"/>
      <c r="H189" s="80"/>
      <c r="I189" s="34"/>
      <c r="L189" s="71"/>
      <c r="M189" s="71"/>
      <c r="N189" s="34"/>
    </row>
    <row r="190" spans="1:14" s="57" customFormat="1" ht="15.75" customHeight="1" x14ac:dyDescent="0.35">
      <c r="A190" s="72">
        <f t="shared" si="21"/>
        <v>4</v>
      </c>
      <c r="B190" s="73"/>
      <c r="C190" s="56" t="s">
        <v>214</v>
      </c>
      <c r="D190" s="64">
        <f>(41.67+1.98*1.2+3*1.2+0.95*(3+1.98+3))*(10.764)</f>
        <v>594.46342800000002</v>
      </c>
      <c r="E190" s="64">
        <f>(3.04*1.95)*(10.764)</f>
        <v>63.808991999999996</v>
      </c>
      <c r="F190" s="56">
        <f t="shared" si="20"/>
        <v>955.50413400000002</v>
      </c>
      <c r="G190" s="79"/>
      <c r="H190" s="80"/>
      <c r="I190" s="34"/>
      <c r="L190" s="71"/>
      <c r="M190" s="71"/>
      <c r="N190" s="34"/>
    </row>
    <row r="191" spans="1:14" s="57" customFormat="1" ht="15.75" customHeight="1" x14ac:dyDescent="0.35">
      <c r="A191" s="72">
        <f t="shared" si="21"/>
        <v>5</v>
      </c>
      <c r="B191" s="73"/>
      <c r="C191" s="56" t="s">
        <v>214</v>
      </c>
      <c r="D191" s="64">
        <f>(29.49+2.5*1.2+0.95*(2.5+2.95))*(10.764)</f>
        <v>405.45296999999994</v>
      </c>
      <c r="E191" s="64">
        <f>(2.86*1.95)*(10.764)</f>
        <v>60.030827999999993</v>
      </c>
      <c r="F191" s="56">
        <f t="shared" si="20"/>
        <v>668.210283</v>
      </c>
      <c r="G191" s="79"/>
      <c r="H191" s="80"/>
      <c r="I191" s="34"/>
      <c r="L191" s="71"/>
      <c r="M191" s="71"/>
      <c r="N191" s="34"/>
    </row>
    <row r="192" spans="1:14" s="57" customFormat="1" ht="15.75" customHeight="1" x14ac:dyDescent="0.35">
      <c r="A192" s="72">
        <f t="shared" si="21"/>
        <v>6</v>
      </c>
      <c r="B192" s="73"/>
      <c r="C192" s="56" t="s">
        <v>214</v>
      </c>
      <c r="D192" s="64">
        <f>(29.97+2.34*1.2+0.95*(2.34+2.6))*(10.764)</f>
        <v>403.33784399999996</v>
      </c>
      <c r="E192" s="64">
        <f>(2.9*1.95)*(10.764)</f>
        <v>60.870419999999989</v>
      </c>
      <c r="F192" s="56">
        <f t="shared" si="20"/>
        <v>665.87718599999994</v>
      </c>
      <c r="G192" s="81"/>
      <c r="H192" s="82"/>
      <c r="I192" s="34"/>
      <c r="L192" s="71"/>
      <c r="M192" s="71"/>
      <c r="N192" s="34"/>
    </row>
    <row r="193" spans="1:14" s="58" customFormat="1" x14ac:dyDescent="0.35">
      <c r="A193" s="86" t="s">
        <v>220</v>
      </c>
      <c r="B193" s="87"/>
      <c r="C193" s="87"/>
      <c r="D193" s="87"/>
      <c r="E193" s="87"/>
      <c r="F193" s="87"/>
      <c r="G193" s="87"/>
      <c r="H193" s="88"/>
      <c r="J193" s="34"/>
    </row>
    <row r="194" spans="1:14" s="58" customFormat="1" ht="15.75" customHeight="1" x14ac:dyDescent="0.35">
      <c r="A194" s="72">
        <v>1</v>
      </c>
      <c r="B194" s="73"/>
      <c r="C194" s="59" t="s">
        <v>214</v>
      </c>
      <c r="D194" s="64">
        <f>(30.77+2.5*1.2+0.95*(2.5+2.92))*(10.764)</f>
        <v>418.92411599999997</v>
      </c>
      <c r="E194" s="64">
        <f>(2.95*1.95)*(10.764)</f>
        <v>61.919910000000002</v>
      </c>
      <c r="F194" s="59">
        <f t="shared" ref="F194:F199" si="22">D194*(($F$162)+1)+(IF(E194&lt;101,E194,IF(E194&lt;201,E194/2,IF(E194&lt;=301,E194/3,E194/4))))</f>
        <v>690.30608399999994</v>
      </c>
      <c r="G194" s="77" t="str">
        <f>A193</f>
        <v>22nd Floor</v>
      </c>
      <c r="H194" s="78"/>
      <c r="I194" s="34"/>
      <c r="L194" s="71"/>
      <c r="M194" s="71"/>
      <c r="N194" s="34"/>
    </row>
    <row r="195" spans="1:14" s="58" customFormat="1" ht="15.75" customHeight="1" x14ac:dyDescent="0.35">
      <c r="A195" s="72">
        <f t="shared" ref="A195:A199" si="23">A194+1</f>
        <v>2</v>
      </c>
      <c r="B195" s="73"/>
      <c r="C195" s="59" t="s">
        <v>214</v>
      </c>
      <c r="D195" s="64">
        <f>(29.87+2.5*1.2+0.95*(2.5+2.95))*(10.764)</f>
        <v>409.54329000000007</v>
      </c>
      <c r="E195" s="64">
        <f>(2.85*1.95)*(10.764)</f>
        <v>59.820929999999997</v>
      </c>
      <c r="F195" s="59">
        <f t="shared" si="22"/>
        <v>674.13586500000008</v>
      </c>
      <c r="G195" s="79"/>
      <c r="H195" s="80"/>
      <c r="I195" s="34"/>
      <c r="L195" s="71"/>
      <c r="M195" s="71"/>
      <c r="N195" s="34"/>
    </row>
    <row r="196" spans="1:14" s="58" customFormat="1" ht="15.75" customHeight="1" x14ac:dyDescent="0.35">
      <c r="A196" s="72">
        <f t="shared" si="23"/>
        <v>3</v>
      </c>
      <c r="B196" s="73"/>
      <c r="C196" s="59" t="s">
        <v>214</v>
      </c>
      <c r="D196" s="64">
        <f>(29.64+2.4*1.2+3*1.2+0.95*(3+2.4+3))*(10.764)</f>
        <v>474.69239999999996</v>
      </c>
      <c r="E196" s="64">
        <f>0*(10.764)</f>
        <v>0</v>
      </c>
      <c r="F196" s="59">
        <f t="shared" si="22"/>
        <v>712.03859999999997</v>
      </c>
      <c r="G196" s="79"/>
      <c r="H196" s="80"/>
      <c r="I196" s="34"/>
      <c r="L196" s="71"/>
      <c r="M196" s="71"/>
      <c r="N196" s="34"/>
    </row>
    <row r="197" spans="1:14" s="58" customFormat="1" ht="15.75" customHeight="1" x14ac:dyDescent="0.35">
      <c r="A197" s="72">
        <f t="shared" si="23"/>
        <v>4</v>
      </c>
      <c r="B197" s="73"/>
      <c r="C197" s="59" t="s">
        <v>214</v>
      </c>
      <c r="D197" s="64">
        <f>(41.67+1.98*1.2+3*1.2+3*0.9+0.95*(1.98+3))*(10.764)</f>
        <v>592.84882800000003</v>
      </c>
      <c r="E197" s="64">
        <f>(3.04*1.95)*(10.764)</f>
        <v>63.808991999999996</v>
      </c>
      <c r="F197" s="59">
        <f t="shared" si="22"/>
        <v>953.08223399999997</v>
      </c>
      <c r="G197" s="79"/>
      <c r="H197" s="80"/>
      <c r="I197" s="34"/>
      <c r="L197" s="71"/>
      <c r="M197" s="71"/>
      <c r="N197" s="34"/>
    </row>
    <row r="198" spans="1:14" s="58" customFormat="1" ht="15.75" customHeight="1" x14ac:dyDescent="0.35">
      <c r="A198" s="72">
        <f t="shared" si="23"/>
        <v>5</v>
      </c>
      <c r="B198" s="73"/>
      <c r="C198" s="59" t="s">
        <v>214</v>
      </c>
      <c r="D198" s="64">
        <f>(29.49+2.5*1.2+0.95*(2.5+2.95))*(10.764)</f>
        <v>405.45296999999994</v>
      </c>
      <c r="E198" s="64">
        <f>(2.86*1.95)*(10.764)</f>
        <v>60.030827999999993</v>
      </c>
      <c r="F198" s="59">
        <f t="shared" si="22"/>
        <v>668.210283</v>
      </c>
      <c r="G198" s="79"/>
      <c r="H198" s="80"/>
      <c r="I198" s="34"/>
      <c r="L198" s="71"/>
      <c r="M198" s="71"/>
      <c r="N198" s="34"/>
    </row>
    <row r="199" spans="1:14" s="58" customFormat="1" ht="15.75" customHeight="1" x14ac:dyDescent="0.35">
      <c r="A199" s="72">
        <f t="shared" si="23"/>
        <v>6</v>
      </c>
      <c r="B199" s="73"/>
      <c r="C199" s="59" t="s">
        <v>214</v>
      </c>
      <c r="D199" s="64">
        <f>(29.97+2.34*1.2+2.6*0.9+0.95*(2.34))*(10.764)</f>
        <v>401.93852399999997</v>
      </c>
      <c r="E199" s="64">
        <f>(2.9*1.95)*(10.764)</f>
        <v>60.870419999999989</v>
      </c>
      <c r="F199" s="59">
        <f t="shared" si="22"/>
        <v>663.77820599999995</v>
      </c>
      <c r="G199" s="81"/>
      <c r="H199" s="82"/>
      <c r="I199" s="34"/>
      <c r="L199" s="71"/>
      <c r="M199" s="71"/>
      <c r="N199" s="34"/>
    </row>
    <row r="200" spans="1:14" s="58" customFormat="1" x14ac:dyDescent="0.35">
      <c r="A200" s="86" t="s">
        <v>224</v>
      </c>
      <c r="B200" s="87"/>
      <c r="C200" s="87"/>
      <c r="D200" s="87"/>
      <c r="E200" s="87"/>
      <c r="F200" s="87"/>
      <c r="G200" s="87"/>
      <c r="H200" s="88"/>
      <c r="J200" s="34"/>
    </row>
    <row r="201" spans="1:14" s="58" customFormat="1" ht="15.75" customHeight="1" x14ac:dyDescent="0.35">
      <c r="A201" s="72">
        <v>1</v>
      </c>
      <c r="B201" s="73"/>
      <c r="C201" s="59" t="s">
        <v>214</v>
      </c>
      <c r="D201" s="64">
        <f>(30.77+2.5*1.2+0.95*2.5+3*0.9)*(10.764)</f>
        <v>418.12757999999997</v>
      </c>
      <c r="E201" s="64">
        <f>(2.95*1.95)*(10.764)</f>
        <v>61.919910000000002</v>
      </c>
      <c r="F201" s="59">
        <f t="shared" ref="F201:F205" si="24">D201*(($F$162)+1)+(IF(E201&lt;101,E201,IF(E201&lt;201,E201/2,IF(E201&lt;=301,E201/3,E201/4))))</f>
        <v>689.11127999999997</v>
      </c>
      <c r="G201" s="77" t="str">
        <f>A200</f>
        <v>24th, 26th &amp; 30th Floor</v>
      </c>
      <c r="H201" s="78"/>
      <c r="I201" s="34"/>
      <c r="L201" s="71"/>
      <c r="M201" s="71"/>
      <c r="N201" s="34"/>
    </row>
    <row r="202" spans="1:14" s="58" customFormat="1" ht="15.75" customHeight="1" x14ac:dyDescent="0.35">
      <c r="A202" s="72">
        <f t="shared" ref="A202:A205" si="25">A201+1</f>
        <v>2</v>
      </c>
      <c r="B202" s="73"/>
      <c r="C202" s="59" t="s">
        <v>214</v>
      </c>
      <c r="D202" s="64">
        <f>(29.87+2.5*1.2+0.95*2.5+2.95*0.9)*(10.764)</f>
        <v>407.95560000000006</v>
      </c>
      <c r="E202" s="64">
        <f>(2.85*2.05)*(10.764)</f>
        <v>62.888669999999991</v>
      </c>
      <c r="F202" s="59">
        <f t="shared" si="24"/>
        <v>674.82207000000017</v>
      </c>
      <c r="G202" s="79"/>
      <c r="H202" s="80"/>
      <c r="I202" s="34"/>
      <c r="L202" s="71"/>
      <c r="M202" s="71"/>
      <c r="N202" s="34"/>
    </row>
    <row r="203" spans="1:14" s="58" customFormat="1" ht="15.75" customHeight="1" x14ac:dyDescent="0.35">
      <c r="A203" s="72">
        <f t="shared" si="25"/>
        <v>3</v>
      </c>
      <c r="B203" s="73"/>
      <c r="C203" s="59" t="s">
        <v>214</v>
      </c>
      <c r="D203" s="64">
        <f>(29.64+2.4*1.2+3*1.2+0.95*(3+2.4)+3*0.9)*(10.764)</f>
        <v>473.07780000000008</v>
      </c>
      <c r="E203" s="64">
        <f>0*(10.764)</f>
        <v>0</v>
      </c>
      <c r="F203" s="59">
        <f t="shared" si="24"/>
        <v>709.61670000000015</v>
      </c>
      <c r="G203" s="79"/>
      <c r="H203" s="80"/>
      <c r="I203" s="34"/>
      <c r="L203" s="71"/>
      <c r="M203" s="71"/>
      <c r="N203" s="34"/>
    </row>
    <row r="204" spans="1:14" s="58" customFormat="1" ht="15.75" customHeight="1" x14ac:dyDescent="0.35">
      <c r="A204" s="72">
        <f t="shared" si="25"/>
        <v>4</v>
      </c>
      <c r="B204" s="73"/>
      <c r="C204" s="59" t="s">
        <v>214</v>
      </c>
      <c r="D204" s="64">
        <f>(41.67+1.98*1.2+3*1.2+3*0.9+0.95*(1.98+3))*(10.764)</f>
        <v>592.84882800000003</v>
      </c>
      <c r="E204" s="64">
        <f>(3.04*1.95)*(10.764)</f>
        <v>63.808991999999996</v>
      </c>
      <c r="F204" s="59">
        <f t="shared" si="24"/>
        <v>953.08223399999997</v>
      </c>
      <c r="G204" s="79"/>
      <c r="H204" s="80"/>
      <c r="I204" s="34"/>
      <c r="L204" s="71"/>
      <c r="M204" s="71"/>
      <c r="N204" s="34"/>
    </row>
    <row r="205" spans="1:14" s="58" customFormat="1" ht="15.75" customHeight="1" x14ac:dyDescent="0.35">
      <c r="A205" s="72">
        <f t="shared" si="25"/>
        <v>5</v>
      </c>
      <c r="B205" s="73"/>
      <c r="C205" s="59" t="s">
        <v>214</v>
      </c>
      <c r="D205" s="64">
        <f>(40.35+2.5*1.2+0.95*(2.5)+0.9*(2.95+2.6))*(10.764)</f>
        <v>545.95007999999996</v>
      </c>
      <c r="E205" s="64">
        <f>(2.85*1.68)*(10.764)</f>
        <v>51.538032000000001</v>
      </c>
      <c r="F205" s="59">
        <f t="shared" si="24"/>
        <v>870.46315199999992</v>
      </c>
      <c r="G205" s="79"/>
      <c r="H205" s="80"/>
      <c r="I205" s="34"/>
      <c r="L205" s="71"/>
      <c r="M205" s="71"/>
      <c r="N205" s="34"/>
    </row>
    <row r="206" spans="1:14" s="58" customFormat="1" x14ac:dyDescent="0.35">
      <c r="A206" s="218" t="s">
        <v>223</v>
      </c>
      <c r="B206" s="218"/>
      <c r="C206" s="218"/>
      <c r="D206" s="218"/>
      <c r="E206" s="218"/>
      <c r="F206" s="218"/>
      <c r="G206" s="218"/>
      <c r="H206" s="218"/>
      <c r="J206" s="34"/>
    </row>
    <row r="207" spans="1:14" s="58" customFormat="1" ht="15.75" customHeight="1" x14ac:dyDescent="0.35">
      <c r="A207" s="105">
        <v>1</v>
      </c>
      <c r="B207" s="105"/>
      <c r="C207" s="69" t="s">
        <v>214</v>
      </c>
      <c r="D207" s="64">
        <f>(30.77+2.5*1.2+0.95*2.5+3*0.9)*(10.764)</f>
        <v>418.12757999999997</v>
      </c>
      <c r="E207" s="64">
        <f>(2.95*1.95)*(10.764)</f>
        <v>61.919910000000002</v>
      </c>
      <c r="F207" s="69">
        <f t="shared" ref="F207:F211" si="26">D207*(($F$162)+1)+(IF(E207&lt;101,E207,IF(E207&lt;201,E207/2,IF(E207&lt;=301,E207/3,E207/4))))</f>
        <v>689.11127999999997</v>
      </c>
      <c r="G207" s="105" t="str">
        <f>A206</f>
        <v>28th Floor (Part Refuge Area)</v>
      </c>
      <c r="H207" s="105"/>
      <c r="I207" s="34"/>
      <c r="L207" s="71"/>
      <c r="M207" s="71"/>
      <c r="N207" s="34"/>
    </row>
    <row r="208" spans="1:14" s="58" customFormat="1" ht="15.75" customHeight="1" x14ac:dyDescent="0.35">
      <c r="A208" s="105">
        <f t="shared" ref="A208:A211" si="27">A207+1</f>
        <v>2</v>
      </c>
      <c r="B208" s="105"/>
      <c r="C208" s="69" t="s">
        <v>214</v>
      </c>
      <c r="D208" s="64">
        <f>(29.87+2.5*1.2+0.95*2.5+2.95*0.9)*(10.764)</f>
        <v>407.95560000000006</v>
      </c>
      <c r="E208" s="64">
        <f>(2.85*2.05)*(10.764)</f>
        <v>62.888669999999991</v>
      </c>
      <c r="F208" s="69">
        <f t="shared" si="26"/>
        <v>674.82207000000017</v>
      </c>
      <c r="G208" s="105"/>
      <c r="H208" s="105"/>
      <c r="I208" s="34"/>
      <c r="L208" s="71"/>
      <c r="M208" s="71"/>
      <c r="N208" s="34"/>
    </row>
    <row r="209" spans="1:14" s="58" customFormat="1" ht="15.75" customHeight="1" x14ac:dyDescent="0.35">
      <c r="A209" s="105">
        <f t="shared" si="27"/>
        <v>3</v>
      </c>
      <c r="B209" s="105"/>
      <c r="C209" s="105" t="s">
        <v>219</v>
      </c>
      <c r="D209" s="105"/>
      <c r="E209" s="105"/>
      <c r="F209" s="105"/>
      <c r="G209" s="105"/>
      <c r="H209" s="105"/>
      <c r="I209" s="34"/>
      <c r="L209" s="71"/>
      <c r="M209" s="71"/>
      <c r="N209" s="34"/>
    </row>
    <row r="210" spans="1:14" s="58" customFormat="1" ht="15.75" customHeight="1" x14ac:dyDescent="0.35">
      <c r="A210" s="105">
        <f t="shared" si="27"/>
        <v>4</v>
      </c>
      <c r="B210" s="105"/>
      <c r="C210" s="69" t="s">
        <v>214</v>
      </c>
      <c r="D210" s="64">
        <f>(41.67+1.98*1.2+3*1.2+3*0.9+0.95*(1.98+3))*(10.764)</f>
        <v>592.84882800000003</v>
      </c>
      <c r="E210" s="64">
        <f>(3.04*1.95)*(10.764)</f>
        <v>63.808991999999996</v>
      </c>
      <c r="F210" s="69">
        <f t="shared" si="26"/>
        <v>953.08223399999997</v>
      </c>
      <c r="G210" s="105"/>
      <c r="H210" s="105"/>
      <c r="I210" s="34"/>
      <c r="L210" s="71"/>
      <c r="M210" s="71"/>
      <c r="N210" s="34"/>
    </row>
    <row r="211" spans="1:14" s="58" customFormat="1" ht="15.75" customHeight="1" x14ac:dyDescent="0.35">
      <c r="A211" s="105">
        <f t="shared" si="27"/>
        <v>5</v>
      </c>
      <c r="B211" s="105"/>
      <c r="C211" s="69" t="s">
        <v>214</v>
      </c>
      <c r="D211" s="64">
        <f>(40.35+2.5*1.2+0.95*(2.5)+0.9*(2.95+2.6))*(10.764)</f>
        <v>545.95007999999996</v>
      </c>
      <c r="E211" s="64">
        <f>(2.85*1.68)*(10.764)</f>
        <v>51.538032000000001</v>
      </c>
      <c r="F211" s="69">
        <f t="shared" si="26"/>
        <v>870.46315199999992</v>
      </c>
      <c r="G211" s="105"/>
      <c r="H211" s="105"/>
      <c r="I211" s="34"/>
      <c r="L211" s="71"/>
      <c r="M211" s="71"/>
      <c r="N211" s="34"/>
    </row>
    <row r="212" spans="1:14" s="58" customFormat="1" x14ac:dyDescent="0.35">
      <c r="A212" s="176" t="s">
        <v>221</v>
      </c>
      <c r="B212" s="176"/>
      <c r="C212" s="176"/>
      <c r="D212" s="176"/>
      <c r="E212" s="176"/>
      <c r="F212" s="176"/>
      <c r="G212" s="176"/>
      <c r="H212" s="176"/>
      <c r="J212" s="34"/>
    </row>
    <row r="213" spans="1:14" s="58" customFormat="1" ht="15.75" customHeight="1" x14ac:dyDescent="0.35">
      <c r="A213" s="105">
        <v>1</v>
      </c>
      <c r="B213" s="105"/>
      <c r="C213" s="69" t="s">
        <v>214</v>
      </c>
      <c r="D213" s="64">
        <f>(30.77+2.5*1.2+0.95*2.5+2.95*0.9)*(10.764)</f>
        <v>417.64319999999992</v>
      </c>
      <c r="E213" s="64">
        <f>(3*1.95)*(10.764)</f>
        <v>62.969399999999993</v>
      </c>
      <c r="F213" s="69">
        <f>D213*(($F$162)+1)+(IF(E213&lt;101,E213,IF(E213&lt;201,E213/2,IF(E213&lt;=301,E213/3,E213/4))))</f>
        <v>689.43419999999981</v>
      </c>
      <c r="G213" s="105" t="str">
        <f>A212</f>
        <v>25th, 27th &amp; 29th Floor</v>
      </c>
      <c r="H213" s="105"/>
      <c r="I213" s="34"/>
      <c r="L213" s="71"/>
      <c r="M213" s="71"/>
      <c r="N213" s="34"/>
    </row>
    <row r="214" spans="1:14" s="58" customFormat="1" ht="15.75" customHeight="1" x14ac:dyDescent="0.35">
      <c r="A214" s="105">
        <f t="shared" ref="A214:A217" si="28">A213+1</f>
        <v>2</v>
      </c>
      <c r="B214" s="105"/>
      <c r="C214" s="69" t="s">
        <v>214</v>
      </c>
      <c r="D214" s="64">
        <f>(29.87+2.5*1.2+0.95*2.5+2.85*1)*(10.764)</f>
        <v>410.05458000000004</v>
      </c>
      <c r="E214" s="64">
        <f>(2.95*1.95)*(10.764)</f>
        <v>61.919910000000002</v>
      </c>
      <c r="F214" s="69">
        <f>D214*(($F$162)+1)+(IF(E214&lt;101,E214,IF(E214&lt;201,E214/2,IF(E214&lt;=301,E214/3,E214/4))))</f>
        <v>677.00178000000005</v>
      </c>
      <c r="G214" s="105" t="str">
        <f t="shared" ref="G214:G217" si="29">G213</f>
        <v>25th, 27th &amp; 29th Floor</v>
      </c>
      <c r="H214" s="105"/>
      <c r="I214" s="34"/>
      <c r="L214" s="71"/>
      <c r="M214" s="71"/>
      <c r="N214" s="34"/>
    </row>
    <row r="215" spans="1:14" s="58" customFormat="1" ht="15.75" customHeight="1" x14ac:dyDescent="0.35">
      <c r="A215" s="105">
        <f t="shared" si="28"/>
        <v>3</v>
      </c>
      <c r="B215" s="105"/>
      <c r="C215" s="62" t="s">
        <v>214</v>
      </c>
      <c r="D215" s="64">
        <f>(29.64+2.4*1.2+3*1.2+0.95*(3+2.4))*(10.764)</f>
        <v>444.01500000000004</v>
      </c>
      <c r="E215" s="64">
        <f>(3*1.95)*(10.764)</f>
        <v>62.969399999999993</v>
      </c>
      <c r="F215" s="69">
        <f t="shared" ref="F215:F216" si="30">D215*(($F$162)+1)+(IF(E215&lt;101,E215,IF(E215&lt;201,E215/2,IF(E215&lt;=301,E215/3,E215/4))))</f>
        <v>728.99189999999999</v>
      </c>
      <c r="G215" s="105" t="str">
        <f t="shared" si="29"/>
        <v>25th, 27th &amp; 29th Floor</v>
      </c>
      <c r="H215" s="105"/>
      <c r="I215" s="34"/>
      <c r="L215" s="71"/>
      <c r="M215" s="71"/>
      <c r="N215" s="34"/>
    </row>
    <row r="216" spans="1:14" s="58" customFormat="1" ht="15.75" customHeight="1" x14ac:dyDescent="0.35">
      <c r="A216" s="105">
        <f t="shared" si="28"/>
        <v>4</v>
      </c>
      <c r="B216" s="105"/>
      <c r="C216" s="62" t="s">
        <v>214</v>
      </c>
      <c r="D216" s="64">
        <f>(41.67+1.98*1.2+3*1.2+0.95*(3.04+1.98)+0.9*3.04)*(10.764)</f>
        <v>593.64536399999997</v>
      </c>
      <c r="E216" s="64">
        <f>(3*1.95)*(10.764)</f>
        <v>62.969399999999993</v>
      </c>
      <c r="F216" s="69">
        <f t="shared" si="30"/>
        <v>953.43744599999991</v>
      </c>
      <c r="G216" s="105" t="str">
        <f t="shared" si="29"/>
        <v>25th, 27th &amp; 29th Floor</v>
      </c>
      <c r="H216" s="105"/>
      <c r="I216" s="34"/>
      <c r="L216" s="71"/>
      <c r="M216" s="71"/>
      <c r="N216" s="34"/>
    </row>
    <row r="217" spans="1:14" s="58" customFormat="1" ht="15.75" customHeight="1" x14ac:dyDescent="0.35">
      <c r="A217" s="105">
        <f t="shared" si="28"/>
        <v>5</v>
      </c>
      <c r="B217" s="105"/>
      <c r="C217" s="69" t="s">
        <v>222</v>
      </c>
      <c r="D217" s="64">
        <f>(40.35+2.5*1.2+0.95*2.5+2.85*0.9)*(10.764)</f>
        <v>519.79355999999996</v>
      </c>
      <c r="E217" s="64">
        <f>(2.95*1.95+2.6*1.95)*(10.764)</f>
        <v>116.49339000000001</v>
      </c>
      <c r="F217" s="69">
        <f>D217*(($F$162)+1)+(IF(E217&lt;101,E217,IF(E217&lt;201,E217/2,IF(E217&lt;=301,E217/3,E217/4))))</f>
        <v>837.93703499999992</v>
      </c>
      <c r="G217" s="105" t="str">
        <f t="shared" si="29"/>
        <v>25th, 27th &amp; 29th Floor</v>
      </c>
      <c r="H217" s="105"/>
      <c r="I217" s="34"/>
      <c r="L217" s="71"/>
      <c r="M217" s="71"/>
      <c r="N217" s="34"/>
    </row>
    <row r="218" spans="1:14" s="58" customFormat="1" x14ac:dyDescent="0.35">
      <c r="A218" s="83" t="s">
        <v>213</v>
      </c>
      <c r="B218" s="84"/>
      <c r="C218" s="84"/>
      <c r="D218" s="84"/>
      <c r="E218" s="84"/>
      <c r="F218" s="84"/>
      <c r="G218" s="84"/>
      <c r="H218" s="85"/>
      <c r="J218" s="34"/>
    </row>
    <row r="219" spans="1:14" s="58" customFormat="1" x14ac:dyDescent="0.35">
      <c r="A219" s="83" t="s">
        <v>229</v>
      </c>
      <c r="B219" s="84"/>
      <c r="C219" s="84"/>
      <c r="D219" s="84"/>
      <c r="E219" s="84"/>
      <c r="F219" s="84"/>
      <c r="G219" s="84"/>
      <c r="H219" s="85"/>
      <c r="J219" s="34"/>
    </row>
    <row r="220" spans="1:14" s="58" customFormat="1" ht="15.75" customHeight="1" x14ac:dyDescent="0.35">
      <c r="A220" s="72">
        <v>1</v>
      </c>
      <c r="B220" s="73"/>
      <c r="C220" s="59" t="s">
        <v>214</v>
      </c>
      <c r="D220" s="64">
        <f>(27.31+2.4*1.2+0.95*(2.4+2.7))*(10.764)</f>
        <v>377.11673999999994</v>
      </c>
      <c r="E220" s="64">
        <f>(2.7*1.95)*(10.764)</f>
        <v>56.672460000000001</v>
      </c>
      <c r="F220" s="59">
        <f>D220*(($F$162)+1)+(IF(E220&lt;101,E220,IF(E220&lt;201,E220/2,IF(E220&lt;=301,E220/3,E220/4))))</f>
        <v>622.34756999999991</v>
      </c>
      <c r="G220" s="77" t="str">
        <f>A219</f>
        <v>1st, 3rd &amp; 7th Floor For Residential</v>
      </c>
      <c r="H220" s="78"/>
      <c r="I220" s="34"/>
      <c r="L220" s="71"/>
      <c r="M220" s="71"/>
      <c r="N220" s="34"/>
    </row>
    <row r="221" spans="1:14" s="58" customFormat="1" ht="15.75" customHeight="1" x14ac:dyDescent="0.35">
      <c r="A221" s="72">
        <f t="shared" ref="A221" si="31">A220+1</f>
        <v>2</v>
      </c>
      <c r="B221" s="73"/>
      <c r="C221" s="59" t="s">
        <v>214</v>
      </c>
      <c r="D221" s="64">
        <f>(27.31+2.4*1.2+0.95*(2.4+2.7))*(10.764)</f>
        <v>377.11673999999994</v>
      </c>
      <c r="E221" s="64">
        <f>(2.7*1.95)*(10.764)</f>
        <v>56.672460000000001</v>
      </c>
      <c r="F221" s="59">
        <f>D221*(($F$162)+1)+(IF(E221&lt;101,E221,IF(E221&lt;201,E221/2,IF(E221&lt;=301,E221/3,E221/4))))</f>
        <v>622.34756999999991</v>
      </c>
      <c r="G221" s="79" t="str">
        <f t="shared" ref="G221" si="32">G220</f>
        <v>1st, 3rd &amp; 7th Floor For Residential</v>
      </c>
      <c r="H221" s="80"/>
      <c r="I221" s="34"/>
      <c r="L221" s="71"/>
      <c r="M221" s="71"/>
      <c r="N221" s="34"/>
    </row>
    <row r="222" spans="1:14" s="58" customFormat="1" x14ac:dyDescent="0.35">
      <c r="A222" s="83" t="s">
        <v>230</v>
      </c>
      <c r="B222" s="84"/>
      <c r="C222" s="84"/>
      <c r="D222" s="84"/>
      <c r="E222" s="84"/>
      <c r="F222" s="84"/>
      <c r="G222" s="84"/>
      <c r="H222" s="85"/>
      <c r="J222" s="34"/>
    </row>
    <row r="223" spans="1:14" s="58" customFormat="1" ht="15.75" customHeight="1" x14ac:dyDescent="0.35">
      <c r="A223" s="72">
        <v>1</v>
      </c>
      <c r="B223" s="73"/>
      <c r="C223" s="59" t="s">
        <v>214</v>
      </c>
      <c r="D223" s="64">
        <f>(27.31+2.4*1.2+0.95*(2.4+2.7))*(10.764)</f>
        <v>377.11673999999994</v>
      </c>
      <c r="E223" s="64">
        <f>(2.7*1.95)*(10.764)</f>
        <v>56.672460000000001</v>
      </c>
      <c r="F223" s="59">
        <f>D223*(($F$162)+1)+(IF(E223&lt;101,E223,IF(E223&lt;201,E223/2,IF(E223&lt;=301,E223/3,E223/4))))</f>
        <v>622.34756999999991</v>
      </c>
      <c r="G223" s="77" t="str">
        <f>A222</f>
        <v>2nd, 4th &amp; 6th Floor</v>
      </c>
      <c r="H223" s="78"/>
      <c r="I223" s="34"/>
      <c r="L223" s="71"/>
      <c r="M223" s="71"/>
      <c r="N223" s="34"/>
    </row>
    <row r="224" spans="1:14" s="58" customFormat="1" ht="15.75" customHeight="1" x14ac:dyDescent="0.35">
      <c r="A224" s="72">
        <f t="shared" ref="A224" si="33">A223+1</f>
        <v>2</v>
      </c>
      <c r="B224" s="73"/>
      <c r="C224" s="59" t="s">
        <v>214</v>
      </c>
      <c r="D224" s="64">
        <f>(27.31+2.4*1.2+0.95*(2.4+2.7))*(10.764)</f>
        <v>377.11673999999994</v>
      </c>
      <c r="E224" s="64">
        <f>(2.7*1.95)*(10.764)</f>
        <v>56.672460000000001</v>
      </c>
      <c r="F224" s="59">
        <f>D224*(($F$162)+1)+(IF(E224&lt;101,E224,IF(E224&lt;201,E224/2,IF(E224&lt;=301,E224/3,E224/4))))</f>
        <v>622.34756999999991</v>
      </c>
      <c r="G224" s="79" t="str">
        <f t="shared" ref="G224" si="34">G223</f>
        <v>2nd, 4th &amp; 6th Floor</v>
      </c>
      <c r="H224" s="80"/>
      <c r="I224" s="34"/>
      <c r="L224" s="71"/>
      <c r="M224" s="71"/>
      <c r="N224" s="34"/>
    </row>
    <row r="225" spans="1:14" s="58" customFormat="1" x14ac:dyDescent="0.35">
      <c r="A225" s="83" t="s">
        <v>231</v>
      </c>
      <c r="B225" s="84"/>
      <c r="C225" s="84"/>
      <c r="D225" s="84"/>
      <c r="E225" s="84"/>
      <c r="F225" s="84"/>
      <c r="G225" s="84"/>
      <c r="H225" s="85"/>
      <c r="J225" s="34"/>
    </row>
    <row r="226" spans="1:14" s="58" customFormat="1" ht="15.75" customHeight="1" x14ac:dyDescent="0.35">
      <c r="A226" s="72">
        <v>1</v>
      </c>
      <c r="B226" s="73"/>
      <c r="C226" s="59" t="s">
        <v>214</v>
      </c>
      <c r="D226" s="64">
        <f>(27.31+2.4*1.2+0.95*(2.4+2.7))*(10.764)</f>
        <v>377.11673999999994</v>
      </c>
      <c r="E226" s="64">
        <f>(2.7*1.95)*(10.764)</f>
        <v>56.672460000000001</v>
      </c>
      <c r="F226" s="59">
        <f>D226*(($F$162)+1)+(IF(E226&lt;101,E226,IF(E226&lt;201,E226/2,IF(E226&lt;=301,E226/3,E226/4))))</f>
        <v>622.34756999999991</v>
      </c>
      <c r="G226" s="77" t="str">
        <f>A225</f>
        <v>5th Floor</v>
      </c>
      <c r="H226" s="78"/>
      <c r="I226" s="34"/>
      <c r="L226" s="71"/>
      <c r="M226" s="71"/>
      <c r="N226" s="34"/>
    </row>
    <row r="227" spans="1:14" s="58" customFormat="1" ht="15.75" customHeight="1" x14ac:dyDescent="0.35">
      <c r="A227" s="72">
        <f t="shared" ref="A227" si="35">A226+1</f>
        <v>2</v>
      </c>
      <c r="B227" s="73"/>
      <c r="C227" s="59" t="s">
        <v>214</v>
      </c>
      <c r="D227" s="64">
        <f>(27.31+2.4*1.2+0.95*(2.4+2.7))*(10.764)</f>
        <v>377.11673999999994</v>
      </c>
      <c r="E227" s="64">
        <f>(2.7*1.95)*(10.764)</f>
        <v>56.672460000000001</v>
      </c>
      <c r="F227" s="59">
        <f>D227*(($F$162)+1)+(IF(E227&lt;101,E227,IF(E227&lt;201,E227/2,IF(E227&lt;=301,E227/3,E227/4))))</f>
        <v>622.34756999999991</v>
      </c>
      <c r="G227" s="79" t="str">
        <f t="shared" ref="G227" si="36">G226</f>
        <v>5th Floor</v>
      </c>
      <c r="H227" s="80"/>
      <c r="I227" s="34"/>
      <c r="L227" s="71"/>
      <c r="M227" s="71"/>
      <c r="N227" s="34"/>
    </row>
    <row r="228" spans="1:14" s="35" customFormat="1" hidden="1" x14ac:dyDescent="0.35">
      <c r="A228" s="83" t="s">
        <v>121</v>
      </c>
      <c r="B228" s="84"/>
      <c r="C228" s="84"/>
      <c r="D228" s="84"/>
      <c r="E228" s="84"/>
      <c r="F228" s="84"/>
      <c r="G228" s="84"/>
      <c r="H228" s="85"/>
      <c r="J228" s="34"/>
    </row>
    <row r="229" spans="1:14" s="35" customFormat="1" hidden="1" x14ac:dyDescent="0.35">
      <c r="A229" s="72">
        <v>1</v>
      </c>
      <c r="B229" s="73"/>
      <c r="C229" s="40"/>
      <c r="D229" s="40"/>
      <c r="E229" s="40">
        <v>0</v>
      </c>
      <c r="F229" s="40">
        <f>D229*(($F$162)+1)+(IF(E229&lt;101,E229,IF(E229&lt;201,E229/2,IF(E229&lt;=301,E229/3,E229/4))))</f>
        <v>0</v>
      </c>
      <c r="G229" s="72" t="str">
        <f>A228</f>
        <v>Ground Floor</v>
      </c>
      <c r="H229" s="73"/>
      <c r="I229" s="34"/>
      <c r="L229" s="71"/>
      <c r="M229" s="71"/>
      <c r="N229" s="34"/>
    </row>
    <row r="230" spans="1:14" s="35" customFormat="1" hidden="1" x14ac:dyDescent="0.35">
      <c r="A230" s="72">
        <f t="shared" ref="A230:A232" si="37">A229+1</f>
        <v>2</v>
      </c>
      <c r="B230" s="73"/>
      <c r="C230" s="40"/>
      <c r="D230" s="40"/>
      <c r="E230" s="40">
        <v>0</v>
      </c>
      <c r="F230" s="40">
        <f>D230*(($F$162)+1)+(IF(E230&lt;101,E230,IF(E230&lt;201,E230/2,IF(E230&lt;=301,E230/3,E230/4))))</f>
        <v>0</v>
      </c>
      <c r="G230" s="72" t="str">
        <f t="shared" ref="G230:G232" si="38">G229</f>
        <v>Ground Floor</v>
      </c>
      <c r="H230" s="73"/>
      <c r="I230" s="34"/>
      <c r="L230" s="71"/>
      <c r="M230" s="71"/>
      <c r="N230" s="34"/>
    </row>
    <row r="231" spans="1:14" s="35" customFormat="1" hidden="1" x14ac:dyDescent="0.35">
      <c r="A231" s="72">
        <f t="shared" si="37"/>
        <v>3</v>
      </c>
      <c r="B231" s="73"/>
      <c r="C231" s="40"/>
      <c r="D231" s="40"/>
      <c r="E231" s="40">
        <v>0</v>
      </c>
      <c r="F231" s="40">
        <f>D231*(($F$162)+1)+(IF(E231&lt;101,E231,IF(E231&lt;201,E231/2,IF(E231&lt;=301,E231/3,E231/4))))</f>
        <v>0</v>
      </c>
      <c r="G231" s="72" t="str">
        <f t="shared" si="38"/>
        <v>Ground Floor</v>
      </c>
      <c r="H231" s="73"/>
      <c r="I231" s="34"/>
      <c r="L231" s="71"/>
      <c r="M231" s="71"/>
      <c r="N231" s="34"/>
    </row>
    <row r="232" spans="1:14" s="35" customFormat="1" hidden="1" x14ac:dyDescent="0.35">
      <c r="A232" s="72">
        <f t="shared" si="37"/>
        <v>4</v>
      </c>
      <c r="B232" s="73"/>
      <c r="C232" s="40"/>
      <c r="D232" s="40"/>
      <c r="E232" s="40">
        <v>0</v>
      </c>
      <c r="F232" s="40">
        <f>D232*(($F$162)+1)+(IF(E232&lt;101,E232,IF(E232&lt;201,E232/2,IF(E232&lt;=301,E232/3,E232/4))))</f>
        <v>0</v>
      </c>
      <c r="G232" s="72" t="str">
        <f t="shared" si="38"/>
        <v>Ground Floor</v>
      </c>
      <c r="H232" s="73"/>
      <c r="I232" s="34"/>
      <c r="L232" s="71"/>
      <c r="M232" s="71"/>
      <c r="N232" s="34"/>
    </row>
    <row r="233" spans="1:14" s="35" customFormat="1" hidden="1" x14ac:dyDescent="0.35">
      <c r="A233" s="176" t="s">
        <v>122</v>
      </c>
      <c r="B233" s="176"/>
      <c r="C233" s="176"/>
      <c r="D233" s="176"/>
      <c r="E233" s="176"/>
      <c r="F233" s="176"/>
      <c r="G233" s="176"/>
      <c r="H233" s="176"/>
      <c r="I233" s="34"/>
      <c r="L233" s="71"/>
      <c r="M233" s="71"/>
    </row>
    <row r="234" spans="1:14" s="35" customFormat="1" hidden="1" x14ac:dyDescent="0.35">
      <c r="A234" s="105">
        <f>LEFT(A233,SUM(LEN(A233)-LEN(SUBSTITUTE(A233,{"0","1","2","3","4","5","6","7","8","9"},""))))*100+1</f>
        <v>201</v>
      </c>
      <c r="B234" s="105"/>
      <c r="C234" s="40"/>
      <c r="D234" s="40"/>
      <c r="E234" s="40">
        <v>0</v>
      </c>
      <c r="F234" s="40">
        <f t="shared" ref="F234:F235" si="39">D234*(($F$162)+1)+(IF(E234&lt;101,E234,IF(E234&lt;201,E234/2,IF(E234&lt;=301,E234/3,E234/4))))</f>
        <v>0</v>
      </c>
      <c r="G234" s="105" t="str">
        <f>A233</f>
        <v>2nd Floor</v>
      </c>
      <c r="H234" s="105"/>
      <c r="I234" s="34"/>
      <c r="N234" s="34"/>
    </row>
    <row r="235" spans="1:14" s="35" customFormat="1" hidden="1" x14ac:dyDescent="0.35">
      <c r="A235" s="105">
        <f>A234+1</f>
        <v>202</v>
      </c>
      <c r="B235" s="105"/>
      <c r="C235" s="40"/>
      <c r="D235" s="40"/>
      <c r="E235" s="40">
        <v>0</v>
      </c>
      <c r="F235" s="40">
        <f t="shared" si="39"/>
        <v>0</v>
      </c>
      <c r="G235" s="105" t="str">
        <f>G234</f>
        <v>2nd Floor</v>
      </c>
      <c r="H235" s="105"/>
      <c r="I235" s="34"/>
      <c r="N235" s="34"/>
    </row>
    <row r="236" spans="1:14" s="35" customFormat="1" hidden="1" x14ac:dyDescent="0.35">
      <c r="A236" s="105">
        <f>A235+1</f>
        <v>203</v>
      </c>
      <c r="B236" s="105"/>
      <c r="C236" s="40"/>
      <c r="D236" s="40"/>
      <c r="E236" s="40">
        <v>0</v>
      </c>
      <c r="F236" s="40">
        <f>D236*(($F$162)+1)+(IF(E236&lt;101,E236,IF(E236&lt;201,E236/2,IF(E236&lt;=301,E236/3,E236/4))))</f>
        <v>0</v>
      </c>
      <c r="G236" s="105" t="str">
        <f>G235</f>
        <v>2nd Floor</v>
      </c>
      <c r="H236" s="105"/>
      <c r="I236" s="34"/>
      <c r="N236" s="34"/>
    </row>
    <row r="237" spans="1:14" s="35" customFormat="1" hidden="1" x14ac:dyDescent="0.35">
      <c r="A237" s="105">
        <f>A236+1</f>
        <v>204</v>
      </c>
      <c r="B237" s="105"/>
      <c r="C237" s="40"/>
      <c r="D237" s="40"/>
      <c r="E237" s="40">
        <v>0</v>
      </c>
      <c r="F237" s="40">
        <f>D237*(($F$162)+1)+(IF(E237&lt;101,E237,IF(E237&lt;201,E237/2,IF(E237&lt;=301,E237/3,E237/4))))</f>
        <v>0</v>
      </c>
      <c r="G237" s="105" t="str">
        <f>G236</f>
        <v>2nd Floor</v>
      </c>
      <c r="H237" s="105"/>
      <c r="I237" s="34"/>
      <c r="N237" s="34"/>
    </row>
    <row r="238" spans="1:14" s="35" customFormat="1" hidden="1" x14ac:dyDescent="0.35">
      <c r="A238" s="105">
        <f>A237+1</f>
        <v>205</v>
      </c>
      <c r="B238" s="105"/>
      <c r="C238" s="40"/>
      <c r="D238" s="40"/>
      <c r="E238" s="40">
        <v>0</v>
      </c>
      <c r="F238" s="40">
        <f>D238*(($F$162)+1)+(IF(E238&lt;101,E238,IF(E238&lt;201,E238/2,IF(E238&lt;=301,E238/3,E238/4))))</f>
        <v>0</v>
      </c>
      <c r="G238" s="105" t="str">
        <f>G237</f>
        <v>2nd Floor</v>
      </c>
      <c r="H238" s="105"/>
      <c r="I238" s="34"/>
      <c r="N238" s="34"/>
    </row>
    <row r="239" spans="1:14" s="35" customFormat="1" ht="15.75" hidden="1" customHeight="1" x14ac:dyDescent="0.35">
      <c r="A239" s="83" t="s">
        <v>157</v>
      </c>
      <c r="B239" s="84"/>
      <c r="C239" s="84"/>
      <c r="D239" s="84"/>
      <c r="E239" s="84"/>
      <c r="F239" s="84"/>
      <c r="G239" s="84"/>
      <c r="H239" s="85"/>
      <c r="I239" s="34"/>
    </row>
    <row r="240" spans="1:14" s="35" customFormat="1" hidden="1" x14ac:dyDescent="0.35">
      <c r="A240" s="72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10^ROW(INDIRECT("1:"&amp;LEN((LEFT(A239,SUM(LEN(A239)-LEN(SUBSTITUTE(A239,{"0","1","2"},""))))))))/10))*100+1&amp;""&amp;" ,..,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",LEN(A239))),LEN(A239)))))))/10))*100+1</f>
        <v>301 ,.., 1501</v>
      </c>
      <c r="B240" s="73"/>
      <c r="C240" s="40"/>
      <c r="D240" s="40"/>
      <c r="E240" s="40">
        <v>0</v>
      </c>
      <c r="F240" s="40">
        <f>D240*(($F$162)+1)+(IF(E240&lt;101,E240,IF(E240&lt;201,E240/2,IF(E240&lt;=301,E240/3,E240/4))))</f>
        <v>0</v>
      </c>
      <c r="G240" s="72" t="str">
        <f>A239</f>
        <v>3rd, 5th, 7th, 9th, 11th, 13th, 15th Floor</v>
      </c>
      <c r="H240" s="73"/>
      <c r="I240" s="34"/>
    </row>
    <row r="241" spans="1:9" s="35" customFormat="1" hidden="1" x14ac:dyDescent="0.35">
      <c r="A241" s="72" t="str">
        <f ca="1">(SUMPRODUCT(MID(0&amp;(LEFT(A240,SUM(LEN(A240)-LEN(SUBSTITUTE(A240,{"0","1","2"},""))))), LARGE(INDEX(ISNUMBER(--MID((LEFT(A240,SUM(LEN(A240)-LEN(SUBSTITUTE(A240,{"0","1","2"},""))))), ROW(INDIRECT("1:"&amp;LEN((LEFT(A240,SUM(LEN(A240)-LEN(SUBSTITUTE(A240,{"0","1","2"},"")))))))), 1)) * ROW(INDIRECT("1:"&amp;LEN((LEFT(A240,SUM(LEN(A240)-LEN(SUBSTITUTE(A240,{"0","1","2"},"")))))))), 0), ROW(INDIRECT("1:"&amp;LEN((LEFT(A240,SUM(LEN(A240)-LEN(SUBSTITUTE(A240,{"0","1","2"},"")))))))))+1, 1) * 10^ROW(INDIRECT("1:"&amp;LEN((LEFT(A240,SUM(LEN(A240)-LEN(SUBSTITUTE(A240,{"0","1","2"},""))))))))/10))*1+1&amp;""&amp;" ,.., "&amp;""&amp;(SUMPRODUCT(MID(0&amp;(--TRIM(RIGHT(SUBSTITUTE(LEFT(A240,_xlfn.AGGREGATE(16,6,FIND({0,1,2,3,4,5,6,7,8,9},A240,ROW(INDIRECT("1:"&amp;LEN(A240)))),1)),"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",LEN(A240))),LEN(A240)))))))/10))*1+1</f>
        <v>302 ,.., 1502</v>
      </c>
      <c r="B241" s="73"/>
      <c r="C241" s="40"/>
      <c r="D241" s="40"/>
      <c r="E241" s="40">
        <v>0</v>
      </c>
      <c r="F241" s="40">
        <f>D241*(($F$162)+1)+(IF(E241&lt;101,E241,IF(E241&lt;201,E241/2,IF(E241&lt;=301,E241/3,E241/4))))</f>
        <v>0</v>
      </c>
      <c r="G241" s="72" t="str">
        <f>G240</f>
        <v>3rd, 5th, 7th, 9th, 11th, 13th, 15th Floor</v>
      </c>
      <c r="H241" s="73"/>
      <c r="I241" s="34"/>
    </row>
    <row r="242" spans="1:9" s="35" customFormat="1" ht="15.75" hidden="1" customHeight="1" x14ac:dyDescent="0.35">
      <c r="A242" s="72" t="str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10^ROW(INDIRECT("1:"&amp;LEN((LEFT(A241,SUM(LEN(A241)-LEN(SUBSTITUTE(A241,{"0","1","2"},""))))))))/10))*1+1&amp;""&amp;" ,.., "&amp;""&amp;(SUMPRODUCT(MID(0&amp;(--TRIM(RIGHT(SUBSTITUTE(LEFT(A241,_xlfn.AGGREGATE(16,6,FIND({0,1,2,3,4,5,6,7,8,9},A241,ROW(INDIRECT("1:"&amp;LEN(A241)))),1)),"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",LEN(A241))),LEN(A241)))))))/10))*1+1</f>
        <v>303 ,.., 1503</v>
      </c>
      <c r="B242" s="73"/>
      <c r="C242" s="40"/>
      <c r="D242" s="40"/>
      <c r="E242" s="40">
        <v>0</v>
      </c>
      <c r="F242" s="40">
        <f>D242*(($F$162)+1)+(IF(E242&lt;101,E242,IF(E242&lt;201,E242/2,IF(E242&lt;=301,E242/3,E242/4))))</f>
        <v>0</v>
      </c>
      <c r="G242" s="72" t="str">
        <f>G241</f>
        <v>3rd, 5th, 7th, 9th, 11th, 13th, 15th Floor</v>
      </c>
      <c r="H242" s="73"/>
      <c r="I242" s="34"/>
    </row>
    <row r="243" spans="1:9" s="35" customFormat="1" ht="15.75" hidden="1" customHeight="1" x14ac:dyDescent="0.35">
      <c r="A243" s="72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10^ROW(INDIRECT("1:"&amp;LEN((LEFT(A242,SUM(LEN(A242)-LEN(SUBSTITUTE(A242,{"0","1","2"},""))))))))/10))*1+1&amp;""&amp;" ,..,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",LEN(A242))),LEN(A242)))))))/10))*1+1</f>
        <v>304 ,.., 1504</v>
      </c>
      <c r="B243" s="73"/>
      <c r="C243" s="40"/>
      <c r="D243" s="40"/>
      <c r="E243" s="40">
        <v>0</v>
      </c>
      <c r="F243" s="40">
        <f>D243*(($F$162)+1)+(IF(E243&lt;101,E243,IF(E243&lt;201,E243/2,IF(E243&lt;=301,E243/3,E243/4))))</f>
        <v>0</v>
      </c>
      <c r="G243" s="72" t="str">
        <f>G242</f>
        <v>3rd, 5th, 7th, 9th, 11th, 13th, 15th Floor</v>
      </c>
      <c r="H243" s="73"/>
      <c r="I243" s="34"/>
    </row>
    <row r="244" spans="1:9" s="35" customFormat="1" ht="15.75" hidden="1" customHeight="1" x14ac:dyDescent="0.35">
      <c r="A244" s="72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,..,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305 ,.., 1505</v>
      </c>
      <c r="B244" s="73"/>
      <c r="C244" s="40"/>
      <c r="D244" s="40"/>
      <c r="E244" s="40">
        <v>0</v>
      </c>
      <c r="F244" s="40">
        <f>D244*(($F$162)+1)+(IF(E244&lt;101,E244,IF(E244&lt;201,E244/2,IF(E244&lt;=301,E244/3,E244/4))))</f>
        <v>0</v>
      </c>
      <c r="G244" s="72" t="str">
        <f>G243</f>
        <v>3rd, 5th, 7th, 9th, 11th, 13th, 15th Floor</v>
      </c>
      <c r="H244" s="73"/>
      <c r="I244" s="34"/>
    </row>
    <row r="245" spans="1:9" s="35" customFormat="1" hidden="1" x14ac:dyDescent="0.35">
      <c r="A245" s="83" t="s">
        <v>151</v>
      </c>
      <c r="B245" s="84"/>
      <c r="C245" s="84"/>
      <c r="D245" s="84"/>
      <c r="E245" s="84"/>
      <c r="F245" s="84"/>
      <c r="G245" s="84"/>
      <c r="H245" s="85"/>
      <c r="I245" s="34"/>
    </row>
    <row r="246" spans="1:9" s="35" customFormat="1" hidden="1" x14ac:dyDescent="0.35">
      <c r="A246" s="72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10^ROW(INDIRECT("1:"&amp;LEN((LEFT(A245,SUM(LEN(A245)-LEN(SUBSTITUTE(A245,{"0","1","2"},""))))))))/10))*100+1&amp;""&amp;" to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",LEN(A245))),LEN(A245)))))))/10))*100+1</f>
        <v>201 to 501</v>
      </c>
      <c r="B246" s="73"/>
      <c r="C246" s="40"/>
      <c r="D246" s="40"/>
      <c r="E246" s="40">
        <v>0</v>
      </c>
      <c r="F246" s="40">
        <f>D246*(($F$162)+1)+(IF(E246&lt;101,E246,IF(E246&lt;201,E246/2,IF(E246&lt;=301,E246/3,E246/4))))</f>
        <v>0</v>
      </c>
      <c r="G246" s="72" t="str">
        <f>A245</f>
        <v>2nd to 5th Floor</v>
      </c>
      <c r="H246" s="73"/>
      <c r="I246" s="34"/>
    </row>
    <row r="247" spans="1:9" s="35" customFormat="1" hidden="1" x14ac:dyDescent="0.35">
      <c r="A247" s="72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to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202 to 502</v>
      </c>
      <c r="B247" s="73"/>
      <c r="C247" s="40"/>
      <c r="D247" s="40"/>
      <c r="E247" s="40">
        <v>0</v>
      </c>
      <c r="F247" s="40">
        <f>D247*(($F$162)+1)+(IF(E247&lt;101,E247,IF(E247&lt;201,E247/2,IF(E247&lt;=301,E247/3,E247/4))))</f>
        <v>0</v>
      </c>
      <c r="G247" s="72" t="str">
        <f>G246</f>
        <v>2nd to 5th Floor</v>
      </c>
      <c r="H247" s="73"/>
      <c r="I247" s="34"/>
    </row>
    <row r="248" spans="1:9" s="35" customFormat="1" hidden="1" x14ac:dyDescent="0.35">
      <c r="A248" s="72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to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203 to 503</v>
      </c>
      <c r="B248" s="73"/>
      <c r="C248" s="40"/>
      <c r="D248" s="40"/>
      <c r="E248" s="40">
        <v>0</v>
      </c>
      <c r="F248" s="40">
        <f>D248*(($F$162)+1)+(IF(E248&lt;101,E248,IF(E248&lt;201,E248/2,IF(E248&lt;=301,E248/3,E248/4))))</f>
        <v>0</v>
      </c>
      <c r="G248" s="72" t="str">
        <f>G247</f>
        <v>2nd to 5th Floor</v>
      </c>
      <c r="H248" s="73"/>
      <c r="I248" s="34"/>
    </row>
    <row r="249" spans="1:9" s="35" customFormat="1" hidden="1" x14ac:dyDescent="0.35">
      <c r="A249" s="72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to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204 to 504</v>
      </c>
      <c r="B249" s="73"/>
      <c r="C249" s="40"/>
      <c r="D249" s="40"/>
      <c r="E249" s="40">
        <v>0</v>
      </c>
      <c r="F249" s="40">
        <f>D249*(($F$162)+1)+(IF(E249&lt;101,E249,IF(E249&lt;201,E249/2,IF(E249&lt;=301,E249/3,E249/4))))</f>
        <v>0</v>
      </c>
      <c r="G249" s="72" t="str">
        <f>G248</f>
        <v>2nd to 5th Floor</v>
      </c>
      <c r="H249" s="73"/>
      <c r="I249" s="34"/>
    </row>
    <row r="250" spans="1:9" s="35" customFormat="1" hidden="1" x14ac:dyDescent="0.35">
      <c r="A250" s="72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10^ROW(INDIRECT("1:"&amp;LEN((LEFT(A249,SUM(LEN(A249)-LEN(SUBSTITUTE(A249,{"0","1","2"},""))))))))/10))*1+1&amp;""&amp;" to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",LEN(A249))),LEN(A249)))))))/10))*1+1</f>
        <v>205 to 505</v>
      </c>
      <c r="B250" s="73"/>
      <c r="C250" s="40"/>
      <c r="D250" s="40"/>
      <c r="E250" s="40">
        <v>0</v>
      </c>
      <c r="F250" s="40">
        <f>D250*(($F$162)+1)+(IF(E250&lt;101,E250,IF(E250&lt;201,E250/2,IF(E250&lt;=301,E250/3,E250/4))))</f>
        <v>0</v>
      </c>
      <c r="G250" s="72" t="str">
        <f>G249</f>
        <v>2nd to 5th Floor</v>
      </c>
      <c r="H250" s="73"/>
      <c r="I250" s="34"/>
    </row>
    <row r="251" spans="1:9" s="35" customFormat="1" hidden="1" x14ac:dyDescent="0.35">
      <c r="A251" s="83" t="s">
        <v>152</v>
      </c>
      <c r="B251" s="84"/>
      <c r="C251" s="84"/>
      <c r="D251" s="84"/>
      <c r="E251" s="84"/>
      <c r="F251" s="84"/>
      <c r="G251" s="84"/>
      <c r="H251" s="85"/>
      <c r="I251" s="34"/>
    </row>
    <row r="252" spans="1:9" s="35" customFormat="1" hidden="1" x14ac:dyDescent="0.35">
      <c r="A252" s="72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10^ROW(INDIRECT("1:"&amp;LEN((LEFT(A251,SUM(LEN(A251)-LEN(SUBSTITUTE(A251,{"0","1","2"},""))))))))/10))*100+1&amp;""&amp;" &amp;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",LEN(A251))),LEN(A251)))))))/10))*100+1</f>
        <v>201 &amp; 501</v>
      </c>
      <c r="B252" s="73"/>
      <c r="C252" s="40"/>
      <c r="D252" s="40"/>
      <c r="E252" s="40">
        <v>0</v>
      </c>
      <c r="F252" s="40">
        <f>D252*(($F$162)+1)+(IF(E252&lt;101,E252,IF(E252&lt;201,E252/2,IF(E252&lt;=301,E252/3,E252/4))))</f>
        <v>0</v>
      </c>
      <c r="G252" s="72" t="str">
        <f>A251</f>
        <v>2nd &amp; 5th Floor</v>
      </c>
      <c r="H252" s="73"/>
      <c r="I252" s="34"/>
    </row>
    <row r="253" spans="1:9" s="35" customFormat="1" hidden="1" x14ac:dyDescent="0.35">
      <c r="A253" s="72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&amp;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202 &amp; 502</v>
      </c>
      <c r="B253" s="73"/>
      <c r="C253" s="40"/>
      <c r="D253" s="40"/>
      <c r="E253" s="40">
        <v>0</v>
      </c>
      <c r="F253" s="40">
        <f>D253*(($F$162)+1)+(IF(E253&lt;101,E253,IF(E253&lt;201,E253/2,IF(E253&lt;=301,E253/3,E253/4))))</f>
        <v>0</v>
      </c>
      <c r="G253" s="72" t="str">
        <f t="shared" ref="G253:G256" si="40">G252</f>
        <v>2nd &amp; 5th Floor</v>
      </c>
      <c r="H253" s="73"/>
      <c r="I253" s="34"/>
    </row>
    <row r="254" spans="1:9" s="35" customFormat="1" hidden="1" x14ac:dyDescent="0.35">
      <c r="A254" s="72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&amp;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203 &amp; 503</v>
      </c>
      <c r="B254" s="73"/>
      <c r="C254" s="40"/>
      <c r="D254" s="40"/>
      <c r="E254" s="40">
        <v>0</v>
      </c>
      <c r="F254" s="40">
        <f>D254*(($F$162)+1)+(IF(E254&lt;101,E254,IF(E254&lt;201,E254/2,IF(E254&lt;=301,E254/3,E254/4))))</f>
        <v>0</v>
      </c>
      <c r="G254" s="72" t="str">
        <f t="shared" si="40"/>
        <v>2nd &amp; 5th Floor</v>
      </c>
      <c r="H254" s="73"/>
      <c r="I254" s="34"/>
    </row>
    <row r="255" spans="1:9" s="35" customFormat="1" hidden="1" x14ac:dyDescent="0.35">
      <c r="A255" s="72" t="str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10^ROW(INDIRECT("1:"&amp;LEN((LEFT(A254,SUM(LEN(A254)-LEN(SUBSTITUTE(A254,{"0","1","2"},""))))))))/10))*1+1&amp;""&amp;" &amp; "&amp;""&amp;(SUMPRODUCT(MID(0&amp;(--TRIM(RIGHT(SUBSTITUTE(LEFT(A254,_xlfn.AGGREGATE(16,6,FIND({0,1,2,3,4,5,6,7,8,9},A254,ROW(INDIRECT("1:"&amp;LEN(A254)))),1)),"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",LEN(A254))),LEN(A254)))))))/10))*1+1</f>
        <v>204 &amp; 504</v>
      </c>
      <c r="B255" s="73"/>
      <c r="C255" s="40"/>
      <c r="D255" s="40"/>
      <c r="E255" s="40">
        <v>0</v>
      </c>
      <c r="F255" s="40">
        <f>D255*(($F$162)+1)+(IF(E255&lt;101,E255,IF(E255&lt;201,E255/2,IF(E255&lt;=301,E255/3,E255/4))))</f>
        <v>0</v>
      </c>
      <c r="G255" s="72" t="str">
        <f t="shared" si="40"/>
        <v>2nd &amp; 5th Floor</v>
      </c>
      <c r="H255" s="73"/>
      <c r="I255" s="34"/>
    </row>
    <row r="256" spans="1:9" s="35" customFormat="1" hidden="1" x14ac:dyDescent="0.35">
      <c r="A256" s="72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10^ROW(INDIRECT("1:"&amp;LEN((LEFT(A255,SUM(LEN(A255)-LEN(SUBSTITUTE(A255,{"0","1","2"},""))))))))/10))*1+1&amp;""&amp;" &amp;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",LEN(A255))),LEN(A255)))))))/10))*1+1</f>
        <v>205 &amp; 505</v>
      </c>
      <c r="B256" s="73"/>
      <c r="C256" s="40"/>
      <c r="D256" s="40"/>
      <c r="E256" s="40">
        <v>0</v>
      </c>
      <c r="F256" s="40">
        <f>D256*(($F$162)+1)+(IF(E256&lt;101,E256,IF(E256&lt;201,E256/2,IF(E256&lt;=301,E256/3,E256/4))))</f>
        <v>0</v>
      </c>
      <c r="G256" s="72" t="str">
        <f t="shared" si="40"/>
        <v>2nd &amp; 5th Floor</v>
      </c>
      <c r="H256" s="73"/>
      <c r="I256" s="34"/>
    </row>
    <row r="257" spans="1:8" s="33" customFormat="1" x14ac:dyDescent="0.35">
      <c r="A257" s="177" t="s">
        <v>69</v>
      </c>
      <c r="B257" s="177"/>
      <c r="C257" s="177"/>
      <c r="D257" s="177"/>
      <c r="E257" s="177"/>
      <c r="F257" s="177"/>
      <c r="G257" s="177"/>
      <c r="H257" s="177"/>
    </row>
    <row r="258" spans="1:8" s="33" customFormat="1" ht="50" customHeight="1" x14ac:dyDescent="0.35">
      <c r="A258" s="48" t="s">
        <v>161</v>
      </c>
      <c r="B258" s="178" t="s">
        <v>250</v>
      </c>
      <c r="C258" s="179"/>
      <c r="D258" s="179"/>
      <c r="E258" s="179"/>
      <c r="F258" s="179"/>
      <c r="G258" s="179"/>
      <c r="H258" s="180"/>
    </row>
    <row r="259" spans="1:8" s="33" customFormat="1" x14ac:dyDescent="0.35">
      <c r="A259" s="43" t="s">
        <v>161</v>
      </c>
      <c r="B259" s="178" t="str">
        <f>(IF(F161="Saleable area Loading :","We have considered Saleable area of Flats as per our Calculation.","We considered Saleable area of Flat as per Builder area Sheet."))</f>
        <v>We have considered Saleable area of Flats as per our Calculation.</v>
      </c>
      <c r="C259" s="179"/>
      <c r="D259" s="179"/>
      <c r="E259" s="179"/>
      <c r="F259" s="179"/>
      <c r="G259" s="179"/>
      <c r="H259" s="180"/>
    </row>
    <row r="260" spans="1:8" s="33" customFormat="1" x14ac:dyDescent="0.35">
      <c r="A260" s="43" t="s">
        <v>161</v>
      </c>
      <c r="B260" s="74" t="s">
        <v>128</v>
      </c>
      <c r="C260" s="75"/>
      <c r="D260" s="75"/>
      <c r="E260" s="75"/>
      <c r="F260" s="75"/>
      <c r="G260" s="75"/>
      <c r="H260" s="76"/>
    </row>
    <row r="261" spans="1:8" s="33" customFormat="1" x14ac:dyDescent="0.35">
      <c r="A261" s="43" t="s">
        <v>161</v>
      </c>
      <c r="B261" s="74" t="s">
        <v>225</v>
      </c>
      <c r="C261" s="75"/>
      <c r="D261" s="75"/>
      <c r="E261" s="75"/>
      <c r="F261" s="75"/>
      <c r="G261" s="75"/>
      <c r="H261" s="76"/>
    </row>
    <row r="262" spans="1:8" s="33" customFormat="1" x14ac:dyDescent="0.35">
      <c r="A262" s="43" t="s">
        <v>161</v>
      </c>
      <c r="B262" s="74" t="s">
        <v>160</v>
      </c>
      <c r="C262" s="75"/>
      <c r="D262" s="75"/>
      <c r="E262" s="75"/>
      <c r="F262" s="75"/>
      <c r="G262" s="75"/>
      <c r="H262" s="76"/>
    </row>
    <row r="263" spans="1:8" s="33" customFormat="1" x14ac:dyDescent="0.35">
      <c r="A263" s="43" t="s">
        <v>161</v>
      </c>
      <c r="B263" s="74" t="s">
        <v>129</v>
      </c>
      <c r="C263" s="75"/>
      <c r="D263" s="75"/>
      <c r="E263" s="75"/>
      <c r="F263" s="75"/>
      <c r="G263" s="75"/>
      <c r="H263" s="76"/>
    </row>
    <row r="264" spans="1:8" s="33" customFormat="1" ht="34.5" customHeight="1" x14ac:dyDescent="0.35">
      <c r="A264" s="43" t="s">
        <v>161</v>
      </c>
      <c r="B264" s="74" t="s">
        <v>162</v>
      </c>
      <c r="C264" s="75"/>
      <c r="D264" s="75"/>
      <c r="E264" s="75"/>
      <c r="F264" s="75"/>
      <c r="G264" s="75"/>
      <c r="H264" s="76"/>
    </row>
    <row r="265" spans="1:8" s="33" customFormat="1" x14ac:dyDescent="0.35">
      <c r="A265" s="60" t="s">
        <v>161</v>
      </c>
      <c r="B265" s="74" t="s">
        <v>130</v>
      </c>
      <c r="C265" s="75"/>
      <c r="D265" s="75"/>
      <c r="E265" s="75"/>
      <c r="F265" s="75"/>
      <c r="G265" s="75"/>
      <c r="H265" s="76"/>
    </row>
    <row r="266" spans="1:8" s="33" customFormat="1" x14ac:dyDescent="0.35">
      <c r="A266" s="68" t="s">
        <v>161</v>
      </c>
      <c r="B266" s="74" t="s">
        <v>226</v>
      </c>
      <c r="C266" s="75"/>
      <c r="D266" s="75"/>
      <c r="E266" s="75"/>
      <c r="F266" s="75"/>
      <c r="G266" s="75"/>
      <c r="H266" s="76"/>
    </row>
    <row r="267" spans="1:8" s="33" customFormat="1" x14ac:dyDescent="0.35">
      <c r="A267" s="43" t="s">
        <v>161</v>
      </c>
      <c r="B267" s="74" t="s">
        <v>249</v>
      </c>
      <c r="C267" s="75"/>
      <c r="D267" s="75"/>
      <c r="E267" s="75"/>
      <c r="F267" s="75"/>
      <c r="G267" s="75"/>
      <c r="H267" s="76"/>
    </row>
    <row r="268" spans="1:8" s="33" customFormat="1" ht="32.25" hidden="1" customHeight="1" x14ac:dyDescent="0.35">
      <c r="A268" s="48" t="s">
        <v>161</v>
      </c>
      <c r="B268" s="192" t="s">
        <v>197</v>
      </c>
      <c r="C268" s="193"/>
      <c r="D268" s="193"/>
      <c r="E268" s="193"/>
      <c r="F268" s="193"/>
      <c r="G268" s="193"/>
      <c r="H268" s="194"/>
    </row>
    <row r="269" spans="1:8" x14ac:dyDescent="0.35">
      <c r="A269" s="148" t="s">
        <v>62</v>
      </c>
      <c r="B269" s="148"/>
      <c r="C269" s="148"/>
      <c r="D269" s="148"/>
      <c r="E269" s="148"/>
      <c r="F269" s="148"/>
      <c r="G269" s="148"/>
      <c r="H269" s="148"/>
    </row>
    <row r="270" spans="1:8" x14ac:dyDescent="0.35">
      <c r="A270" s="104" t="s">
        <v>63</v>
      </c>
      <c r="B270" s="104"/>
      <c r="C270" s="104"/>
      <c r="D270" s="104"/>
      <c r="E270" s="104"/>
      <c r="F270" s="104"/>
      <c r="G270" s="104"/>
      <c r="H270" s="104"/>
    </row>
    <row r="271" spans="1:8" ht="15.75" customHeight="1" x14ac:dyDescent="0.35">
      <c r="A271" s="191" t="s">
        <v>64</v>
      </c>
      <c r="B271" s="191"/>
      <c r="C271" s="191"/>
      <c r="D271" s="191"/>
      <c r="E271" s="191"/>
      <c r="F271" s="191"/>
      <c r="G271" s="191"/>
      <c r="H271" s="191"/>
    </row>
    <row r="272" spans="1:8" x14ac:dyDescent="0.35">
      <c r="A272" s="104" t="s">
        <v>65</v>
      </c>
      <c r="B272" s="104"/>
      <c r="C272" s="104"/>
      <c r="D272" s="104"/>
      <c r="E272" s="104"/>
      <c r="F272" s="104"/>
      <c r="G272" s="104"/>
      <c r="H272" s="104"/>
    </row>
    <row r="273" spans="1:8" x14ac:dyDescent="0.35">
      <c r="A273" s="104" t="s">
        <v>66</v>
      </c>
      <c r="B273" s="104"/>
      <c r="C273" s="104"/>
      <c r="D273" s="104"/>
      <c r="E273" s="104"/>
      <c r="F273" s="104"/>
      <c r="G273" s="104"/>
      <c r="H273" s="104"/>
    </row>
    <row r="274" spans="1:8" x14ac:dyDescent="0.35">
      <c r="A274" s="104" t="s">
        <v>131</v>
      </c>
      <c r="B274" s="104"/>
      <c r="C274" s="104"/>
      <c r="D274" s="104"/>
      <c r="E274" s="104"/>
      <c r="F274" s="104"/>
      <c r="G274" s="104"/>
      <c r="H274" s="104"/>
    </row>
    <row r="275" spans="1:8" x14ac:dyDescent="0.35">
      <c r="A275" s="137" t="s">
        <v>132</v>
      </c>
      <c r="B275" s="137"/>
      <c r="C275" s="137"/>
      <c r="D275" s="137"/>
      <c r="E275" s="137"/>
      <c r="F275" s="137"/>
      <c r="G275" s="137"/>
      <c r="H275" s="137"/>
    </row>
    <row r="276" spans="1:8" x14ac:dyDescent="0.35">
      <c r="A276" s="175" t="s">
        <v>79</v>
      </c>
      <c r="B276" s="175"/>
      <c r="C276" s="175" t="s">
        <v>246</v>
      </c>
      <c r="D276" s="175"/>
      <c r="E276" s="175" t="s">
        <v>108</v>
      </c>
      <c r="F276" s="175"/>
      <c r="G276" s="175" t="s">
        <v>248</v>
      </c>
      <c r="H276" s="175"/>
    </row>
    <row r="277" spans="1:8" x14ac:dyDescent="0.35">
      <c r="A277" s="174" t="s">
        <v>81</v>
      </c>
      <c r="B277" s="174"/>
      <c r="C277" s="174"/>
      <c r="D277" s="174"/>
      <c r="E277" s="174"/>
      <c r="F277" s="174"/>
      <c r="G277" s="174"/>
      <c r="H277" s="174"/>
    </row>
    <row r="278" spans="1:8" x14ac:dyDescent="0.35">
      <c r="A278" s="174"/>
      <c r="B278" s="174"/>
      <c r="C278" s="174"/>
      <c r="D278" s="174"/>
      <c r="E278" s="174"/>
      <c r="F278" s="174"/>
      <c r="G278" s="174"/>
      <c r="H278" s="174"/>
    </row>
    <row r="279" spans="1:8" x14ac:dyDescent="0.35">
      <c r="A279" s="174"/>
      <c r="B279" s="174"/>
      <c r="C279" s="174"/>
      <c r="D279" s="174"/>
      <c r="E279" s="174"/>
      <c r="F279" s="174"/>
      <c r="G279" s="174"/>
      <c r="H279" s="174"/>
    </row>
    <row r="280" spans="1:8" x14ac:dyDescent="0.35">
      <c r="A280" s="174"/>
      <c r="B280" s="174"/>
      <c r="C280" s="174"/>
      <c r="D280" s="174"/>
      <c r="E280" s="174"/>
      <c r="F280" s="174"/>
      <c r="G280" s="174"/>
      <c r="H280" s="174"/>
    </row>
    <row r="281" spans="1:8" ht="18.75" customHeight="1" x14ac:dyDescent="0.35">
      <c r="A281" s="36" t="s">
        <v>67</v>
      </c>
      <c r="B281" s="37"/>
      <c r="C281" s="37"/>
      <c r="D281" s="36" t="str">
        <f>E8</f>
        <v>Marathe Tower</v>
      </c>
      <c r="F281" s="37"/>
      <c r="G281" s="37"/>
      <c r="H281" s="37"/>
    </row>
    <row r="282" spans="1:8" x14ac:dyDescent="0.35">
      <c r="A282" s="37"/>
      <c r="B282" s="37"/>
      <c r="C282" s="37"/>
      <c r="D282" s="37"/>
      <c r="E282" s="37"/>
      <c r="F282" s="37"/>
      <c r="G282" s="37"/>
      <c r="H282" s="37"/>
    </row>
    <row r="283" spans="1:8" x14ac:dyDescent="0.35">
      <c r="A283" s="37"/>
      <c r="B283" s="37"/>
      <c r="C283" s="37"/>
      <c r="D283" s="37"/>
      <c r="E283" s="37"/>
      <c r="F283" s="37"/>
      <c r="G283" s="37"/>
      <c r="H283" s="37"/>
    </row>
    <row r="284" spans="1:8" ht="15" customHeight="1" x14ac:dyDescent="0.35"/>
    <row r="324" spans="1:1" x14ac:dyDescent="0.35">
      <c r="A324" s="39" t="s">
        <v>227</v>
      </c>
    </row>
    <row r="356" spans="1:1" x14ac:dyDescent="0.35">
      <c r="A356" s="39" t="s">
        <v>68</v>
      </c>
    </row>
  </sheetData>
  <mergeCells count="539">
    <mergeCell ref="I10:L10"/>
    <mergeCell ref="A82:B82"/>
    <mergeCell ref="C82:D82"/>
    <mergeCell ref="E82:F82"/>
    <mergeCell ref="G82:H82"/>
    <mergeCell ref="A154:B154"/>
    <mergeCell ref="L154:M154"/>
    <mergeCell ref="A151:B151"/>
    <mergeCell ref="L151:M151"/>
    <mergeCell ref="A152:B152"/>
    <mergeCell ref="L152:M152"/>
    <mergeCell ref="A153:B153"/>
    <mergeCell ref="L153:M153"/>
    <mergeCell ref="A144:B144"/>
    <mergeCell ref="L144:M144"/>
    <mergeCell ref="A145:B145"/>
    <mergeCell ref="L145:M145"/>
    <mergeCell ref="A146:B146"/>
    <mergeCell ref="L146:M146"/>
    <mergeCell ref="A140:B140"/>
    <mergeCell ref="L140:M140"/>
    <mergeCell ref="L149:M149"/>
    <mergeCell ref="A150:B150"/>
    <mergeCell ref="L150:M150"/>
    <mergeCell ref="L159:M159"/>
    <mergeCell ref="L158:M158"/>
    <mergeCell ref="L157:M157"/>
    <mergeCell ref="L156:M156"/>
    <mergeCell ref="A159:B159"/>
    <mergeCell ref="B266:H266"/>
    <mergeCell ref="L184:M184"/>
    <mergeCell ref="C182:F182"/>
    <mergeCell ref="L131:M131"/>
    <mergeCell ref="A132:B132"/>
    <mergeCell ref="L132:M132"/>
    <mergeCell ref="A133:B133"/>
    <mergeCell ref="L133:M133"/>
    <mergeCell ref="A134:B134"/>
    <mergeCell ref="L134:M134"/>
    <mergeCell ref="L142:M142"/>
    <mergeCell ref="A143:B143"/>
    <mergeCell ref="L143:M143"/>
    <mergeCell ref="A135:B135"/>
    <mergeCell ref="L135:M135"/>
    <mergeCell ref="A136:B136"/>
    <mergeCell ref="L136:M136"/>
    <mergeCell ref="A137:B137"/>
    <mergeCell ref="L137:M137"/>
    <mergeCell ref="A138:B138"/>
    <mergeCell ref="L138:M138"/>
    <mergeCell ref="A139:B139"/>
    <mergeCell ref="L139:M139"/>
    <mergeCell ref="L141:M141"/>
    <mergeCell ref="A142:B142"/>
    <mergeCell ref="A141:B141"/>
    <mergeCell ref="L126:M126"/>
    <mergeCell ref="A127:B127"/>
    <mergeCell ref="L127:M127"/>
    <mergeCell ref="A128:B128"/>
    <mergeCell ref="L128:M128"/>
    <mergeCell ref="A129:B129"/>
    <mergeCell ref="L129:M129"/>
    <mergeCell ref="A130:B130"/>
    <mergeCell ref="L130:M130"/>
    <mergeCell ref="A274:H274"/>
    <mergeCell ref="A271:H271"/>
    <mergeCell ref="G249:H249"/>
    <mergeCell ref="A234:B234"/>
    <mergeCell ref="A115:B115"/>
    <mergeCell ref="D161:D162"/>
    <mergeCell ref="E161:E162"/>
    <mergeCell ref="G161:H162"/>
    <mergeCell ref="A89:B89"/>
    <mergeCell ref="A90:B90"/>
    <mergeCell ref="A91:B91"/>
    <mergeCell ref="F96:H96"/>
    <mergeCell ref="G111:H111"/>
    <mergeCell ref="B258:H258"/>
    <mergeCell ref="B268:H268"/>
    <mergeCell ref="A124:H124"/>
    <mergeCell ref="A125:H125"/>
    <mergeCell ref="A126:B126"/>
    <mergeCell ref="A131:B131"/>
    <mergeCell ref="A147:H147"/>
    <mergeCell ref="A164:H164"/>
    <mergeCell ref="G157:H157"/>
    <mergeCell ref="G159:H159"/>
    <mergeCell ref="B161:B162"/>
    <mergeCell ref="G52:H52"/>
    <mergeCell ref="C51:H51"/>
    <mergeCell ref="C68:H68"/>
    <mergeCell ref="A71:B71"/>
    <mergeCell ref="A119:B119"/>
    <mergeCell ref="C119:D119"/>
    <mergeCell ref="E119:F119"/>
    <mergeCell ref="G119:H119"/>
    <mergeCell ref="E41:H41"/>
    <mergeCell ref="A41:D41"/>
    <mergeCell ref="A80:B80"/>
    <mergeCell ref="C80:H80"/>
    <mergeCell ref="A75:B75"/>
    <mergeCell ref="C110:D110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A73:B73"/>
    <mergeCell ref="F106:H106"/>
    <mergeCell ref="F104:H104"/>
    <mergeCell ref="A241:B241"/>
    <mergeCell ref="A121:H121"/>
    <mergeCell ref="G110:H110"/>
    <mergeCell ref="A105:E105"/>
    <mergeCell ref="C111:D111"/>
    <mergeCell ref="E111:F111"/>
    <mergeCell ref="G235:H235"/>
    <mergeCell ref="B122:B123"/>
    <mergeCell ref="A122:A123"/>
    <mergeCell ref="C161:C162"/>
    <mergeCell ref="C118:D118"/>
    <mergeCell ref="A228:H228"/>
    <mergeCell ref="F105:H105"/>
    <mergeCell ref="E110:F110"/>
    <mergeCell ref="A110:B110"/>
    <mergeCell ref="A112:B112"/>
    <mergeCell ref="A148:H148"/>
    <mergeCell ref="A149:B149"/>
    <mergeCell ref="A185:B185"/>
    <mergeCell ref="A240:B240"/>
    <mergeCell ref="A163:H163"/>
    <mergeCell ref="B263:H263"/>
    <mergeCell ref="A254:B254"/>
    <mergeCell ref="G254:H254"/>
    <mergeCell ref="G253:H253"/>
    <mergeCell ref="A251:H251"/>
    <mergeCell ref="A252:B252"/>
    <mergeCell ref="A253:B253"/>
    <mergeCell ref="A256:B256"/>
    <mergeCell ref="G256:H256"/>
    <mergeCell ref="A255:B255"/>
    <mergeCell ref="G255:H255"/>
    <mergeCell ref="B259:H259"/>
    <mergeCell ref="G232:H232"/>
    <mergeCell ref="B260:H260"/>
    <mergeCell ref="B261:H261"/>
    <mergeCell ref="G252:H252"/>
    <mergeCell ref="G250:H250"/>
    <mergeCell ref="A257:H257"/>
    <mergeCell ref="A249:B249"/>
    <mergeCell ref="A250:B250"/>
    <mergeCell ref="G248:H248"/>
    <mergeCell ref="A245:H245"/>
    <mergeCell ref="A239:H239"/>
    <mergeCell ref="G242:H242"/>
    <mergeCell ref="G240:H240"/>
    <mergeCell ref="A247:B247"/>
    <mergeCell ref="A248:B248"/>
    <mergeCell ref="A237:B237"/>
    <mergeCell ref="G238:H238"/>
    <mergeCell ref="G244:H244"/>
    <mergeCell ref="G243:H243"/>
    <mergeCell ref="G246:H246"/>
    <mergeCell ref="G236:H236"/>
    <mergeCell ref="A246:B246"/>
    <mergeCell ref="G247:H247"/>
    <mergeCell ref="A243:B243"/>
    <mergeCell ref="A277:H280"/>
    <mergeCell ref="A276:B276"/>
    <mergeCell ref="E276:F276"/>
    <mergeCell ref="C276:D276"/>
    <mergeCell ref="G276:H276"/>
    <mergeCell ref="A109:H109"/>
    <mergeCell ref="A107:E107"/>
    <mergeCell ref="F107:H107"/>
    <mergeCell ref="A108:E108"/>
    <mergeCell ref="F108:H108"/>
    <mergeCell ref="A233:H233"/>
    <mergeCell ref="A116:B116"/>
    <mergeCell ref="A242:B242"/>
    <mergeCell ref="A111:B111"/>
    <mergeCell ref="A272:H272"/>
    <mergeCell ref="A114:H114"/>
    <mergeCell ref="A275:H275"/>
    <mergeCell ref="A273:H273"/>
    <mergeCell ref="A269:H269"/>
    <mergeCell ref="A270:H270"/>
    <mergeCell ref="E115:F115"/>
    <mergeCell ref="B267:H267"/>
    <mergeCell ref="G158:H158"/>
    <mergeCell ref="G156:H156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D57:H57"/>
    <mergeCell ref="D58:H58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F32:H32"/>
    <mergeCell ref="F33:H33"/>
    <mergeCell ref="A39:H39"/>
    <mergeCell ref="A70:B70"/>
    <mergeCell ref="G69:H69"/>
    <mergeCell ref="D60:H60"/>
    <mergeCell ref="A42:D42"/>
    <mergeCell ref="E42:H42"/>
    <mergeCell ref="E43:H43"/>
    <mergeCell ref="E44:H44"/>
    <mergeCell ref="E45:H45"/>
    <mergeCell ref="A43:D43"/>
    <mergeCell ref="A45:D45"/>
    <mergeCell ref="A46:H46"/>
    <mergeCell ref="D56:H56"/>
    <mergeCell ref="A56:C56"/>
    <mergeCell ref="G49:H49"/>
    <mergeCell ref="A50:B51"/>
    <mergeCell ref="A48:B48"/>
    <mergeCell ref="C48:E48"/>
    <mergeCell ref="G48:H48"/>
    <mergeCell ref="G50:H50"/>
    <mergeCell ref="D54:H54"/>
    <mergeCell ref="C50:E50"/>
    <mergeCell ref="A59:C59"/>
    <mergeCell ref="D59:H59"/>
    <mergeCell ref="F35:H35"/>
    <mergeCell ref="A37:B37"/>
    <mergeCell ref="C37:H37"/>
    <mergeCell ref="A44:D44"/>
    <mergeCell ref="A34:B34"/>
    <mergeCell ref="C34:E34"/>
    <mergeCell ref="A38:B38"/>
    <mergeCell ref="C38:H38"/>
    <mergeCell ref="C52:E52"/>
    <mergeCell ref="A49:B49"/>
    <mergeCell ref="A53:H53"/>
    <mergeCell ref="A54:C54"/>
    <mergeCell ref="A55:C55"/>
    <mergeCell ref="D55:H55"/>
    <mergeCell ref="C49:E49"/>
    <mergeCell ref="A52:B52"/>
    <mergeCell ref="A36:H36"/>
    <mergeCell ref="A35:B35"/>
    <mergeCell ref="C35:E35"/>
    <mergeCell ref="A40:D40"/>
    <mergeCell ref="E40:H40"/>
    <mergeCell ref="A57:C58"/>
    <mergeCell ref="A77:B77"/>
    <mergeCell ref="C116:D116"/>
    <mergeCell ref="E116:F116"/>
    <mergeCell ref="G116:H116"/>
    <mergeCell ref="F102:H102"/>
    <mergeCell ref="A96:E96"/>
    <mergeCell ref="A155:H155"/>
    <mergeCell ref="E122:E123"/>
    <mergeCell ref="G122:H123"/>
    <mergeCell ref="A85:B85"/>
    <mergeCell ref="E85:F94"/>
    <mergeCell ref="A92:B92"/>
    <mergeCell ref="A93:B93"/>
    <mergeCell ref="A94:B94"/>
    <mergeCell ref="G117:H117"/>
    <mergeCell ref="C115:D115"/>
    <mergeCell ref="G115:H115"/>
    <mergeCell ref="C122:C123"/>
    <mergeCell ref="C83:H83"/>
    <mergeCell ref="A84:B84"/>
    <mergeCell ref="A78:B78"/>
    <mergeCell ref="A79:B79"/>
    <mergeCell ref="A120:H120"/>
    <mergeCell ref="F103:H103"/>
    <mergeCell ref="A60:C60"/>
    <mergeCell ref="E70:F79"/>
    <mergeCell ref="G70:H79"/>
    <mergeCell ref="A244:B244"/>
    <mergeCell ref="F95:H95"/>
    <mergeCell ref="F100:H100"/>
    <mergeCell ref="L233:M233"/>
    <mergeCell ref="A160:H160"/>
    <mergeCell ref="A161:A162"/>
    <mergeCell ref="A238:B238"/>
    <mergeCell ref="A235:B235"/>
    <mergeCell ref="A236:B236"/>
    <mergeCell ref="A106:E106"/>
    <mergeCell ref="G118:H118"/>
    <mergeCell ref="C112:D112"/>
    <mergeCell ref="E112:F112"/>
    <mergeCell ref="G112:H112"/>
    <mergeCell ref="A113:B113"/>
    <mergeCell ref="C113:D113"/>
    <mergeCell ref="E113:F113"/>
    <mergeCell ref="G113:H113"/>
    <mergeCell ref="A117:B117"/>
    <mergeCell ref="C117:D117"/>
    <mergeCell ref="E117:F117"/>
    <mergeCell ref="A180:B180"/>
    <mergeCell ref="G180:H185"/>
    <mergeCell ref="G187:H192"/>
    <mergeCell ref="A192:B192"/>
    <mergeCell ref="L232:M232"/>
    <mergeCell ref="G229:H229"/>
    <mergeCell ref="L229:M229"/>
    <mergeCell ref="A230:B230"/>
    <mergeCell ref="G230:H230"/>
    <mergeCell ref="L230:M230"/>
    <mergeCell ref="A231:B231"/>
    <mergeCell ref="G231:H231"/>
    <mergeCell ref="L231:M231"/>
    <mergeCell ref="A232:B232"/>
    <mergeCell ref="A229:B229"/>
    <mergeCell ref="L185:M185"/>
    <mergeCell ref="L180:M180"/>
    <mergeCell ref="A181:B181"/>
    <mergeCell ref="L181:M181"/>
    <mergeCell ref="A182:B182"/>
    <mergeCell ref="L182:M182"/>
    <mergeCell ref="A183:B183"/>
    <mergeCell ref="L183:M183"/>
    <mergeCell ref="A184:B184"/>
    <mergeCell ref="A212:H212"/>
    <mergeCell ref="A213:B213"/>
    <mergeCell ref="G213:H217"/>
    <mergeCell ref="A200:H200"/>
    <mergeCell ref="G84:H84"/>
    <mergeCell ref="A101:E101"/>
    <mergeCell ref="F101:H101"/>
    <mergeCell ref="A102:E102"/>
    <mergeCell ref="A104:E104"/>
    <mergeCell ref="F98:H98"/>
    <mergeCell ref="A103:E103"/>
    <mergeCell ref="A98:E98"/>
    <mergeCell ref="A95:E95"/>
    <mergeCell ref="F99:H99"/>
    <mergeCell ref="A100:E100"/>
    <mergeCell ref="A118:B118"/>
    <mergeCell ref="E118:F118"/>
    <mergeCell ref="A165:H165"/>
    <mergeCell ref="A166:B166"/>
    <mergeCell ref="A170:B170"/>
    <mergeCell ref="A175:B175"/>
    <mergeCell ref="A186:H186"/>
    <mergeCell ref="A187:B187"/>
    <mergeCell ref="A179:H179"/>
    <mergeCell ref="B264:H264"/>
    <mergeCell ref="A47:B47"/>
    <mergeCell ref="C47:H47"/>
    <mergeCell ref="B262:H262"/>
    <mergeCell ref="G85:H94"/>
    <mergeCell ref="A86:B86"/>
    <mergeCell ref="A87:B87"/>
    <mergeCell ref="A88:B88"/>
    <mergeCell ref="F97:H97"/>
    <mergeCell ref="A97:E97"/>
    <mergeCell ref="G241:H241"/>
    <mergeCell ref="G237:H237"/>
    <mergeCell ref="G234:H234"/>
    <mergeCell ref="D122:D123"/>
    <mergeCell ref="A99:E99"/>
    <mergeCell ref="A156:B156"/>
    <mergeCell ref="A157:B157"/>
    <mergeCell ref="A158:B158"/>
    <mergeCell ref="A83:B83"/>
    <mergeCell ref="E84:F84"/>
    <mergeCell ref="A201:B201"/>
    <mergeCell ref="G201:H205"/>
    <mergeCell ref="G207:H211"/>
    <mergeCell ref="G226:H227"/>
    <mergeCell ref="L175:M175"/>
    <mergeCell ref="A176:B176"/>
    <mergeCell ref="L176:M176"/>
    <mergeCell ref="A177:B177"/>
    <mergeCell ref="L177:M177"/>
    <mergeCell ref="A178:B178"/>
    <mergeCell ref="L178:M178"/>
    <mergeCell ref="G173:H178"/>
    <mergeCell ref="A171:B171"/>
    <mergeCell ref="A172:H172"/>
    <mergeCell ref="A173:B173"/>
    <mergeCell ref="L173:M173"/>
    <mergeCell ref="A174:B174"/>
    <mergeCell ref="L174:M174"/>
    <mergeCell ref="G166:H171"/>
    <mergeCell ref="A167:B167"/>
    <mergeCell ref="A168:B168"/>
    <mergeCell ref="A169:B169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L192:M192"/>
    <mergeCell ref="A193:H193"/>
    <mergeCell ref="A194:B194"/>
    <mergeCell ref="G194:H199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A199:B199"/>
    <mergeCell ref="L199:M199"/>
    <mergeCell ref="L213:M213"/>
    <mergeCell ref="A214:B214"/>
    <mergeCell ref="L214:M214"/>
    <mergeCell ref="A215:B215"/>
    <mergeCell ref="L215:M215"/>
    <mergeCell ref="A216:B216"/>
    <mergeCell ref="L216:M216"/>
    <mergeCell ref="A217:B217"/>
    <mergeCell ref="L217:M217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8:B208"/>
    <mergeCell ref="L208:M208"/>
    <mergeCell ref="A209:B209"/>
    <mergeCell ref="L209:M209"/>
    <mergeCell ref="A210:B210"/>
    <mergeCell ref="L210:M210"/>
    <mergeCell ref="A211:B211"/>
    <mergeCell ref="L211:M211"/>
    <mergeCell ref="C209:F209"/>
    <mergeCell ref="L226:M226"/>
    <mergeCell ref="A227:B227"/>
    <mergeCell ref="L227:M227"/>
    <mergeCell ref="B265:H265"/>
    <mergeCell ref="G126:H146"/>
    <mergeCell ref="G149:H154"/>
    <mergeCell ref="A219:H219"/>
    <mergeCell ref="A220:B220"/>
    <mergeCell ref="L220:M220"/>
    <mergeCell ref="A221:B221"/>
    <mergeCell ref="L221:M221"/>
    <mergeCell ref="A223:B223"/>
    <mergeCell ref="L223:M223"/>
    <mergeCell ref="A218:H218"/>
    <mergeCell ref="G220:H221"/>
    <mergeCell ref="A222:H222"/>
    <mergeCell ref="G223:H224"/>
    <mergeCell ref="A224:B224"/>
    <mergeCell ref="L224:M224"/>
    <mergeCell ref="A225:H225"/>
    <mergeCell ref="A226:B226"/>
    <mergeCell ref="A206:H206"/>
    <mergeCell ref="A207:B207"/>
    <mergeCell ref="L207:M207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80" max="16383" man="1"/>
    <brk id="323" max="16383" man="1"/>
    <brk id="355" max="16383" man="1"/>
  </rowBreaks>
  <colBreaks count="1" manualBreakCount="1">
    <brk id="3" max="399" man="1"/>
  </col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O11" sqref="O11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3" t="s">
        <v>109</v>
      </c>
      <c r="C3" s="203"/>
      <c r="D3" s="203"/>
      <c r="E3" s="203"/>
      <c r="F3" s="203"/>
      <c r="G3" s="203"/>
      <c r="H3" s="203"/>
    </row>
    <row r="4" spans="1:9" x14ac:dyDescent="0.3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2025-09-11T12:30:20Z</cp:lastPrinted>
  <dcterms:created xsi:type="dcterms:W3CDTF">2019-07-16T09:29:46Z</dcterms:created>
  <dcterms:modified xsi:type="dcterms:W3CDTF">2025-09-11T12:30:42Z</dcterms:modified>
</cp:coreProperties>
</file>