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4" i="1" l="1"/>
  <c r="D132" i="1" l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5" i="1"/>
  <c r="F125" i="1" s="1"/>
  <c r="D124" i="1"/>
  <c r="F124" i="1" s="1"/>
  <c r="D122" i="1"/>
  <c r="D121" i="1"/>
  <c r="D120" i="1"/>
  <c r="D119" i="1"/>
  <c r="D118" i="1"/>
  <c r="D117" i="1"/>
  <c r="D116" i="1"/>
  <c r="D115" i="1"/>
  <c r="I118" i="1"/>
  <c r="I121" i="1"/>
  <c r="I114" i="1"/>
  <c r="G114" i="1"/>
  <c r="G50" i="1"/>
  <c r="G51" i="1" s="1"/>
  <c r="C96" i="1" l="1"/>
  <c r="C97" i="1" s="1"/>
  <c r="C98" i="1" s="1"/>
  <c r="E96" i="1"/>
  <c r="E97" i="1" s="1"/>
  <c r="E98" i="1" s="1"/>
  <c r="Z12" i="1"/>
  <c r="I14" i="1"/>
  <c r="F114" i="1" l="1"/>
  <c r="F104" i="1"/>
  <c r="E43" i="1" l="1"/>
  <c r="E44" i="1" s="1"/>
  <c r="C15" i="1" l="1"/>
  <c r="E30" i="1" l="1"/>
  <c r="F115" i="1" l="1"/>
  <c r="F116" i="1"/>
  <c r="F117" i="1"/>
  <c r="A115" i="1"/>
  <c r="A116" i="1" s="1"/>
  <c r="A117" i="1" s="1"/>
  <c r="F93" i="1" l="1"/>
  <c r="F105" i="1" l="1"/>
  <c r="F106" i="1"/>
  <c r="F107" i="1"/>
  <c r="B135" i="1" l="1"/>
  <c r="F122" i="1" l="1"/>
  <c r="F121" i="1"/>
  <c r="F119" i="1"/>
  <c r="F118" i="1"/>
  <c r="F120" i="1"/>
  <c r="G96" i="1" l="1"/>
  <c r="G97" i="1" s="1"/>
  <c r="G98" i="1" s="1"/>
  <c r="B13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6" i="1"/>
  <c r="G124" i="1"/>
  <c r="A119" i="1"/>
  <c r="A120" i="1" s="1"/>
  <c r="A121" i="1" s="1"/>
  <c r="A122" i="1" s="1"/>
  <c r="A105" i="1"/>
  <c r="A106" i="1" s="1"/>
  <c r="A107" i="1" s="1"/>
  <c r="G104" i="1"/>
  <c r="G105" i="1" s="1"/>
  <c r="G106" i="1" s="1"/>
  <c r="G107" i="1" s="1"/>
  <c r="C66" i="1"/>
  <c r="B67" i="1" s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<sst xmlns="http://schemas.openxmlformats.org/spreadsheetml/2006/main" count="390" uniqueCount="280">
  <si>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</si>
  <si>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</si>
  <si>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</si>
  <si>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</si>
  <si>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</si>
  <si>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</si>
  <si>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</si>
  <si>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</si>
  <si>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</si>
  <si>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</si>
  <si>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</si>
  <si>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</si>
  <si>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</si>
  <si>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</si>
  <si>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</si>
  <si>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</si>
  <si>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</si>
  <si>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</si>
  <si>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</si>
  <si>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</si>
  <si>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</si>
  <si>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</si>
  <si>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</si>
  <si>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</si>
  <si>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</si>
  <si>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</si>
  <si>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</si>
  <si>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</si>
  <si>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</si>
  <si>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</si>
  <si>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</si>
  <si>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</si>
  <si>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</si>
  <si>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</si>
  <si>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</si>
  <si>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</si>
  <si>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</si>
  <si>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</si>
  <si>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</si>
  <si>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</si>
  <si>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</si>
  <si>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</si>
  <si>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</si>
  <si>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</si>
  <si>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</si>
  <si>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</si>
  <si>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</si>
  <si>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</si>
  <si>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</si>
  <si>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</si>
  <si>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</si>
  <si>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</si>
  <si>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</si>
  <si>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</si>
  <si>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</si>
  <si>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</si>
  <si>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</si>
  <si>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</si>
  <si>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</si>
  <si>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</si>
  <si>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</si>
  <si>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</si>
  <si>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</si>
  <si>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</si>
  <si>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</si>
  <si>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</si>
  <si>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</si>
  <si>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</si>
  <si>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</si>
  <si>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</si>
  <si>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</si>
  <si>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</si>
  <si>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</si>
  <si>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</si>
  <si>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</si>
  <si>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</si>
  <si>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</si>
  <si>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</si>
  <si>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</si>
  <si>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</si>
  <si>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</si>
  <si>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</si>
  <si>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</si>
  <si>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</si>
  <si>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</si>
  <si>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</si>
  <si>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</si>
  <si>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</si>
  <si>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</si>
  <si>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</si>
  <si>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</si>
  <si>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</si>
  <si>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</si>
  <si>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</si>
  <si>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</si>
  <si>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</si>
  <si>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</si>
  <si>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</si>
  <si>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</si>
  <si>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</si>
  <si>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</si>
  <si>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</si>
  <si>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</si>
  <si>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</si>
  <si>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</si>
  <si>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</si>
  <si>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</si>
  <si>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</si>
  <si>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</si>
  <si>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</si>
  <si>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</si>
  <si>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</si>
  <si>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</si>
  <si>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</si>
  <si>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</si>
  <si>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</si>
  <si>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</si>
  <si>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</si>
  <si>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</si>
  <si>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</si>
  <si>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</si>
  <si>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</si>
  <si>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</si>
  <si>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</si>
  <si>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</si>
  <si>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</si>
  <si>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</si>
  <si>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</si>
  <si>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</si>
  <si>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</si>
  <si>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</si>
  <si>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</si>
  <si>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</si>
  <si>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</si>
  <si>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</si>
  <si>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</si>
  <si>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</si>
  <si>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</si>
  <si>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</si>
  <si>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</si>
  <si>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</si>
  <si>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</si>
  <si>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</si>
  <si>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</si>
  <si>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</si>
  <si>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</si>
  <si>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</si>
  <si>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</si>
  <si>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</si>
  <si>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</si>
  <si>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</si>
  <si>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</si>
  <si>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</si>
  <si>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</si>
  <si>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</si>
  <si>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</si>
  <si>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</si>
  <si>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</si>
  <si>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</si>
  <si>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</si>
  <si>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</si>
  <si>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</si>
  <si>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</si>
  <si>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</si>
  <si>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</si>
  <si>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</si>
  <si>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</si>
  <si>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</si>
  <si>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</si>
  <si>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</si>
  <si>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</si>
  <si>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</si>
  <si>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</si>
  <si>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</si>
  <si>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</si>
  <si>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</si>
  <si>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</si>
  <si>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</si>
  <si>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</si>
  <si>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</si>
  <si>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</si>
  <si>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</si>
  <si>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</si>
  <si>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</si>
  <si>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</si>
  <si>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</si>
  <si>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</si>
  <si>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</si>
  <si>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</si>
  <si>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</si>
  <si>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</si>
  <si>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</si>
  <si>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</si>
  <si>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</si>
  <si>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</si>
  <si>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</si>
  <si>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</si>
  <si>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</si>
  <si>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</si>
  <si>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</si>
  <si>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</si>
  <si>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</si>
  <si>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</si>
  <si>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</si>
  <si>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</si>
  <si>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</si>
  <si>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</si>
  <si>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</si>
  <si>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</si>
  <si>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</si>
  <si>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</si>
  <si>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</si>
  <si>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</si>
  <si>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</si>
  <si>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</si>
  <si>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</si>
  <si>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</si>
  <si>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</si>
  <si>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</si>
  <si>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</si>
  <si>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</si>
  <si>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</si>
  <si>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</si>
  <si>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</si>
  <si>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</si>
  <si>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</si>
  <si>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</si>
  <si>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</si>
  <si>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Badlapur</t>
  </si>
  <si>
    <t>Sas Infra</t>
  </si>
  <si>
    <t>Patil Highland Phase I Wing C</t>
  </si>
  <si>
    <t>Mr. Sunil Sonar 8691880099/7040159696</t>
  </si>
  <si>
    <t>Miss Divya 8087435670</t>
  </si>
  <si>
    <t>Wing C</t>
  </si>
  <si>
    <t>P51700048966</t>
  </si>
  <si>
    <t xml:space="preserve">Approved Plans, CC, Cost Sheet </t>
  </si>
  <si>
    <t>Gut No</t>
  </si>
  <si>
    <t>55, H. No.1</t>
  </si>
  <si>
    <t>Manjarli</t>
  </si>
  <si>
    <t>19.175398,73.237037</t>
  </si>
  <si>
    <t>https://goo.gl/maps/SwjcJ3zJrbKBK5YD6</t>
  </si>
  <si>
    <t>Valivali Gaon</t>
  </si>
  <si>
    <t>1.4 KM from Badlapur Railway Station</t>
  </si>
  <si>
    <t>Manjarli Village Road</t>
  </si>
  <si>
    <t>Orchid Trio</t>
  </si>
  <si>
    <t>Manjarli Village Road/Sadguru Heritage</t>
  </si>
  <si>
    <t>Wing- D/R.G Area - B/Existing Road 15.0 M Wide</t>
  </si>
  <si>
    <t>Wing-B/Gut No. 54</t>
  </si>
  <si>
    <t>Open Plot</t>
  </si>
  <si>
    <t xml:space="preserve">Reservation No.51 </t>
  </si>
  <si>
    <t>RG Area -A/Gaonthan</t>
  </si>
  <si>
    <t>Dighe house</t>
  </si>
  <si>
    <t xml:space="preserve">Kulgoan Badlapur Municipal Council
</t>
  </si>
  <si>
    <t>KBNP/NRV/BDH/2644-232</t>
  </si>
  <si>
    <t xml:space="preserve">Commencement-CC No
Valid Up to: </t>
  </si>
  <si>
    <t>Built -up Area of Wing C (Sq.Mt)</t>
  </si>
  <si>
    <t xml:space="preserve">As per RERA - 31/12/2026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</si>
  <si>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</si>
  <si>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Wing C = Stilt + 1st to 13th Floor</t>
  </si>
  <si>
    <t>Stilt Floor For Sanitary Block, Fitness Center, Entrance Lobby &amp; Parking</t>
  </si>
  <si>
    <t>1st to 7th &amp; 9th to 12th Floor For Resiential</t>
  </si>
  <si>
    <t>1BHK</t>
  </si>
  <si>
    <t>2BHK</t>
  </si>
  <si>
    <t>We considered Gross carpet area = Net carpet + E.P Area</t>
  </si>
  <si>
    <t>M.S Grill All Window, Gazebo, Decorative Entrance Lobby, Garden, Nana-Nani Park, Kids Play Area, Indoor Games, Security Cabin, Suffcient Water Supply, Parking etc.</t>
  </si>
  <si>
    <t>8th &amp; 13th Floor (Part Refuge Area)</t>
  </si>
  <si>
    <t xml:space="preserve">Details of Residential in Building   </t>
  </si>
  <si>
    <t xml:space="preserve">Residential Area Details : </t>
  </si>
  <si>
    <t>Flats - 115</t>
  </si>
  <si>
    <t>KBNP/NRV/BP/2644/2021-2022 Unique No.232</t>
  </si>
  <si>
    <t>-</t>
  </si>
  <si>
    <t>Refuge Area</t>
  </si>
  <si>
    <t>4000 to 4200</t>
  </si>
  <si>
    <t>Rushikesh</t>
  </si>
  <si>
    <t>Sudhir Bhosale</t>
  </si>
  <si>
    <t xml:space="preserve">Construction work is in process at the time of Visit.
</t>
  </si>
  <si>
    <t>Pooja Kawale</t>
  </si>
  <si>
    <t>RATE 4600 by BHARGAV VERBAL CASE for 1307 2 bhk   on 25/09/2025</t>
  </si>
  <si>
    <t xml:space="preserve">Recommended Rates/Other Charges of the Property have been revised on 20/12/2023 &amp; 25/09/2025.
</t>
  </si>
  <si>
    <t>Badlapur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</si>
</sst>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2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5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4" xfId="1" applyFont="1" applyBorder="1"/>
    <xf numFmtId="0" fontId="17" fillId="0" borderId="4" xfId="0" applyFont="1" applyBorder="1" applyProtection="1">
      <protection hidden="1"/>
    </xf>
    <xf numFmtId="1" fontId="0" fillId="0" borderId="4" xfId="0" applyNumberFormat="1" applyBorder="1"/>
    <xf numFmtId="1" fontId="0" fillId="0" borderId="4" xfId="0" applyNumberFormat="1" applyBorder="1" applyAlignment="1">
      <alignment horizontal="right"/>
    </xf>
    <xf numFmtId="1" fontId="0" fillId="0" borderId="6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8" xfId="0" applyFont="1" applyBorder="1"/>
    <xf numFmtId="0" fontId="25" fillId="0" borderId="2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Border="1" applyAlignment="1" applyProtection="1">
      <alignment vertical="center" wrapText="1"/>
      <protection locked="0"/>
    </xf>
    <xf numFmtId="0" fontId="12" fillId="0" borderId="0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/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8" fontId="7" fillId="0" borderId="0" xfId="1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0" xfId="10" applyBorder="1" applyAlignment="1"/>
    <xf numFmtId="0" fontId="24" fillId="2" borderId="7" xfId="0" applyFont="1" applyFill="1" applyBorder="1"/>
    <xf numFmtId="0" fontId="25" fillId="0" borderId="3" xfId="0" applyFont="1" applyBorder="1"/>
    <xf numFmtId="1" fontId="7" fillId="0" borderId="3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10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26" Type="http://schemas.openxmlformats.org/officeDocument/2006/relationships/image" Target="../media/image25.png"/><Relationship Id="rId3" Type="http://schemas.openxmlformats.org/officeDocument/2006/relationships/image" Target="../media/image3.png"/><Relationship Id="rId21" Type="http://schemas.openxmlformats.org/officeDocument/2006/relationships/image" Target="../media/image20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29" Type="http://schemas.openxmlformats.org/officeDocument/2006/relationships/image" Target="../media/image28.pn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png"/><Relationship Id="rId10" Type="http://schemas.openxmlformats.org/officeDocument/2006/relationships/image" Target="../media/image9.jpeg"/><Relationship Id="rId19" Type="http://schemas.openxmlformats.org/officeDocument/2006/relationships/image" Target="../media/image18.jpeg"/><Relationship Id="rId31" Type="http://schemas.openxmlformats.org/officeDocument/2006/relationships/image" Target="../media/image30.png"/><Relationship Id="rId4" Type="http://schemas.microsoft.com/office/2007/relationships/hdphoto" Target="../media/hdphoto1.wdp"/><Relationship Id="rId9" Type="http://schemas.openxmlformats.org/officeDocument/2006/relationships/image" Target="../media/image8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8" Type="http://schemas.openxmlformats.org/officeDocument/2006/relationships/image" Target="../media/image7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694763</xdr:colOff>
      <xdr:row>247</xdr:row>
      <xdr:rowOff>94130</xdr:rowOff>
    </xdr:from>
    <xdr:to>
      <xdr:col>7</xdr:col>
      <xdr:colOff>88410</xdr:colOff>
      <xdr:row>265</xdr:row>
      <xdr:rowOff>181282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763" y="66690689"/>
          <a:ext cx="5400000" cy="3717857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>
    <xdr:from>
      <xdr:col>2</xdr:col>
      <xdr:colOff>253468</xdr:colOff>
      <xdr:row>250</xdr:row>
      <xdr:rowOff>152896</xdr:rowOff>
    </xdr:from>
    <xdr:to>
      <xdr:col>4</xdr:col>
      <xdr:colOff>744712</xdr:colOff>
      <xdr:row>260</xdr:row>
      <xdr:rowOff>178239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 rot="19596741">
          <a:off x="1891768" y="48749446"/>
          <a:ext cx="2358144" cy="1993843"/>
          <a:chOff x="1176085" y="4148912"/>
          <a:chExt cx="7384803" cy="5352835"/>
        </a:xfrm>
      </xdr:grpSpPr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 rot="2003259" flipH="1">
            <a:off x="6858136" y="6050902"/>
            <a:ext cx="1317143" cy="629157"/>
          </a:xfrm>
          <a:prstGeom prst="line">
            <a:avLst/>
          </a:prstGeom>
          <a:ln w="28575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/>
        </xdr:nvGrpSpPr>
        <xdr:grpSpPr>
          <a:xfrm>
            <a:off x="1176085" y="4148912"/>
            <a:ext cx="7384803" cy="5352835"/>
            <a:chOff x="1176085" y="4148912"/>
            <a:chExt cx="7384803" cy="5352835"/>
          </a:xfrm>
        </xdr:grpSpPr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GrpSpPr/>
          </xdr:nvGrpSpPr>
          <xdr:grpSpPr>
            <a:xfrm>
              <a:off x="1638499" y="7069402"/>
              <a:ext cx="5633009" cy="1400332"/>
              <a:chOff x="1638499" y="7069402"/>
              <a:chExt cx="5633009" cy="1400332"/>
            </a:xfrm>
          </xdr:grpSpPr>
          <xdr:cxnSp macro="">
            <xdr:nvCxnSpPr>
              <xdr:cNvPr id="37" name="Straight Connector 36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CxnSpPr/>
            </xdr:nvCxnSpPr>
            <xdr:spPr>
              <a:xfrm rot="2003259" flipH="1" flipV="1">
                <a:off x="7021702" y="7069402"/>
                <a:ext cx="249806" cy="242531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8" name="Straight Connector 37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CxnSpPr/>
            </xdr:nvCxnSpPr>
            <xdr:spPr>
              <a:xfrm rot="2003259">
                <a:off x="3116420" y="7945546"/>
                <a:ext cx="512689" cy="494440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9" name="Straight Connector 38">
                <a:extLst>
                  <a:ext uri="{FF2B5EF4-FFF2-40B4-BE49-F238E27FC236}">
                    <a16:creationId xmlns:a16="http://schemas.microsoft.com/office/drawing/2014/main" id="{00000000-0008-0000-0000-000027000000}"/>
                  </a:ext>
                </a:extLst>
              </xdr:cNvPr>
              <xdr:cNvCxnSpPr/>
            </xdr:nvCxnSpPr>
            <xdr:spPr>
              <a:xfrm rot="2003259" flipH="1">
                <a:off x="1638499" y="8056208"/>
                <a:ext cx="108742" cy="413526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/>
          </xdr:nvGrpSpPr>
          <xdr:grpSpPr>
            <a:xfrm>
              <a:off x="1176085" y="4148912"/>
              <a:ext cx="7384803" cy="5352835"/>
              <a:chOff x="1176085" y="4148912"/>
              <a:chExt cx="7384803" cy="5352835"/>
            </a:xfrm>
          </xdr:grpSpPr>
          <xdr:cxnSp macro="">
            <xdr:nvCxnSpPr>
              <xdr:cNvPr id="28" name="Straight Connector 27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CxnSpPr/>
            </xdr:nvCxnSpPr>
            <xdr:spPr>
              <a:xfrm rot="2003259" flipV="1">
                <a:off x="2938856" y="4148912"/>
                <a:ext cx="1442956" cy="2933610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9" name="Straight Connector 28">
                <a:extLst>
                  <a:ext uri="{FF2B5EF4-FFF2-40B4-BE49-F238E27FC236}">
                    <a16:creationId xmlns:a16="http://schemas.microsoft.com/office/drawing/2014/main" id="{00000000-0008-0000-0000-00001D000000}"/>
                  </a:ext>
                </a:extLst>
              </xdr:cNvPr>
              <xdr:cNvCxnSpPr/>
            </xdr:nvCxnSpPr>
            <xdr:spPr>
              <a:xfrm rot="2003259" flipV="1">
                <a:off x="1722336" y="6397905"/>
                <a:ext cx="309690" cy="346566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0" name="Straight Connector 29">
                <a:extLst>
                  <a:ext uri="{FF2B5EF4-FFF2-40B4-BE49-F238E27FC236}">
                    <a16:creationId xmlns:a16="http://schemas.microsoft.com/office/drawing/2014/main" id="{00000000-0008-0000-0000-00001E000000}"/>
                  </a:ext>
                </a:extLst>
              </xdr:cNvPr>
              <xdr:cNvCxnSpPr/>
            </xdr:nvCxnSpPr>
            <xdr:spPr>
              <a:xfrm rot="2003259" flipH="1" flipV="1">
                <a:off x="1176085" y="6819216"/>
                <a:ext cx="1157262" cy="1145019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1" name="Straight Connector 30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CxnSpPr/>
            </xdr:nvCxnSpPr>
            <xdr:spPr>
              <a:xfrm rot="2003259" flipH="1" flipV="1">
                <a:off x="4783679" y="5221177"/>
                <a:ext cx="2364337" cy="585792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2" name="Straight Connector 31">
                <a:extLst>
                  <a:ext uri="{FF2B5EF4-FFF2-40B4-BE49-F238E27FC236}">
                    <a16:creationId xmlns:a16="http://schemas.microsoft.com/office/drawing/2014/main" id="{00000000-0008-0000-0000-000020000000}"/>
                  </a:ext>
                </a:extLst>
              </xdr:cNvPr>
              <xdr:cNvCxnSpPr/>
            </xdr:nvCxnSpPr>
            <xdr:spPr>
              <a:xfrm rot="2003259" flipH="1">
                <a:off x="7212074" y="6665894"/>
                <a:ext cx="1056644" cy="692269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3" name="Straight Connector 32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CxnSpPr/>
            </xdr:nvCxnSpPr>
            <xdr:spPr>
              <a:xfrm rot="2003259" flipH="1" flipV="1">
                <a:off x="8089863" y="6521916"/>
                <a:ext cx="471025" cy="369952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4" name="Straight Connector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CxnSpPr/>
            </xdr:nvCxnSpPr>
            <xdr:spPr>
              <a:xfrm rot="2003259" flipH="1">
                <a:off x="3798986" y="6486337"/>
                <a:ext cx="2889832" cy="2246854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5" name="Straight Connector 3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CxnSpPr/>
            </xdr:nvCxnSpPr>
            <xdr:spPr>
              <a:xfrm rot="2003259" flipH="1">
                <a:off x="1859779" y="8120513"/>
                <a:ext cx="1224226" cy="1381234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6" name="Straight Connector 35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CxnSpPr/>
            </xdr:nvCxnSpPr>
            <xdr:spPr>
              <a:xfrm rot="2003259" flipH="1" flipV="1">
                <a:off x="1230747" y="8451112"/>
                <a:ext cx="512821" cy="575573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 editAs="oneCell">
    <xdr:from>
      <xdr:col>0</xdr:col>
      <xdr:colOff>694764</xdr:colOff>
      <xdr:row>230</xdr:row>
      <xdr:rowOff>0</xdr:rowOff>
    </xdr:from>
    <xdr:to>
      <xdr:col>7</xdr:col>
      <xdr:colOff>88411</xdr:colOff>
      <xdr:row>246</xdr:row>
      <xdr:rowOff>120294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764" y="63167559"/>
          <a:ext cx="5400000" cy="3347588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593903</xdr:colOff>
      <xdr:row>199</xdr:row>
      <xdr:rowOff>179292</xdr:rowOff>
    </xdr:from>
    <xdr:to>
      <xdr:col>7</xdr:col>
      <xdr:colOff>170666</xdr:colOff>
      <xdr:row>217</xdr:row>
      <xdr:rowOff>184586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9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903" y="48118057"/>
          <a:ext cx="5583116" cy="36360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>
    <xdr:from>
      <xdr:col>3</xdr:col>
      <xdr:colOff>289169</xdr:colOff>
      <xdr:row>203</xdr:row>
      <xdr:rowOff>97561</xdr:rowOff>
    </xdr:from>
    <xdr:to>
      <xdr:col>4</xdr:col>
      <xdr:colOff>516924</xdr:colOff>
      <xdr:row>205</xdr:row>
      <xdr:rowOff>200349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 rot="20025713">
          <a:off x="2888934" y="48843149"/>
          <a:ext cx="1236284" cy="5062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539955</xdr:colOff>
      <xdr:row>203</xdr:row>
      <xdr:rowOff>106929</xdr:rowOff>
    </xdr:from>
    <xdr:to>
      <xdr:col>4</xdr:col>
      <xdr:colOff>170749</xdr:colOff>
      <xdr:row>204</xdr:row>
      <xdr:rowOff>166833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rot="20239773">
          <a:off x="3139720" y="48852517"/>
          <a:ext cx="639323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solidFill>
                <a:srgbClr val="FF0000"/>
              </a:solidFill>
            </a:rPr>
            <a:t>Wing c</a:t>
          </a:r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438149</xdr:colOff>
      <xdr:row>153</xdr:row>
      <xdr:rowOff>84860</xdr:rowOff>
    </xdr:from>
    <xdr:to>
      <xdr:col>16</xdr:col>
      <xdr:colOff>319213</xdr:colOff>
      <xdr:row>191</xdr:row>
      <xdr:rowOff>176819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232649" y="29593310"/>
          <a:ext cx="6580314" cy="7565909"/>
          <a:chOff x="95249" y="30713796"/>
          <a:chExt cx="6275803" cy="7651346"/>
        </a:xfrm>
      </xdr:grpSpPr>
      <xdr:pic>
        <xdr:nvPicPr>
          <xdr:cNvPr id="59" name="Picture 58" descr="insp-211074-1525.jpg (719×540)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25426" y="36205142"/>
            <a:ext cx="2876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Picture 59" descr="insp-211074-843.jpg (719×960)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49" y="30713796"/>
            <a:ext cx="2022188" cy="27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0" descr="insp-211074-844.jpg (719×960)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14051" y="33569020"/>
            <a:ext cx="1887375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2" name="Picture 61" descr="insp-211074-851.jpg (719×960)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42961" y="30719202"/>
            <a:ext cx="2022188" cy="27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3" name="Picture 62" descr="insp-211074-860.jpg (719×960)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48864" y="30719202"/>
            <a:ext cx="2022188" cy="27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" name="Picture 63" descr="insp-211074-874.jpg (719×960)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1871" y="33569020"/>
            <a:ext cx="1887375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5" name="Picture 64" descr="insp-211074-880.jpg (719×960)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42961" y="33569020"/>
            <a:ext cx="1887375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6" name="Picture 65" descr="insp-211074-849.jpg (719×540)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2044" y="36205142"/>
            <a:ext cx="2876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573302</xdr:colOff>
      <xdr:row>154</xdr:row>
      <xdr:rowOff>114300</xdr:rowOff>
    </xdr:from>
    <xdr:to>
      <xdr:col>16</xdr:col>
      <xdr:colOff>213105</xdr:colOff>
      <xdr:row>196</xdr:row>
      <xdr:rowOff>132906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367802" y="29819600"/>
          <a:ext cx="6339053" cy="8279956"/>
          <a:chOff x="239927" y="30365700"/>
          <a:chExt cx="6040603" cy="8410131"/>
        </a:xfrm>
      </xdr:grpSpPr>
      <xdr:grpSp>
        <xdr:nvGrpSpPr>
          <xdr:cNvPr id="49" name="Group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GrpSpPr/>
        </xdr:nvGrpSpPr>
        <xdr:grpSpPr>
          <a:xfrm>
            <a:off x="239927" y="30375225"/>
            <a:ext cx="5820055" cy="8400606"/>
            <a:chOff x="538773" y="402373"/>
            <a:chExt cx="5820055" cy="8400606"/>
          </a:xfrm>
        </xdr:grpSpPr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97887" y="3341300"/>
              <a:ext cx="1489142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90892" y="3341300"/>
              <a:ext cx="1489142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38773" y="402373"/>
              <a:ext cx="3820516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83897" y="3341300"/>
              <a:ext cx="1489142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74775" y="5456427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4350" y="5456427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43638" y="5456427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7" name="Picture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05062" y="5456427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9" name="Picture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471189" y="7362979"/>
              <a:ext cx="1917333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0" name="Picture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69757" y="7351301"/>
              <a:ext cx="1910258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pic>
        <xdr:nvPicPr>
          <xdr:cNvPr id="45" name="Picture 44" descr="insp-220482-845.jpg (719×956)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14505" y="30365700"/>
            <a:ext cx="2166025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171450</xdr:colOff>
      <xdr:row>156</xdr:row>
      <xdr:rowOff>107950</xdr:rowOff>
    </xdr:from>
    <xdr:to>
      <xdr:col>7</xdr:col>
      <xdr:colOff>756202</xdr:colOff>
      <xdr:row>194</xdr:row>
      <xdr:rowOff>160368</xdr:rowOff>
    </xdr:to>
    <xdr:grpSp>
      <xdr:nvGrpSpPr>
        <xdr:cNvPr id="4" name="Group 3"/>
        <xdr:cNvGrpSpPr/>
      </xdr:nvGrpSpPr>
      <xdr:grpSpPr>
        <a:xfrm>
          <a:off x="171450" y="30206950"/>
          <a:ext cx="6452152" cy="7526368"/>
          <a:chOff x="171450" y="29991050"/>
          <a:chExt cx="6452152" cy="7526368"/>
        </a:xfrm>
      </xdr:grpSpPr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299910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8664" y="3281823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6165" y="35645418"/>
            <a:ext cx="1407916" cy="18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5878" y="3281823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549" y="35645418"/>
            <a:ext cx="1407916" cy="18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7857" y="35645418"/>
            <a:ext cx="1407916" cy="18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14473" y="35645418"/>
            <a:ext cx="1402050" cy="18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8664" y="299910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5878" y="299910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32818234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wjcJ3zJrbKBK5YD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29"/>
  <sheetViews>
    <sheetView tabSelected="1" view="pageBreakPreview" topLeftCell="A28" zoomScaleNormal="100" zoomScaleSheetLayoutView="100" zoomScalePageLayoutView="85" workbookViewId="0">
      <selection activeCell="K41" sqref="K41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7265625" style="36" customWidth="1"/>
    <col min="4" max="4" width="14.1796875" style="36" customWidth="1"/>
    <col min="5" max="5" width="10.453125" style="36" customWidth="1"/>
    <col min="6" max="6" width="11.7265625" style="36" customWidth="1"/>
    <col min="7" max="7" width="11.453125" style="36" customWidth="1"/>
    <col min="8" max="8" width="13.26953125" style="36" customWidth="1"/>
    <col min="9" max="9" width="17.453125" style="17" customWidth="1"/>
    <col min="10" max="10" width="11.453125" style="17" customWidth="1"/>
    <col min="11" max="11" width="10.54296875" style="17" bestFit="1" customWidth="1"/>
    <col min="12" max="12" width="10.5429687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7265625" style="17" customWidth="1"/>
    <col min="17" max="247" width="9.1796875" style="17"/>
    <col min="248" max="248" width="8.7265625" style="17" customWidth="1"/>
    <col min="249" max="249" width="9.81640625" style="17" customWidth="1"/>
    <col min="250" max="250" width="14.453125" style="17" customWidth="1"/>
    <col min="251" max="251" width="7.2695312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7265625" style="17" customWidth="1"/>
    <col min="505" max="505" width="9.81640625" style="17" customWidth="1"/>
    <col min="506" max="506" width="14.453125" style="17" customWidth="1"/>
    <col min="507" max="507" width="7.2695312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7265625" style="17" customWidth="1"/>
    <col min="761" max="761" width="9.81640625" style="17" customWidth="1"/>
    <col min="762" max="762" width="14.453125" style="17" customWidth="1"/>
    <col min="763" max="763" width="7.2695312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7265625" style="17" customWidth="1"/>
    <col min="1017" max="1017" width="9.81640625" style="17" customWidth="1"/>
    <col min="1018" max="1018" width="14.453125" style="17" customWidth="1"/>
    <col min="1019" max="1019" width="7.2695312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7265625" style="17" customWidth="1"/>
    <col min="1273" max="1273" width="9.81640625" style="17" customWidth="1"/>
    <col min="1274" max="1274" width="14.453125" style="17" customWidth="1"/>
    <col min="1275" max="1275" width="7.2695312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7265625" style="17" customWidth="1"/>
    <col min="1529" max="1529" width="9.81640625" style="17" customWidth="1"/>
    <col min="1530" max="1530" width="14.453125" style="17" customWidth="1"/>
    <col min="1531" max="1531" width="7.2695312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7265625" style="17" customWidth="1"/>
    <col min="1785" max="1785" width="9.81640625" style="17" customWidth="1"/>
    <col min="1786" max="1786" width="14.453125" style="17" customWidth="1"/>
    <col min="1787" max="1787" width="7.2695312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7265625" style="17" customWidth="1"/>
    <col min="2041" max="2041" width="9.81640625" style="17" customWidth="1"/>
    <col min="2042" max="2042" width="14.453125" style="17" customWidth="1"/>
    <col min="2043" max="2043" width="7.2695312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7265625" style="17" customWidth="1"/>
    <col min="2297" max="2297" width="9.81640625" style="17" customWidth="1"/>
    <col min="2298" max="2298" width="14.453125" style="17" customWidth="1"/>
    <col min="2299" max="2299" width="7.2695312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7265625" style="17" customWidth="1"/>
    <col min="2553" max="2553" width="9.81640625" style="17" customWidth="1"/>
    <col min="2554" max="2554" width="14.453125" style="17" customWidth="1"/>
    <col min="2555" max="2555" width="7.2695312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7265625" style="17" customWidth="1"/>
    <col min="2809" max="2809" width="9.81640625" style="17" customWidth="1"/>
    <col min="2810" max="2810" width="14.453125" style="17" customWidth="1"/>
    <col min="2811" max="2811" width="7.2695312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7265625" style="17" customWidth="1"/>
    <col min="3065" max="3065" width="9.81640625" style="17" customWidth="1"/>
    <col min="3066" max="3066" width="14.453125" style="17" customWidth="1"/>
    <col min="3067" max="3067" width="7.2695312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7265625" style="17" customWidth="1"/>
    <col min="3321" max="3321" width="9.81640625" style="17" customWidth="1"/>
    <col min="3322" max="3322" width="14.453125" style="17" customWidth="1"/>
    <col min="3323" max="3323" width="7.2695312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7265625" style="17" customWidth="1"/>
    <col min="3577" max="3577" width="9.81640625" style="17" customWidth="1"/>
    <col min="3578" max="3578" width="14.453125" style="17" customWidth="1"/>
    <col min="3579" max="3579" width="7.2695312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7265625" style="17" customWidth="1"/>
    <col min="3833" max="3833" width="9.81640625" style="17" customWidth="1"/>
    <col min="3834" max="3834" width="14.453125" style="17" customWidth="1"/>
    <col min="3835" max="3835" width="7.2695312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7265625" style="17" customWidth="1"/>
    <col min="4089" max="4089" width="9.81640625" style="17" customWidth="1"/>
    <col min="4090" max="4090" width="14.453125" style="17" customWidth="1"/>
    <col min="4091" max="4091" width="7.2695312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7265625" style="17" customWidth="1"/>
    <col min="4345" max="4345" width="9.81640625" style="17" customWidth="1"/>
    <col min="4346" max="4346" width="14.453125" style="17" customWidth="1"/>
    <col min="4347" max="4347" width="7.2695312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7265625" style="17" customWidth="1"/>
    <col min="4601" max="4601" width="9.81640625" style="17" customWidth="1"/>
    <col min="4602" max="4602" width="14.453125" style="17" customWidth="1"/>
    <col min="4603" max="4603" width="7.2695312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7265625" style="17" customWidth="1"/>
    <col min="4857" max="4857" width="9.81640625" style="17" customWidth="1"/>
    <col min="4858" max="4858" width="14.453125" style="17" customWidth="1"/>
    <col min="4859" max="4859" width="7.2695312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7265625" style="17" customWidth="1"/>
    <col min="5113" max="5113" width="9.81640625" style="17" customWidth="1"/>
    <col min="5114" max="5114" width="14.453125" style="17" customWidth="1"/>
    <col min="5115" max="5115" width="7.2695312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7265625" style="17" customWidth="1"/>
    <col min="5369" max="5369" width="9.81640625" style="17" customWidth="1"/>
    <col min="5370" max="5370" width="14.453125" style="17" customWidth="1"/>
    <col min="5371" max="5371" width="7.2695312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7265625" style="17" customWidth="1"/>
    <col min="5625" max="5625" width="9.81640625" style="17" customWidth="1"/>
    <col min="5626" max="5626" width="14.453125" style="17" customWidth="1"/>
    <col min="5627" max="5627" width="7.2695312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7265625" style="17" customWidth="1"/>
    <col min="5881" max="5881" width="9.81640625" style="17" customWidth="1"/>
    <col min="5882" max="5882" width="14.453125" style="17" customWidth="1"/>
    <col min="5883" max="5883" width="7.2695312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7265625" style="17" customWidth="1"/>
    <col min="6137" max="6137" width="9.81640625" style="17" customWidth="1"/>
    <col min="6138" max="6138" width="14.453125" style="17" customWidth="1"/>
    <col min="6139" max="6139" width="7.2695312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7265625" style="17" customWidth="1"/>
    <col min="6393" max="6393" width="9.81640625" style="17" customWidth="1"/>
    <col min="6394" max="6394" width="14.453125" style="17" customWidth="1"/>
    <col min="6395" max="6395" width="7.2695312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7265625" style="17" customWidth="1"/>
    <col min="6649" max="6649" width="9.81640625" style="17" customWidth="1"/>
    <col min="6650" max="6650" width="14.453125" style="17" customWidth="1"/>
    <col min="6651" max="6651" width="7.2695312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7265625" style="17" customWidth="1"/>
    <col min="6905" max="6905" width="9.81640625" style="17" customWidth="1"/>
    <col min="6906" max="6906" width="14.453125" style="17" customWidth="1"/>
    <col min="6907" max="6907" width="7.2695312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7265625" style="17" customWidth="1"/>
    <col min="7161" max="7161" width="9.81640625" style="17" customWidth="1"/>
    <col min="7162" max="7162" width="14.453125" style="17" customWidth="1"/>
    <col min="7163" max="7163" width="7.2695312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7265625" style="17" customWidth="1"/>
    <col min="7417" max="7417" width="9.81640625" style="17" customWidth="1"/>
    <col min="7418" max="7418" width="14.453125" style="17" customWidth="1"/>
    <col min="7419" max="7419" width="7.2695312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7265625" style="17" customWidth="1"/>
    <col min="7673" max="7673" width="9.81640625" style="17" customWidth="1"/>
    <col min="7674" max="7674" width="14.453125" style="17" customWidth="1"/>
    <col min="7675" max="7675" width="7.2695312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7265625" style="17" customWidth="1"/>
    <col min="7929" max="7929" width="9.81640625" style="17" customWidth="1"/>
    <col min="7930" max="7930" width="14.453125" style="17" customWidth="1"/>
    <col min="7931" max="7931" width="7.2695312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7265625" style="17" customWidth="1"/>
    <col min="8185" max="8185" width="9.81640625" style="17" customWidth="1"/>
    <col min="8186" max="8186" width="14.453125" style="17" customWidth="1"/>
    <col min="8187" max="8187" width="7.2695312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7265625" style="17" customWidth="1"/>
    <col min="8441" max="8441" width="9.81640625" style="17" customWidth="1"/>
    <col min="8442" max="8442" width="14.453125" style="17" customWidth="1"/>
    <col min="8443" max="8443" width="7.2695312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7265625" style="17" customWidth="1"/>
    <col min="8697" max="8697" width="9.81640625" style="17" customWidth="1"/>
    <col min="8698" max="8698" width="14.453125" style="17" customWidth="1"/>
    <col min="8699" max="8699" width="7.2695312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7265625" style="17" customWidth="1"/>
    <col min="8953" max="8953" width="9.81640625" style="17" customWidth="1"/>
    <col min="8954" max="8954" width="14.453125" style="17" customWidth="1"/>
    <col min="8955" max="8955" width="7.2695312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7265625" style="17" customWidth="1"/>
    <col min="9209" max="9209" width="9.81640625" style="17" customWidth="1"/>
    <col min="9210" max="9210" width="14.453125" style="17" customWidth="1"/>
    <col min="9211" max="9211" width="7.2695312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7265625" style="17" customWidth="1"/>
    <col min="9465" max="9465" width="9.81640625" style="17" customWidth="1"/>
    <col min="9466" max="9466" width="14.453125" style="17" customWidth="1"/>
    <col min="9467" max="9467" width="7.2695312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7265625" style="17" customWidth="1"/>
    <col min="9721" max="9721" width="9.81640625" style="17" customWidth="1"/>
    <col min="9722" max="9722" width="14.453125" style="17" customWidth="1"/>
    <col min="9723" max="9723" width="7.2695312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7265625" style="17" customWidth="1"/>
    <col min="9977" max="9977" width="9.81640625" style="17" customWidth="1"/>
    <col min="9978" max="9978" width="14.453125" style="17" customWidth="1"/>
    <col min="9979" max="9979" width="7.2695312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7265625" style="17" customWidth="1"/>
    <col min="10233" max="10233" width="9.81640625" style="17" customWidth="1"/>
    <col min="10234" max="10234" width="14.453125" style="17" customWidth="1"/>
    <col min="10235" max="10235" width="7.2695312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7265625" style="17" customWidth="1"/>
    <col min="10489" max="10489" width="9.81640625" style="17" customWidth="1"/>
    <col min="10490" max="10490" width="14.453125" style="17" customWidth="1"/>
    <col min="10491" max="10491" width="7.2695312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7265625" style="17" customWidth="1"/>
    <col min="10745" max="10745" width="9.81640625" style="17" customWidth="1"/>
    <col min="10746" max="10746" width="14.453125" style="17" customWidth="1"/>
    <col min="10747" max="10747" width="7.2695312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7265625" style="17" customWidth="1"/>
    <col min="11001" max="11001" width="9.81640625" style="17" customWidth="1"/>
    <col min="11002" max="11002" width="14.453125" style="17" customWidth="1"/>
    <col min="11003" max="11003" width="7.2695312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7265625" style="17" customWidth="1"/>
    <col min="11257" max="11257" width="9.81640625" style="17" customWidth="1"/>
    <col min="11258" max="11258" width="14.453125" style="17" customWidth="1"/>
    <col min="11259" max="11259" width="7.2695312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7265625" style="17" customWidth="1"/>
    <col min="11513" max="11513" width="9.81640625" style="17" customWidth="1"/>
    <col min="11514" max="11514" width="14.453125" style="17" customWidth="1"/>
    <col min="11515" max="11515" width="7.2695312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7265625" style="17" customWidth="1"/>
    <col min="11769" max="11769" width="9.81640625" style="17" customWidth="1"/>
    <col min="11770" max="11770" width="14.453125" style="17" customWidth="1"/>
    <col min="11771" max="11771" width="7.2695312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7265625" style="17" customWidth="1"/>
    <col min="12025" max="12025" width="9.81640625" style="17" customWidth="1"/>
    <col min="12026" max="12026" width="14.453125" style="17" customWidth="1"/>
    <col min="12027" max="12027" width="7.2695312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7265625" style="17" customWidth="1"/>
    <col min="12281" max="12281" width="9.81640625" style="17" customWidth="1"/>
    <col min="12282" max="12282" width="14.453125" style="17" customWidth="1"/>
    <col min="12283" max="12283" width="7.2695312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7265625" style="17" customWidth="1"/>
    <col min="12537" max="12537" width="9.81640625" style="17" customWidth="1"/>
    <col min="12538" max="12538" width="14.453125" style="17" customWidth="1"/>
    <col min="12539" max="12539" width="7.2695312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7265625" style="17" customWidth="1"/>
    <col min="12793" max="12793" width="9.81640625" style="17" customWidth="1"/>
    <col min="12794" max="12794" width="14.453125" style="17" customWidth="1"/>
    <col min="12795" max="12795" width="7.2695312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7265625" style="17" customWidth="1"/>
    <col min="13049" max="13049" width="9.81640625" style="17" customWidth="1"/>
    <col min="13050" max="13050" width="14.453125" style="17" customWidth="1"/>
    <col min="13051" max="13051" width="7.2695312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7265625" style="17" customWidth="1"/>
    <col min="13305" max="13305" width="9.81640625" style="17" customWidth="1"/>
    <col min="13306" max="13306" width="14.453125" style="17" customWidth="1"/>
    <col min="13307" max="13307" width="7.2695312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7265625" style="17" customWidth="1"/>
    <col min="13561" max="13561" width="9.81640625" style="17" customWidth="1"/>
    <col min="13562" max="13562" width="14.453125" style="17" customWidth="1"/>
    <col min="13563" max="13563" width="7.2695312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7265625" style="17" customWidth="1"/>
    <col min="13817" max="13817" width="9.81640625" style="17" customWidth="1"/>
    <col min="13818" max="13818" width="14.453125" style="17" customWidth="1"/>
    <col min="13819" max="13819" width="7.2695312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7265625" style="17" customWidth="1"/>
    <col min="14073" max="14073" width="9.81640625" style="17" customWidth="1"/>
    <col min="14074" max="14074" width="14.453125" style="17" customWidth="1"/>
    <col min="14075" max="14075" width="7.2695312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7265625" style="17" customWidth="1"/>
    <col min="14329" max="14329" width="9.81640625" style="17" customWidth="1"/>
    <col min="14330" max="14330" width="14.453125" style="17" customWidth="1"/>
    <col min="14331" max="14331" width="7.2695312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7265625" style="17" customWidth="1"/>
    <col min="14585" max="14585" width="9.81640625" style="17" customWidth="1"/>
    <col min="14586" max="14586" width="14.453125" style="17" customWidth="1"/>
    <col min="14587" max="14587" width="7.2695312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7265625" style="17" customWidth="1"/>
    <col min="14841" max="14841" width="9.81640625" style="17" customWidth="1"/>
    <col min="14842" max="14842" width="14.453125" style="17" customWidth="1"/>
    <col min="14843" max="14843" width="7.2695312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7265625" style="17" customWidth="1"/>
    <col min="15097" max="15097" width="9.81640625" style="17" customWidth="1"/>
    <col min="15098" max="15098" width="14.453125" style="17" customWidth="1"/>
    <col min="15099" max="15099" width="7.2695312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7265625" style="17" customWidth="1"/>
    <col min="15353" max="15353" width="9.81640625" style="17" customWidth="1"/>
    <col min="15354" max="15354" width="14.453125" style="17" customWidth="1"/>
    <col min="15355" max="15355" width="7.2695312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7265625" style="17" customWidth="1"/>
    <col min="15609" max="15609" width="9.81640625" style="17" customWidth="1"/>
    <col min="15610" max="15610" width="14.453125" style="17" customWidth="1"/>
    <col min="15611" max="15611" width="7.2695312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7265625" style="17" customWidth="1"/>
    <col min="15865" max="15865" width="9.81640625" style="17" customWidth="1"/>
    <col min="15866" max="15866" width="14.453125" style="17" customWidth="1"/>
    <col min="15867" max="15867" width="7.2695312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7265625" style="17" customWidth="1"/>
    <col min="16121" max="16121" width="9.81640625" style="17" customWidth="1"/>
    <col min="16122" max="16122" width="14.453125" style="17" customWidth="1"/>
    <col min="16123" max="16123" width="7.2695312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26" ht="46.5" customHeight="1" x14ac:dyDescent="0.35">
      <c r="A1" s="109" t="s">
        <v>163</v>
      </c>
      <c r="B1" s="109"/>
      <c r="C1" s="109"/>
      <c r="D1" s="109"/>
      <c r="E1" s="109"/>
      <c r="F1" s="109"/>
      <c r="G1" s="109"/>
      <c r="H1" s="109"/>
    </row>
    <row r="2" spans="1:26" ht="16.5" customHeight="1" x14ac:dyDescent="0.35">
      <c r="A2" s="76" t="s">
        <v>0</v>
      </c>
      <c r="B2" s="76"/>
      <c r="C2" s="76"/>
      <c r="D2" s="76"/>
      <c r="E2" s="76"/>
      <c r="F2" s="76"/>
      <c r="G2" s="76"/>
      <c r="H2" s="76"/>
    </row>
    <row r="3" spans="1:26" x14ac:dyDescent="0.35">
      <c r="A3" s="65" t="s">
        <v>1</v>
      </c>
      <c r="B3" s="65"/>
      <c r="C3" s="65"/>
      <c r="D3" s="65"/>
      <c r="E3" s="65" t="str">
        <f ca="1">TEXT(TODAY(),"DD/MM/YYYY")</f>
        <v>26/09/2025</v>
      </c>
      <c r="F3" s="65"/>
      <c r="G3" s="65"/>
      <c r="H3" s="65"/>
    </row>
    <row r="4" spans="1:26" ht="15" customHeight="1" x14ac:dyDescent="0.35">
      <c r="A4" s="65" t="s">
        <v>2</v>
      </c>
      <c r="B4" s="65"/>
      <c r="C4" s="65"/>
      <c r="D4" s="65"/>
      <c r="E4" s="79" t="s">
        <v>228</v>
      </c>
      <c r="F4" s="79"/>
      <c r="G4" s="79"/>
      <c r="H4" s="79"/>
    </row>
    <row r="5" spans="1:26" x14ac:dyDescent="0.35">
      <c r="A5" s="65" t="s">
        <v>3</v>
      </c>
      <c r="B5" s="65"/>
      <c r="C5" s="65"/>
      <c r="D5" s="65"/>
      <c r="E5" s="111">
        <v>45905</v>
      </c>
      <c r="F5" s="65"/>
      <c r="G5" s="65"/>
      <c r="H5" s="65"/>
    </row>
    <row r="6" spans="1:26" ht="16.5" customHeight="1" x14ac:dyDescent="0.35">
      <c r="A6" s="65" t="s">
        <v>4</v>
      </c>
      <c r="B6" s="65"/>
      <c r="C6" s="65"/>
      <c r="D6" s="65"/>
      <c r="E6" s="65" t="s">
        <v>229</v>
      </c>
      <c r="F6" s="65"/>
      <c r="G6" s="65"/>
      <c r="H6" s="65"/>
    </row>
    <row r="7" spans="1:26" ht="15" customHeight="1" x14ac:dyDescent="0.35">
      <c r="A7" s="65" t="s">
        <v>5</v>
      </c>
      <c r="B7" s="65"/>
      <c r="C7" s="65"/>
      <c r="D7" s="65"/>
      <c r="E7" s="65" t="str">
        <f>E6</f>
        <v>Sas Infra</v>
      </c>
      <c r="F7" s="65"/>
      <c r="G7" s="65"/>
      <c r="H7" s="65"/>
    </row>
    <row r="8" spans="1:26" x14ac:dyDescent="0.35">
      <c r="A8" s="65" t="s">
        <v>6</v>
      </c>
      <c r="B8" s="65"/>
      <c r="C8" s="65"/>
      <c r="D8" s="65"/>
      <c r="E8" s="110" t="s">
        <v>230</v>
      </c>
      <c r="F8" s="110"/>
      <c r="G8" s="110"/>
      <c r="H8" s="110"/>
    </row>
    <row r="9" spans="1:26" x14ac:dyDescent="0.35">
      <c r="A9" s="65" t="s">
        <v>166</v>
      </c>
      <c r="B9" s="65"/>
      <c r="C9" s="65"/>
      <c r="D9" s="65"/>
      <c r="E9" s="65" t="s">
        <v>231</v>
      </c>
      <c r="F9" s="65"/>
      <c r="G9" s="65"/>
      <c r="H9" s="65"/>
    </row>
    <row r="10" spans="1:26" x14ac:dyDescent="0.35">
      <c r="A10" s="65" t="s">
        <v>167</v>
      </c>
      <c r="B10" s="65"/>
      <c r="C10" s="65"/>
      <c r="D10" s="65"/>
      <c r="E10" s="65" t="s">
        <v>29</v>
      </c>
      <c r="F10" s="65"/>
      <c r="G10" s="65"/>
      <c r="H10" s="65"/>
      <c r="I10" s="65" t="s">
        <v>232</v>
      </c>
      <c r="J10" s="65"/>
      <c r="K10" s="65"/>
      <c r="L10" s="65"/>
    </row>
    <row r="11" spans="1:26" x14ac:dyDescent="0.35">
      <c r="A11" s="65" t="s">
        <v>7</v>
      </c>
      <c r="B11" s="65"/>
      <c r="C11" s="65"/>
      <c r="D11" s="65"/>
      <c r="E11" s="65" t="s">
        <v>233</v>
      </c>
      <c r="F11" s="65"/>
      <c r="G11" s="65"/>
      <c r="H11" s="65"/>
    </row>
    <row r="12" spans="1:26" x14ac:dyDescent="0.35">
      <c r="A12" s="65" t="s">
        <v>169</v>
      </c>
      <c r="B12" s="65"/>
      <c r="C12" s="65"/>
      <c r="D12" s="65"/>
      <c r="E12" s="65" t="s">
        <v>29</v>
      </c>
      <c r="F12" s="65"/>
      <c r="G12" s="65"/>
      <c r="H12" s="65"/>
      <c r="S12" s="43" t="s">
        <v>175</v>
      </c>
      <c r="T12" s="43" t="s">
        <v>185</v>
      </c>
      <c r="U12" s="43" t="s">
        <v>170</v>
      </c>
      <c r="V12" s="43" t="s">
        <v>190</v>
      </c>
      <c r="W12" s="43" t="s">
        <v>208</v>
      </c>
      <c r="X12"/>
      <c r="Y12" t="s">
        <v>190</v>
      </c>
      <c r="Z12" t="e">
        <f ca="1">OFFSET($S$12,1,MATCH($G19,$S$12:$W$12,0)-1,15,1)</f>
        <v>#VALUE!</v>
      </c>
    </row>
    <row r="13" spans="1:26" x14ac:dyDescent="0.35">
      <c r="A13" s="71" t="s">
        <v>8</v>
      </c>
      <c r="B13" s="71"/>
      <c r="C13" s="71"/>
      <c r="D13" s="71"/>
      <c r="E13" s="107" t="s">
        <v>235</v>
      </c>
      <c r="F13" s="107"/>
      <c r="G13" s="107"/>
      <c r="H13" s="107"/>
      <c r="S13" s="43" t="s">
        <v>176</v>
      </c>
      <c r="T13" s="43" t="s">
        <v>183</v>
      </c>
      <c r="U13" s="43" t="s">
        <v>205</v>
      </c>
      <c r="V13" s="43" t="s">
        <v>191</v>
      </c>
      <c r="W13" s="43" t="s">
        <v>209</v>
      </c>
      <c r="X13"/>
      <c r="Y13"/>
      <c r="Z13"/>
    </row>
    <row r="14" spans="1:26" x14ac:dyDescent="0.35">
      <c r="A14" s="71" t="s">
        <v>9</v>
      </c>
      <c r="B14" s="71"/>
      <c r="C14" s="71"/>
      <c r="D14" s="71"/>
      <c r="E14" s="107" t="s">
        <v>234</v>
      </c>
      <c r="F14" s="79"/>
      <c r="G14" s="79"/>
      <c r="H14" s="79"/>
      <c r="I14" s="124" t="e">
        <f ca="1">OFFSET($D$4,1,MATCH($J12,$D$4:$H$4,0)-1,15,1)</f>
        <v>#N/A</v>
      </c>
      <c r="J14" s="125"/>
      <c r="K14" s="125"/>
      <c r="L14" s="125"/>
      <c r="M14" s="125"/>
      <c r="N14" s="125"/>
      <c r="O14" s="125"/>
      <c r="P14" s="125"/>
      <c r="S14" s="43" t="s">
        <v>177</v>
      </c>
      <c r="T14" s="43" t="s">
        <v>184</v>
      </c>
      <c r="U14" s="43" t="s">
        <v>206</v>
      </c>
      <c r="V14" s="43" t="s">
        <v>192</v>
      </c>
      <c r="W14" s="43" t="s">
        <v>222</v>
      </c>
      <c r="X14"/>
      <c r="Y14"/>
      <c r="Z14"/>
    </row>
    <row r="15" spans="1:26" ht="36" customHeight="1" x14ac:dyDescent="0.35">
      <c r="A15" s="66" t="s">
        <v>10</v>
      </c>
      <c r="B15" s="66"/>
      <c r="C15" s="6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Patil Highland Phase I Wing C, Gut No.55, H. No.1, near Orchid Trio, Manjarli Village Road, Valivali Gaon, Manjarli, Badlapur West, Ambernath, Thane  - 421503.</v>
      </c>
      <c r="D15" s="66"/>
      <c r="E15" s="66"/>
      <c r="F15" s="66"/>
      <c r="G15" s="66"/>
      <c r="H15" s="66"/>
      <c r="S15" s="43" t="s">
        <v>178</v>
      </c>
      <c r="T15" s="43" t="s">
        <v>186</v>
      </c>
      <c r="U15" s="43" t="s">
        <v>207</v>
      </c>
      <c r="V15" s="43" t="s">
        <v>193</v>
      </c>
      <c r="W15" s="43" t="s">
        <v>210</v>
      </c>
      <c r="X15"/>
      <c r="Y15"/>
      <c r="Z15"/>
    </row>
    <row r="16" spans="1:26" x14ac:dyDescent="0.35">
      <c r="A16" s="107" t="s">
        <v>236</v>
      </c>
      <c r="B16" s="107"/>
      <c r="C16" s="107" t="s">
        <v>237</v>
      </c>
      <c r="D16" s="107"/>
      <c r="E16" s="107"/>
      <c r="F16" s="107"/>
      <c r="G16" s="107"/>
      <c r="H16" s="107"/>
      <c r="S16" s="43" t="s">
        <v>179</v>
      </c>
      <c r="T16" s="43" t="s">
        <v>187</v>
      </c>
      <c r="U16" s="43"/>
      <c r="V16" s="43" t="s">
        <v>194</v>
      </c>
      <c r="W16" s="43" t="s">
        <v>211</v>
      </c>
      <c r="X16"/>
      <c r="Y16"/>
      <c r="Z16"/>
    </row>
    <row r="17" spans="1:26" ht="15.75" customHeight="1" x14ac:dyDescent="0.35">
      <c r="A17" s="107" t="s">
        <v>161</v>
      </c>
      <c r="B17" s="107"/>
      <c r="C17" s="107" t="s">
        <v>241</v>
      </c>
      <c r="D17" s="107"/>
      <c r="E17" s="107"/>
      <c r="F17" s="107"/>
      <c r="G17" s="107"/>
      <c r="H17" s="107"/>
      <c r="S17" s="43" t="s">
        <v>180</v>
      </c>
      <c r="T17" s="43" t="s">
        <v>185</v>
      </c>
      <c r="U17" s="43"/>
      <c r="V17" s="43" t="s">
        <v>195</v>
      </c>
      <c r="W17" s="43" t="s">
        <v>212</v>
      </c>
      <c r="X17"/>
      <c r="Y17"/>
      <c r="Z17"/>
    </row>
    <row r="18" spans="1:26" ht="15.75" customHeight="1" x14ac:dyDescent="0.35">
      <c r="A18" s="66" t="s">
        <v>11</v>
      </c>
      <c r="B18" s="66"/>
      <c r="C18" s="65" t="s">
        <v>243</v>
      </c>
      <c r="D18" s="65"/>
      <c r="E18" s="66" t="s">
        <v>72</v>
      </c>
      <c r="F18" s="66"/>
      <c r="G18" s="78" t="s">
        <v>238</v>
      </c>
      <c r="H18" s="78"/>
      <c r="S18" s="43" t="s">
        <v>181</v>
      </c>
      <c r="T18" s="43" t="s">
        <v>188</v>
      </c>
      <c r="U18" s="43"/>
      <c r="V18" s="43" t="s">
        <v>196</v>
      </c>
      <c r="W18" s="43" t="s">
        <v>213</v>
      </c>
      <c r="X18"/>
      <c r="Y18"/>
      <c r="Z18"/>
    </row>
    <row r="19" spans="1:26" x14ac:dyDescent="0.35">
      <c r="A19" s="71" t="s">
        <v>13</v>
      </c>
      <c r="B19" s="71"/>
      <c r="C19" s="107" t="s">
        <v>279</v>
      </c>
      <c r="D19" s="107"/>
      <c r="E19" s="107" t="s">
        <v>12</v>
      </c>
      <c r="F19" s="107"/>
      <c r="G19" s="108" t="s">
        <v>175</v>
      </c>
      <c r="H19" s="108"/>
      <c r="S19" s="43" t="s">
        <v>182</v>
      </c>
      <c r="T19" s="43" t="s">
        <v>189</v>
      </c>
      <c r="U19" s="43"/>
      <c r="V19" s="43" t="s">
        <v>197</v>
      </c>
      <c r="W19" s="43" t="s">
        <v>214</v>
      </c>
      <c r="X19"/>
      <c r="Y19"/>
      <c r="Z19"/>
    </row>
    <row r="20" spans="1:26" x14ac:dyDescent="0.35">
      <c r="A20" s="71" t="s">
        <v>73</v>
      </c>
      <c r="B20" s="71"/>
      <c r="C20" s="107" t="s">
        <v>181</v>
      </c>
      <c r="D20" s="107"/>
      <c r="E20" s="107" t="s">
        <v>14</v>
      </c>
      <c r="F20" s="107"/>
      <c r="G20" s="107">
        <v>421503</v>
      </c>
      <c r="H20" s="107"/>
      <c r="S20" s="43"/>
      <c r="T20" s="43"/>
      <c r="U20" s="43"/>
      <c r="V20" s="43" t="s">
        <v>198</v>
      </c>
      <c r="W20" s="43" t="s">
        <v>215</v>
      </c>
      <c r="X20"/>
      <c r="Y20"/>
      <c r="Z20"/>
    </row>
    <row r="21" spans="1:26" ht="32.25" customHeight="1" x14ac:dyDescent="0.35">
      <c r="A21" s="71" t="s">
        <v>120</v>
      </c>
      <c r="B21" s="71"/>
      <c r="C21" s="78" t="s">
        <v>244</v>
      </c>
      <c r="D21" s="78"/>
      <c r="E21" s="66" t="s">
        <v>15</v>
      </c>
      <c r="F21" s="66"/>
      <c r="G21" s="107" t="s">
        <v>242</v>
      </c>
      <c r="H21" s="107"/>
      <c r="S21" s="43"/>
      <c r="T21" s="43"/>
      <c r="U21" s="43"/>
      <c r="V21" s="43" t="s">
        <v>199</v>
      </c>
      <c r="W21" s="43" t="s">
        <v>216</v>
      </c>
      <c r="X21"/>
      <c r="Y21"/>
      <c r="Z21"/>
    </row>
    <row r="22" spans="1:26" ht="15" customHeight="1" x14ac:dyDescent="0.35">
      <c r="A22" s="66" t="s">
        <v>74</v>
      </c>
      <c r="B22" s="66"/>
      <c r="C22" s="66"/>
      <c r="D22" s="66"/>
      <c r="E22" s="65" t="s">
        <v>16</v>
      </c>
      <c r="F22" s="65"/>
      <c r="G22" s="65"/>
      <c r="H22" s="65"/>
      <c r="S22" s="43"/>
      <c r="T22" s="43"/>
      <c r="U22" s="43"/>
      <c r="V22" s="43" t="s">
        <v>200</v>
      </c>
      <c r="W22" s="43" t="s">
        <v>217</v>
      </c>
      <c r="X22"/>
      <c r="Y22"/>
      <c r="Z22"/>
    </row>
    <row r="23" spans="1:26" ht="18.75" customHeight="1" x14ac:dyDescent="0.35">
      <c r="A23" s="66"/>
      <c r="B23" s="66"/>
      <c r="C23" s="66"/>
      <c r="D23" s="66"/>
      <c r="E23" s="65"/>
      <c r="F23" s="65"/>
      <c r="G23" s="65"/>
      <c r="H23" s="65"/>
      <c r="S23" s="43"/>
      <c r="T23" s="43"/>
      <c r="U23" s="43"/>
      <c r="V23" s="43" t="s">
        <v>201</v>
      </c>
      <c r="W23" s="43" t="s">
        <v>218</v>
      </c>
      <c r="X23"/>
      <c r="Y23"/>
      <c r="Z23"/>
    </row>
    <row r="24" spans="1:26" ht="15" customHeight="1" x14ac:dyDescent="0.35">
      <c r="A24" s="66" t="s">
        <v>17</v>
      </c>
      <c r="B24" s="66"/>
      <c r="C24" s="66"/>
      <c r="D24" s="66"/>
      <c r="E24" s="78" t="s">
        <v>18</v>
      </c>
      <c r="F24" s="78"/>
      <c r="G24" s="78"/>
      <c r="H24" s="78"/>
      <c r="S24" s="43"/>
      <c r="T24" s="43"/>
      <c r="U24" s="43"/>
      <c r="V24" s="43" t="s">
        <v>202</v>
      </c>
      <c r="W24" s="43" t="s">
        <v>219</v>
      </c>
      <c r="X24"/>
      <c r="Y24"/>
      <c r="Z24"/>
    </row>
    <row r="25" spans="1:26" ht="15" customHeight="1" x14ac:dyDescent="0.35">
      <c r="A25" s="71" t="s">
        <v>19</v>
      </c>
      <c r="B25" s="71"/>
      <c r="C25" s="71"/>
      <c r="D25" s="71"/>
      <c r="E25" s="78" t="str">
        <f>IF(AND(G19="Mumbai"),"Upper Class","Middle Class")</f>
        <v>Middle Class</v>
      </c>
      <c r="F25" s="78"/>
      <c r="G25" s="78"/>
      <c r="H25" s="78"/>
      <c r="S25" s="43"/>
      <c r="T25" s="43"/>
      <c r="U25" s="43"/>
      <c r="V25" s="43" t="s">
        <v>203</v>
      </c>
      <c r="W25" s="43" t="s">
        <v>220</v>
      </c>
      <c r="X25"/>
      <c r="Y25"/>
      <c r="Z25"/>
    </row>
    <row r="26" spans="1:26" x14ac:dyDescent="0.35">
      <c r="A26" s="71" t="s">
        <v>20</v>
      </c>
      <c r="B26" s="71"/>
      <c r="C26" s="71"/>
      <c r="D26" s="71"/>
      <c r="E26" s="78" t="s">
        <v>21</v>
      </c>
      <c r="F26" s="78"/>
      <c r="G26" s="78"/>
      <c r="H26" s="78"/>
      <c r="S26" s="43"/>
      <c r="T26" s="43"/>
      <c r="U26" s="43"/>
      <c r="V26" s="43" t="s">
        <v>204</v>
      </c>
      <c r="W26" s="43" t="s">
        <v>221</v>
      </c>
      <c r="X26"/>
      <c r="Y26"/>
      <c r="Z26"/>
    </row>
    <row r="27" spans="1:26" ht="15.75" customHeight="1" x14ac:dyDescent="0.35">
      <c r="A27" s="71" t="s">
        <v>22</v>
      </c>
      <c r="B27" s="71"/>
      <c r="C27" s="71"/>
      <c r="D27" s="71"/>
      <c r="E27" s="78" t="str">
        <f>IF(AND(G19="Mumbai"),"Developed","Developing")</f>
        <v>Developing</v>
      </c>
      <c r="F27" s="78"/>
      <c r="G27" s="78"/>
      <c r="H27" s="78"/>
    </row>
    <row r="28" spans="1:26" x14ac:dyDescent="0.35">
      <c r="A28" s="71" t="s">
        <v>23</v>
      </c>
      <c r="B28" s="71"/>
      <c r="C28" s="71"/>
      <c r="D28" s="71"/>
      <c r="E28" s="78" t="s">
        <v>24</v>
      </c>
      <c r="F28" s="78"/>
      <c r="G28" s="78"/>
      <c r="H28" s="78"/>
    </row>
    <row r="29" spans="1:26" ht="15.75" customHeight="1" x14ac:dyDescent="0.35">
      <c r="A29" s="71" t="s">
        <v>79</v>
      </c>
      <c r="B29" s="71"/>
      <c r="C29" s="71"/>
      <c r="D29" s="71"/>
      <c r="E29" s="78" t="s">
        <v>80</v>
      </c>
      <c r="F29" s="78"/>
      <c r="G29" s="78"/>
      <c r="H29" s="78"/>
    </row>
    <row r="30" spans="1:26" ht="15" customHeight="1" x14ac:dyDescent="0.35">
      <c r="A30" s="71" t="s">
        <v>32</v>
      </c>
      <c r="B30" s="71"/>
      <c r="C30" s="71"/>
      <c r="D30" s="71"/>
      <c r="E30" s="7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78"/>
      <c r="G30" s="78"/>
      <c r="H30" s="78"/>
    </row>
    <row r="31" spans="1:26" ht="15.75" customHeight="1" x14ac:dyDescent="0.35">
      <c r="A31" s="71" t="s">
        <v>90</v>
      </c>
      <c r="B31" s="71"/>
      <c r="C31" s="71"/>
      <c r="D31" s="71"/>
      <c r="E31" s="78" t="s">
        <v>33</v>
      </c>
      <c r="F31" s="78"/>
      <c r="G31" s="78"/>
      <c r="H31" s="78"/>
    </row>
    <row r="32" spans="1:26" s="18" customFormat="1" x14ac:dyDescent="0.35">
      <c r="A32" s="103" t="s">
        <v>91</v>
      </c>
      <c r="B32" s="103"/>
      <c r="C32" s="102" t="s">
        <v>171</v>
      </c>
      <c r="D32" s="102"/>
      <c r="E32" s="102"/>
      <c r="F32" s="102" t="s">
        <v>30</v>
      </c>
      <c r="G32" s="102"/>
      <c r="H32" s="102"/>
    </row>
    <row r="33" spans="1:11" s="18" customFormat="1" ht="33.75" customHeight="1" x14ac:dyDescent="0.35">
      <c r="A33" s="94" t="s">
        <v>25</v>
      </c>
      <c r="B33" s="94" t="s">
        <v>29</v>
      </c>
      <c r="C33" s="104" t="s">
        <v>246</v>
      </c>
      <c r="D33" s="104"/>
      <c r="E33" s="104"/>
      <c r="F33" s="105" t="s">
        <v>245</v>
      </c>
      <c r="G33" s="105"/>
      <c r="H33" s="105"/>
      <c r="I33" s="45"/>
      <c r="J33" s="45"/>
      <c r="K33" s="45"/>
    </row>
    <row r="34" spans="1:11" x14ac:dyDescent="0.35">
      <c r="A34" s="100" t="s">
        <v>26</v>
      </c>
      <c r="B34" s="100" t="s">
        <v>29</v>
      </c>
      <c r="C34" s="101" t="s">
        <v>247</v>
      </c>
      <c r="D34" s="101"/>
      <c r="E34" s="101"/>
      <c r="F34" s="106" t="s">
        <v>248</v>
      </c>
      <c r="G34" s="106"/>
      <c r="H34" s="106"/>
      <c r="I34" s="46"/>
      <c r="J34" s="46"/>
      <c r="K34" s="46"/>
    </row>
    <row r="35" spans="1:11" s="18" customFormat="1" x14ac:dyDescent="0.35">
      <c r="A35" s="100" t="s">
        <v>28</v>
      </c>
      <c r="B35" s="100" t="s">
        <v>29</v>
      </c>
      <c r="C35" s="101" t="s">
        <v>249</v>
      </c>
      <c r="D35" s="101"/>
      <c r="E35" s="101"/>
      <c r="F35" s="122" t="s">
        <v>248</v>
      </c>
      <c r="G35" s="122"/>
      <c r="H35" s="122"/>
      <c r="I35" s="46"/>
      <c r="J35" s="46"/>
      <c r="K35" s="46"/>
    </row>
    <row r="36" spans="1:11" x14ac:dyDescent="0.35">
      <c r="A36" s="94" t="s">
        <v>27</v>
      </c>
      <c r="B36" s="94" t="s">
        <v>29</v>
      </c>
      <c r="C36" s="94" t="s">
        <v>250</v>
      </c>
      <c r="D36" s="94"/>
      <c r="E36" s="94"/>
      <c r="F36" s="123" t="s">
        <v>251</v>
      </c>
      <c r="G36" s="123"/>
      <c r="H36" s="123"/>
      <c r="I36" s="46"/>
      <c r="J36" s="46"/>
      <c r="K36" s="46"/>
    </row>
    <row r="37" spans="1:11" x14ac:dyDescent="0.35">
      <c r="A37" s="71" t="s">
        <v>31</v>
      </c>
      <c r="B37" s="71"/>
      <c r="C37" s="71"/>
      <c r="D37" s="71"/>
      <c r="E37" s="71"/>
      <c r="F37" s="71"/>
      <c r="G37" s="71"/>
      <c r="H37" s="71"/>
    </row>
    <row r="38" spans="1:11" ht="15.75" customHeight="1" x14ac:dyDescent="0.35">
      <c r="A38" s="71" t="s">
        <v>164</v>
      </c>
      <c r="B38" s="71"/>
      <c r="C38" s="85" t="s">
        <v>239</v>
      </c>
      <c r="D38" s="85"/>
      <c r="E38" s="85"/>
      <c r="F38" s="85"/>
      <c r="G38" s="85"/>
      <c r="H38" s="85"/>
    </row>
    <row r="39" spans="1:11" x14ac:dyDescent="0.35">
      <c r="A39" s="71" t="s">
        <v>160</v>
      </c>
      <c r="B39" s="71"/>
      <c r="C39" s="80" t="s">
        <v>240</v>
      </c>
      <c r="D39" s="78"/>
      <c r="E39" s="78"/>
      <c r="F39" s="78"/>
      <c r="G39" s="78"/>
      <c r="H39" s="78"/>
    </row>
    <row r="40" spans="1:11" x14ac:dyDescent="0.35">
      <c r="A40" s="85" t="s">
        <v>34</v>
      </c>
      <c r="B40" s="85"/>
      <c r="C40" s="85"/>
      <c r="D40" s="85"/>
      <c r="E40" s="85"/>
      <c r="F40" s="85"/>
      <c r="G40" s="85"/>
      <c r="H40" s="85"/>
    </row>
    <row r="41" spans="1:11" x14ac:dyDescent="0.35">
      <c r="A41" s="71" t="s">
        <v>35</v>
      </c>
      <c r="B41" s="71"/>
      <c r="C41" s="71"/>
      <c r="D41" s="71"/>
      <c r="E41" s="95">
        <v>7298</v>
      </c>
      <c r="F41" s="95"/>
      <c r="G41" s="95"/>
      <c r="H41" s="95"/>
    </row>
    <row r="42" spans="1:11" x14ac:dyDescent="0.35">
      <c r="A42" s="71" t="s">
        <v>36</v>
      </c>
      <c r="B42" s="71"/>
      <c r="C42" s="71"/>
      <c r="D42" s="71"/>
      <c r="E42" s="97">
        <v>1.1000000000000001</v>
      </c>
      <c r="F42" s="97"/>
      <c r="G42" s="97"/>
      <c r="H42" s="97"/>
    </row>
    <row r="43" spans="1:11" x14ac:dyDescent="0.35">
      <c r="A43" s="71" t="s">
        <v>37</v>
      </c>
      <c r="B43" s="71"/>
      <c r="C43" s="71"/>
      <c r="D43" s="71"/>
      <c r="E43" s="97">
        <f>E45/E41-E42</f>
        <v>1.1438887366401751</v>
      </c>
      <c r="F43" s="97"/>
      <c r="G43" s="97"/>
      <c r="H43" s="97"/>
    </row>
    <row r="44" spans="1:11" x14ac:dyDescent="0.35">
      <c r="A44" s="71" t="s">
        <v>38</v>
      </c>
      <c r="B44" s="71"/>
      <c r="C44" s="71"/>
      <c r="D44" s="71"/>
      <c r="E44" s="97">
        <f>E42+E43</f>
        <v>2.2438887366401752</v>
      </c>
      <c r="F44" s="97"/>
      <c r="G44" s="97"/>
      <c r="H44" s="97"/>
    </row>
    <row r="45" spans="1:11" x14ac:dyDescent="0.35">
      <c r="A45" s="71" t="s">
        <v>89</v>
      </c>
      <c r="B45" s="71"/>
      <c r="C45" s="71"/>
      <c r="D45" s="71"/>
      <c r="E45" s="98">
        <v>16375.9</v>
      </c>
      <c r="F45" s="98"/>
      <c r="G45" s="98"/>
      <c r="H45" s="98"/>
    </row>
    <row r="46" spans="1:11" x14ac:dyDescent="0.35">
      <c r="A46" s="65" t="s">
        <v>39</v>
      </c>
      <c r="B46" s="65"/>
      <c r="C46" s="65"/>
      <c r="D46" s="65"/>
      <c r="E46" s="79" t="s">
        <v>119</v>
      </c>
      <c r="F46" s="79"/>
      <c r="G46" s="79"/>
      <c r="H46" s="79"/>
    </row>
    <row r="47" spans="1:11" x14ac:dyDescent="0.35">
      <c r="A47" s="85" t="s">
        <v>40</v>
      </c>
      <c r="B47" s="85"/>
      <c r="C47" s="85"/>
      <c r="D47" s="85"/>
      <c r="E47" s="85"/>
      <c r="F47" s="85"/>
      <c r="G47" s="85"/>
      <c r="H47" s="85"/>
    </row>
    <row r="48" spans="1:11" ht="33.75" customHeight="1" x14ac:dyDescent="0.35">
      <c r="A48" s="66" t="s">
        <v>149</v>
      </c>
      <c r="B48" s="66"/>
      <c r="C48" s="82" t="s">
        <v>252</v>
      </c>
      <c r="D48" s="83"/>
      <c r="E48" s="83"/>
      <c r="F48" s="83"/>
      <c r="G48" s="83"/>
      <c r="H48" s="83"/>
    </row>
    <row r="49" spans="1:14" ht="15.75" customHeight="1" x14ac:dyDescent="0.35">
      <c r="A49" s="66" t="s">
        <v>41</v>
      </c>
      <c r="B49" s="66"/>
      <c r="C49" s="66" t="s">
        <v>253</v>
      </c>
      <c r="D49" s="66"/>
      <c r="E49" s="66"/>
      <c r="F49" s="15" t="s">
        <v>42</v>
      </c>
      <c r="G49" s="99">
        <v>44649</v>
      </c>
      <c r="H49" s="66"/>
    </row>
    <row r="50" spans="1:14" x14ac:dyDescent="0.35">
      <c r="A50" s="66" t="s">
        <v>43</v>
      </c>
      <c r="B50" s="66"/>
      <c r="C50" s="66" t="str">
        <f>C49</f>
        <v>KBNP/NRV/BDH/2644-232</v>
      </c>
      <c r="D50" s="66"/>
      <c r="E50" s="66"/>
      <c r="F50" s="15" t="s">
        <v>42</v>
      </c>
      <c r="G50" s="99">
        <f>G49</f>
        <v>44649</v>
      </c>
      <c r="H50" s="66"/>
    </row>
    <row r="51" spans="1:14" s="19" customFormat="1" ht="32.25" customHeight="1" x14ac:dyDescent="0.35">
      <c r="A51" s="66" t="s">
        <v>254</v>
      </c>
      <c r="B51" s="66"/>
      <c r="C51" s="66" t="s">
        <v>269</v>
      </c>
      <c r="D51" s="71"/>
      <c r="E51" s="71"/>
      <c r="F51" s="15" t="s">
        <v>42</v>
      </c>
      <c r="G51" s="99">
        <f>G50</f>
        <v>44649</v>
      </c>
      <c r="H51" s="66"/>
    </row>
    <row r="52" spans="1:14" s="19" customFormat="1" x14ac:dyDescent="0.35">
      <c r="A52" s="66"/>
      <c r="B52" s="66"/>
      <c r="C52" s="66" t="s">
        <v>258</v>
      </c>
      <c r="D52" s="66"/>
      <c r="E52" s="66"/>
      <c r="F52" s="66"/>
      <c r="G52" s="66"/>
      <c r="H52" s="66"/>
    </row>
    <row r="53" spans="1:14" x14ac:dyDescent="0.35">
      <c r="A53" s="112" t="s">
        <v>44</v>
      </c>
      <c r="B53" s="112"/>
      <c r="C53" s="112" t="s">
        <v>103</v>
      </c>
      <c r="D53" s="112"/>
      <c r="E53" s="112"/>
      <c r="F53" s="53" t="s">
        <v>42</v>
      </c>
      <c r="G53" s="85" t="s">
        <v>29</v>
      </c>
      <c r="H53" s="85"/>
    </row>
    <row r="54" spans="1:14" x14ac:dyDescent="0.35">
      <c r="A54" s="89" t="s">
        <v>46</v>
      </c>
      <c r="B54" s="89"/>
      <c r="C54" s="89"/>
      <c r="D54" s="89"/>
      <c r="E54" s="89"/>
      <c r="F54" s="89"/>
      <c r="G54" s="89"/>
      <c r="H54" s="89"/>
    </row>
    <row r="55" spans="1:14" x14ac:dyDescent="0.35">
      <c r="A55" s="66" t="s">
        <v>255</v>
      </c>
      <c r="B55" s="66"/>
      <c r="C55" s="66"/>
      <c r="D55" s="71">
        <v>6134.46</v>
      </c>
      <c r="E55" s="71"/>
      <c r="F55" s="71"/>
      <c r="G55" s="71"/>
      <c r="H55" s="71"/>
    </row>
    <row r="56" spans="1:14" x14ac:dyDescent="0.35">
      <c r="A56" s="78" t="s">
        <v>47</v>
      </c>
      <c r="B56" s="65"/>
      <c r="C56" s="65"/>
      <c r="D56" s="79" t="s">
        <v>268</v>
      </c>
      <c r="E56" s="79"/>
      <c r="F56" s="79"/>
      <c r="G56" s="79"/>
      <c r="H56" s="79"/>
      <c r="I56" s="20"/>
    </row>
    <row r="57" spans="1:14" x14ac:dyDescent="0.35">
      <c r="A57" s="78" t="s">
        <v>48</v>
      </c>
      <c r="B57" s="78"/>
      <c r="C57" s="78"/>
      <c r="D57" s="107" t="s">
        <v>258</v>
      </c>
      <c r="E57" s="79"/>
      <c r="F57" s="79"/>
      <c r="G57" s="79"/>
      <c r="H57" s="79"/>
    </row>
    <row r="58" spans="1:14" ht="15.75" customHeight="1" x14ac:dyDescent="0.35">
      <c r="A58" s="78" t="s">
        <v>87</v>
      </c>
      <c r="B58" s="78"/>
      <c r="C58" s="78"/>
      <c r="D58" s="79" t="s">
        <v>258</v>
      </c>
      <c r="E58" s="79"/>
      <c r="F58" s="79"/>
      <c r="G58" s="79"/>
      <c r="H58" s="79"/>
    </row>
    <row r="59" spans="1:14" ht="15.75" customHeight="1" x14ac:dyDescent="0.35">
      <c r="A59" s="71" t="s">
        <v>45</v>
      </c>
      <c r="B59" s="71"/>
      <c r="C59" s="71"/>
      <c r="D59" s="66" t="s">
        <v>256</v>
      </c>
      <c r="E59" s="66"/>
      <c r="F59" s="66"/>
      <c r="G59" s="66"/>
      <c r="H59" s="66"/>
      <c r="J59" s="21"/>
      <c r="K59" s="20"/>
      <c r="N59" s="20"/>
    </row>
    <row r="60" spans="1:14" ht="15.75" customHeight="1" x14ac:dyDescent="0.35">
      <c r="A60" s="71" t="s">
        <v>85</v>
      </c>
      <c r="B60" s="71"/>
      <c r="C60" s="71"/>
      <c r="D60" s="96" t="str">
        <f>(IF(G53="NA","60 Years After Completion",IF(G53&lt;&gt;"NA",""&amp;60-ROUNDDOWN((E3-G53)/360,0)&amp;" Years"," ")))</f>
        <v>60 Years After Completion</v>
      </c>
      <c r="E60" s="96"/>
      <c r="F60" s="96"/>
      <c r="G60" s="96"/>
      <c r="H60" s="96"/>
      <c r="N60" s="20"/>
    </row>
    <row r="61" spans="1:14" ht="15.75" customHeight="1" x14ac:dyDescent="0.35">
      <c r="A61" s="71" t="s">
        <v>86</v>
      </c>
      <c r="B61" s="71"/>
      <c r="C61" s="71"/>
      <c r="D61" s="66" t="s">
        <v>24</v>
      </c>
      <c r="E61" s="66"/>
      <c r="F61" s="66"/>
      <c r="G61" s="66"/>
      <c r="H61" s="66"/>
      <c r="J61" s="22"/>
      <c r="K61" s="22"/>
    </row>
    <row r="62" spans="1:14" ht="49.5" customHeight="1" x14ac:dyDescent="0.35">
      <c r="A62" s="79" t="s">
        <v>257</v>
      </c>
      <c r="B62" s="79"/>
      <c r="C62" s="79"/>
      <c r="D62" s="78" t="s">
        <v>264</v>
      </c>
      <c r="E62" s="66"/>
      <c r="F62" s="66"/>
      <c r="G62" s="66"/>
      <c r="H62" s="66"/>
      <c r="I62" s="57"/>
      <c r="J62" s="48"/>
      <c r="K62" s="48"/>
      <c r="L62" s="48"/>
      <c r="M62" s="48"/>
      <c r="N62" s="48"/>
    </row>
    <row r="63" spans="1:14" x14ac:dyDescent="0.35">
      <c r="A63" s="66" t="s">
        <v>146</v>
      </c>
      <c r="B63" s="66"/>
      <c r="C63" s="66"/>
      <c r="D63" s="66" t="s">
        <v>29</v>
      </c>
      <c r="E63" s="66"/>
      <c r="F63" s="66"/>
      <c r="G63" s="66"/>
      <c r="H63" s="66"/>
      <c r="I63" s="23"/>
      <c r="J63" s="23"/>
      <c r="K63" s="23"/>
      <c r="L63" s="23"/>
      <c r="M63" s="23"/>
      <c r="N63" s="23"/>
    </row>
    <row r="64" spans="1:14" ht="15.75" customHeight="1" x14ac:dyDescent="0.35">
      <c r="A64" s="71" t="s">
        <v>84</v>
      </c>
      <c r="B64" s="71"/>
      <c r="C64" s="71"/>
      <c r="D64" s="78" t="str">
        <f ca="1">(IF(G70&gt;95%,"Nothing",IF(G70&gt;0%,"Cement, Aggregate, Steel, etc",IF(G70=0%,"Work not yet Started"))))</f>
        <v>Cement, Aggregate, Steel, etc</v>
      </c>
      <c r="E64" s="78"/>
      <c r="F64" s="78"/>
      <c r="G64" s="78"/>
      <c r="H64" s="78"/>
      <c r="J64" s="22"/>
    </row>
    <row r="65" spans="1:10" ht="33.75" customHeight="1" thickBot="1" x14ac:dyDescent="0.4">
      <c r="A65" s="66" t="s">
        <v>116</v>
      </c>
      <c r="B65" s="66"/>
      <c r="C65" s="66"/>
      <c r="D65" s="78" t="str">
        <f ca="1">(IF(D64="Nothing","Yes",IF(D64="Cement, Aggregate, Steel, etc","Under Construction",IF(D64="Work not yet Started","Work not yet Started"))))</f>
        <v>Under Construction</v>
      </c>
      <c r="E65" s="78"/>
      <c r="F65" s="78" t="str">
        <f ca="1">(IF(D64="Nothing","Yes",IF(D64="Cement, Aggregate, Steel, etc","Under Construction",IF(D64="Work not yet Started","Work not yet Started"))))</f>
        <v>Under Construction</v>
      </c>
      <c r="G65" s="78"/>
      <c r="H65" s="78"/>
    </row>
    <row r="66" spans="1:10" ht="15.75" customHeight="1" x14ac:dyDescent="0.35">
      <c r="A66" s="112" t="s">
        <v>138</v>
      </c>
      <c r="B66" s="112"/>
      <c r="C66" s="112" t="str">
        <f>D58</f>
        <v>Wing C = Stilt + 1st to 13th Floor</v>
      </c>
      <c r="D66" s="112"/>
      <c r="E66" s="112"/>
      <c r="F66" s="112"/>
      <c r="G66" s="112"/>
      <c r="H66" s="112"/>
      <c r="I66" s="58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12 Floor, External Plaster upto 10 Floor, Flooring upto 3 Floor Completed</v>
      </c>
      <c r="J66" s="3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12 Floor, External Plaster upto 10 Floor, Flooring upto 3 Floor</v>
      </c>
    </row>
    <row r="67" spans="1:10" x14ac:dyDescent="0.35">
      <c r="A67" s="41" t="s">
        <v>140</v>
      </c>
      <c r="B67" s="41">
        <f>IF(AND(ISNUMBER(SEARCH("1B",C66))),1,IF(AND(ISNUMBER(SEARCH("2B",C66))),2,IF(AND(ISNUMBER(SEARCH("3B",C66))),3,IF(AND(ISNUMBER(SEARCH("4B",C66))),4,IF(ISNUMBER(SEARCH("5B",C66)),5,0)))))</f>
        <v>0</v>
      </c>
      <c r="C67" s="41" t="s">
        <v>71</v>
      </c>
      <c r="D67" s="41">
        <v>1</v>
      </c>
      <c r="E67" s="41" t="s">
        <v>70</v>
      </c>
      <c r="F67" s="47">
        <v>0</v>
      </c>
      <c r="G67" s="38" t="s">
        <v>78</v>
      </c>
      <c r="H67" s="41">
        <f ca="1">--TRIM(RIGHT(SUBSTITUTE(LEFT(C66,_xlfn.AGGREGATE(16,6,FIND({0,1,2,3,4,5,6,7,8,9},C66,ROW(INDIRECT("1:"&amp;LEN(C66)))),1))," ",REPT(" ",LEN(C66))),LEN(C66)))</f>
        <v>13</v>
      </c>
      <c r="I67" s="5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40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2.5" customHeight="1" x14ac:dyDescent="0.35">
      <c r="A68" s="110" t="s">
        <v>88</v>
      </c>
      <c r="B68" s="110"/>
      <c r="C68" s="113" t="str">
        <f ca="1">I66</f>
        <v>Excavation, Plinth, RCC Slab, Brickwork Completed, Internal Plaster upto 12 Floor, External Plaster upto 10 Floor, Flooring upto 3 Floor Completed</v>
      </c>
      <c r="D68" s="113"/>
      <c r="E68" s="113"/>
      <c r="F68" s="113"/>
      <c r="G68" s="113"/>
      <c r="H68" s="113"/>
      <c r="I68" s="59" t="str">
        <f ca="1">IF(I67&lt;&gt;""," Completed","")</f>
        <v xml:space="preserve"> Completed</v>
      </c>
      <c r="J68" s="40" t="str">
        <f ca="1">IF(J66&lt;&gt;"","Completed","")</f>
        <v>Completed</v>
      </c>
    </row>
    <row r="69" spans="1:10" ht="15.75" customHeight="1" x14ac:dyDescent="0.35">
      <c r="A69" s="75" t="s">
        <v>49</v>
      </c>
      <c r="B69" s="75"/>
      <c r="C69" s="51" t="s">
        <v>137</v>
      </c>
      <c r="D69" s="51" t="s">
        <v>81</v>
      </c>
      <c r="E69" s="75" t="s">
        <v>83</v>
      </c>
      <c r="F69" s="75"/>
      <c r="G69" s="75" t="s">
        <v>82</v>
      </c>
      <c r="H69" s="75"/>
      <c r="I69" s="13" t="s">
        <v>139</v>
      </c>
      <c r="J69" s="24">
        <f ca="1">H67*25%</f>
        <v>3.25</v>
      </c>
    </row>
    <row r="70" spans="1:10" x14ac:dyDescent="0.35">
      <c r="A70" s="75" t="s">
        <v>126</v>
      </c>
      <c r="B70" s="75"/>
      <c r="C70" s="51">
        <f ca="1">J71</f>
        <v>13</v>
      </c>
      <c r="D70" s="16">
        <f ca="1">((100/H67)*C70)/100</f>
        <v>1</v>
      </c>
      <c r="E70" s="93">
        <f ca="1">(((C71/H67*10)+(40/(D67+F67+H67)*C72)+(7.5/(H67)*C73)+(7.5/(H67)*C74)+(10/H67*C75)+(10/H67*C76)+(5/H67*C77)+(5/H67*C78)+(5/H67*C79))/100)</f>
        <v>0.74423076923076925</v>
      </c>
      <c r="F70" s="93"/>
      <c r="G70" s="93">
        <f ca="1">((((C70/H67)*20)+((C71/H67)*25)+(30/(H67+F67+D67)*C72)+(5/H67*C73)+(5/H67*C74)+(5/H67*C75)+(5/H67*C76)+(0/H67*C77)+(0/H67*C78)+(5/H67*C79))/100)</f>
        <v>0.89615384615384608</v>
      </c>
      <c r="H70" s="93"/>
      <c r="I70" s="13" t="s">
        <v>98</v>
      </c>
      <c r="J70" s="25">
        <f ca="1">H67*50%</f>
        <v>6.5</v>
      </c>
    </row>
    <row r="71" spans="1:10" x14ac:dyDescent="0.35">
      <c r="A71" s="75" t="s">
        <v>50</v>
      </c>
      <c r="B71" s="75"/>
      <c r="C71" s="51">
        <f ca="1">J79</f>
        <v>13</v>
      </c>
      <c r="D71" s="16">
        <f ca="1">((100/H67)*C71)/100</f>
        <v>1</v>
      </c>
      <c r="E71" s="93"/>
      <c r="F71" s="93"/>
      <c r="G71" s="93"/>
      <c r="H71" s="93"/>
      <c r="I71" s="13" t="s">
        <v>99</v>
      </c>
      <c r="J71" s="25">
        <f ca="1">H67</f>
        <v>13</v>
      </c>
    </row>
    <row r="72" spans="1:10" ht="15.75" customHeight="1" x14ac:dyDescent="0.35">
      <c r="A72" s="75" t="s">
        <v>127</v>
      </c>
      <c r="B72" s="75"/>
      <c r="C72" s="63">
        <v>14</v>
      </c>
      <c r="D72" s="16">
        <f ca="1">((100/(D67+F67+H67))*C72)/100</f>
        <v>1</v>
      </c>
      <c r="E72" s="93"/>
      <c r="F72" s="93"/>
      <c r="G72" s="93"/>
      <c r="H72" s="93"/>
      <c r="I72" s="13" t="s">
        <v>100</v>
      </c>
      <c r="J72" s="26">
        <f ca="1">(IF(B67&gt;1,(H67/(B67+2)),H67/4))</f>
        <v>3.25</v>
      </c>
    </row>
    <row r="73" spans="1:10" ht="15.75" customHeight="1" x14ac:dyDescent="0.35">
      <c r="A73" s="75" t="s">
        <v>134</v>
      </c>
      <c r="B73" s="75" t="s">
        <v>128</v>
      </c>
      <c r="C73" s="51">
        <v>13</v>
      </c>
      <c r="D73" s="16">
        <f ca="1">((100/H67)*C73)/100</f>
        <v>1</v>
      </c>
      <c r="E73" s="93"/>
      <c r="F73" s="93"/>
      <c r="G73" s="93"/>
      <c r="H73" s="93"/>
      <c r="I73" s="13" t="s">
        <v>101</v>
      </c>
      <c r="J73" s="26">
        <f ca="1">(IF(B67&gt;1,(H67/(B67+2)+J72),H67/4+J72))</f>
        <v>6.5</v>
      </c>
    </row>
    <row r="74" spans="1:10" ht="15.75" customHeight="1" x14ac:dyDescent="0.35">
      <c r="A74" s="75" t="s">
        <v>135</v>
      </c>
      <c r="B74" s="75" t="s">
        <v>128</v>
      </c>
      <c r="C74" s="51">
        <v>12</v>
      </c>
      <c r="D74" s="16">
        <f ca="1">((100/H67)*C74)/100</f>
        <v>0.92307692307692302</v>
      </c>
      <c r="E74" s="93"/>
      <c r="F74" s="93"/>
      <c r="G74" s="93"/>
      <c r="H74" s="93"/>
      <c r="I74" s="13" t="s">
        <v>144</v>
      </c>
      <c r="J74" s="26">
        <f>(IF(B67&gt;1,(H67/(B67+2)+J73),0))</f>
        <v>0</v>
      </c>
    </row>
    <row r="75" spans="1:10" ht="15" customHeight="1" x14ac:dyDescent="0.35">
      <c r="A75" s="75" t="s">
        <v>133</v>
      </c>
      <c r="B75" s="75" t="s">
        <v>130</v>
      </c>
      <c r="C75" s="51">
        <v>10</v>
      </c>
      <c r="D75" s="16">
        <f ca="1">((100/(H67))*C75)/100</f>
        <v>0.76923076923076916</v>
      </c>
      <c r="E75" s="93"/>
      <c r="F75" s="93"/>
      <c r="G75" s="93"/>
      <c r="H75" s="93"/>
      <c r="I75" s="13" t="s">
        <v>141</v>
      </c>
      <c r="J75" s="26">
        <f>(IF(B67&gt;2,(H67/(B67+2)+J74),0))</f>
        <v>0</v>
      </c>
    </row>
    <row r="76" spans="1:10" ht="15.75" customHeight="1" x14ac:dyDescent="0.35">
      <c r="A76" s="75" t="s">
        <v>129</v>
      </c>
      <c r="B76" s="75" t="s">
        <v>129</v>
      </c>
      <c r="C76" s="51">
        <v>3</v>
      </c>
      <c r="D76" s="16">
        <f ca="1">((100/H67)*C76)/100</f>
        <v>0.23076923076923075</v>
      </c>
      <c r="E76" s="93"/>
      <c r="F76" s="93"/>
      <c r="G76" s="93"/>
      <c r="H76" s="93"/>
      <c r="I76" s="13" t="s">
        <v>142</v>
      </c>
      <c r="J76" s="27">
        <f>(IF(B67&gt;3,(H67/(B67+2)+J75),0))</f>
        <v>0</v>
      </c>
    </row>
    <row r="77" spans="1:10" ht="15.75" customHeight="1" x14ac:dyDescent="0.35">
      <c r="A77" s="75" t="s">
        <v>136</v>
      </c>
      <c r="B77" s="75"/>
      <c r="C77" s="51">
        <v>0</v>
      </c>
      <c r="D77" s="16">
        <f ca="1">((100/H67)*C77)/100</f>
        <v>0</v>
      </c>
      <c r="E77" s="93"/>
      <c r="F77" s="93"/>
      <c r="G77" s="93"/>
      <c r="H77" s="93"/>
      <c r="I77" s="13" t="s">
        <v>143</v>
      </c>
      <c r="J77" s="26">
        <f>(IF(B67&gt;4,(H67/(B67+2)+J76),0))</f>
        <v>0</v>
      </c>
    </row>
    <row r="78" spans="1:10" ht="15.75" customHeight="1" x14ac:dyDescent="0.35">
      <c r="A78" s="75" t="s">
        <v>131</v>
      </c>
      <c r="B78" s="75" t="s">
        <v>131</v>
      </c>
      <c r="C78" s="51">
        <v>0</v>
      </c>
      <c r="D78" s="16">
        <f ca="1">((100/(H67))*C78)/100</f>
        <v>0</v>
      </c>
      <c r="E78" s="93"/>
      <c r="F78" s="93"/>
      <c r="G78" s="93"/>
      <c r="H78" s="93"/>
      <c r="I78" s="13" t="s">
        <v>145</v>
      </c>
      <c r="J78" s="26">
        <f ca="1">(IF(B67=1,(H67/(B67+3)+J73),IF(B67=0,(H67/4+J73),IF(B67&gt;1,0))))</f>
        <v>9.75</v>
      </c>
    </row>
    <row r="79" spans="1:10" ht="16" thickBot="1" x14ac:dyDescent="0.4">
      <c r="A79" s="75" t="s">
        <v>132</v>
      </c>
      <c r="B79" s="75"/>
      <c r="C79" s="51">
        <v>0</v>
      </c>
      <c r="D79" s="16">
        <f ca="1">((100/(H67))*C79)/100</f>
        <v>0</v>
      </c>
      <c r="E79" s="93"/>
      <c r="F79" s="93"/>
      <c r="G79" s="93"/>
      <c r="H79" s="93"/>
      <c r="I79" s="14" t="s">
        <v>102</v>
      </c>
      <c r="J79" s="28">
        <f ca="1">(IF(B67&gt;1.5,(H67/(B67+2)+J73+MAX(0,J74-J73)+MAX(0,J75-J74)+MAX(0,J76-J75)+MAX(0,J77-J76)+MAX(0,J78-J77)),IF(B67=1,(H67/(B67+3)+J78),IF(B67=0,H67/4+J78))))</f>
        <v>13</v>
      </c>
    </row>
    <row r="80" spans="1:10" x14ac:dyDescent="0.35">
      <c r="A80" s="85" t="s">
        <v>154</v>
      </c>
      <c r="B80" s="85"/>
      <c r="C80" s="85"/>
      <c r="D80" s="85"/>
      <c r="E80" s="85"/>
      <c r="F80" s="76" t="s">
        <v>158</v>
      </c>
      <c r="G80" s="76"/>
      <c r="H80" s="76"/>
    </row>
    <row r="81" spans="1:11" x14ac:dyDescent="0.35">
      <c r="A81" s="71" t="s">
        <v>156</v>
      </c>
      <c r="B81" s="71"/>
      <c r="C81" s="71"/>
      <c r="D81" s="71"/>
      <c r="E81" s="71"/>
      <c r="F81" s="77">
        <v>4600</v>
      </c>
      <c r="G81" s="77"/>
      <c r="H81" s="77"/>
      <c r="I81" s="17" t="s">
        <v>272</v>
      </c>
      <c r="J81" s="21">
        <v>45280</v>
      </c>
      <c r="K81" s="17" t="s">
        <v>273</v>
      </c>
    </row>
    <row r="82" spans="1:11" hidden="1" x14ac:dyDescent="0.35">
      <c r="A82" s="71" t="s">
        <v>155</v>
      </c>
      <c r="B82" s="71"/>
      <c r="C82" s="71"/>
      <c r="D82" s="71"/>
      <c r="E82" s="71"/>
      <c r="F82" s="77"/>
      <c r="G82" s="77"/>
      <c r="H82" s="77"/>
    </row>
    <row r="83" spans="1:11" hidden="1" x14ac:dyDescent="0.35">
      <c r="A83" s="71" t="s">
        <v>157</v>
      </c>
      <c r="B83" s="71"/>
      <c r="C83" s="71"/>
      <c r="D83" s="71"/>
      <c r="E83" s="71"/>
      <c r="F83" s="77"/>
      <c r="G83" s="77"/>
      <c r="H83" s="77"/>
    </row>
    <row r="84" spans="1:11" s="29" customFormat="1" hidden="1" x14ac:dyDescent="0.3">
      <c r="A84" s="71" t="s">
        <v>172</v>
      </c>
      <c r="B84" s="71"/>
      <c r="C84" s="71"/>
      <c r="D84" s="71"/>
      <c r="E84" s="71"/>
      <c r="F84" s="77"/>
      <c r="G84" s="77"/>
      <c r="H84" s="77"/>
    </row>
    <row r="85" spans="1:11" s="29" customFormat="1" x14ac:dyDescent="0.3">
      <c r="A85" s="71" t="s">
        <v>92</v>
      </c>
      <c r="B85" s="71"/>
      <c r="C85" s="71"/>
      <c r="D85" s="71"/>
      <c r="E85" s="71"/>
      <c r="F85" s="77">
        <v>250000</v>
      </c>
      <c r="G85" s="77"/>
      <c r="H85" s="77"/>
      <c r="J85" s="29" t="s">
        <v>277</v>
      </c>
    </row>
    <row r="86" spans="1:11" s="29" customFormat="1" hidden="1" x14ac:dyDescent="0.3">
      <c r="A86" s="71" t="s">
        <v>93</v>
      </c>
      <c r="B86" s="71"/>
      <c r="C86" s="71"/>
      <c r="D86" s="71"/>
      <c r="E86" s="71"/>
      <c r="F86" s="77"/>
      <c r="G86" s="77"/>
      <c r="H86" s="77"/>
    </row>
    <row r="87" spans="1:11" s="29" customFormat="1" hidden="1" x14ac:dyDescent="0.3">
      <c r="A87" s="71" t="s">
        <v>159</v>
      </c>
      <c r="B87" s="71"/>
      <c r="C87" s="71"/>
      <c r="D87" s="71"/>
      <c r="E87" s="71"/>
      <c r="F87" s="77"/>
      <c r="G87" s="77"/>
      <c r="H87" s="77"/>
    </row>
    <row r="88" spans="1:11" s="29" customFormat="1" hidden="1" x14ac:dyDescent="0.3">
      <c r="A88" s="71" t="s">
        <v>94</v>
      </c>
      <c r="B88" s="71"/>
      <c r="C88" s="71"/>
      <c r="D88" s="71"/>
      <c r="E88" s="71"/>
      <c r="F88" s="77"/>
      <c r="G88" s="77"/>
      <c r="H88" s="77"/>
    </row>
    <row r="89" spans="1:11" s="29" customFormat="1" hidden="1" x14ac:dyDescent="0.3">
      <c r="A89" s="71" t="s">
        <v>95</v>
      </c>
      <c r="B89" s="71"/>
      <c r="C89" s="71"/>
      <c r="D89" s="71"/>
      <c r="E89" s="71"/>
      <c r="F89" s="77"/>
      <c r="G89" s="77"/>
      <c r="H89" s="77"/>
    </row>
    <row r="90" spans="1:11" s="29" customFormat="1" hidden="1" x14ac:dyDescent="0.3">
      <c r="A90" s="71" t="s">
        <v>96</v>
      </c>
      <c r="B90" s="71"/>
      <c r="C90" s="71"/>
      <c r="D90" s="71"/>
      <c r="E90" s="71"/>
      <c r="F90" s="77"/>
      <c r="G90" s="77"/>
      <c r="H90" s="77"/>
    </row>
    <row r="91" spans="1:11" s="29" customFormat="1" hidden="1" x14ac:dyDescent="0.3">
      <c r="A91" s="71" t="s">
        <v>97</v>
      </c>
      <c r="B91" s="71"/>
      <c r="C91" s="71"/>
      <c r="D91" s="71"/>
      <c r="E91" s="71"/>
      <c r="F91" s="77"/>
      <c r="G91" s="77"/>
      <c r="H91" s="77"/>
    </row>
    <row r="92" spans="1:11" x14ac:dyDescent="0.35">
      <c r="A92" s="71" t="s">
        <v>51</v>
      </c>
      <c r="B92" s="71"/>
      <c r="C92" s="71"/>
      <c r="D92" s="71"/>
      <c r="E92" s="71"/>
      <c r="F92" s="77">
        <v>200000</v>
      </c>
      <c r="G92" s="77"/>
      <c r="H92" s="77"/>
    </row>
    <row r="93" spans="1:11" s="30" customFormat="1" x14ac:dyDescent="0.35">
      <c r="A93" s="85" t="s">
        <v>52</v>
      </c>
      <c r="B93" s="85"/>
      <c r="C93" s="85"/>
      <c r="D93" s="85"/>
      <c r="E93" s="85"/>
      <c r="F93" s="77">
        <f>F81*0.8</f>
        <v>3680</v>
      </c>
      <c r="G93" s="77"/>
      <c r="H93" s="77"/>
    </row>
    <row r="94" spans="1:11" s="31" customFormat="1" x14ac:dyDescent="0.35">
      <c r="A94" s="72" t="s">
        <v>267</v>
      </c>
      <c r="B94" s="72"/>
      <c r="C94" s="72"/>
      <c r="D94" s="72"/>
      <c r="E94" s="72"/>
      <c r="F94" s="72"/>
      <c r="G94" s="72"/>
      <c r="H94" s="72"/>
    </row>
    <row r="95" spans="1:11" s="31" customFormat="1" ht="15.75" customHeight="1" x14ac:dyDescent="0.35">
      <c r="A95" s="86" t="s">
        <v>53</v>
      </c>
      <c r="B95" s="86"/>
      <c r="C95" s="121" t="s">
        <v>76</v>
      </c>
      <c r="D95" s="121"/>
      <c r="E95" s="74" t="s">
        <v>54</v>
      </c>
      <c r="F95" s="74"/>
      <c r="G95" s="86" t="s">
        <v>55</v>
      </c>
      <c r="H95" s="86"/>
    </row>
    <row r="96" spans="1:11" s="31" customFormat="1" x14ac:dyDescent="0.35">
      <c r="A96" s="116" t="s">
        <v>233</v>
      </c>
      <c r="B96" s="116"/>
      <c r="C96" s="90">
        <f>COUNT(D114:D122)*11+COUNT(D124:D125,D127:D132)*2</f>
        <v>115</v>
      </c>
      <c r="D96" s="90"/>
      <c r="E96" s="91">
        <f>SUM(D114:D122)*11+SUM(D124:D132)*2</f>
        <v>54861.793740000001</v>
      </c>
      <c r="F96" s="91"/>
      <c r="G96" s="91">
        <f>SUM(F114:F122)*11+SUM(F124:F132)*2</f>
        <v>82292.690610000005</v>
      </c>
      <c r="H96" s="91"/>
    </row>
    <row r="97" spans="1:14" s="31" customFormat="1" hidden="1" x14ac:dyDescent="0.35">
      <c r="A97" s="72" t="s">
        <v>148</v>
      </c>
      <c r="B97" s="72"/>
      <c r="C97" s="120">
        <f>SUM(C96)</f>
        <v>115</v>
      </c>
      <c r="D97" s="121"/>
      <c r="E97" s="73">
        <f t="shared" ref="E97:G97" si="0">SUM(E96)</f>
        <v>54861.793740000001</v>
      </c>
      <c r="F97" s="74"/>
      <c r="G97" s="86">
        <f t="shared" si="0"/>
        <v>82292.690610000005</v>
      </c>
      <c r="H97" s="86"/>
    </row>
    <row r="98" spans="1:14" s="31" customFormat="1" hidden="1" x14ac:dyDescent="0.35">
      <c r="A98" s="72" t="s">
        <v>165</v>
      </c>
      <c r="B98" s="72"/>
      <c r="C98" s="120">
        <f>SUM(C97)</f>
        <v>115</v>
      </c>
      <c r="D98" s="121"/>
      <c r="E98" s="73">
        <f t="shared" ref="E98:G98" si="1">SUM(E97)</f>
        <v>54861.793740000001</v>
      </c>
      <c r="F98" s="74"/>
      <c r="G98" s="86">
        <f t="shared" si="1"/>
        <v>82292.690610000005</v>
      </c>
      <c r="H98" s="86"/>
    </row>
    <row r="99" spans="1:14" s="30" customFormat="1" x14ac:dyDescent="0.35">
      <c r="A99" s="76" t="s">
        <v>56</v>
      </c>
      <c r="B99" s="76"/>
      <c r="C99" s="76"/>
      <c r="D99" s="76"/>
      <c r="E99" s="76"/>
      <c r="F99" s="76"/>
      <c r="G99" s="76"/>
      <c r="H99" s="76"/>
    </row>
    <row r="100" spans="1:14" hidden="1" x14ac:dyDescent="0.35">
      <c r="A100" s="76" t="s">
        <v>266</v>
      </c>
      <c r="B100" s="76"/>
      <c r="C100" s="76"/>
      <c r="D100" s="76"/>
      <c r="E100" s="76"/>
      <c r="F100" s="76"/>
      <c r="G100" s="76"/>
      <c r="H100" s="76"/>
    </row>
    <row r="101" spans="1:14" ht="47.25" hidden="1" customHeight="1" x14ac:dyDescent="0.35">
      <c r="A101" s="84" t="s">
        <v>117</v>
      </c>
      <c r="B101" s="84" t="s">
        <v>173</v>
      </c>
      <c r="C101" s="84" t="s">
        <v>57</v>
      </c>
      <c r="D101" s="84" t="s">
        <v>58</v>
      </c>
      <c r="E101" s="92" t="s">
        <v>153</v>
      </c>
      <c r="F101" s="61" t="s">
        <v>147</v>
      </c>
      <c r="G101" s="84" t="s">
        <v>60</v>
      </c>
      <c r="H101" s="84"/>
    </row>
    <row r="102" spans="1:14" s="33" customFormat="1" hidden="1" x14ac:dyDescent="0.35">
      <c r="A102" s="84"/>
      <c r="B102" s="84"/>
      <c r="C102" s="84"/>
      <c r="D102" s="84"/>
      <c r="E102" s="92"/>
      <c r="F102" s="62">
        <v>0.5</v>
      </c>
      <c r="G102" s="84"/>
      <c r="H102" s="84"/>
    </row>
    <row r="103" spans="1:14" s="44" customFormat="1" hidden="1" x14ac:dyDescent="0.35">
      <c r="A103" s="67"/>
      <c r="B103" s="67"/>
      <c r="C103" s="67"/>
      <c r="D103" s="67"/>
      <c r="E103" s="67"/>
      <c r="F103" s="67"/>
      <c r="G103" s="67"/>
      <c r="H103" s="67"/>
      <c r="J103" s="32"/>
    </row>
    <row r="104" spans="1:14" s="33" customFormat="1" hidden="1" x14ac:dyDescent="0.35">
      <c r="A104" s="70">
        <v>1</v>
      </c>
      <c r="B104" s="70"/>
      <c r="C104" s="52"/>
      <c r="D104" s="52"/>
      <c r="E104" s="52">
        <v>0</v>
      </c>
      <c r="F104" s="52">
        <f>(D104+E104)*(($F$102)+1)</f>
        <v>0</v>
      </c>
      <c r="G104" s="70" t="e">
        <f>#REF!</f>
        <v>#REF!</v>
      </c>
      <c r="H104" s="70"/>
      <c r="I104" s="32"/>
      <c r="L104" s="87"/>
      <c r="M104" s="87"/>
      <c r="N104" s="32"/>
    </row>
    <row r="105" spans="1:14" s="33" customFormat="1" hidden="1" x14ac:dyDescent="0.35">
      <c r="A105" s="70">
        <f t="shared" ref="A105:A107" si="2">A104+1</f>
        <v>2</v>
      </c>
      <c r="B105" s="70"/>
      <c r="C105" s="52"/>
      <c r="D105" s="52"/>
      <c r="E105" s="52">
        <v>0</v>
      </c>
      <c r="F105" s="52">
        <f t="shared" ref="F105:F107" si="3">(D105+E105)*(($F$102)+1)</f>
        <v>0</v>
      </c>
      <c r="G105" s="70" t="e">
        <f t="shared" ref="G105:G107" si="4">G104</f>
        <v>#REF!</v>
      </c>
      <c r="H105" s="70"/>
      <c r="I105" s="32"/>
      <c r="L105" s="87"/>
      <c r="M105" s="87"/>
      <c r="N105" s="32"/>
    </row>
    <row r="106" spans="1:14" s="33" customFormat="1" hidden="1" x14ac:dyDescent="0.35">
      <c r="A106" s="70">
        <f t="shared" si="2"/>
        <v>3</v>
      </c>
      <c r="B106" s="70"/>
      <c r="C106" s="52"/>
      <c r="D106" s="52"/>
      <c r="E106" s="52">
        <v>0</v>
      </c>
      <c r="F106" s="52">
        <f t="shared" si="3"/>
        <v>0</v>
      </c>
      <c r="G106" s="70" t="e">
        <f t="shared" si="4"/>
        <v>#REF!</v>
      </c>
      <c r="H106" s="70"/>
      <c r="I106" s="32"/>
      <c r="L106" s="87"/>
      <c r="M106" s="87"/>
      <c r="N106" s="32"/>
    </row>
    <row r="107" spans="1:14" s="33" customFormat="1" hidden="1" x14ac:dyDescent="0.35">
      <c r="A107" s="70">
        <f t="shared" si="2"/>
        <v>4</v>
      </c>
      <c r="B107" s="70"/>
      <c r="C107" s="52"/>
      <c r="D107" s="52"/>
      <c r="E107" s="52">
        <v>0</v>
      </c>
      <c r="F107" s="52">
        <f t="shared" si="3"/>
        <v>0</v>
      </c>
      <c r="G107" s="70" t="e">
        <f t="shared" si="4"/>
        <v>#REF!</v>
      </c>
      <c r="H107" s="70"/>
      <c r="I107" s="32"/>
      <c r="L107" s="87"/>
      <c r="M107" s="87"/>
      <c r="N107" s="32"/>
    </row>
    <row r="108" spans="1:14" s="33" customFormat="1" hidden="1" x14ac:dyDescent="0.35">
      <c r="A108" s="70"/>
      <c r="B108" s="70"/>
      <c r="C108" s="70"/>
      <c r="D108" s="70"/>
      <c r="E108" s="70"/>
      <c r="F108" s="70"/>
      <c r="G108" s="70"/>
      <c r="H108" s="70"/>
      <c r="I108" s="60">
        <v>10.763999999999999</v>
      </c>
      <c r="N108" s="32"/>
    </row>
    <row r="109" spans="1:14" ht="47.25" customHeight="1" x14ac:dyDescent="0.35">
      <c r="A109" s="84" t="s">
        <v>118</v>
      </c>
      <c r="B109" s="84" t="s">
        <v>174</v>
      </c>
      <c r="C109" s="84" t="s">
        <v>57</v>
      </c>
      <c r="D109" s="84" t="s">
        <v>58</v>
      </c>
      <c r="E109" s="92" t="s">
        <v>59</v>
      </c>
      <c r="F109" s="61" t="s">
        <v>147</v>
      </c>
      <c r="G109" s="84" t="s">
        <v>60</v>
      </c>
      <c r="H109" s="84"/>
      <c r="I109" s="32"/>
    </row>
    <row r="110" spans="1:14" s="33" customFormat="1" x14ac:dyDescent="0.35">
      <c r="A110" s="84"/>
      <c r="B110" s="84"/>
      <c r="C110" s="84"/>
      <c r="D110" s="84"/>
      <c r="E110" s="92"/>
      <c r="F110" s="62">
        <v>0.5</v>
      </c>
      <c r="G110" s="84"/>
      <c r="H110" s="84"/>
      <c r="I110" s="32"/>
    </row>
    <row r="111" spans="1:14" s="44" customFormat="1" x14ac:dyDescent="0.35">
      <c r="A111" s="69" t="s">
        <v>233</v>
      </c>
      <c r="B111" s="69"/>
      <c r="C111" s="69"/>
      <c r="D111" s="69"/>
      <c r="E111" s="69"/>
      <c r="F111" s="69"/>
      <c r="G111" s="69"/>
      <c r="H111" s="69"/>
      <c r="I111" s="32"/>
    </row>
    <row r="112" spans="1:14" s="33" customFormat="1" x14ac:dyDescent="0.35">
      <c r="A112" s="68" t="s">
        <v>259</v>
      </c>
      <c r="B112" s="68"/>
      <c r="C112" s="68"/>
      <c r="D112" s="68"/>
      <c r="E112" s="68"/>
      <c r="F112" s="68"/>
      <c r="G112" s="68"/>
      <c r="H112" s="68"/>
      <c r="J112" s="32"/>
    </row>
    <row r="113" spans="1:14" s="44" customFormat="1" x14ac:dyDescent="0.35">
      <c r="A113" s="68" t="s">
        <v>260</v>
      </c>
      <c r="B113" s="68"/>
      <c r="C113" s="68"/>
      <c r="D113" s="68"/>
      <c r="E113" s="68"/>
      <c r="F113" s="68"/>
      <c r="G113" s="68"/>
      <c r="H113" s="68"/>
      <c r="J113" s="32"/>
    </row>
    <row r="114" spans="1:14" s="33" customFormat="1" ht="15.75" customHeight="1" x14ac:dyDescent="0.35">
      <c r="A114" s="70">
        <v>1</v>
      </c>
      <c r="B114" s="70"/>
      <c r="C114" s="52" t="s">
        <v>261</v>
      </c>
      <c r="D114" s="49">
        <f>(36.16+(2*0.75*2.75)+0.75*2.3)*10.764</f>
        <v>452.19563999999997</v>
      </c>
      <c r="E114" s="52">
        <v>0</v>
      </c>
      <c r="F114" s="52">
        <f>D114*(($F$110)+1)+(IF(E114&lt;101,E114,IF(E114&lt;201,E114/2,IF(E114&lt;=301,E114/3,E114/4))))</f>
        <v>678.29345999999998</v>
      </c>
      <c r="G114" s="70" t="str">
        <f>A113</f>
        <v>1st to 7th &amp; 9th to 12th Floor For Resiential</v>
      </c>
      <c r="H114" s="70"/>
      <c r="I114" s="55">
        <f>2.75*4.5+2.3*2.75+2.75*3.2+1.2*2.4+0.95*1.35+2.3*0.9+1.2*0.6</f>
        <v>34.452499999999993</v>
      </c>
      <c r="L114" s="87"/>
      <c r="M114" s="87"/>
      <c r="N114" s="32"/>
    </row>
    <row r="115" spans="1:14" s="33" customFormat="1" x14ac:dyDescent="0.35">
      <c r="A115" s="70">
        <f t="shared" ref="A115:A117" si="5">A114+1</f>
        <v>2</v>
      </c>
      <c r="B115" s="70"/>
      <c r="C115" s="52" t="s">
        <v>261</v>
      </c>
      <c r="D115" s="49">
        <f>(36.16+(2*0.75*2.75)+0.75*2.3)*10.764</f>
        <v>452.19563999999997</v>
      </c>
      <c r="E115" s="52">
        <v>0</v>
      </c>
      <c r="F115" s="52">
        <f>D115*(($F$110)+1)+(IF(E115&lt;101,E115,IF(E115&lt;201,E115/2,IF(E115&lt;=301,E115/3,E115/4))))</f>
        <v>678.29345999999998</v>
      </c>
      <c r="G115" s="70"/>
      <c r="H115" s="70"/>
      <c r="I115" s="32"/>
      <c r="L115" s="87"/>
      <c r="M115" s="87"/>
      <c r="N115" s="32"/>
    </row>
    <row r="116" spans="1:14" s="33" customFormat="1" x14ac:dyDescent="0.35">
      <c r="A116" s="70">
        <f t="shared" si="5"/>
        <v>3</v>
      </c>
      <c r="B116" s="70"/>
      <c r="C116" s="52" t="s">
        <v>261</v>
      </c>
      <c r="D116" s="49">
        <f>(34.87+(2*0.75*2.75)+0.75*2.3)*10.764</f>
        <v>438.31007999999997</v>
      </c>
      <c r="E116" s="52">
        <v>0</v>
      </c>
      <c r="F116" s="52">
        <f>D116*(($F$110)+1)+(IF(E116&lt;101,E116,IF(E116&lt;201,E116/2,IF(E116&lt;=301,E116/3,E116/4))))</f>
        <v>657.46511999999996</v>
      </c>
      <c r="G116" s="70"/>
      <c r="H116" s="70"/>
      <c r="I116" s="32"/>
      <c r="L116" s="87"/>
      <c r="M116" s="87"/>
      <c r="N116" s="32"/>
    </row>
    <row r="117" spans="1:14" s="33" customFormat="1" x14ac:dyDescent="0.35">
      <c r="A117" s="70">
        <f t="shared" si="5"/>
        <v>4</v>
      </c>
      <c r="B117" s="70"/>
      <c r="C117" s="52" t="s">
        <v>262</v>
      </c>
      <c r="D117" s="49">
        <f>(48.64+(2.75*0.75*2)+2.3*0.75+1.8*0.75)*10.764</f>
        <v>601.06176000000005</v>
      </c>
      <c r="E117" s="52">
        <v>0</v>
      </c>
      <c r="F117" s="52">
        <f>D117*(($F$110)+1)+(IF(E117&lt;101,E117,IF(E117&lt;201,E117/2,IF(E117&lt;=301,E117/3,E117/4))))</f>
        <v>901.59264000000007</v>
      </c>
      <c r="G117" s="70"/>
      <c r="H117" s="70"/>
      <c r="I117" s="32"/>
      <c r="L117" s="87"/>
      <c r="M117" s="87"/>
      <c r="N117" s="32"/>
    </row>
    <row r="118" spans="1:14" s="33" customFormat="1" x14ac:dyDescent="0.35">
      <c r="A118" s="70">
        <v>5</v>
      </c>
      <c r="B118" s="70"/>
      <c r="C118" s="52" t="s">
        <v>261</v>
      </c>
      <c r="D118" s="49">
        <f>(34.75+1.6*0.75+2.1*0.75+2.75*0.75)*10.764</f>
        <v>426.11985000000004</v>
      </c>
      <c r="E118" s="52">
        <v>0</v>
      </c>
      <c r="F118" s="52">
        <f t="shared" ref="F118:F119" si="6">D118*(($F$110)+1)+(IF(E118&lt;101,E118,IF(E118&lt;201,E118/2,IF(E118&lt;=301,E118/3,E118/4))))</f>
        <v>639.17977500000006</v>
      </c>
      <c r="G118" s="70"/>
      <c r="H118" s="70"/>
      <c r="I118" s="32">
        <f>2.75*4.5+2.1*2.6+2.75*3.2+1.35*0.95+1.2*1.5+1.2*3</f>
        <v>33.317500000000003</v>
      </c>
      <c r="N118" s="32"/>
    </row>
    <row r="119" spans="1:14" s="33" customFormat="1" x14ac:dyDescent="0.35">
      <c r="A119" s="70">
        <f>A118+1</f>
        <v>6</v>
      </c>
      <c r="B119" s="70"/>
      <c r="C119" s="52" t="s">
        <v>261</v>
      </c>
      <c r="D119" s="49">
        <f>(34.75+1.6*0.75+2.1*0.75+2.75*0.75)*10.764</f>
        <v>426.11985000000004</v>
      </c>
      <c r="E119" s="52">
        <v>0</v>
      </c>
      <c r="F119" s="52">
        <f t="shared" si="6"/>
        <v>639.17977500000006</v>
      </c>
      <c r="G119" s="70"/>
      <c r="H119" s="70"/>
      <c r="I119" s="32"/>
      <c r="N119" s="32"/>
    </row>
    <row r="120" spans="1:14" s="33" customFormat="1" x14ac:dyDescent="0.35">
      <c r="A120" s="70">
        <f>A119+1</f>
        <v>7</v>
      </c>
      <c r="B120" s="70"/>
      <c r="C120" s="52" t="s">
        <v>261</v>
      </c>
      <c r="D120" s="49">
        <f>(36.16+(2*0.75*2.75)+0.75*2.3)*10.764</f>
        <v>452.19563999999997</v>
      </c>
      <c r="E120" s="52">
        <v>0</v>
      </c>
      <c r="F120" s="52">
        <f>D120*(($F$110)+1)+(IF(E120&lt;101,E120,IF(E120&lt;201,E120/2,IF(E120&lt;=301,E120/3,E120/4))))</f>
        <v>678.29345999999998</v>
      </c>
      <c r="G120" s="70"/>
      <c r="H120" s="70"/>
      <c r="I120" s="32"/>
      <c r="N120" s="32"/>
    </row>
    <row r="121" spans="1:14" s="33" customFormat="1" x14ac:dyDescent="0.35">
      <c r="A121" s="70">
        <f>A120+1</f>
        <v>8</v>
      </c>
      <c r="B121" s="70"/>
      <c r="C121" s="52" t="s">
        <v>262</v>
      </c>
      <c r="D121" s="49">
        <f>(48.64+(2.75*0.75*2)+2.3*0.75+1.8*0.75)*10.764</f>
        <v>601.06176000000005</v>
      </c>
      <c r="E121" s="52">
        <v>0</v>
      </c>
      <c r="F121" s="52">
        <f>D121*(($F$110)+1)+(IF(E121&lt;101,E121,IF(E121&lt;201,E121/2,IF(E121&lt;=301,E121/3,E121/4))))</f>
        <v>901.59264000000007</v>
      </c>
      <c r="G121" s="70"/>
      <c r="H121" s="70"/>
      <c r="I121" s="32">
        <f>2.75*4.5+2.3*2.75+3.65*2.75+2.75*3.2+2.1*1.2+1.2*2+3.2*0.9+0.9*0.6</f>
        <v>45.877499999999998</v>
      </c>
      <c r="N121" s="32"/>
    </row>
    <row r="122" spans="1:14" s="33" customFormat="1" x14ac:dyDescent="0.35">
      <c r="A122" s="70">
        <f>A121+1</f>
        <v>9</v>
      </c>
      <c r="B122" s="70"/>
      <c r="C122" s="52" t="s">
        <v>261</v>
      </c>
      <c r="D122" s="49">
        <f>(34.87+(2*0.75*2.75)+0.75*2.3)*10.764</f>
        <v>438.31007999999997</v>
      </c>
      <c r="E122" s="52">
        <v>0</v>
      </c>
      <c r="F122" s="52">
        <f>D122*(($F$110)+1)+(IF(E122&lt;101,E122,IF(E122&lt;201,E122/2,IF(E122&lt;=301,E122/3,E122/4))))</f>
        <v>657.46511999999996</v>
      </c>
      <c r="G122" s="70"/>
      <c r="H122" s="70"/>
      <c r="I122" s="32"/>
      <c r="N122" s="32"/>
    </row>
    <row r="123" spans="1:14" s="33" customFormat="1" ht="15.75" customHeight="1" x14ac:dyDescent="0.35">
      <c r="A123" s="68" t="s">
        <v>265</v>
      </c>
      <c r="B123" s="68"/>
      <c r="C123" s="68"/>
      <c r="D123" s="68"/>
      <c r="E123" s="68"/>
      <c r="F123" s="68"/>
      <c r="G123" s="68"/>
      <c r="H123" s="68"/>
      <c r="I123" s="32"/>
    </row>
    <row r="124" spans="1:14" s="33" customFormat="1" ht="15.75" customHeight="1" x14ac:dyDescent="0.35">
      <c r="A124" s="70">
        <v>1</v>
      </c>
      <c r="B124" s="70"/>
      <c r="C124" s="64" t="s">
        <v>261</v>
      </c>
      <c r="D124" s="49">
        <f>(36.16+(2*0.75*2.75)+0.75*2.3)*10.764</f>
        <v>452.19563999999997</v>
      </c>
      <c r="E124" s="64">
        <v>0</v>
      </c>
      <c r="F124" s="64">
        <f>D124*(($F$110)+1)+(IF(E124&lt;101,E124,IF(E124&lt;201,E124/2,IF(E124&lt;=301,E124/3,E124/4))))</f>
        <v>678.29345999999998</v>
      </c>
      <c r="G124" s="70" t="str">
        <f>A123</f>
        <v>8th &amp; 13th Floor (Part Refuge Area)</v>
      </c>
      <c r="H124" s="70"/>
      <c r="I124" s="32"/>
    </row>
    <row r="125" spans="1:14" s="33" customFormat="1" ht="15.75" customHeight="1" x14ac:dyDescent="0.35">
      <c r="A125" s="70">
        <v>2</v>
      </c>
      <c r="B125" s="70"/>
      <c r="C125" s="64" t="s">
        <v>261</v>
      </c>
      <c r="D125" s="49">
        <f>(36.16+(2*0.75*2.75)+0.75*2.3)*10.764</f>
        <v>452.19563999999997</v>
      </c>
      <c r="E125" s="64">
        <v>0</v>
      </c>
      <c r="F125" s="64">
        <f t="shared" ref="F125:F132" si="7">D125*(($F$110)+1)+(IF(E125&lt;101,E125,IF(E125&lt;201,E125/2,IF(E125&lt;=301,E125/3,E125/4))))</f>
        <v>678.29345999999998</v>
      </c>
      <c r="G125" s="70"/>
      <c r="H125" s="70"/>
      <c r="I125" s="32"/>
    </row>
    <row r="126" spans="1:14" s="50" customFormat="1" ht="15.75" customHeight="1" x14ac:dyDescent="0.35">
      <c r="A126" s="70" t="s">
        <v>270</v>
      </c>
      <c r="B126" s="70"/>
      <c r="C126" s="70" t="s">
        <v>271</v>
      </c>
      <c r="D126" s="70"/>
      <c r="E126" s="70"/>
      <c r="F126" s="70"/>
      <c r="G126" s="70"/>
      <c r="H126" s="70"/>
      <c r="I126" s="32"/>
    </row>
    <row r="127" spans="1:14" s="33" customFormat="1" ht="15.75" customHeight="1" x14ac:dyDescent="0.35">
      <c r="A127" s="70">
        <v>3</v>
      </c>
      <c r="B127" s="70"/>
      <c r="C127" s="64" t="s">
        <v>262</v>
      </c>
      <c r="D127" s="49">
        <f>(48.64+(2.75*0.75*2)+2.3*0.75+1.8*0.75)*10.764</f>
        <v>601.06176000000005</v>
      </c>
      <c r="E127" s="64">
        <v>0</v>
      </c>
      <c r="F127" s="64">
        <f t="shared" si="7"/>
        <v>901.59264000000007</v>
      </c>
      <c r="G127" s="70"/>
      <c r="H127" s="70"/>
      <c r="I127" s="32"/>
    </row>
    <row r="128" spans="1:14" s="33" customFormat="1" ht="15.75" customHeight="1" x14ac:dyDescent="0.35">
      <c r="A128" s="70">
        <v>4</v>
      </c>
      <c r="B128" s="70"/>
      <c r="C128" s="64" t="s">
        <v>261</v>
      </c>
      <c r="D128" s="49">
        <f>(34.75+1.6*0.75+2.1*0.75+2.75*0.75)*10.764</f>
        <v>426.11985000000004</v>
      </c>
      <c r="E128" s="64">
        <v>0</v>
      </c>
      <c r="F128" s="64">
        <f t="shared" si="7"/>
        <v>639.17977500000006</v>
      </c>
      <c r="G128" s="70"/>
      <c r="H128" s="70"/>
      <c r="I128" s="32"/>
    </row>
    <row r="129" spans="1:9" s="33" customFormat="1" ht="15.75" customHeight="1" x14ac:dyDescent="0.35">
      <c r="A129" s="70">
        <v>5</v>
      </c>
      <c r="B129" s="70"/>
      <c r="C129" s="64" t="s">
        <v>261</v>
      </c>
      <c r="D129" s="49">
        <f>(34.75+1.6*0.75+2.1*0.75+2.75*0.75)*10.764</f>
        <v>426.11985000000004</v>
      </c>
      <c r="E129" s="64">
        <v>0</v>
      </c>
      <c r="F129" s="64">
        <f t="shared" si="7"/>
        <v>639.17977500000006</v>
      </c>
      <c r="G129" s="70"/>
      <c r="H129" s="70"/>
      <c r="I129" s="32"/>
    </row>
    <row r="130" spans="1:9" s="33" customFormat="1" x14ac:dyDescent="0.35">
      <c r="A130" s="70">
        <v>6</v>
      </c>
      <c r="B130" s="70"/>
      <c r="C130" s="64" t="s">
        <v>261</v>
      </c>
      <c r="D130" s="49">
        <f>(36.16+(2*0.75*2.75)+0.75*2.3)*10.764</f>
        <v>452.19563999999997</v>
      </c>
      <c r="E130" s="64">
        <v>0</v>
      </c>
      <c r="F130" s="64">
        <f t="shared" si="7"/>
        <v>678.29345999999998</v>
      </c>
      <c r="G130" s="70"/>
      <c r="H130" s="70"/>
      <c r="I130" s="32"/>
    </row>
    <row r="131" spans="1:9" s="33" customFormat="1" x14ac:dyDescent="0.35">
      <c r="A131" s="70">
        <v>7</v>
      </c>
      <c r="B131" s="70"/>
      <c r="C131" s="64" t="s">
        <v>262</v>
      </c>
      <c r="D131" s="49">
        <f>(48.64+(2.75*0.75*2)+2.3*0.75+1.8*0.75)*10.764</f>
        <v>601.06176000000005</v>
      </c>
      <c r="E131" s="64">
        <v>0</v>
      </c>
      <c r="F131" s="64">
        <f t="shared" si="7"/>
        <v>901.59264000000007</v>
      </c>
      <c r="G131" s="70"/>
      <c r="H131" s="70"/>
      <c r="I131" s="32"/>
    </row>
    <row r="132" spans="1:9" s="33" customFormat="1" x14ac:dyDescent="0.35">
      <c r="A132" s="70">
        <v>8</v>
      </c>
      <c r="B132" s="70"/>
      <c r="C132" s="64" t="s">
        <v>261</v>
      </c>
      <c r="D132" s="49">
        <f>(34.87+(2*0.75*2.75)+0.75*2.3)*10.764</f>
        <v>438.31007999999997</v>
      </c>
      <c r="E132" s="64">
        <v>0</v>
      </c>
      <c r="F132" s="64">
        <f t="shared" si="7"/>
        <v>657.46511999999996</v>
      </c>
      <c r="G132" s="70"/>
      <c r="H132" s="70"/>
      <c r="I132" s="32"/>
    </row>
    <row r="133" spans="1:9" s="31" customFormat="1" x14ac:dyDescent="0.35">
      <c r="A133" s="88" t="s">
        <v>68</v>
      </c>
      <c r="B133" s="88"/>
      <c r="C133" s="88"/>
      <c r="D133" s="88"/>
      <c r="E133" s="88"/>
      <c r="F133" s="88"/>
      <c r="G133" s="88"/>
      <c r="H133" s="88"/>
    </row>
    <row r="134" spans="1:9" s="31" customFormat="1" x14ac:dyDescent="0.35">
      <c r="A134" s="54" t="s">
        <v>151</v>
      </c>
      <c r="B134" s="118" t="s">
        <v>275</v>
      </c>
      <c r="C134" s="118"/>
      <c r="D134" s="118"/>
      <c r="E134" s="118"/>
      <c r="F134" s="118"/>
      <c r="G134" s="118"/>
      <c r="H134" s="118"/>
    </row>
    <row r="135" spans="1:9" s="31" customFormat="1" x14ac:dyDescent="0.35">
      <c r="A135" s="54" t="s">
        <v>151</v>
      </c>
      <c r="B135" s="117" t="str">
        <f>(IF(F109="Saleable area Loading :","We have considered Saleable area of Flats as per our Calculation.","We considered Saleable area of Flat as per Builder area Sheet."))</f>
        <v>We have considered Saleable area of Flats as per our Calculation.</v>
      </c>
      <c r="C135" s="117"/>
      <c r="D135" s="117"/>
      <c r="E135" s="117"/>
      <c r="F135" s="117"/>
      <c r="G135" s="117"/>
      <c r="H135" s="117"/>
    </row>
    <row r="136" spans="1:9" s="31" customFormat="1" hidden="1" x14ac:dyDescent="0.35">
      <c r="A136" s="54" t="s">
        <v>151</v>
      </c>
      <c r="B136" s="117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6" s="117"/>
      <c r="D136" s="117"/>
      <c r="E136" s="117"/>
      <c r="F136" s="117"/>
      <c r="G136" s="117"/>
      <c r="H136" s="117"/>
    </row>
    <row r="137" spans="1:9" s="31" customFormat="1" x14ac:dyDescent="0.35">
      <c r="A137" s="54" t="s">
        <v>151</v>
      </c>
      <c r="B137" s="81" t="s">
        <v>121</v>
      </c>
      <c r="C137" s="81"/>
      <c r="D137" s="81"/>
      <c r="E137" s="81"/>
      <c r="F137" s="81"/>
      <c r="G137" s="81"/>
      <c r="H137" s="81"/>
    </row>
    <row r="138" spans="1:9" s="31" customFormat="1" x14ac:dyDescent="0.35">
      <c r="A138" s="54" t="s">
        <v>151</v>
      </c>
      <c r="B138" s="81" t="s">
        <v>263</v>
      </c>
      <c r="C138" s="81"/>
      <c r="D138" s="81"/>
      <c r="E138" s="81"/>
      <c r="F138" s="81"/>
      <c r="G138" s="81"/>
      <c r="H138" s="81"/>
    </row>
    <row r="139" spans="1:9" s="31" customFormat="1" x14ac:dyDescent="0.35">
      <c r="A139" s="54" t="s">
        <v>151</v>
      </c>
      <c r="B139" s="81" t="s">
        <v>150</v>
      </c>
      <c r="C139" s="81"/>
      <c r="D139" s="81"/>
      <c r="E139" s="81"/>
      <c r="F139" s="81"/>
      <c r="G139" s="81"/>
      <c r="H139" s="81"/>
    </row>
    <row r="140" spans="1:9" s="31" customFormat="1" x14ac:dyDescent="0.35">
      <c r="A140" s="54" t="s">
        <v>151</v>
      </c>
      <c r="B140" s="81" t="s">
        <v>122</v>
      </c>
      <c r="C140" s="81"/>
      <c r="D140" s="81"/>
      <c r="E140" s="81"/>
      <c r="F140" s="81"/>
      <c r="G140" s="81"/>
      <c r="H140" s="81"/>
    </row>
    <row r="141" spans="1:9" s="31" customFormat="1" ht="34.5" customHeight="1" x14ac:dyDescent="0.35">
      <c r="A141" s="54" t="s">
        <v>151</v>
      </c>
      <c r="B141" s="81" t="s">
        <v>152</v>
      </c>
      <c r="C141" s="81"/>
      <c r="D141" s="81"/>
      <c r="E141" s="81"/>
      <c r="F141" s="81"/>
      <c r="G141" s="81"/>
      <c r="H141" s="81"/>
    </row>
    <row r="142" spans="1:9" s="31" customFormat="1" x14ac:dyDescent="0.35">
      <c r="A142" s="56" t="s">
        <v>151</v>
      </c>
      <c r="B142" s="81" t="s">
        <v>123</v>
      </c>
      <c r="C142" s="81"/>
      <c r="D142" s="81"/>
      <c r="E142" s="81"/>
      <c r="F142" s="81"/>
      <c r="G142" s="81"/>
      <c r="H142" s="81"/>
    </row>
    <row r="143" spans="1:9" s="31" customFormat="1" ht="32.5" customHeight="1" x14ac:dyDescent="0.35">
      <c r="A143" s="54" t="s">
        <v>151</v>
      </c>
      <c r="B143" s="81" t="s">
        <v>278</v>
      </c>
      <c r="C143" s="81"/>
      <c r="D143" s="81"/>
      <c r="E143" s="81"/>
      <c r="F143" s="81"/>
      <c r="G143" s="81"/>
      <c r="H143" s="81"/>
    </row>
    <row r="144" spans="1:9" x14ac:dyDescent="0.35">
      <c r="A144" s="89" t="s">
        <v>61</v>
      </c>
      <c r="B144" s="89"/>
      <c r="C144" s="89"/>
      <c r="D144" s="89"/>
      <c r="E144" s="89"/>
      <c r="F144" s="89"/>
      <c r="G144" s="89"/>
      <c r="H144" s="89"/>
    </row>
    <row r="145" spans="1:8" x14ac:dyDescent="0.35">
      <c r="A145" s="71" t="s">
        <v>62</v>
      </c>
      <c r="B145" s="71"/>
      <c r="C145" s="71"/>
      <c r="D145" s="71"/>
      <c r="E145" s="71"/>
      <c r="F145" s="71"/>
      <c r="G145" s="71"/>
      <c r="H145" s="71"/>
    </row>
    <row r="146" spans="1:8" ht="15.75" customHeight="1" x14ac:dyDescent="0.35">
      <c r="A146" s="119" t="s">
        <v>63</v>
      </c>
      <c r="B146" s="119"/>
      <c r="C146" s="119"/>
      <c r="D146" s="119"/>
      <c r="E146" s="119"/>
      <c r="F146" s="119"/>
      <c r="G146" s="119"/>
      <c r="H146" s="119"/>
    </row>
    <row r="147" spans="1:8" x14ac:dyDescent="0.35">
      <c r="A147" s="71" t="s">
        <v>64</v>
      </c>
      <c r="B147" s="71"/>
      <c r="C147" s="71"/>
      <c r="D147" s="71"/>
      <c r="E147" s="71"/>
      <c r="F147" s="71"/>
      <c r="G147" s="71"/>
      <c r="H147" s="71"/>
    </row>
    <row r="148" spans="1:8" x14ac:dyDescent="0.35">
      <c r="A148" s="71" t="s">
        <v>65</v>
      </c>
      <c r="B148" s="71"/>
      <c r="C148" s="71"/>
      <c r="D148" s="71"/>
      <c r="E148" s="71"/>
      <c r="F148" s="71"/>
      <c r="G148" s="71"/>
      <c r="H148" s="71"/>
    </row>
    <row r="149" spans="1:8" x14ac:dyDescent="0.35">
      <c r="A149" s="71" t="s">
        <v>124</v>
      </c>
      <c r="B149" s="71"/>
      <c r="C149" s="71"/>
      <c r="D149" s="71"/>
      <c r="E149" s="71"/>
      <c r="F149" s="71"/>
      <c r="G149" s="71"/>
      <c r="H149" s="71"/>
    </row>
    <row r="150" spans="1:8" ht="34" customHeight="1" x14ac:dyDescent="0.35">
      <c r="A150" s="66" t="s">
        <v>125</v>
      </c>
      <c r="B150" s="66"/>
      <c r="C150" s="66"/>
      <c r="D150" s="66"/>
      <c r="E150" s="66"/>
      <c r="F150" s="66"/>
      <c r="G150" s="66"/>
      <c r="H150" s="66"/>
    </row>
    <row r="151" spans="1:8" x14ac:dyDescent="0.35">
      <c r="A151" s="115" t="s">
        <v>75</v>
      </c>
      <c r="B151" s="115"/>
      <c r="C151" s="115" t="s">
        <v>274</v>
      </c>
      <c r="D151" s="115"/>
      <c r="E151" s="115" t="s">
        <v>104</v>
      </c>
      <c r="F151" s="115"/>
      <c r="G151" s="115" t="s">
        <v>276</v>
      </c>
      <c r="H151" s="115"/>
    </row>
    <row r="152" spans="1:8" x14ac:dyDescent="0.35">
      <c r="A152" s="114" t="s">
        <v>77</v>
      </c>
      <c r="B152" s="114"/>
      <c r="C152" s="114"/>
      <c r="D152" s="114"/>
      <c r="E152" s="114"/>
      <c r="F152" s="114"/>
      <c r="G152" s="114"/>
      <c r="H152" s="114"/>
    </row>
    <row r="153" spans="1:8" x14ac:dyDescent="0.35">
      <c r="A153" s="114"/>
      <c r="B153" s="114"/>
      <c r="C153" s="114"/>
      <c r="D153" s="114"/>
      <c r="E153" s="114"/>
      <c r="F153" s="114"/>
      <c r="G153" s="114"/>
      <c r="H153" s="114"/>
    </row>
    <row r="154" spans="1:8" x14ac:dyDescent="0.35">
      <c r="A154" s="114"/>
      <c r="B154" s="114"/>
      <c r="C154" s="114"/>
      <c r="D154" s="114"/>
      <c r="E154" s="114"/>
      <c r="F154" s="114"/>
      <c r="G154" s="114"/>
      <c r="H154" s="114"/>
    </row>
    <row r="155" spans="1:8" x14ac:dyDescent="0.35">
      <c r="A155" s="114"/>
      <c r="B155" s="114"/>
      <c r="C155" s="114"/>
      <c r="D155" s="114"/>
      <c r="E155" s="114"/>
      <c r="F155" s="114"/>
      <c r="G155" s="114"/>
      <c r="H155" s="114"/>
    </row>
    <row r="156" spans="1:8" x14ac:dyDescent="0.35">
      <c r="A156" s="34" t="s">
        <v>66</v>
      </c>
      <c r="B156" s="35"/>
      <c r="C156" s="35"/>
      <c r="D156" s="34" t="str">
        <f>E8</f>
        <v>Patil Highland Phase I Wing C</v>
      </c>
      <c r="F156" s="35"/>
      <c r="G156" s="35"/>
      <c r="H156" s="35"/>
    </row>
    <row r="157" spans="1:8" x14ac:dyDescent="0.35">
      <c r="A157" s="35"/>
      <c r="B157" s="35"/>
      <c r="C157" s="35"/>
      <c r="D157" s="35"/>
      <c r="E157" s="35"/>
      <c r="F157" s="35"/>
      <c r="G157" s="35"/>
      <c r="H157" s="35"/>
    </row>
    <row r="158" spans="1:8" x14ac:dyDescent="0.35">
      <c r="A158" s="35"/>
      <c r="B158" s="35"/>
      <c r="C158" s="35"/>
      <c r="D158" s="35"/>
      <c r="E158" s="35"/>
      <c r="F158" s="35"/>
      <c r="G158" s="35"/>
      <c r="H158" s="35"/>
    </row>
    <row r="159" spans="1:8" ht="15" customHeight="1" x14ac:dyDescent="0.35"/>
    <row r="199" spans="1:1" x14ac:dyDescent="0.35">
      <c r="A199" s="37" t="s">
        <v>162</v>
      </c>
    </row>
    <row r="229" spans="1:1" x14ac:dyDescent="0.35">
      <c r="A229" s="37" t="s">
        <v>67</v>
      </c>
    </row>
  </sheetData>
  <mergeCells count="284">
    <mergeCell ref="G53:H53"/>
    <mergeCell ref="F35:H35"/>
    <mergeCell ref="F36:H36"/>
    <mergeCell ref="C51:E51"/>
    <mergeCell ref="A58:C58"/>
    <mergeCell ref="D58:H58"/>
    <mergeCell ref="C50:E50"/>
    <mergeCell ref="I14:P14"/>
    <mergeCell ref="F91:H91"/>
    <mergeCell ref="F89:H89"/>
    <mergeCell ref="A90:E90"/>
    <mergeCell ref="A53:B53"/>
    <mergeCell ref="C53:E53"/>
    <mergeCell ref="D55:H55"/>
    <mergeCell ref="F90:H90"/>
    <mergeCell ref="E28:H28"/>
    <mergeCell ref="A15:B15"/>
    <mergeCell ref="C15:H15"/>
    <mergeCell ref="C16:H16"/>
    <mergeCell ref="A17:B17"/>
    <mergeCell ref="C17:H17"/>
    <mergeCell ref="E21:F21"/>
    <mergeCell ref="G21:H21"/>
    <mergeCell ref="E25:H25"/>
    <mergeCell ref="A149:H149"/>
    <mergeCell ref="A146:H146"/>
    <mergeCell ref="A118:B118"/>
    <mergeCell ref="A95:B95"/>
    <mergeCell ref="D109:D110"/>
    <mergeCell ref="E109:E110"/>
    <mergeCell ref="G109:H110"/>
    <mergeCell ref="F81:H81"/>
    <mergeCell ref="F88:H88"/>
    <mergeCell ref="C97:D97"/>
    <mergeCell ref="A112:H112"/>
    <mergeCell ref="A128:B128"/>
    <mergeCell ref="A124:B124"/>
    <mergeCell ref="A98:B98"/>
    <mergeCell ref="C98:D98"/>
    <mergeCell ref="E98:F98"/>
    <mergeCell ref="G98:H98"/>
    <mergeCell ref="A125:B125"/>
    <mergeCell ref="A100:H100"/>
    <mergeCell ref="A105:B105"/>
    <mergeCell ref="C95:D95"/>
    <mergeCell ref="A145:H145"/>
    <mergeCell ref="E95:F95"/>
    <mergeCell ref="B142:H142"/>
    <mergeCell ref="B143:H143"/>
    <mergeCell ref="G106:H106"/>
    <mergeCell ref="G104:H104"/>
    <mergeCell ref="G105:H105"/>
    <mergeCell ref="G107:H107"/>
    <mergeCell ref="B140:H140"/>
    <mergeCell ref="B136:H136"/>
    <mergeCell ref="A99:H99"/>
    <mergeCell ref="B134:H134"/>
    <mergeCell ref="B135:H135"/>
    <mergeCell ref="A130:B130"/>
    <mergeCell ref="A126:B126"/>
    <mergeCell ref="C126:F126"/>
    <mergeCell ref="A152:H155"/>
    <mergeCell ref="A151:B151"/>
    <mergeCell ref="E151:F151"/>
    <mergeCell ref="C151:D151"/>
    <mergeCell ref="G151:H151"/>
    <mergeCell ref="A92:E92"/>
    <mergeCell ref="F92:H92"/>
    <mergeCell ref="A93:E93"/>
    <mergeCell ref="F93:H93"/>
    <mergeCell ref="A96:B96"/>
    <mergeCell ref="A127:B127"/>
    <mergeCell ref="A147:H147"/>
    <mergeCell ref="A94:H94"/>
    <mergeCell ref="A150:H150"/>
    <mergeCell ref="A148:H148"/>
    <mergeCell ref="A144:H144"/>
    <mergeCell ref="G95:H95"/>
    <mergeCell ref="A129:B129"/>
    <mergeCell ref="C101:C102"/>
    <mergeCell ref="A109:A110"/>
    <mergeCell ref="A114:B114"/>
    <mergeCell ref="A107:B107"/>
    <mergeCell ref="A106:B106"/>
    <mergeCell ref="A104:B104"/>
    <mergeCell ref="A10:D10"/>
    <mergeCell ref="E10:H10"/>
    <mergeCell ref="A22:D23"/>
    <mergeCell ref="E22:H23"/>
    <mergeCell ref="E14:H14"/>
    <mergeCell ref="B109:B110"/>
    <mergeCell ref="A46:D46"/>
    <mergeCell ref="A47:H47"/>
    <mergeCell ref="D57:H57"/>
    <mergeCell ref="A57:C57"/>
    <mergeCell ref="G50:H50"/>
    <mergeCell ref="A51:B52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2:D12"/>
    <mergeCell ref="E12:H12"/>
    <mergeCell ref="A11:D11"/>
    <mergeCell ref="E11:H11"/>
    <mergeCell ref="A16:B16"/>
    <mergeCell ref="A13:D13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2:H32"/>
    <mergeCell ref="A33:B33"/>
    <mergeCell ref="A32:B32"/>
    <mergeCell ref="C33:E33"/>
    <mergeCell ref="A34:B34"/>
    <mergeCell ref="C34:E34"/>
    <mergeCell ref="F33:H33"/>
    <mergeCell ref="F34:H34"/>
    <mergeCell ref="E26:H26"/>
    <mergeCell ref="A28:D28"/>
    <mergeCell ref="A25:D25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E42:H42"/>
    <mergeCell ref="A42:D42"/>
    <mergeCell ref="A49:B49"/>
    <mergeCell ref="C49:E49"/>
    <mergeCell ref="G49:H49"/>
    <mergeCell ref="G51:H51"/>
    <mergeCell ref="A50:B50"/>
    <mergeCell ref="A54:H54"/>
    <mergeCell ref="L114:M114"/>
    <mergeCell ref="A115:B115"/>
    <mergeCell ref="A38:B38"/>
    <mergeCell ref="C38:H38"/>
    <mergeCell ref="A45:D45"/>
    <mergeCell ref="L107:M107"/>
    <mergeCell ref="L106:M106"/>
    <mergeCell ref="L105:M105"/>
    <mergeCell ref="L104:M104"/>
    <mergeCell ref="A77:B77"/>
    <mergeCell ref="C96:D96"/>
    <mergeCell ref="E96:F96"/>
    <mergeCell ref="G96:H96"/>
    <mergeCell ref="F87:H87"/>
    <mergeCell ref="A81:E81"/>
    <mergeCell ref="E101:E102"/>
    <mergeCell ref="G101:H102"/>
    <mergeCell ref="E70:F79"/>
    <mergeCell ref="G70:H79"/>
    <mergeCell ref="A78:B78"/>
    <mergeCell ref="A79:B79"/>
    <mergeCell ref="A63:C63"/>
    <mergeCell ref="E69:F69"/>
    <mergeCell ref="A70:B70"/>
    <mergeCell ref="A62:C62"/>
    <mergeCell ref="L115:M115"/>
    <mergeCell ref="A116:B116"/>
    <mergeCell ref="L116:M116"/>
    <mergeCell ref="B137:H137"/>
    <mergeCell ref="B138:H138"/>
    <mergeCell ref="A133:H133"/>
    <mergeCell ref="A123:H123"/>
    <mergeCell ref="A117:B117"/>
    <mergeCell ref="A131:B131"/>
    <mergeCell ref="A132:B132"/>
    <mergeCell ref="A121:B121"/>
    <mergeCell ref="A122:B122"/>
    <mergeCell ref="A119:B119"/>
    <mergeCell ref="A120:B120"/>
    <mergeCell ref="L117:M117"/>
    <mergeCell ref="D56:H56"/>
    <mergeCell ref="A39:B39"/>
    <mergeCell ref="C39:H39"/>
    <mergeCell ref="B141:H141"/>
    <mergeCell ref="A48:B48"/>
    <mergeCell ref="C48:H48"/>
    <mergeCell ref="B139:H139"/>
    <mergeCell ref="F82:H82"/>
    <mergeCell ref="A82:E82"/>
    <mergeCell ref="D101:D102"/>
    <mergeCell ref="A84:E84"/>
    <mergeCell ref="A83:E83"/>
    <mergeCell ref="A80:E80"/>
    <mergeCell ref="F84:H84"/>
    <mergeCell ref="A91:E91"/>
    <mergeCell ref="G97:H97"/>
    <mergeCell ref="B101:B102"/>
    <mergeCell ref="A101:A102"/>
    <mergeCell ref="C109:C110"/>
    <mergeCell ref="D62:H62"/>
    <mergeCell ref="A65:C65"/>
    <mergeCell ref="D65:H65"/>
    <mergeCell ref="A108:H108"/>
    <mergeCell ref="D64:H64"/>
    <mergeCell ref="I10:L10"/>
    <mergeCell ref="C52:H52"/>
    <mergeCell ref="A103:H103"/>
    <mergeCell ref="A113:H113"/>
    <mergeCell ref="A111:H111"/>
    <mergeCell ref="G124:H132"/>
    <mergeCell ref="G114:H122"/>
    <mergeCell ref="A85:E85"/>
    <mergeCell ref="A97:B97"/>
    <mergeCell ref="E97:F97"/>
    <mergeCell ref="G69:H69"/>
    <mergeCell ref="F80:H80"/>
    <mergeCell ref="F85:H85"/>
    <mergeCell ref="A86:E86"/>
    <mergeCell ref="F86:H86"/>
    <mergeCell ref="A87:E87"/>
    <mergeCell ref="A89:E89"/>
    <mergeCell ref="F83:H83"/>
    <mergeCell ref="A88:E88"/>
    <mergeCell ref="D63:H63"/>
    <mergeCell ref="A64:C64"/>
    <mergeCell ref="A75:B75"/>
    <mergeCell ref="A55:C55"/>
    <mergeCell ref="A56:C56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1:E102">
      <formula1>"Attached Loft area,Attached Terrace area,Attached Mezzanine area"</formula1>
    </dataValidation>
    <dataValidation type="list" allowBlank="1" showInputMessage="1" showErrorMessage="1" sqref="F102 F110">
      <formula1>"45%,50%,55%,60%"</formula1>
    </dataValidation>
    <dataValidation type="list" allowBlank="1" showInputMessage="1" showErrorMessage="1" sqref="G151:H151">
      <formula1>"Gaurav Panchal,Kunal Kadam,Pranita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1 F109">
      <formula1>"Saleable area Loading :,Builder Saleable area"</formula1>
    </dataValidation>
    <dataValidation type="list" allowBlank="1" showInputMessage="1" showErrorMessage="1" sqref="B101:B102">
      <formula1>"Shop No. (Sale Plan),Sale / Rehab,Sale / Mhada"</formula1>
    </dataValidation>
    <dataValidation type="list" allowBlank="1" showInputMessage="1" showErrorMessage="1" sqref="B109:B110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55" max="16383" man="1"/>
    <brk id="198" max="16383" man="1"/>
    <brk id="228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26" t="s">
        <v>105</v>
      </c>
      <c r="C3" s="126"/>
      <c r="D3" s="126"/>
      <c r="E3" s="126"/>
      <c r="F3" s="126"/>
      <c r="G3" s="126"/>
      <c r="H3" s="126"/>
    </row>
    <row r="4" spans="1:9" x14ac:dyDescent="0.35">
      <c r="A4" s="2"/>
      <c r="B4" s="3" t="s">
        <v>106</v>
      </c>
      <c r="C4" s="3" t="s">
        <v>107</v>
      </c>
      <c r="D4" s="3" t="s">
        <v>69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2"/>
      <c r="C4" s="42" t="s">
        <v>12</v>
      </c>
      <c r="D4" s="43" t="s">
        <v>175</v>
      </c>
      <c r="E4" s="43" t="s">
        <v>185</v>
      </c>
      <c r="F4" s="43" t="s">
        <v>170</v>
      </c>
      <c r="G4" s="43" t="s">
        <v>190</v>
      </c>
      <c r="H4" s="43" t="s">
        <v>208</v>
      </c>
      <c r="J4" t="s">
        <v>190</v>
      </c>
      <c r="K4" t="s">
        <v>206</v>
      </c>
    </row>
    <row r="5" spans="2:11" x14ac:dyDescent="0.35">
      <c r="B5" s="42"/>
      <c r="C5" s="42"/>
      <c r="D5" s="43" t="s">
        <v>176</v>
      </c>
      <c r="E5" s="43" t="s">
        <v>183</v>
      </c>
      <c r="F5" s="43" t="s">
        <v>205</v>
      </c>
      <c r="G5" s="43" t="s">
        <v>191</v>
      </c>
      <c r="H5" s="43" t="s">
        <v>209</v>
      </c>
    </row>
    <row r="6" spans="2:11" x14ac:dyDescent="0.35">
      <c r="B6" s="42"/>
      <c r="C6" s="42"/>
      <c r="D6" s="43" t="s">
        <v>177</v>
      </c>
      <c r="E6" s="43" t="s">
        <v>184</v>
      </c>
      <c r="F6" s="43" t="s">
        <v>206</v>
      </c>
      <c r="G6" s="43" t="s">
        <v>192</v>
      </c>
      <c r="H6" s="43" t="s">
        <v>222</v>
      </c>
    </row>
    <row r="7" spans="2:11" x14ac:dyDescent="0.35">
      <c r="B7" s="42"/>
      <c r="C7" s="42"/>
      <c r="D7" s="43" t="s">
        <v>178</v>
      </c>
      <c r="E7" s="43" t="s">
        <v>186</v>
      </c>
      <c r="F7" s="43" t="s">
        <v>207</v>
      </c>
      <c r="G7" s="43" t="s">
        <v>193</v>
      </c>
      <c r="H7" s="43" t="s">
        <v>210</v>
      </c>
    </row>
    <row r="8" spans="2:11" x14ac:dyDescent="0.35">
      <c r="B8" s="42"/>
      <c r="C8" s="42"/>
      <c r="D8" s="43" t="s">
        <v>179</v>
      </c>
      <c r="E8" s="43" t="s">
        <v>187</v>
      </c>
      <c r="F8" s="43"/>
      <c r="G8" s="43" t="s">
        <v>194</v>
      </c>
      <c r="H8" s="43" t="s">
        <v>211</v>
      </c>
    </row>
    <row r="9" spans="2:11" x14ac:dyDescent="0.35">
      <c r="B9" s="42"/>
      <c r="C9" s="42"/>
      <c r="D9" s="43" t="s">
        <v>180</v>
      </c>
      <c r="E9" s="43" t="s">
        <v>185</v>
      </c>
      <c r="F9" s="43"/>
      <c r="G9" s="43" t="s">
        <v>195</v>
      </c>
      <c r="H9" s="43" t="s">
        <v>212</v>
      </c>
    </row>
    <row r="10" spans="2:11" x14ac:dyDescent="0.35">
      <c r="B10" s="42"/>
      <c r="C10" s="42"/>
      <c r="D10" s="43" t="s">
        <v>181</v>
      </c>
      <c r="E10" s="43" t="s">
        <v>188</v>
      </c>
      <c r="F10" s="43"/>
      <c r="G10" s="43" t="s">
        <v>196</v>
      </c>
      <c r="H10" s="43" t="s">
        <v>213</v>
      </c>
    </row>
    <row r="11" spans="2:11" x14ac:dyDescent="0.35">
      <c r="B11" s="42"/>
      <c r="C11" s="42"/>
      <c r="D11" s="43" t="s">
        <v>182</v>
      </c>
      <c r="E11" s="43" t="s">
        <v>189</v>
      </c>
      <c r="F11" s="43"/>
      <c r="G11" s="43" t="s">
        <v>197</v>
      </c>
      <c r="H11" s="43" t="s">
        <v>214</v>
      </c>
    </row>
    <row r="12" spans="2:11" x14ac:dyDescent="0.35">
      <c r="B12" s="42"/>
      <c r="C12" s="42"/>
      <c r="D12" s="43"/>
      <c r="E12" s="43"/>
      <c r="F12" s="43"/>
      <c r="G12" s="43" t="s">
        <v>198</v>
      </c>
      <c r="H12" s="43" t="s">
        <v>215</v>
      </c>
    </row>
    <row r="13" spans="2:11" x14ac:dyDescent="0.35">
      <c r="B13" s="42"/>
      <c r="C13" s="42"/>
      <c r="D13" s="43"/>
      <c r="E13" s="43"/>
      <c r="F13" s="43"/>
      <c r="G13" s="43" t="s">
        <v>199</v>
      </c>
      <c r="H13" s="43" t="s">
        <v>216</v>
      </c>
    </row>
    <row r="14" spans="2:11" x14ac:dyDescent="0.35">
      <c r="B14" s="42"/>
      <c r="C14" s="42"/>
      <c r="D14" s="43"/>
      <c r="E14" s="43"/>
      <c r="F14" s="43"/>
      <c r="G14" s="43" t="s">
        <v>200</v>
      </c>
      <c r="H14" s="43" t="s">
        <v>217</v>
      </c>
    </row>
    <row r="15" spans="2:11" x14ac:dyDescent="0.35">
      <c r="B15" s="42"/>
      <c r="C15" s="42"/>
      <c r="D15" s="43"/>
      <c r="E15" s="43"/>
      <c r="F15" s="43"/>
      <c r="G15" s="43" t="s">
        <v>201</v>
      </c>
      <c r="H15" s="43" t="s">
        <v>218</v>
      </c>
    </row>
    <row r="16" spans="2:11" x14ac:dyDescent="0.35">
      <c r="B16" s="42"/>
      <c r="C16" s="42"/>
      <c r="D16" s="43"/>
      <c r="E16" s="43"/>
      <c r="F16" s="43"/>
      <c r="G16" s="43" t="s">
        <v>202</v>
      </c>
      <c r="H16" s="43" t="s">
        <v>219</v>
      </c>
    </row>
    <row r="17" spans="2:8" x14ac:dyDescent="0.35">
      <c r="B17" s="42"/>
      <c r="C17" s="42"/>
      <c r="D17" s="43"/>
      <c r="E17" s="43"/>
      <c r="F17" s="43"/>
      <c r="G17" s="43" t="s">
        <v>203</v>
      </c>
      <c r="H17" s="43" t="s">
        <v>220</v>
      </c>
    </row>
    <row r="18" spans="2:8" x14ac:dyDescent="0.35">
      <c r="B18" s="42"/>
      <c r="C18" s="42"/>
      <c r="D18" s="43"/>
      <c r="E18" s="43"/>
      <c r="F18" s="43"/>
      <c r="G18" s="43" t="s">
        <v>204</v>
      </c>
      <c r="H18" s="43" t="s">
        <v>221</v>
      </c>
    </row>
    <row r="24" spans="2:8" x14ac:dyDescent="0.35">
      <c r="C24" t="s">
        <v>168</v>
      </c>
    </row>
    <row r="25" spans="2:8" x14ac:dyDescent="0.35">
      <c r="C25" t="s">
        <v>223</v>
      </c>
    </row>
    <row r="26" spans="2:8" x14ac:dyDescent="0.35">
      <c r="C26" t="s">
        <v>224</v>
      </c>
    </row>
    <row r="27" spans="2:8" x14ac:dyDescent="0.35">
      <c r="C27" t="s">
        <v>225</v>
      </c>
    </row>
    <row r="28" spans="2:8" x14ac:dyDescent="0.35">
      <c r="C28" t="s">
        <v>226</v>
      </c>
    </row>
    <row r="29" spans="2:8" x14ac:dyDescent="0.35">
      <c r="C29" t="s">
        <v>227</v>
      </c>
    </row>
    <row r="30" spans="2:8" x14ac:dyDescent="0.35">
      <c r="C30" t="s">
        <v>168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2025-09-25T06:26:56Z</cp:lastPrinted>
  <dcterms:created xsi:type="dcterms:W3CDTF">2019-07-16T09:29:46Z</dcterms:created>
  <dcterms:modified xsi:type="dcterms:W3CDTF">2025-09-26T06:46:43Z</dcterms:modified>
</cp:coreProperties>
</file>