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1-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1" i="1" l="1"/>
  <c r="H91" i="1"/>
  <c r="D103" i="1" l="1"/>
  <c r="D101" i="1"/>
  <c r="D99" i="1"/>
  <c r="D97" i="1"/>
  <c r="J95" i="1"/>
  <c r="C94" i="1" s="1"/>
  <c r="D94" i="1" s="1"/>
  <c r="J93" i="1"/>
  <c r="J90" i="1"/>
  <c r="J92" i="1" s="1"/>
  <c r="D102" i="1"/>
  <c r="D100" i="1"/>
  <c r="D98" i="1"/>
  <c r="D96" i="1"/>
  <c r="J94" i="1"/>
  <c r="J96" i="1"/>
  <c r="J98" i="1"/>
  <c r="J100" i="1"/>
  <c r="J99" i="1"/>
  <c r="J101" i="1"/>
  <c r="K188" i="1"/>
  <c r="K179" i="1"/>
  <c r="K180" i="1"/>
  <c r="K181" i="1"/>
  <c r="I155" i="1"/>
  <c r="I154" i="1"/>
  <c r="I153" i="1"/>
  <c r="I152" i="1"/>
  <c r="D62" i="1"/>
  <c r="E192" i="1"/>
  <c r="E186" i="1"/>
  <c r="E183" i="1"/>
  <c r="E177" i="1"/>
  <c r="E174" i="1"/>
  <c r="J97" i="1" l="1"/>
  <c r="J102" i="1" s="1"/>
  <c r="J103" i="1" s="1"/>
  <c r="C95" i="1" s="1"/>
  <c r="E94" i="1" s="1"/>
  <c r="E201" i="1"/>
  <c r="D201" i="1"/>
  <c r="E200" i="1"/>
  <c r="D200" i="1"/>
  <c r="E199" i="1"/>
  <c r="D199" i="1"/>
  <c r="E198" i="1"/>
  <c r="D198" i="1"/>
  <c r="E194" i="1"/>
  <c r="D194" i="1"/>
  <c r="E193" i="1"/>
  <c r="D193" i="1"/>
  <c r="D192" i="1"/>
  <c r="E191" i="1"/>
  <c r="D191" i="1"/>
  <c r="E187" i="1"/>
  <c r="D187" i="1"/>
  <c r="D186" i="1"/>
  <c r="E185" i="1"/>
  <c r="D185" i="1"/>
  <c r="E184" i="1"/>
  <c r="D184" i="1"/>
  <c r="D183" i="1"/>
  <c r="F183" i="1" s="1"/>
  <c r="H183" i="1" s="1"/>
  <c r="K183" i="1" s="1"/>
  <c r="E182" i="1"/>
  <c r="D182" i="1"/>
  <c r="E178" i="1"/>
  <c r="D178" i="1"/>
  <c r="D177" i="1"/>
  <c r="E176" i="1"/>
  <c r="D176" i="1"/>
  <c r="E175" i="1"/>
  <c r="D175" i="1"/>
  <c r="D174" i="1"/>
  <c r="E173" i="1"/>
  <c r="D173" i="1"/>
  <c r="J172" i="1"/>
  <c r="I199" i="1"/>
  <c r="I198" i="1"/>
  <c r="I192" i="1"/>
  <c r="I191" i="1"/>
  <c r="I182" i="1"/>
  <c r="I187" i="1"/>
  <c r="I174" i="1"/>
  <c r="I173" i="1"/>
  <c r="B119" i="1"/>
  <c r="E43" i="1"/>
  <c r="C16" i="1"/>
  <c r="A198" i="1"/>
  <c r="A182" i="1"/>
  <c r="A173" i="1"/>
  <c r="H119" i="1"/>
  <c r="A191" i="1"/>
  <c r="G94" i="1" l="1"/>
  <c r="D95" i="1"/>
  <c r="I91" i="1" s="1"/>
  <c r="I92" i="1" s="1"/>
  <c r="J91" i="1"/>
  <c r="F194" i="1"/>
  <c r="H194" i="1" s="1"/>
  <c r="F187" i="1"/>
  <c r="H187" i="1" s="1"/>
  <c r="K187" i="1" s="1"/>
  <c r="F178" i="1"/>
  <c r="H178" i="1" s="1"/>
  <c r="K178" i="1" s="1"/>
  <c r="C155" i="1"/>
  <c r="C153" i="1"/>
  <c r="F174" i="1"/>
  <c r="H174" i="1" s="1"/>
  <c r="K174" i="1" s="1"/>
  <c r="F176" i="1"/>
  <c r="H176" i="1" s="1"/>
  <c r="K176" i="1" s="1"/>
  <c r="F185" i="1"/>
  <c r="H185" i="1" s="1"/>
  <c r="K185" i="1" s="1"/>
  <c r="F192" i="1"/>
  <c r="H192" i="1" s="1"/>
  <c r="F201" i="1"/>
  <c r="H201" i="1" s="1"/>
  <c r="F173" i="1"/>
  <c r="F175" i="1"/>
  <c r="H175" i="1" s="1"/>
  <c r="K175" i="1" s="1"/>
  <c r="F177" i="1"/>
  <c r="H177" i="1" s="1"/>
  <c r="K177" i="1" s="1"/>
  <c r="F182" i="1"/>
  <c r="F184" i="1"/>
  <c r="H184" i="1" s="1"/>
  <c r="K184" i="1" s="1"/>
  <c r="F186" i="1"/>
  <c r="H186" i="1" s="1"/>
  <c r="K186" i="1" s="1"/>
  <c r="F191" i="1"/>
  <c r="F193" i="1"/>
  <c r="H193" i="1" s="1"/>
  <c r="F198" i="1"/>
  <c r="F199" i="1"/>
  <c r="H199" i="1" s="1"/>
  <c r="F200" i="1"/>
  <c r="H200" i="1" s="1"/>
  <c r="C152" i="1"/>
  <c r="C154" i="1"/>
  <c r="J123" i="1"/>
  <c r="C122" i="1" s="1"/>
  <c r="D122" i="1" s="1"/>
  <c r="J121" i="1"/>
  <c r="J118" i="1"/>
  <c r="J120" i="1" s="1"/>
  <c r="D131" i="1"/>
  <c r="D130" i="1"/>
  <c r="D129" i="1"/>
  <c r="D128" i="1"/>
  <c r="D127" i="1"/>
  <c r="D126" i="1"/>
  <c r="D125" i="1"/>
  <c r="D124" i="1"/>
  <c r="J122" i="1"/>
  <c r="J124" i="1"/>
  <c r="J125" i="1" s="1"/>
  <c r="J130" i="1" s="1"/>
  <c r="J131" i="1" s="1"/>
  <c r="C123" i="1" s="1"/>
  <c r="J126" i="1"/>
  <c r="J127" i="1"/>
  <c r="J128" i="1"/>
  <c r="J129" i="1"/>
  <c r="B204" i="1"/>
  <c r="A199" i="1"/>
  <c r="A183" i="1"/>
  <c r="A174" i="1"/>
  <c r="A192" i="1"/>
  <c r="I90" i="1" l="1"/>
  <c r="C92" i="1" s="1"/>
  <c r="C156" i="1"/>
  <c r="H182" i="1"/>
  <c r="E153" i="1"/>
  <c r="H198" i="1"/>
  <c r="G155" i="1" s="1"/>
  <c r="E155" i="1"/>
  <c r="H191" i="1"/>
  <c r="G154" i="1" s="1"/>
  <c r="E154" i="1"/>
  <c r="H173" i="1"/>
  <c r="E152" i="1"/>
  <c r="E122" i="1"/>
  <c r="D123" i="1"/>
  <c r="I119" i="1" s="1"/>
  <c r="I120" i="1" s="1"/>
  <c r="G122" i="1"/>
  <c r="J119" i="1"/>
  <c r="F164" i="1"/>
  <c r="H164" i="1" s="1"/>
  <c r="F165" i="1"/>
  <c r="H165" i="1" s="1"/>
  <c r="F166" i="1"/>
  <c r="H166" i="1" s="1"/>
  <c r="F163" i="1"/>
  <c r="H163" i="1" s="1"/>
  <c r="A184" i="1"/>
  <c r="A193" i="1"/>
  <c r="A200" i="1"/>
  <c r="A175" i="1"/>
  <c r="G152" i="1" l="1"/>
  <c r="K173" i="1"/>
  <c r="G153" i="1"/>
  <c r="K182" i="1"/>
  <c r="E156" i="1"/>
  <c r="I118" i="1"/>
  <c r="C120" i="1" s="1"/>
  <c r="G58" i="1"/>
  <c r="C58" i="1"/>
  <c r="G56" i="1"/>
  <c r="C56" i="1"/>
  <c r="C54" i="1"/>
  <c r="A201" i="1"/>
  <c r="A194" i="1"/>
  <c r="A176" i="1"/>
  <c r="A185" i="1"/>
  <c r="G156" i="1" l="1"/>
  <c r="S33" i="1"/>
  <c r="A177" i="1"/>
  <c r="A186" i="1"/>
  <c r="F11" i="5" l="1"/>
  <c r="G11" i="5" s="1"/>
  <c r="F10" i="5"/>
  <c r="G10" i="5" s="1"/>
  <c r="F9" i="5"/>
  <c r="G9" i="5" s="1"/>
  <c r="F8" i="5"/>
  <c r="G8" i="5" s="1"/>
  <c r="G7" i="5"/>
  <c r="F7" i="5"/>
  <c r="F6" i="5"/>
  <c r="G6" i="5" s="1"/>
  <c r="F5" i="5"/>
  <c r="G5" i="5" s="1"/>
  <c r="G12" i="5" s="1"/>
  <c r="D225" i="1"/>
  <c r="B205" i="1"/>
  <c r="A164" i="1"/>
  <c r="A165" i="1" s="1"/>
  <c r="A166" i="1" s="1"/>
  <c r="G157" i="1"/>
  <c r="E157" i="1"/>
  <c r="C157" i="1"/>
  <c r="F144" i="1"/>
  <c r="D70" i="1"/>
  <c r="C51" i="1"/>
  <c r="E44" i="1"/>
  <c r="E45" i="1" s="1"/>
  <c r="E31" i="1"/>
  <c r="E28" i="1"/>
  <c r="E26" i="1"/>
  <c r="I15" i="1"/>
  <c r="Z13" i="1"/>
  <c r="E8" i="1"/>
  <c r="E3" i="1"/>
  <c r="A178" i="1"/>
  <c r="A187" i="1"/>
  <c r="H105" i="1"/>
  <c r="H77" i="1"/>
  <c r="J76" i="1" l="1"/>
  <c r="J78" i="1" s="1"/>
  <c r="J79" i="1"/>
  <c r="J80" i="1"/>
  <c r="J81" i="1"/>
  <c r="C80" i="1" s="1"/>
  <c r="J109" i="1"/>
  <c r="C108" i="1" s="1"/>
  <c r="D113" i="1"/>
  <c r="D115" i="1"/>
  <c r="J108" i="1"/>
  <c r="D114" i="1"/>
  <c r="J104" i="1"/>
  <c r="J106" i="1" s="1"/>
  <c r="D112" i="1"/>
  <c r="J107" i="1"/>
  <c r="D111" i="1"/>
  <c r="D117" i="1"/>
  <c r="D116" i="1"/>
  <c r="D110" i="1"/>
  <c r="D84" i="1"/>
  <c r="D86" i="1"/>
  <c r="D85" i="1"/>
  <c r="D89" i="1"/>
  <c r="D83" i="1"/>
  <c r="D88" i="1"/>
  <c r="D82" i="1"/>
  <c r="D87" i="1"/>
  <c r="B105" i="1"/>
  <c r="B77" i="1"/>
  <c r="J82" i="1" s="1"/>
  <c r="D108" i="1" l="1"/>
  <c r="D80" i="1"/>
  <c r="J115" i="1"/>
  <c r="J112" i="1"/>
  <c r="J114" i="1"/>
  <c r="J113" i="1"/>
  <c r="J110" i="1"/>
  <c r="J111" i="1" s="1"/>
  <c r="J86" i="1"/>
  <c r="J84" i="1"/>
  <c r="J85" i="1"/>
  <c r="J83" i="1"/>
  <c r="J88" i="1" s="1"/>
  <c r="J87" i="1"/>
  <c r="J89" i="1" l="1"/>
  <c r="C81" i="1" s="1"/>
  <c r="E80" i="1" s="1"/>
  <c r="J116" i="1"/>
  <c r="J117" i="1" s="1"/>
  <c r="C109" i="1" s="1"/>
  <c r="J77" i="1" l="1"/>
  <c r="G80" i="1"/>
  <c r="D81" i="1"/>
  <c r="I77" i="1" s="1"/>
  <c r="I78" i="1" s="1"/>
  <c r="I76" i="1" l="1"/>
  <c r="C78" i="1" s="1"/>
  <c r="D109" i="1"/>
  <c r="I105" i="1" s="1"/>
  <c r="I106" i="1" s="1"/>
  <c r="E108" i="1"/>
  <c r="G108" i="1"/>
  <c r="D74" i="1" s="1"/>
  <c r="J105" i="1"/>
  <c r="F75" i="1" l="1"/>
  <c r="D75" i="1"/>
  <c r="I104" i="1"/>
  <c r="C10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<sst xmlns="http://schemas.openxmlformats.org/spreadsheetml/2006/main" count="669" uniqueCount="359">
  <si>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</si>
  <si>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</si>
  <si>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</si>
  <si>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</si>
  <si>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</si>
  <si>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</si>
  <si>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</si>
  <si>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</si>
  <si>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</si>
  <si>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</si>
  <si>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</si>
  <si>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</si>
  <si>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</si>
  <si>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</si>
  <si>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</si>
  <si>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</si>
  <si>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</si>
  <si>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</si>
  <si>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</si>
  <si>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</si>
  <si>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</si>
  <si>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</si>
  <si>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</si>
  <si>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</si>
  <si>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</si>
  <si>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</si>
  <si>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</si>
  <si>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</si>
  <si>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</si>
  <si>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</si>
  <si>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</si>
  <si>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</si>
  <si>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</si>
  <si>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</si>
  <si>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</si>
  <si>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</si>
  <si>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</si>
  <si>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</si>
  <si>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</si>
  <si>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</si>
  <si>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</si>
  <si>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</si>
  <si>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</si>
  <si>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</si>
  <si>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</si>
  <si>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</si>
  <si>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</si>
  <si>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</si>
  <si>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</si>
  <si>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</si>
  <si>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</si>
  <si>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</si>
  <si>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</si>
  <si>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</si>
  <si>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</si>
  <si>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</si>
  <si>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</si>
  <si>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</si>
  <si>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</si>
  <si>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</si>
  <si>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</si>
  <si>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</si>
  <si>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</si>
  <si>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</si>
  <si>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</si>
  <si>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</si>
  <si>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</si>
  <si>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</si>
  <si>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</si>
  <si>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</si>
  <si>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</si>
  <si>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</si>
  <si>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</si>
  <si>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</si>
  <si>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</si>
  <si>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</si>
  <si>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</si>
  <si>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</si>
  <si>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</si>
  <si>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</si>
  <si>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</si>
  <si>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</si>
  <si>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</si>
  <si>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</si>
  <si>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</si>
  <si>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</si>
  <si>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</si>
  <si>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</si>
  <si>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</si>
  <si>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</si>
  <si>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</si>
  <si>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</si>
  <si>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</si>
  <si>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</si>
  <si>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</si>
  <si>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</si>
  <si>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</si>
  <si>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</si>
  <si>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</si>
  <si>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</si>
  <si>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</si>
  <si>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</si>
  <si>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</si>
  <si>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</si>
  <si>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</si>
  <si>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</si>
  <si>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</si>
  <si>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</si>
  <si>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</si>
  <si>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</si>
  <si>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</si>
  <si>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</si>
  <si>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</si>
  <si>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</si>
  <si>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</si>
  <si>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</si>
  <si>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</si>
  <si>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</si>
  <si>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</si>
  <si>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</si>
  <si>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</si>
  <si>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</si>
  <si>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</si>
  <si>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</si>
  <si>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</si>
  <si>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</si>
  <si>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</si>
  <si>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</si>
  <si>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</si>
  <si>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</si>
  <si>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</si>
  <si>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</si>
  <si>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</si>
  <si>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</si>
  <si>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</si>
  <si>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</si>
  <si>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</si>
  <si>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</si>
  <si>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</si>
  <si>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</si>
  <si>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</si>
  <si>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</si>
  <si>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</si>
  <si>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</si>
  <si>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</si>
  <si>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</si>
  <si>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</si>
  <si>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</si>
  <si>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</si>
  <si>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</si>
  <si>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</si>
  <si>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</si>
  <si>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</si>
  <si>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</si>
  <si>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</si>
  <si>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</si>
  <si>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</si>
  <si>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</si>
  <si>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</si>
  <si>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</si>
  <si>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</si>
  <si>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</si>
  <si>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</si>
  <si>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</si>
  <si>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</si>
  <si>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</si>
  <si>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</si>
  <si>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</si>
  <si>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</si>
  <si>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</si>
  <si>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</si>
  <si>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</si>
  <si>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</si>
  <si>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</si>
  <si>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</si>
  <si>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</si>
  <si>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</si>
  <si>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</si>
  <si>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</si>
  <si>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</si>
  <si>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</si>
  <si>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</si>
  <si>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</si>
  <si>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</si>
  <si>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</si>
  <si>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</si>
  <si>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</si>
  <si>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</si>
  <si>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</si>
  <si>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</si>
  <si>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</si>
  <si>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</si>
  <si>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</si>
  <si>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</si>
  <si>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</si>
  <si>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</si>
  <si>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</si>
  <si>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</si>
  <si>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</si>
  <si>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</si>
  <si>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</si>
  <si>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</si>
  <si>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</si>
  <si>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</si>
  <si>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</si>
  <si>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</si>
  <si>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</si>
  <si>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</si>
  <si>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</si>
  <si>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</si>
  <si>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</si>
  <si>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</si>
  <si>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</si>
  <si>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</si>
  <si>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</si>
  <si>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</si>
  <si>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</si>
  <si>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</si>
  <si>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</si>
  <si>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</si>
  <si>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</si>
  <si>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</si>
  <si>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</si>
  <si>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</si>
  <si>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</si>
  <si>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</si>
  <si>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</si>
  <si>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</si>
  <si>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</si>
  <si>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</si>
  <si>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</si>
  <si>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</si>
  <si>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</si>
  <si>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</si>
  <si>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</si>
  <si>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</si>
  <si>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</si>
  <si>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</si>
  <si>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</si>
  <si>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</si>
  <si>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</si>
  <si>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</si>
  <si>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</si>
  <si>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</si>
  <si>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</si>
  <si>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</si>
  <si>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</si>
  <si>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</si>
  <si>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</si>
  <si>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</si>
  <si>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</si>
  <si>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</si>
  <si>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</si>
  <si>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</si>
  <si>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</si>
  <si>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</si>
  <si>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</si>
  <si>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</si>
  <si>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</si>
  <si>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</si>
  <si>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</si>
  <si>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</si>
  <si>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</si>
  <si>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</si>
  <si>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</si>
  <si>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</si>
  <si>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</si>
  <si>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</si>
  <si>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</si>
  <si>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</si>
  <si>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</si>
  <si>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</si>
  <si>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</si>
  <si>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</si>
  <si>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</si>
  <si>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</si>
  <si>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</si>
  <si>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</si>
  <si>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</si>
  <si>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</si>
  <si>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</si>
  <si>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</si>
  <si>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</si>
  <si>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</si>
  <si>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</si>
  <si>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</si>
  <si>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</si>
  <si>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</si>
  <si>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</si>
  <si>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</si>
  <si>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</si>
  <si>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</si>
  <si>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</si>
  <si>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</si>
  <si>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</si>
  <si>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</si>
  <si>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</si>
  <si>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Matoshree Space Builders And Developers
</t>
  </si>
  <si>
    <t>Mukta Avenue</t>
  </si>
  <si>
    <t xml:space="preserve">Mr. Ashok Kumar- 773824113
</t>
  </si>
  <si>
    <t>Building- E, F, G &amp; H</t>
  </si>
  <si>
    <t>P51700055363</t>
  </si>
  <si>
    <t>Survey No</t>
  </si>
  <si>
    <t>Dawale</t>
  </si>
  <si>
    <t>Building No. E, F, G &amp; H = Stilt + 1st to 7th Floor</t>
  </si>
  <si>
    <t>04 Buildings</t>
  </si>
  <si>
    <t>Building No. G = Stilt + 1st to 7th Floor</t>
  </si>
  <si>
    <t>Building No. H = Stilt + 1st to 7th Floor</t>
  </si>
  <si>
    <t>As per RERA - 31/12/2027</t>
  </si>
  <si>
    <t>Building No. E</t>
  </si>
  <si>
    <t>Ground Floor For Meter Room, Society Office/ Fitness Center, Parking &amp; Lobby</t>
  </si>
  <si>
    <t>2BHK</t>
  </si>
  <si>
    <t>1BHK</t>
  </si>
  <si>
    <t>Building No. F</t>
  </si>
  <si>
    <t>Ground Floor For Meter Room, Drivers Room, Parking &amp; Lobby</t>
  </si>
  <si>
    <t>1st to 7th Floor For Residential</t>
  </si>
  <si>
    <t>Building No. G</t>
  </si>
  <si>
    <t>Ground Floor For Meter Room, Parking &amp; Lobby</t>
  </si>
  <si>
    <t>Building No. H</t>
  </si>
  <si>
    <t>Open Space</t>
  </si>
  <si>
    <t>Other Plot</t>
  </si>
  <si>
    <t>12 M W Road</t>
  </si>
  <si>
    <t>Khardipada Lake</t>
  </si>
  <si>
    <t>Radhe Krishna Residency</t>
  </si>
  <si>
    <t>Nirmal Nagari Road</t>
  </si>
  <si>
    <t>Nirmal Nagari Building</t>
  </si>
  <si>
    <t>Khardipada</t>
  </si>
  <si>
    <t>3.2 KM from Diva Railway Station</t>
  </si>
  <si>
    <t>Diva East</t>
  </si>
  <si>
    <t>Building No.E</t>
  </si>
  <si>
    <t>Building No.F</t>
  </si>
  <si>
    <t>Building No.G</t>
  </si>
  <si>
    <t>Building No.H</t>
  </si>
  <si>
    <t>Flats -140</t>
  </si>
  <si>
    <t>S11/0229/20/TMCB/TDD/0038/(P/C)/2023</t>
  </si>
  <si>
    <t xml:space="preserve">Details of Residential in Building   </t>
  </si>
  <si>
    <t>Balcony Area + EP</t>
  </si>
  <si>
    <t>5/10, 5/12, 5/13, 5/14, 5/15, 5/16, 5/17 &amp; 5/18</t>
  </si>
  <si>
    <t xml:space="preserve">Details of Residential in Building </t>
  </si>
  <si>
    <r>
      <t xml:space="preserve">Flat No.
</t>
    </r>
    <r>
      <rPr>
        <b/>
        <sz val="11"/>
        <color theme="1"/>
        <rFont val="Times New Roman"/>
        <family val="1"/>
      </rPr>
      <t>(Approved Plan)</t>
    </r>
  </si>
  <si>
    <t>Approved area of building (Sq.Mt)
Building No. E, F, G &amp; H</t>
  </si>
  <si>
    <t>We considered Gross carpet area = Net carpet + Balcony + EP Area.</t>
  </si>
  <si>
    <t>Fitness Center, Decorative Entrance Lobby, Lift &amp; Parking.</t>
  </si>
  <si>
    <r>
      <t xml:space="preserve">Proposed Amenities :                                                                                                                                                                                                                         </t>
    </r>
    <r>
      <rPr>
        <b/>
        <sz val="12"/>
        <color theme="1"/>
        <rFont val="Times New Roman"/>
        <family val="1"/>
      </rPr>
      <t xml:space="preserve">                                               </t>
    </r>
  </si>
  <si>
    <t>https://maps.app.goo.gl/X18oacaf3o8uSLAC7</t>
  </si>
  <si>
    <t xml:space="preserve">Other charges 2 lacs ani 3 lacs car parking Rushikesh </t>
  </si>
  <si>
    <t>Chost sheet</t>
  </si>
  <si>
    <t xml:space="preserve">Other Charges of the Property have been revised on 19/10/2024.
</t>
  </si>
  <si>
    <t>19.161682,73.048955</t>
  </si>
  <si>
    <t>Gangaram Lambore</t>
  </si>
  <si>
    <t xml:space="preserve">Building E, F, G &amp; H = Stilt + 1st to 7th Floor
</t>
  </si>
  <si>
    <t xml:space="preserve">Building E &amp; F = Stilt + 1st to 7th Floor
</t>
  </si>
  <si>
    <t>Building G &amp; H = Stilt + 1st to 7th Floor</t>
  </si>
  <si>
    <t xml:space="preserve">Building E = Stilt + 1st to 7th Floor
</t>
  </si>
  <si>
    <t xml:space="preserve">Building F = Stilt + 1st to 7th Floor
</t>
  </si>
  <si>
    <t>Building G = Stilt + 1st to 7th Floor</t>
  </si>
  <si>
    <t>Building H = Stilt + 1st to 7th Floor</t>
  </si>
  <si>
    <t xml:space="preserve">Building E, F, G &amp; H = Construction work is in process at the time of Visit.
</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</si>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</sst>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1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9"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8" xfId="1" applyFont="1" applyBorder="1"/>
    <xf numFmtId="0" fontId="18"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0" xfId="0" applyFont="1" applyFill="1" applyBorder="1"/>
    <xf numFmtId="0" fontId="26" fillId="0" borderId="2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2"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19" xfId="0" applyFill="1" applyBorder="1"/>
    <xf numFmtId="0" fontId="0" fillId="0" borderId="6" xfId="0" applyBorder="1"/>
    <xf numFmtId="0" fontId="0" fillId="0" borderId="1" xfId="0" applyBorder="1" applyAlignment="1">
      <alignment vertical="top" wrapText="1"/>
    </xf>
    <xf numFmtId="0" fontId="0" fillId="0" borderId="1" xfId="0" applyFill="1" applyBorder="1"/>
    <xf numFmtId="1" fontId="17" fillId="0" borderId="3"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0" fontId="7"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10" fillId="0" borderId="3" xfId="1" applyNumberFormat="1" applyFont="1" applyBorder="1" applyAlignment="1" applyProtection="1">
      <alignment horizontal="center" vertical="top" wrapText="1"/>
      <protection locked="0"/>
    </xf>
    <xf numFmtId="9" fontId="10" fillId="0" borderId="12" xfId="8" applyFont="1" applyFill="1" applyBorder="1" applyAlignment="1" applyProtection="1">
      <alignment horizontal="center" vertical="top" wrapText="1"/>
      <protection locked="0"/>
    </xf>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9" fontId="12" fillId="0" borderId="1"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25" fillId="2" borderId="11" xfId="0" applyFont="1" applyFill="1" applyBorder="1"/>
    <xf numFmtId="0" fontId="26" fillId="0" borderId="7" xfId="0" applyFont="1" applyBorder="1"/>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1" fontId="8" fillId="0" borderId="6" xfId="0" applyNumberFormat="1" applyFont="1" applyBorder="1" applyAlignment="1" applyProtection="1">
      <alignment vertical="top" wrapText="1"/>
      <protection locked="0"/>
    </xf>
    <xf numFmtId="1" fontId="8" fillId="0" borderId="17"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9"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14" fontId="6" fillId="0" borderId="6" xfId="1" applyNumberFormat="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13"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2" xfId="1" applyNumberFormat="1" applyFont="1" applyBorder="1" applyAlignment="1" applyProtection="1">
      <alignment horizontal="center" vertical="top" wrapText="1"/>
      <protection locked="0"/>
    </xf>
    <xf numFmtId="0" fontId="17" fillId="0" borderId="1" xfId="1" applyFont="1" applyBorder="1" applyAlignment="1" applyProtection="1">
      <alignment horizontal="center" vertical="top"/>
      <protection locked="0"/>
    </xf>
    <xf numFmtId="1" fontId="6" fillId="0" borderId="6"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13" fillId="0" borderId="6" xfId="0" applyNumberFormat="1" applyFont="1" applyBorder="1" applyAlignment="1" applyProtection="1">
      <alignment vertical="top" wrapText="1"/>
      <protection locked="0"/>
    </xf>
    <xf numFmtId="1" fontId="13" fillId="0" borderId="17"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10" fillId="0" borderId="6" xfId="0" applyNumberFormat="1" applyFont="1" applyBorder="1" applyAlignment="1" applyProtection="1">
      <alignment vertical="top" wrapText="1"/>
      <protection locked="0"/>
    </xf>
    <xf numFmtId="1" fontId="10" fillId="0" borderId="17" xfId="0" applyNumberFormat="1" applyFont="1" applyBorder="1" applyAlignment="1" applyProtection="1">
      <alignment vertical="top" wrapText="1"/>
      <protection locked="0"/>
    </xf>
    <xf numFmtId="1" fontId="10" fillId="0" borderId="7" xfId="0" applyNumberFormat="1" applyFont="1" applyBorder="1" applyAlignment="1" applyProtection="1">
      <alignment vertical="top" wrapText="1"/>
      <protection locked="0"/>
    </xf>
    <xf numFmtId="1" fontId="10" fillId="0" borderId="25" xfId="0" applyNumberFormat="1" applyFont="1" applyBorder="1" applyAlignment="1" applyProtection="1">
      <alignment horizontal="center" vertical="top" wrapText="1"/>
      <protection locked="0"/>
    </xf>
    <xf numFmtId="1" fontId="8" fillId="0" borderId="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7" xfId="1" applyNumberFormat="1" applyFont="1" applyBorder="1" applyAlignment="1" applyProtection="1">
      <alignment horizontal="center" vertical="top" wrapText="1"/>
      <protection locked="0"/>
    </xf>
    <xf numFmtId="1" fontId="8" fillId="0" borderId="6"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9" fontId="12" fillId="0" borderId="1" xfId="8"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2" xfId="1" applyNumberFormat="1" applyFont="1" applyBorder="1" applyAlignment="1" applyProtection="1">
      <alignment horizontal="center" vertical="top" wrapText="1"/>
      <protection locked="0"/>
    </xf>
    <xf numFmtId="1" fontId="10" fillId="0" borderId="13" xfId="1" applyNumberFormat="1" applyFont="1" applyBorder="1" applyAlignment="1" applyProtection="1">
      <alignment horizontal="center" vertical="top" wrapText="1"/>
      <protection locked="0"/>
    </xf>
    <xf numFmtId="1" fontId="10" fillId="0" borderId="15" xfId="1" applyNumberFormat="1" applyFont="1" applyBorder="1" applyAlignment="1" applyProtection="1">
      <alignment horizontal="center" vertical="top" wrapText="1"/>
      <protection locked="0"/>
    </xf>
    <xf numFmtId="1" fontId="8" fillId="0" borderId="24" xfId="0" applyNumberFormat="1" applyFont="1" applyBorder="1" applyAlignment="1" applyProtection="1">
      <alignment horizontal="center" vertical="center" wrapText="1"/>
      <protection locked="0"/>
    </xf>
    <xf numFmtId="1" fontId="8" fillId="0" borderId="25" xfId="0" applyNumberFormat="1" applyFont="1" applyBorder="1" applyAlignment="1" applyProtection="1">
      <alignment horizontal="center" vertical="center" wrapText="1"/>
      <protection locked="0"/>
    </xf>
    <xf numFmtId="0" fontId="10" fillId="0" borderId="25" xfId="0"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2" xfId="1" applyNumberFormat="1" applyFont="1" applyBorder="1" applyAlignment="1" applyProtection="1">
      <alignment horizontal="center" vertical="top" wrapText="1"/>
      <protection locked="0"/>
    </xf>
    <xf numFmtId="1" fontId="8" fillId="0" borderId="25" xfId="0" applyNumberFormat="1" applyFont="1" applyBorder="1" applyAlignment="1" applyProtection="1">
      <alignment horizontal="center" vertical="top" wrapText="1"/>
      <protection locked="0"/>
    </xf>
    <xf numFmtId="1" fontId="8" fillId="0" borderId="26"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1" fontId="8" fillId="0" borderId="3"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Fill="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8" fillId="0" borderId="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6"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6" fillId="0" borderId="6" xfId="1" applyFont="1" applyBorder="1" applyAlignment="1" applyProtection="1">
      <alignment vertical="top" wrapText="1"/>
      <protection locked="0"/>
    </xf>
    <xf numFmtId="0" fontId="6" fillId="0" borderId="17" xfId="1" applyFont="1" applyBorder="1" applyAlignment="1" applyProtection="1">
      <alignment vertical="top" wrapText="1"/>
      <protection locked="0"/>
    </xf>
    <xf numFmtId="0" fontId="6" fillId="0" borderId="7" xfId="1" applyFont="1" applyBorder="1" applyAlignment="1" applyProtection="1">
      <alignmen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0" fillId="0" borderId="6" xfId="1" applyFont="1" applyBorder="1" applyAlignment="1" applyProtection="1">
      <alignment horizontal="left" vertical="top"/>
      <protection locked="0"/>
    </xf>
    <xf numFmtId="0" fontId="10" fillId="0" borderId="17" xfId="1" applyFont="1" applyBorder="1" applyAlignment="1" applyProtection="1">
      <alignment horizontal="left" vertical="top"/>
      <protection locked="0"/>
    </xf>
    <xf numFmtId="0" fontId="10" fillId="0" borderId="7" xfId="1" applyFont="1" applyBorder="1" applyAlignment="1" applyProtection="1">
      <alignment horizontal="left" vertical="top"/>
      <protection locked="0"/>
    </xf>
    <xf numFmtId="0" fontId="10" fillId="0" borderId="4" xfId="1" applyFont="1" applyBorder="1" applyAlignment="1" applyProtection="1">
      <alignment horizontal="left" vertical="top"/>
      <protection locked="0"/>
    </xf>
    <xf numFmtId="0" fontId="7" fillId="0" borderId="0" xfId="1" applyFont="1" applyAlignment="1">
      <alignment horizontal="center" vertical="center"/>
    </xf>
    <xf numFmtId="1" fontId="4" fillId="0" borderId="3" xfId="1" applyNumberFormat="1" applyFont="1" applyBorder="1" applyAlignment="1" applyProtection="1">
      <alignment horizontal="center" vertical="top" wrapText="1"/>
      <protection locked="0"/>
    </xf>
    <xf numFmtId="1" fontId="4" fillId="0" borderId="12" xfId="1" applyNumberFormat="1" applyFont="1" applyBorder="1" applyAlignment="1" applyProtection="1">
      <alignment horizontal="center" vertical="top" wrapText="1"/>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1" fontId="17" fillId="0" borderId="3" xfId="1" applyNumberFormat="1" applyFont="1" applyBorder="1" applyAlignment="1" applyProtection="1">
      <alignment horizontal="center" vertical="top" wrapText="1"/>
      <protection locked="0"/>
    </xf>
    <xf numFmtId="1" fontId="17" fillId="0" borderId="12"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5" fillId="0" borderId="1" xfId="1" applyFont="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7.png"/><Relationship Id="rId12" Type="http://schemas.microsoft.com/office/2007/relationships/hdphoto" Target="../media/hdphoto1.wdp"/><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2</xdr:col>
      <xdr:colOff>75877</xdr:colOff>
      <xdr:row>285</xdr:row>
      <xdr:rowOff>84665</xdr:rowOff>
    </xdr:from>
    <xdr:to>
      <xdr:col>5</xdr:col>
      <xdr:colOff>592668</xdr:colOff>
      <xdr:row>303</xdr:row>
      <xdr:rowOff>87841</xdr:rowOff>
    </xdr:to>
    <xdr:grpSp>
      <xdr:nvGrpSpPr>
        <xdr:cNvPr id="21" name="Group 20"/>
        <xdr:cNvGrpSpPr/>
      </xdr:nvGrpSpPr>
      <xdr:grpSpPr>
        <a:xfrm>
          <a:off x="1714177" y="53348465"/>
          <a:ext cx="3221891" cy="3546476"/>
          <a:chOff x="1673959" y="55244999"/>
          <a:chExt cx="3088541" cy="3622676"/>
        </a:xfrm>
      </xdr:grpSpPr>
      <xdr:pic>
        <xdr:nvPicPr>
          <xdr:cNvPr id="2" name="Picture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rot="10800000">
            <a:off x="1673959" y="55267675"/>
            <a:ext cx="3080073" cy="3600000"/>
          </a:xfrm>
          <a:prstGeom prst="rect">
            <a:avLst/>
          </a:prstGeom>
          <a:ln>
            <a:solidFill>
              <a:schemeClr val="tx1"/>
            </a:solidFill>
          </a:ln>
        </xdr:spPr>
      </xdr:pic>
      <xdr:cxnSp macro="">
        <xdr:nvCxnSpPr>
          <xdr:cNvPr id="4" name="Straight Arrow Connector 3"/>
          <xdr:cNvCxnSpPr/>
        </xdr:nvCxnSpPr>
        <xdr:spPr>
          <a:xfrm flipH="1" flipV="1">
            <a:off x="4476749" y="55752998"/>
            <a:ext cx="10584" cy="64558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TextBox 4"/>
          <xdr:cNvSpPr txBox="1"/>
        </xdr:nvSpPr>
        <xdr:spPr>
          <a:xfrm>
            <a:off x="4243916" y="55244999"/>
            <a:ext cx="51858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200" b="1">
                <a:solidFill>
                  <a:srgbClr val="FF0000"/>
                </a:solidFill>
              </a:rPr>
              <a:t>N</a:t>
            </a:r>
          </a:p>
        </xdr:txBody>
      </xdr:sp>
    </xdr:grpSp>
    <xdr:clientData/>
  </xdr:twoCellAnchor>
  <xdr:twoCellAnchor editAs="oneCell">
    <xdr:from>
      <xdr:col>0</xdr:col>
      <xdr:colOff>656167</xdr:colOff>
      <xdr:row>307</xdr:row>
      <xdr:rowOff>95249</xdr:rowOff>
    </xdr:from>
    <xdr:to>
      <xdr:col>7</xdr:col>
      <xdr:colOff>39270</xdr:colOff>
      <xdr:row>327</xdr:row>
      <xdr:rowOff>33583</xdr:rowOff>
    </xdr:to>
    <xdr:pic>
      <xdr:nvPicPr>
        <xdr:cNvPr id="6" name="Picture 5"/>
        <xdr:cNvPicPr>
          <a:picLocks noChangeAspect="1"/>
        </xdr:cNvPicPr>
      </xdr:nvPicPr>
      <xdr:blipFill>
        <a:blip xmlns:r="http://schemas.openxmlformats.org/officeDocument/2006/relationships" r:embed="rId2"/>
        <a:stretch>
          <a:fillRect/>
        </a:stretch>
      </xdr:blipFill>
      <xdr:spPr>
        <a:xfrm>
          <a:off x="656167" y="63838666"/>
          <a:ext cx="4992270" cy="3960000"/>
        </a:xfrm>
        <a:prstGeom prst="rect">
          <a:avLst/>
        </a:prstGeom>
        <a:ln>
          <a:solidFill>
            <a:schemeClr val="tx1"/>
          </a:solidFill>
        </a:ln>
      </xdr:spPr>
    </xdr:pic>
    <xdr:clientData/>
  </xdr:twoCellAnchor>
  <xdr:twoCellAnchor editAs="oneCell">
    <xdr:from>
      <xdr:col>1</xdr:col>
      <xdr:colOff>666748</xdr:colOff>
      <xdr:row>268</xdr:row>
      <xdr:rowOff>84666</xdr:rowOff>
    </xdr:from>
    <xdr:to>
      <xdr:col>6</xdr:col>
      <xdr:colOff>150703</xdr:colOff>
      <xdr:row>284</xdr:row>
      <xdr:rowOff>107332</xdr:rowOff>
    </xdr:to>
    <xdr:pic>
      <xdr:nvPicPr>
        <xdr:cNvPr id="22" name="Picture 21"/>
        <xdr:cNvPicPr>
          <a:picLocks noChangeAspect="1"/>
        </xdr:cNvPicPr>
      </xdr:nvPicPr>
      <xdr:blipFill>
        <a:blip xmlns:r="http://schemas.openxmlformats.org/officeDocument/2006/relationships" r:embed="rId3"/>
        <a:stretch>
          <a:fillRect/>
        </a:stretch>
      </xdr:blipFill>
      <xdr:spPr>
        <a:xfrm>
          <a:off x="1428748" y="52673249"/>
          <a:ext cx="3600872" cy="3240000"/>
        </a:xfrm>
        <a:prstGeom prst="rect">
          <a:avLst/>
        </a:prstGeom>
        <a:ln>
          <a:solidFill>
            <a:schemeClr val="tx1"/>
          </a:solidFill>
        </a:ln>
      </xdr:spPr>
    </xdr:pic>
    <xdr:clientData/>
  </xdr:twoCellAnchor>
  <xdr:twoCellAnchor>
    <xdr:from>
      <xdr:col>2</xdr:col>
      <xdr:colOff>285750</xdr:colOff>
      <xdr:row>271</xdr:row>
      <xdr:rowOff>190501</xdr:rowOff>
    </xdr:from>
    <xdr:to>
      <xdr:col>2</xdr:col>
      <xdr:colOff>296334</xdr:colOff>
      <xdr:row>274</xdr:row>
      <xdr:rowOff>105833</xdr:rowOff>
    </xdr:to>
    <xdr:cxnSp macro="">
      <xdr:nvCxnSpPr>
        <xdr:cNvPr id="23" name="Straight Arrow Connector 22"/>
        <xdr:cNvCxnSpPr/>
      </xdr:nvCxnSpPr>
      <xdr:spPr>
        <a:xfrm flipH="1" flipV="1">
          <a:off x="1852083" y="47233418"/>
          <a:ext cx="10584" cy="51858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74084</xdr:colOff>
      <xdr:row>269</xdr:row>
      <xdr:rowOff>105834</xdr:rowOff>
    </xdr:from>
    <xdr:to>
      <xdr:col>2</xdr:col>
      <xdr:colOff>592668</xdr:colOff>
      <xdr:row>272</xdr:row>
      <xdr:rowOff>74084</xdr:rowOff>
    </xdr:to>
    <xdr:sp macro="" textlink="">
      <xdr:nvSpPr>
        <xdr:cNvPr id="24" name="TextBox 23"/>
        <xdr:cNvSpPr txBox="1"/>
      </xdr:nvSpPr>
      <xdr:spPr>
        <a:xfrm>
          <a:off x="1640417" y="46746584"/>
          <a:ext cx="51858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200" b="1">
              <a:solidFill>
                <a:srgbClr val="FF0000"/>
              </a:solidFill>
            </a:rPr>
            <a:t>N</a:t>
          </a:r>
        </a:p>
      </xdr:txBody>
    </xdr:sp>
    <xdr:clientData/>
  </xdr:twoCellAnchor>
  <xdr:twoCellAnchor editAs="oneCell">
    <xdr:from>
      <xdr:col>0</xdr:col>
      <xdr:colOff>275167</xdr:colOff>
      <xdr:row>327</xdr:row>
      <xdr:rowOff>116419</xdr:rowOff>
    </xdr:from>
    <xdr:to>
      <xdr:col>7</xdr:col>
      <xdr:colOff>462456</xdr:colOff>
      <xdr:row>347</xdr:row>
      <xdr:rowOff>158752</xdr:rowOff>
    </xdr:to>
    <xdr:pic>
      <xdr:nvPicPr>
        <xdr:cNvPr id="25" name="Picture 24"/>
        <xdr:cNvPicPr>
          <a:picLocks noChangeAspect="1"/>
        </xdr:cNvPicPr>
      </xdr:nvPicPr>
      <xdr:blipFill rotWithShape="1">
        <a:blip xmlns:r="http://schemas.openxmlformats.org/officeDocument/2006/relationships" r:embed="rId4"/>
        <a:srcRect l="28331" t="36979" r="40630" b="21875"/>
        <a:stretch/>
      </xdr:blipFill>
      <xdr:spPr>
        <a:xfrm>
          <a:off x="275167" y="55285219"/>
          <a:ext cx="6080089" cy="3979332"/>
        </a:xfrm>
        <a:prstGeom prst="rect">
          <a:avLst/>
        </a:prstGeom>
        <a:ln>
          <a:solidFill>
            <a:schemeClr val="tx1"/>
          </a:solidFill>
        </a:ln>
      </xdr:spPr>
    </xdr:pic>
    <xdr:clientData/>
  </xdr:twoCellAnchor>
  <xdr:twoCellAnchor editAs="oneCell">
    <xdr:from>
      <xdr:col>8</xdr:col>
      <xdr:colOff>222251</xdr:colOff>
      <xdr:row>326</xdr:row>
      <xdr:rowOff>188672</xdr:rowOff>
    </xdr:from>
    <xdr:to>
      <xdr:col>13</xdr:col>
      <xdr:colOff>192501</xdr:colOff>
      <xdr:row>350</xdr:row>
      <xdr:rowOff>61893</xdr:rowOff>
    </xdr:to>
    <xdr:pic>
      <xdr:nvPicPr>
        <xdr:cNvPr id="26" name="Picture 25"/>
        <xdr:cNvPicPr>
          <a:picLocks noChangeAspect="1"/>
        </xdr:cNvPicPr>
      </xdr:nvPicPr>
      <xdr:blipFill rotWithShape="1">
        <a:blip xmlns:r="http://schemas.openxmlformats.org/officeDocument/2006/relationships" r:embed="rId5"/>
        <a:srcRect l="31800" t="10763" r="17374" b="6132"/>
        <a:stretch/>
      </xdr:blipFill>
      <xdr:spPr>
        <a:xfrm rot="16200000">
          <a:off x="6372058" y="56671032"/>
          <a:ext cx="4699220" cy="4320000"/>
        </a:xfrm>
        <a:prstGeom prst="rect">
          <a:avLst/>
        </a:prstGeom>
      </xdr:spPr>
    </xdr:pic>
    <xdr:clientData/>
  </xdr:twoCellAnchor>
  <xdr:twoCellAnchor>
    <xdr:from>
      <xdr:col>13</xdr:col>
      <xdr:colOff>45508</xdr:colOff>
      <xdr:row>316</xdr:row>
      <xdr:rowOff>66675</xdr:rowOff>
    </xdr:from>
    <xdr:to>
      <xdr:col>15</xdr:col>
      <xdr:colOff>223309</xdr:colOff>
      <xdr:row>325</xdr:row>
      <xdr:rowOff>13758</xdr:rowOff>
    </xdr:to>
    <xdr:sp macro="" textlink="">
      <xdr:nvSpPr>
        <xdr:cNvPr id="27" name="Freeform 26"/>
        <xdr:cNvSpPr/>
      </xdr:nvSpPr>
      <xdr:spPr>
        <a:xfrm>
          <a:off x="10742083" y="60293250"/>
          <a:ext cx="1825626" cy="1747308"/>
        </a:xfrm>
        <a:custGeom>
          <a:avLst/>
          <a:gdLst>
            <a:gd name="connsiteX0" fmla="*/ 349250 w 1830917"/>
            <a:gd name="connsiteY0" fmla="*/ 42333 h 1756833"/>
            <a:gd name="connsiteX1" fmla="*/ 814917 w 1830917"/>
            <a:gd name="connsiteY1" fmla="*/ 0 h 1756833"/>
            <a:gd name="connsiteX2" fmla="*/ 1428750 w 1830917"/>
            <a:gd name="connsiteY2" fmla="*/ 84666 h 1756833"/>
            <a:gd name="connsiteX3" fmla="*/ 1830917 w 1830917"/>
            <a:gd name="connsiteY3" fmla="*/ 1153583 h 1756833"/>
            <a:gd name="connsiteX4" fmla="*/ 1513417 w 1830917"/>
            <a:gd name="connsiteY4" fmla="*/ 1756833 h 1756833"/>
            <a:gd name="connsiteX5" fmla="*/ 1047750 w 1830917"/>
            <a:gd name="connsiteY5" fmla="*/ 539750 h 1756833"/>
            <a:gd name="connsiteX6" fmla="*/ 762000 w 1830917"/>
            <a:gd name="connsiteY6" fmla="*/ 783166 h 1756833"/>
            <a:gd name="connsiteX7" fmla="*/ 455083 w 1830917"/>
            <a:gd name="connsiteY7" fmla="*/ 825500 h 1756833"/>
            <a:gd name="connsiteX8" fmla="*/ 328083 w 1830917"/>
            <a:gd name="connsiteY8" fmla="*/ 814916 h 1756833"/>
            <a:gd name="connsiteX9" fmla="*/ 243417 w 1830917"/>
            <a:gd name="connsiteY9" fmla="*/ 730250 h 1756833"/>
            <a:gd name="connsiteX10" fmla="*/ 95250 w 1830917"/>
            <a:gd name="connsiteY10" fmla="*/ 508000 h 1756833"/>
            <a:gd name="connsiteX11" fmla="*/ 0 w 1830917"/>
            <a:gd name="connsiteY11" fmla="*/ 370416 h 1756833"/>
            <a:gd name="connsiteX12" fmla="*/ 349250 w 1830917"/>
            <a:gd name="connsiteY12" fmla="*/ 42333 h 17568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30917" h="1756833">
              <a:moveTo>
                <a:pt x="349250" y="42333"/>
              </a:moveTo>
              <a:lnTo>
                <a:pt x="814917" y="0"/>
              </a:lnTo>
              <a:lnTo>
                <a:pt x="1428750" y="84666"/>
              </a:lnTo>
              <a:lnTo>
                <a:pt x="1830917" y="1153583"/>
              </a:lnTo>
              <a:lnTo>
                <a:pt x="1513417" y="1756833"/>
              </a:lnTo>
              <a:lnTo>
                <a:pt x="1047750" y="539750"/>
              </a:lnTo>
              <a:lnTo>
                <a:pt x="762000" y="783166"/>
              </a:lnTo>
              <a:lnTo>
                <a:pt x="455083" y="825500"/>
              </a:lnTo>
              <a:lnTo>
                <a:pt x="328083" y="814916"/>
              </a:lnTo>
              <a:lnTo>
                <a:pt x="243417" y="730250"/>
              </a:lnTo>
              <a:lnTo>
                <a:pt x="95250" y="508000"/>
              </a:lnTo>
              <a:lnTo>
                <a:pt x="0" y="370416"/>
              </a:lnTo>
              <a:lnTo>
                <a:pt x="349250" y="42333"/>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772583</xdr:colOff>
      <xdr:row>336</xdr:row>
      <xdr:rowOff>84667</xdr:rowOff>
    </xdr:from>
    <xdr:to>
      <xdr:col>6</xdr:col>
      <xdr:colOff>359833</xdr:colOff>
      <xdr:row>345</xdr:row>
      <xdr:rowOff>84667</xdr:rowOff>
    </xdr:to>
    <xdr:sp macro="" textlink="">
      <xdr:nvSpPr>
        <xdr:cNvPr id="28" name="Freeform 27"/>
        <xdr:cNvSpPr/>
      </xdr:nvSpPr>
      <xdr:spPr>
        <a:xfrm>
          <a:off x="4095750" y="58388250"/>
          <a:ext cx="1143000" cy="1809750"/>
        </a:xfrm>
        <a:custGeom>
          <a:avLst/>
          <a:gdLst>
            <a:gd name="connsiteX0" fmla="*/ 0 w 1143000"/>
            <a:gd name="connsiteY0" fmla="*/ 0 h 1809750"/>
            <a:gd name="connsiteX1" fmla="*/ 42333 w 1143000"/>
            <a:gd name="connsiteY1" fmla="*/ 518583 h 1809750"/>
            <a:gd name="connsiteX2" fmla="*/ 338667 w 1143000"/>
            <a:gd name="connsiteY2" fmla="*/ 550333 h 1809750"/>
            <a:gd name="connsiteX3" fmla="*/ 846667 w 1143000"/>
            <a:gd name="connsiteY3" fmla="*/ 1809750 h 1809750"/>
            <a:gd name="connsiteX4" fmla="*/ 1143000 w 1143000"/>
            <a:gd name="connsiteY4" fmla="*/ 1217083 h 1809750"/>
            <a:gd name="connsiteX5" fmla="*/ 814917 w 1143000"/>
            <a:gd name="connsiteY5" fmla="*/ 412750 h 1809750"/>
            <a:gd name="connsiteX6" fmla="*/ 582083 w 1143000"/>
            <a:gd name="connsiteY6" fmla="*/ 95250 h 1809750"/>
            <a:gd name="connsiteX7" fmla="*/ 0 w 1143000"/>
            <a:gd name="connsiteY7" fmla="*/ 0 h 1809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43000" h="1809750">
              <a:moveTo>
                <a:pt x="0" y="0"/>
              </a:moveTo>
              <a:lnTo>
                <a:pt x="42333" y="518583"/>
              </a:lnTo>
              <a:lnTo>
                <a:pt x="338667" y="550333"/>
              </a:lnTo>
              <a:lnTo>
                <a:pt x="846667" y="1809750"/>
              </a:lnTo>
              <a:lnTo>
                <a:pt x="1143000" y="1217083"/>
              </a:lnTo>
              <a:lnTo>
                <a:pt x="814917" y="412750"/>
              </a:lnTo>
              <a:lnTo>
                <a:pt x="582083" y="95250"/>
              </a:lnTo>
              <a:lnTo>
                <a:pt x="0"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676275</xdr:colOff>
      <xdr:row>223</xdr:row>
      <xdr:rowOff>76200</xdr:rowOff>
    </xdr:from>
    <xdr:to>
      <xdr:col>9</xdr:col>
      <xdr:colOff>276225</xdr:colOff>
      <xdr:row>225</xdr:row>
      <xdr:rowOff>28575</xdr:rowOff>
    </xdr:to>
    <xdr:sp macro="" textlink="">
      <xdr:nvSpPr>
        <xdr:cNvPr id="39" name="TextBox 38"/>
        <xdr:cNvSpPr txBox="1"/>
      </xdr:nvSpPr>
      <xdr:spPr>
        <a:xfrm>
          <a:off x="7029450" y="39709725"/>
          <a:ext cx="762000" cy="35242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i="0" cap="none" spc="0">
              <a:ln w="0"/>
              <a:solidFill>
                <a:schemeClr val="tx1"/>
              </a:solidFill>
              <a:effectLst>
                <a:outerShdw blurRad="38100" dist="19050" dir="2700000" algn="tl" rotWithShape="0">
                  <a:schemeClr val="dk1">
                    <a:alpha val="40000"/>
                  </a:schemeClr>
                </a:outerShdw>
              </a:effectLst>
            </a:rPr>
            <a:t>Bldg G</a:t>
          </a:r>
        </a:p>
      </xdr:txBody>
    </xdr:sp>
    <xdr:clientData/>
  </xdr:twoCellAnchor>
  <xdr:twoCellAnchor>
    <xdr:from>
      <xdr:col>10</xdr:col>
      <xdr:colOff>0</xdr:colOff>
      <xdr:row>224</xdr:row>
      <xdr:rowOff>0</xdr:rowOff>
    </xdr:from>
    <xdr:to>
      <xdr:col>11</xdr:col>
      <xdr:colOff>32124</xdr:colOff>
      <xdr:row>225</xdr:row>
      <xdr:rowOff>147544</xdr:rowOff>
    </xdr:to>
    <xdr:sp macro="" textlink="">
      <xdr:nvSpPr>
        <xdr:cNvPr id="29" name="TextBox 28"/>
        <xdr:cNvSpPr txBox="1"/>
      </xdr:nvSpPr>
      <xdr:spPr>
        <a:xfrm>
          <a:off x="8680450" y="41255950"/>
          <a:ext cx="768724" cy="344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i="0" cap="none" spc="0">
              <a:ln w="0"/>
              <a:solidFill>
                <a:schemeClr val="tx1"/>
              </a:solidFill>
              <a:effectLst>
                <a:outerShdw blurRad="38100" dist="19050" dir="2700000" algn="tl" rotWithShape="0">
                  <a:schemeClr val="dk1">
                    <a:alpha val="40000"/>
                  </a:schemeClr>
                </a:outerShdw>
              </a:effectLst>
            </a:rPr>
            <a:t>Bldg H</a:t>
          </a:r>
        </a:p>
      </xdr:txBody>
    </xdr:sp>
    <xdr:clientData/>
  </xdr:twoCellAnchor>
  <xdr:twoCellAnchor>
    <xdr:from>
      <xdr:col>0</xdr:col>
      <xdr:colOff>88900</xdr:colOff>
      <xdr:row>225</xdr:row>
      <xdr:rowOff>76200</xdr:rowOff>
    </xdr:from>
    <xdr:to>
      <xdr:col>7</xdr:col>
      <xdr:colOff>735199</xdr:colOff>
      <xdr:row>266</xdr:row>
      <xdr:rowOff>38100</xdr:rowOff>
    </xdr:to>
    <xdr:grpSp>
      <xdr:nvGrpSpPr>
        <xdr:cNvPr id="3" name="Group 2"/>
        <xdr:cNvGrpSpPr/>
      </xdr:nvGrpSpPr>
      <xdr:grpSpPr>
        <a:xfrm>
          <a:off x="88900" y="41529000"/>
          <a:ext cx="6539099" cy="8032750"/>
          <a:chOff x="88900" y="41529000"/>
          <a:chExt cx="6539099" cy="8032750"/>
        </a:xfrm>
      </xdr:grpSpPr>
      <xdr:pic>
        <xdr:nvPicPr>
          <xdr:cNvPr id="30" name="Picture 2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355852" y="43783718"/>
            <a:ext cx="2022891" cy="270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525470" y="43783718"/>
            <a:ext cx="2022891" cy="27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86841" y="43783718"/>
            <a:ext cx="2022891" cy="270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932961" y="48223504"/>
            <a:ext cx="1354220" cy="1336389"/>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756134" y="46578436"/>
            <a:ext cx="1537397" cy="1529164"/>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88900" y="46578436"/>
            <a:ext cx="1537397" cy="1529164"/>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447842" y="41529000"/>
            <a:ext cx="2877714"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5090602" y="46578436"/>
            <a:ext cx="1537397" cy="1529164"/>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18882" y="41529000"/>
            <a:ext cx="2877714" cy="216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406122" y="48225361"/>
            <a:ext cx="1348594" cy="1336389"/>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423368" y="46578436"/>
            <a:ext cx="1537397" cy="1529164"/>
          </a:xfrm>
          <a:prstGeom prst="rect">
            <a:avLst/>
          </a:prstGeom>
          <a:ln>
            <a:solidFill>
              <a:schemeClr val="tx1"/>
            </a:solidFill>
          </a:ln>
        </xdr:spPr>
      </xdr:pic>
      <xdr:sp macro="" textlink="">
        <xdr:nvSpPr>
          <xdr:cNvPr id="49" name="TextBox 48"/>
          <xdr:cNvSpPr txBox="1"/>
        </xdr:nvSpPr>
        <xdr:spPr>
          <a:xfrm>
            <a:off x="1333282" y="42659300"/>
            <a:ext cx="768724" cy="344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i="0" cap="none" spc="0">
                <a:ln w="0"/>
                <a:solidFill>
                  <a:srgbClr val="FFFF00"/>
                </a:solidFill>
                <a:effectLst>
                  <a:outerShdw blurRad="38100" dist="19050" dir="2700000" algn="tl" rotWithShape="0">
                    <a:schemeClr val="dk1">
                      <a:alpha val="40000"/>
                    </a:schemeClr>
                  </a:outerShdw>
                </a:effectLst>
              </a:rPr>
              <a:t>Bldg 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18oacaf3o8uSLAC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7"/>
  <sheetViews>
    <sheetView tabSelected="1" view="pageBreakPreview" topLeftCell="A5" zoomScaleNormal="100" zoomScaleSheetLayoutView="100" zoomScalePageLayoutView="85" workbookViewId="0">
      <selection activeCell="E10" sqref="E10:H10"/>
    </sheetView>
  </sheetViews>
  <sheetFormatPr defaultColWidth="9.1796875" defaultRowHeight="15.5" x14ac:dyDescent="0.35"/>
  <cols>
    <col min="1" max="1" width="11.453125" style="36" customWidth="1"/>
    <col min="2" max="2" width="12" style="36" customWidth="1"/>
    <col min="3" max="3" width="12.7265625" style="36" customWidth="1"/>
    <col min="4" max="4" width="13.7265625" style="36" customWidth="1"/>
    <col min="5" max="5" width="12.26953125" style="36" customWidth="1"/>
    <col min="6" max="6" width="11.1796875" style="36" customWidth="1"/>
    <col min="7" max="8" width="11" style="36" customWidth="1"/>
    <col min="9" max="9" width="17.453125" style="17" customWidth="1"/>
    <col min="10" max="10" width="11.453125" style="17" customWidth="1"/>
    <col min="11" max="11" width="10.54296875" style="17" bestFit="1" customWidth="1"/>
    <col min="12" max="12" width="13.81640625" style="17" bestFit="1" customWidth="1"/>
    <col min="13" max="13" width="11.81640625" style="17" customWidth="1"/>
    <col min="14" max="14" width="12.54296875" style="17" customWidth="1"/>
    <col min="15" max="15" width="12.1796875" style="17" customWidth="1"/>
    <col min="16" max="16" width="11.7265625" style="17" customWidth="1"/>
    <col min="17" max="18" width="9.1796875" style="17"/>
    <col min="19" max="19" width="10.81640625" style="17" bestFit="1" customWidth="1"/>
    <col min="20" max="20" width="10.7265625" style="17" customWidth="1"/>
    <col min="21" max="247" width="9.1796875" style="17"/>
    <col min="248" max="248" width="8.7265625" style="17" customWidth="1"/>
    <col min="249" max="249" width="9.81640625" style="17" customWidth="1"/>
    <col min="250" max="250" width="14.453125" style="17" customWidth="1"/>
    <col min="251" max="251" width="7.26953125" style="17" customWidth="1"/>
    <col min="252" max="252" width="5.54296875" style="17" customWidth="1"/>
    <col min="253" max="253" width="9" style="17" customWidth="1"/>
    <col min="254" max="255" width="9.81640625" style="17" customWidth="1"/>
    <col min="256" max="256" width="11.1796875" style="17" customWidth="1"/>
    <col min="257" max="257" width="2.81640625" style="17" customWidth="1"/>
    <col min="258" max="258" width="3.54296875" style="17" customWidth="1"/>
    <col min="259" max="503" width="9.1796875" style="17"/>
    <col min="504" max="504" width="8.7265625" style="17" customWidth="1"/>
    <col min="505" max="505" width="9.81640625" style="17" customWidth="1"/>
    <col min="506" max="506" width="14.453125" style="17" customWidth="1"/>
    <col min="507" max="507" width="7.26953125" style="17" customWidth="1"/>
    <col min="508" max="508" width="5.54296875" style="17" customWidth="1"/>
    <col min="509" max="509" width="9" style="17" customWidth="1"/>
    <col min="510" max="511" width="9.81640625" style="17" customWidth="1"/>
    <col min="512" max="512" width="11.1796875" style="17" customWidth="1"/>
    <col min="513" max="513" width="2.81640625" style="17" customWidth="1"/>
    <col min="514" max="514" width="3.54296875" style="17" customWidth="1"/>
    <col min="515" max="759" width="9.1796875" style="17"/>
    <col min="760" max="760" width="8.7265625" style="17" customWidth="1"/>
    <col min="761" max="761" width="9.81640625" style="17" customWidth="1"/>
    <col min="762" max="762" width="14.453125" style="17" customWidth="1"/>
    <col min="763" max="763" width="7.26953125" style="17" customWidth="1"/>
    <col min="764" max="764" width="5.54296875" style="17" customWidth="1"/>
    <col min="765" max="765" width="9" style="17" customWidth="1"/>
    <col min="766" max="767" width="9.81640625" style="17" customWidth="1"/>
    <col min="768" max="768" width="11.1796875" style="17" customWidth="1"/>
    <col min="769" max="769" width="2.81640625" style="17" customWidth="1"/>
    <col min="770" max="770" width="3.54296875" style="17" customWidth="1"/>
    <col min="771" max="1015" width="9.1796875" style="17"/>
    <col min="1016" max="1016" width="8.7265625" style="17" customWidth="1"/>
    <col min="1017" max="1017" width="9.81640625" style="17" customWidth="1"/>
    <col min="1018" max="1018" width="14.453125" style="17" customWidth="1"/>
    <col min="1019" max="1019" width="7.26953125" style="17" customWidth="1"/>
    <col min="1020" max="1020" width="5.54296875" style="17" customWidth="1"/>
    <col min="1021" max="1021" width="9" style="17" customWidth="1"/>
    <col min="1022" max="1023" width="9.81640625" style="17" customWidth="1"/>
    <col min="1024" max="1024" width="11.1796875" style="17" customWidth="1"/>
    <col min="1025" max="1025" width="2.81640625" style="17" customWidth="1"/>
    <col min="1026" max="1026" width="3.54296875" style="17" customWidth="1"/>
    <col min="1027" max="1271" width="9.1796875" style="17"/>
    <col min="1272" max="1272" width="8.7265625" style="17" customWidth="1"/>
    <col min="1273" max="1273" width="9.81640625" style="17" customWidth="1"/>
    <col min="1274" max="1274" width="14.453125" style="17" customWidth="1"/>
    <col min="1275" max="1275" width="7.26953125" style="17" customWidth="1"/>
    <col min="1276" max="1276" width="5.54296875" style="17" customWidth="1"/>
    <col min="1277" max="1277" width="9" style="17" customWidth="1"/>
    <col min="1278" max="1279" width="9.81640625" style="17" customWidth="1"/>
    <col min="1280" max="1280" width="11.1796875" style="17" customWidth="1"/>
    <col min="1281" max="1281" width="2.81640625" style="17" customWidth="1"/>
    <col min="1282" max="1282" width="3.54296875" style="17" customWidth="1"/>
    <col min="1283" max="1527" width="9.1796875" style="17"/>
    <col min="1528" max="1528" width="8.7265625" style="17" customWidth="1"/>
    <col min="1529" max="1529" width="9.81640625" style="17" customWidth="1"/>
    <col min="1530" max="1530" width="14.453125" style="17" customWidth="1"/>
    <col min="1531" max="1531" width="7.26953125" style="17" customWidth="1"/>
    <col min="1532" max="1532" width="5.54296875" style="17" customWidth="1"/>
    <col min="1533" max="1533" width="9" style="17" customWidth="1"/>
    <col min="1534" max="1535" width="9.81640625" style="17" customWidth="1"/>
    <col min="1536" max="1536" width="11.1796875" style="17" customWidth="1"/>
    <col min="1537" max="1537" width="2.81640625" style="17" customWidth="1"/>
    <col min="1538" max="1538" width="3.54296875" style="17" customWidth="1"/>
    <col min="1539" max="1783" width="9.1796875" style="17"/>
    <col min="1784" max="1784" width="8.7265625" style="17" customWidth="1"/>
    <col min="1785" max="1785" width="9.81640625" style="17" customWidth="1"/>
    <col min="1786" max="1786" width="14.453125" style="17" customWidth="1"/>
    <col min="1787" max="1787" width="7.26953125" style="17" customWidth="1"/>
    <col min="1788" max="1788" width="5.54296875" style="17" customWidth="1"/>
    <col min="1789" max="1789" width="9" style="17" customWidth="1"/>
    <col min="1790" max="1791" width="9.81640625" style="17" customWidth="1"/>
    <col min="1792" max="1792" width="11.1796875" style="17" customWidth="1"/>
    <col min="1793" max="1793" width="2.81640625" style="17" customWidth="1"/>
    <col min="1794" max="1794" width="3.54296875" style="17" customWidth="1"/>
    <col min="1795" max="2039" width="9.1796875" style="17"/>
    <col min="2040" max="2040" width="8.7265625" style="17" customWidth="1"/>
    <col min="2041" max="2041" width="9.81640625" style="17" customWidth="1"/>
    <col min="2042" max="2042" width="14.453125" style="17" customWidth="1"/>
    <col min="2043" max="2043" width="7.26953125" style="17" customWidth="1"/>
    <col min="2044" max="2044" width="5.54296875" style="17" customWidth="1"/>
    <col min="2045" max="2045" width="9" style="17" customWidth="1"/>
    <col min="2046" max="2047" width="9.81640625" style="17" customWidth="1"/>
    <col min="2048" max="2048" width="11.1796875" style="17" customWidth="1"/>
    <col min="2049" max="2049" width="2.81640625" style="17" customWidth="1"/>
    <col min="2050" max="2050" width="3.54296875" style="17" customWidth="1"/>
    <col min="2051" max="2295" width="9.1796875" style="17"/>
    <col min="2296" max="2296" width="8.7265625" style="17" customWidth="1"/>
    <col min="2297" max="2297" width="9.81640625" style="17" customWidth="1"/>
    <col min="2298" max="2298" width="14.453125" style="17" customWidth="1"/>
    <col min="2299" max="2299" width="7.26953125" style="17" customWidth="1"/>
    <col min="2300" max="2300" width="5.54296875" style="17" customWidth="1"/>
    <col min="2301" max="2301" width="9" style="17" customWidth="1"/>
    <col min="2302" max="2303" width="9.81640625" style="17" customWidth="1"/>
    <col min="2304" max="2304" width="11.1796875" style="17" customWidth="1"/>
    <col min="2305" max="2305" width="2.81640625" style="17" customWidth="1"/>
    <col min="2306" max="2306" width="3.54296875" style="17" customWidth="1"/>
    <col min="2307" max="2551" width="9.1796875" style="17"/>
    <col min="2552" max="2552" width="8.7265625" style="17" customWidth="1"/>
    <col min="2553" max="2553" width="9.81640625" style="17" customWidth="1"/>
    <col min="2554" max="2554" width="14.453125" style="17" customWidth="1"/>
    <col min="2555" max="2555" width="7.26953125" style="17" customWidth="1"/>
    <col min="2556" max="2556" width="5.54296875" style="17" customWidth="1"/>
    <col min="2557" max="2557" width="9" style="17" customWidth="1"/>
    <col min="2558" max="2559" width="9.81640625" style="17" customWidth="1"/>
    <col min="2560" max="2560" width="11.1796875" style="17" customWidth="1"/>
    <col min="2561" max="2561" width="2.81640625" style="17" customWidth="1"/>
    <col min="2562" max="2562" width="3.54296875" style="17" customWidth="1"/>
    <col min="2563" max="2807" width="9.1796875" style="17"/>
    <col min="2808" max="2808" width="8.7265625" style="17" customWidth="1"/>
    <col min="2809" max="2809" width="9.81640625" style="17" customWidth="1"/>
    <col min="2810" max="2810" width="14.453125" style="17" customWidth="1"/>
    <col min="2811" max="2811" width="7.26953125" style="17" customWidth="1"/>
    <col min="2812" max="2812" width="5.54296875" style="17" customWidth="1"/>
    <col min="2813" max="2813" width="9" style="17" customWidth="1"/>
    <col min="2814" max="2815" width="9.81640625" style="17" customWidth="1"/>
    <col min="2816" max="2816" width="11.1796875" style="17" customWidth="1"/>
    <col min="2817" max="2817" width="2.81640625" style="17" customWidth="1"/>
    <col min="2818" max="2818" width="3.54296875" style="17" customWidth="1"/>
    <col min="2819" max="3063" width="9.1796875" style="17"/>
    <col min="3064" max="3064" width="8.7265625" style="17" customWidth="1"/>
    <col min="3065" max="3065" width="9.81640625" style="17" customWidth="1"/>
    <col min="3066" max="3066" width="14.453125" style="17" customWidth="1"/>
    <col min="3067" max="3067" width="7.26953125" style="17" customWidth="1"/>
    <col min="3068" max="3068" width="5.54296875" style="17" customWidth="1"/>
    <col min="3069" max="3069" width="9" style="17" customWidth="1"/>
    <col min="3070" max="3071" width="9.81640625" style="17" customWidth="1"/>
    <col min="3072" max="3072" width="11.1796875" style="17" customWidth="1"/>
    <col min="3073" max="3073" width="2.81640625" style="17" customWidth="1"/>
    <col min="3074" max="3074" width="3.54296875" style="17" customWidth="1"/>
    <col min="3075" max="3319" width="9.1796875" style="17"/>
    <col min="3320" max="3320" width="8.7265625" style="17" customWidth="1"/>
    <col min="3321" max="3321" width="9.81640625" style="17" customWidth="1"/>
    <col min="3322" max="3322" width="14.453125" style="17" customWidth="1"/>
    <col min="3323" max="3323" width="7.26953125" style="17" customWidth="1"/>
    <col min="3324" max="3324" width="5.54296875" style="17" customWidth="1"/>
    <col min="3325" max="3325" width="9" style="17" customWidth="1"/>
    <col min="3326" max="3327" width="9.81640625" style="17" customWidth="1"/>
    <col min="3328" max="3328" width="11.1796875" style="17" customWidth="1"/>
    <col min="3329" max="3329" width="2.81640625" style="17" customWidth="1"/>
    <col min="3330" max="3330" width="3.54296875" style="17" customWidth="1"/>
    <col min="3331" max="3575" width="9.1796875" style="17"/>
    <col min="3576" max="3576" width="8.7265625" style="17" customWidth="1"/>
    <col min="3577" max="3577" width="9.81640625" style="17" customWidth="1"/>
    <col min="3578" max="3578" width="14.453125" style="17" customWidth="1"/>
    <col min="3579" max="3579" width="7.26953125" style="17" customWidth="1"/>
    <col min="3580" max="3580" width="5.54296875" style="17" customWidth="1"/>
    <col min="3581" max="3581" width="9" style="17" customWidth="1"/>
    <col min="3582" max="3583" width="9.81640625" style="17" customWidth="1"/>
    <col min="3584" max="3584" width="11.1796875" style="17" customWidth="1"/>
    <col min="3585" max="3585" width="2.81640625" style="17" customWidth="1"/>
    <col min="3586" max="3586" width="3.54296875" style="17" customWidth="1"/>
    <col min="3587" max="3831" width="9.1796875" style="17"/>
    <col min="3832" max="3832" width="8.7265625" style="17" customWidth="1"/>
    <col min="3833" max="3833" width="9.81640625" style="17" customWidth="1"/>
    <col min="3834" max="3834" width="14.453125" style="17" customWidth="1"/>
    <col min="3835" max="3835" width="7.26953125" style="17" customWidth="1"/>
    <col min="3836" max="3836" width="5.54296875" style="17" customWidth="1"/>
    <col min="3837" max="3837" width="9" style="17" customWidth="1"/>
    <col min="3838" max="3839" width="9.81640625" style="17" customWidth="1"/>
    <col min="3840" max="3840" width="11.1796875" style="17" customWidth="1"/>
    <col min="3841" max="3841" width="2.81640625" style="17" customWidth="1"/>
    <col min="3842" max="3842" width="3.54296875" style="17" customWidth="1"/>
    <col min="3843" max="4087" width="9.1796875" style="17"/>
    <col min="4088" max="4088" width="8.7265625" style="17" customWidth="1"/>
    <col min="4089" max="4089" width="9.81640625" style="17" customWidth="1"/>
    <col min="4090" max="4090" width="14.453125" style="17" customWidth="1"/>
    <col min="4091" max="4091" width="7.26953125" style="17" customWidth="1"/>
    <col min="4092" max="4092" width="5.54296875" style="17" customWidth="1"/>
    <col min="4093" max="4093" width="9" style="17" customWidth="1"/>
    <col min="4094" max="4095" width="9.81640625" style="17" customWidth="1"/>
    <col min="4096" max="4096" width="11.1796875" style="17" customWidth="1"/>
    <col min="4097" max="4097" width="2.81640625" style="17" customWidth="1"/>
    <col min="4098" max="4098" width="3.54296875" style="17" customWidth="1"/>
    <col min="4099" max="4343" width="9.1796875" style="17"/>
    <col min="4344" max="4344" width="8.7265625" style="17" customWidth="1"/>
    <col min="4345" max="4345" width="9.81640625" style="17" customWidth="1"/>
    <col min="4346" max="4346" width="14.453125" style="17" customWidth="1"/>
    <col min="4347" max="4347" width="7.26953125" style="17" customWidth="1"/>
    <col min="4348" max="4348" width="5.54296875" style="17" customWidth="1"/>
    <col min="4349" max="4349" width="9" style="17" customWidth="1"/>
    <col min="4350" max="4351" width="9.81640625" style="17" customWidth="1"/>
    <col min="4352" max="4352" width="11.1796875" style="17" customWidth="1"/>
    <col min="4353" max="4353" width="2.81640625" style="17" customWidth="1"/>
    <col min="4354" max="4354" width="3.54296875" style="17" customWidth="1"/>
    <col min="4355" max="4599" width="9.1796875" style="17"/>
    <col min="4600" max="4600" width="8.7265625" style="17" customWidth="1"/>
    <col min="4601" max="4601" width="9.81640625" style="17" customWidth="1"/>
    <col min="4602" max="4602" width="14.453125" style="17" customWidth="1"/>
    <col min="4603" max="4603" width="7.26953125" style="17" customWidth="1"/>
    <col min="4604" max="4604" width="5.54296875" style="17" customWidth="1"/>
    <col min="4605" max="4605" width="9" style="17" customWidth="1"/>
    <col min="4606" max="4607" width="9.81640625" style="17" customWidth="1"/>
    <col min="4608" max="4608" width="11.1796875" style="17" customWidth="1"/>
    <col min="4609" max="4609" width="2.81640625" style="17" customWidth="1"/>
    <col min="4610" max="4610" width="3.54296875" style="17" customWidth="1"/>
    <col min="4611" max="4855" width="9.1796875" style="17"/>
    <col min="4856" max="4856" width="8.7265625" style="17" customWidth="1"/>
    <col min="4857" max="4857" width="9.81640625" style="17" customWidth="1"/>
    <col min="4858" max="4858" width="14.453125" style="17" customWidth="1"/>
    <col min="4859" max="4859" width="7.26953125" style="17" customWidth="1"/>
    <col min="4860" max="4860" width="5.54296875" style="17" customWidth="1"/>
    <col min="4861" max="4861" width="9" style="17" customWidth="1"/>
    <col min="4862" max="4863" width="9.81640625" style="17" customWidth="1"/>
    <col min="4864" max="4864" width="11.1796875" style="17" customWidth="1"/>
    <col min="4865" max="4865" width="2.81640625" style="17" customWidth="1"/>
    <col min="4866" max="4866" width="3.54296875" style="17" customWidth="1"/>
    <col min="4867" max="5111" width="9.1796875" style="17"/>
    <col min="5112" max="5112" width="8.7265625" style="17" customWidth="1"/>
    <col min="5113" max="5113" width="9.81640625" style="17" customWidth="1"/>
    <col min="5114" max="5114" width="14.453125" style="17" customWidth="1"/>
    <col min="5115" max="5115" width="7.26953125" style="17" customWidth="1"/>
    <col min="5116" max="5116" width="5.54296875" style="17" customWidth="1"/>
    <col min="5117" max="5117" width="9" style="17" customWidth="1"/>
    <col min="5118" max="5119" width="9.81640625" style="17" customWidth="1"/>
    <col min="5120" max="5120" width="11.1796875" style="17" customWidth="1"/>
    <col min="5121" max="5121" width="2.81640625" style="17" customWidth="1"/>
    <col min="5122" max="5122" width="3.54296875" style="17" customWidth="1"/>
    <col min="5123" max="5367" width="9.1796875" style="17"/>
    <col min="5368" max="5368" width="8.7265625" style="17" customWidth="1"/>
    <col min="5369" max="5369" width="9.81640625" style="17" customWidth="1"/>
    <col min="5370" max="5370" width="14.453125" style="17" customWidth="1"/>
    <col min="5371" max="5371" width="7.26953125" style="17" customWidth="1"/>
    <col min="5372" max="5372" width="5.54296875" style="17" customWidth="1"/>
    <col min="5373" max="5373" width="9" style="17" customWidth="1"/>
    <col min="5374" max="5375" width="9.81640625" style="17" customWidth="1"/>
    <col min="5376" max="5376" width="11.1796875" style="17" customWidth="1"/>
    <col min="5377" max="5377" width="2.81640625" style="17" customWidth="1"/>
    <col min="5378" max="5378" width="3.54296875" style="17" customWidth="1"/>
    <col min="5379" max="5623" width="9.1796875" style="17"/>
    <col min="5624" max="5624" width="8.7265625" style="17" customWidth="1"/>
    <col min="5625" max="5625" width="9.81640625" style="17" customWidth="1"/>
    <col min="5626" max="5626" width="14.453125" style="17" customWidth="1"/>
    <col min="5627" max="5627" width="7.26953125" style="17" customWidth="1"/>
    <col min="5628" max="5628" width="5.54296875" style="17" customWidth="1"/>
    <col min="5629" max="5629" width="9" style="17" customWidth="1"/>
    <col min="5630" max="5631" width="9.81640625" style="17" customWidth="1"/>
    <col min="5632" max="5632" width="11.1796875" style="17" customWidth="1"/>
    <col min="5633" max="5633" width="2.81640625" style="17" customWidth="1"/>
    <col min="5634" max="5634" width="3.54296875" style="17" customWidth="1"/>
    <col min="5635" max="5879" width="9.1796875" style="17"/>
    <col min="5880" max="5880" width="8.7265625" style="17" customWidth="1"/>
    <col min="5881" max="5881" width="9.81640625" style="17" customWidth="1"/>
    <col min="5882" max="5882" width="14.453125" style="17" customWidth="1"/>
    <col min="5883" max="5883" width="7.26953125" style="17" customWidth="1"/>
    <col min="5884" max="5884" width="5.54296875" style="17" customWidth="1"/>
    <col min="5885" max="5885" width="9" style="17" customWidth="1"/>
    <col min="5886" max="5887" width="9.81640625" style="17" customWidth="1"/>
    <col min="5888" max="5888" width="11.1796875" style="17" customWidth="1"/>
    <col min="5889" max="5889" width="2.81640625" style="17" customWidth="1"/>
    <col min="5890" max="5890" width="3.54296875" style="17" customWidth="1"/>
    <col min="5891" max="6135" width="9.1796875" style="17"/>
    <col min="6136" max="6136" width="8.7265625" style="17" customWidth="1"/>
    <col min="6137" max="6137" width="9.81640625" style="17" customWidth="1"/>
    <col min="6138" max="6138" width="14.453125" style="17" customWidth="1"/>
    <col min="6139" max="6139" width="7.26953125" style="17" customWidth="1"/>
    <col min="6140" max="6140" width="5.54296875" style="17" customWidth="1"/>
    <col min="6141" max="6141" width="9" style="17" customWidth="1"/>
    <col min="6142" max="6143" width="9.81640625" style="17" customWidth="1"/>
    <col min="6144" max="6144" width="11.1796875" style="17" customWidth="1"/>
    <col min="6145" max="6145" width="2.81640625" style="17" customWidth="1"/>
    <col min="6146" max="6146" width="3.54296875" style="17" customWidth="1"/>
    <col min="6147" max="6391" width="9.1796875" style="17"/>
    <col min="6392" max="6392" width="8.7265625" style="17" customWidth="1"/>
    <col min="6393" max="6393" width="9.81640625" style="17" customWidth="1"/>
    <col min="6394" max="6394" width="14.453125" style="17" customWidth="1"/>
    <col min="6395" max="6395" width="7.26953125" style="17" customWidth="1"/>
    <col min="6396" max="6396" width="5.54296875" style="17" customWidth="1"/>
    <col min="6397" max="6397" width="9" style="17" customWidth="1"/>
    <col min="6398" max="6399" width="9.81640625" style="17" customWidth="1"/>
    <col min="6400" max="6400" width="11.1796875" style="17" customWidth="1"/>
    <col min="6401" max="6401" width="2.81640625" style="17" customWidth="1"/>
    <col min="6402" max="6402" width="3.54296875" style="17" customWidth="1"/>
    <col min="6403" max="6647" width="9.1796875" style="17"/>
    <col min="6648" max="6648" width="8.7265625" style="17" customWidth="1"/>
    <col min="6649" max="6649" width="9.81640625" style="17" customWidth="1"/>
    <col min="6650" max="6650" width="14.453125" style="17" customWidth="1"/>
    <col min="6651" max="6651" width="7.26953125" style="17" customWidth="1"/>
    <col min="6652" max="6652" width="5.54296875" style="17" customWidth="1"/>
    <col min="6653" max="6653" width="9" style="17" customWidth="1"/>
    <col min="6654" max="6655" width="9.81640625" style="17" customWidth="1"/>
    <col min="6656" max="6656" width="11.1796875" style="17" customWidth="1"/>
    <col min="6657" max="6657" width="2.81640625" style="17" customWidth="1"/>
    <col min="6658" max="6658" width="3.54296875" style="17" customWidth="1"/>
    <col min="6659" max="6903" width="9.1796875" style="17"/>
    <col min="6904" max="6904" width="8.7265625" style="17" customWidth="1"/>
    <col min="6905" max="6905" width="9.81640625" style="17" customWidth="1"/>
    <col min="6906" max="6906" width="14.453125" style="17" customWidth="1"/>
    <col min="6907" max="6907" width="7.26953125" style="17" customWidth="1"/>
    <col min="6908" max="6908" width="5.54296875" style="17" customWidth="1"/>
    <col min="6909" max="6909" width="9" style="17" customWidth="1"/>
    <col min="6910" max="6911" width="9.81640625" style="17" customWidth="1"/>
    <col min="6912" max="6912" width="11.1796875" style="17" customWidth="1"/>
    <col min="6913" max="6913" width="2.81640625" style="17" customWidth="1"/>
    <col min="6914" max="6914" width="3.54296875" style="17" customWidth="1"/>
    <col min="6915" max="7159" width="9.1796875" style="17"/>
    <col min="7160" max="7160" width="8.7265625" style="17" customWidth="1"/>
    <col min="7161" max="7161" width="9.81640625" style="17" customWidth="1"/>
    <col min="7162" max="7162" width="14.453125" style="17" customWidth="1"/>
    <col min="7163" max="7163" width="7.26953125" style="17" customWidth="1"/>
    <col min="7164" max="7164" width="5.54296875" style="17" customWidth="1"/>
    <col min="7165" max="7165" width="9" style="17" customWidth="1"/>
    <col min="7166" max="7167" width="9.81640625" style="17" customWidth="1"/>
    <col min="7168" max="7168" width="11.1796875" style="17" customWidth="1"/>
    <col min="7169" max="7169" width="2.81640625" style="17" customWidth="1"/>
    <col min="7170" max="7170" width="3.54296875" style="17" customWidth="1"/>
    <col min="7171" max="7415" width="9.1796875" style="17"/>
    <col min="7416" max="7416" width="8.7265625" style="17" customWidth="1"/>
    <col min="7417" max="7417" width="9.81640625" style="17" customWidth="1"/>
    <col min="7418" max="7418" width="14.453125" style="17" customWidth="1"/>
    <col min="7419" max="7419" width="7.26953125" style="17" customWidth="1"/>
    <col min="7420" max="7420" width="5.54296875" style="17" customWidth="1"/>
    <col min="7421" max="7421" width="9" style="17" customWidth="1"/>
    <col min="7422" max="7423" width="9.81640625" style="17" customWidth="1"/>
    <col min="7424" max="7424" width="11.1796875" style="17" customWidth="1"/>
    <col min="7425" max="7425" width="2.81640625" style="17" customWidth="1"/>
    <col min="7426" max="7426" width="3.54296875" style="17" customWidth="1"/>
    <col min="7427" max="7671" width="9.1796875" style="17"/>
    <col min="7672" max="7672" width="8.7265625" style="17" customWidth="1"/>
    <col min="7673" max="7673" width="9.81640625" style="17" customWidth="1"/>
    <col min="7674" max="7674" width="14.453125" style="17" customWidth="1"/>
    <col min="7675" max="7675" width="7.26953125" style="17" customWidth="1"/>
    <col min="7676" max="7676" width="5.54296875" style="17" customWidth="1"/>
    <col min="7677" max="7677" width="9" style="17" customWidth="1"/>
    <col min="7678" max="7679" width="9.81640625" style="17" customWidth="1"/>
    <col min="7680" max="7680" width="11.1796875" style="17" customWidth="1"/>
    <col min="7681" max="7681" width="2.81640625" style="17" customWidth="1"/>
    <col min="7682" max="7682" width="3.54296875" style="17" customWidth="1"/>
    <col min="7683" max="7927" width="9.1796875" style="17"/>
    <col min="7928" max="7928" width="8.7265625" style="17" customWidth="1"/>
    <col min="7929" max="7929" width="9.81640625" style="17" customWidth="1"/>
    <col min="7930" max="7930" width="14.453125" style="17" customWidth="1"/>
    <col min="7931" max="7931" width="7.26953125" style="17" customWidth="1"/>
    <col min="7932" max="7932" width="5.54296875" style="17" customWidth="1"/>
    <col min="7933" max="7933" width="9" style="17" customWidth="1"/>
    <col min="7934" max="7935" width="9.81640625" style="17" customWidth="1"/>
    <col min="7936" max="7936" width="11.1796875" style="17" customWidth="1"/>
    <col min="7937" max="7937" width="2.81640625" style="17" customWidth="1"/>
    <col min="7938" max="7938" width="3.54296875" style="17" customWidth="1"/>
    <col min="7939" max="8183" width="9.1796875" style="17"/>
    <col min="8184" max="8184" width="8.7265625" style="17" customWidth="1"/>
    <col min="8185" max="8185" width="9.81640625" style="17" customWidth="1"/>
    <col min="8186" max="8186" width="14.453125" style="17" customWidth="1"/>
    <col min="8187" max="8187" width="7.26953125" style="17" customWidth="1"/>
    <col min="8188" max="8188" width="5.54296875" style="17" customWidth="1"/>
    <col min="8189" max="8189" width="9" style="17" customWidth="1"/>
    <col min="8190" max="8191" width="9.81640625" style="17" customWidth="1"/>
    <col min="8192" max="8192" width="11.1796875" style="17" customWidth="1"/>
    <col min="8193" max="8193" width="2.81640625" style="17" customWidth="1"/>
    <col min="8194" max="8194" width="3.54296875" style="17" customWidth="1"/>
    <col min="8195" max="8439" width="9.1796875" style="17"/>
    <col min="8440" max="8440" width="8.7265625" style="17" customWidth="1"/>
    <col min="8441" max="8441" width="9.81640625" style="17" customWidth="1"/>
    <col min="8442" max="8442" width="14.453125" style="17" customWidth="1"/>
    <col min="8443" max="8443" width="7.26953125" style="17" customWidth="1"/>
    <col min="8444" max="8444" width="5.54296875" style="17" customWidth="1"/>
    <col min="8445" max="8445" width="9" style="17" customWidth="1"/>
    <col min="8446" max="8447" width="9.81640625" style="17" customWidth="1"/>
    <col min="8448" max="8448" width="11.1796875" style="17" customWidth="1"/>
    <col min="8449" max="8449" width="2.81640625" style="17" customWidth="1"/>
    <col min="8450" max="8450" width="3.54296875" style="17" customWidth="1"/>
    <col min="8451" max="8695" width="9.1796875" style="17"/>
    <col min="8696" max="8696" width="8.7265625" style="17" customWidth="1"/>
    <col min="8697" max="8697" width="9.81640625" style="17" customWidth="1"/>
    <col min="8698" max="8698" width="14.453125" style="17" customWidth="1"/>
    <col min="8699" max="8699" width="7.26953125" style="17" customWidth="1"/>
    <col min="8700" max="8700" width="5.54296875" style="17" customWidth="1"/>
    <col min="8701" max="8701" width="9" style="17" customWidth="1"/>
    <col min="8702" max="8703" width="9.81640625" style="17" customWidth="1"/>
    <col min="8704" max="8704" width="11.1796875" style="17" customWidth="1"/>
    <col min="8705" max="8705" width="2.81640625" style="17" customWidth="1"/>
    <col min="8706" max="8706" width="3.54296875" style="17" customWidth="1"/>
    <col min="8707" max="8951" width="9.1796875" style="17"/>
    <col min="8952" max="8952" width="8.7265625" style="17" customWidth="1"/>
    <col min="8953" max="8953" width="9.81640625" style="17" customWidth="1"/>
    <col min="8954" max="8954" width="14.453125" style="17" customWidth="1"/>
    <col min="8955" max="8955" width="7.26953125" style="17" customWidth="1"/>
    <col min="8956" max="8956" width="5.54296875" style="17" customWidth="1"/>
    <col min="8957" max="8957" width="9" style="17" customWidth="1"/>
    <col min="8958" max="8959" width="9.81640625" style="17" customWidth="1"/>
    <col min="8960" max="8960" width="11.1796875" style="17" customWidth="1"/>
    <col min="8961" max="8961" width="2.81640625" style="17" customWidth="1"/>
    <col min="8962" max="8962" width="3.54296875" style="17" customWidth="1"/>
    <col min="8963" max="9207" width="9.1796875" style="17"/>
    <col min="9208" max="9208" width="8.7265625" style="17" customWidth="1"/>
    <col min="9209" max="9209" width="9.81640625" style="17" customWidth="1"/>
    <col min="9210" max="9210" width="14.453125" style="17" customWidth="1"/>
    <col min="9211" max="9211" width="7.26953125" style="17" customWidth="1"/>
    <col min="9212" max="9212" width="5.54296875" style="17" customWidth="1"/>
    <col min="9213" max="9213" width="9" style="17" customWidth="1"/>
    <col min="9214" max="9215" width="9.81640625" style="17" customWidth="1"/>
    <col min="9216" max="9216" width="11.1796875" style="17" customWidth="1"/>
    <col min="9217" max="9217" width="2.81640625" style="17" customWidth="1"/>
    <col min="9218" max="9218" width="3.54296875" style="17" customWidth="1"/>
    <col min="9219" max="9463" width="9.1796875" style="17"/>
    <col min="9464" max="9464" width="8.7265625" style="17" customWidth="1"/>
    <col min="9465" max="9465" width="9.81640625" style="17" customWidth="1"/>
    <col min="9466" max="9466" width="14.453125" style="17" customWidth="1"/>
    <col min="9467" max="9467" width="7.26953125" style="17" customWidth="1"/>
    <col min="9468" max="9468" width="5.54296875" style="17" customWidth="1"/>
    <col min="9469" max="9469" width="9" style="17" customWidth="1"/>
    <col min="9470" max="9471" width="9.81640625" style="17" customWidth="1"/>
    <col min="9472" max="9472" width="11.1796875" style="17" customWidth="1"/>
    <col min="9473" max="9473" width="2.81640625" style="17" customWidth="1"/>
    <col min="9474" max="9474" width="3.54296875" style="17" customWidth="1"/>
    <col min="9475" max="9719" width="9.1796875" style="17"/>
    <col min="9720" max="9720" width="8.7265625" style="17" customWidth="1"/>
    <col min="9721" max="9721" width="9.81640625" style="17" customWidth="1"/>
    <col min="9722" max="9722" width="14.453125" style="17" customWidth="1"/>
    <col min="9723" max="9723" width="7.26953125" style="17" customWidth="1"/>
    <col min="9724" max="9724" width="5.54296875" style="17" customWidth="1"/>
    <col min="9725" max="9725" width="9" style="17" customWidth="1"/>
    <col min="9726" max="9727" width="9.81640625" style="17" customWidth="1"/>
    <col min="9728" max="9728" width="11.1796875" style="17" customWidth="1"/>
    <col min="9729" max="9729" width="2.81640625" style="17" customWidth="1"/>
    <col min="9730" max="9730" width="3.54296875" style="17" customWidth="1"/>
    <col min="9731" max="9975" width="9.1796875" style="17"/>
    <col min="9976" max="9976" width="8.7265625" style="17" customWidth="1"/>
    <col min="9977" max="9977" width="9.81640625" style="17" customWidth="1"/>
    <col min="9978" max="9978" width="14.453125" style="17" customWidth="1"/>
    <col min="9979" max="9979" width="7.26953125" style="17" customWidth="1"/>
    <col min="9980" max="9980" width="5.54296875" style="17" customWidth="1"/>
    <col min="9981" max="9981" width="9" style="17" customWidth="1"/>
    <col min="9982" max="9983" width="9.81640625" style="17" customWidth="1"/>
    <col min="9984" max="9984" width="11.1796875" style="17" customWidth="1"/>
    <col min="9985" max="9985" width="2.81640625" style="17" customWidth="1"/>
    <col min="9986" max="9986" width="3.54296875" style="17" customWidth="1"/>
    <col min="9987" max="10231" width="9.1796875" style="17"/>
    <col min="10232" max="10232" width="8.7265625" style="17" customWidth="1"/>
    <col min="10233" max="10233" width="9.81640625" style="17" customWidth="1"/>
    <col min="10234" max="10234" width="14.453125" style="17" customWidth="1"/>
    <col min="10235" max="10235" width="7.26953125" style="17" customWidth="1"/>
    <col min="10236" max="10236" width="5.54296875" style="17" customWidth="1"/>
    <col min="10237" max="10237" width="9" style="17" customWidth="1"/>
    <col min="10238" max="10239" width="9.81640625" style="17" customWidth="1"/>
    <col min="10240" max="10240" width="11.1796875" style="17" customWidth="1"/>
    <col min="10241" max="10241" width="2.81640625" style="17" customWidth="1"/>
    <col min="10242" max="10242" width="3.54296875" style="17" customWidth="1"/>
    <col min="10243" max="10487" width="9.1796875" style="17"/>
    <col min="10488" max="10488" width="8.7265625" style="17" customWidth="1"/>
    <col min="10489" max="10489" width="9.81640625" style="17" customWidth="1"/>
    <col min="10490" max="10490" width="14.453125" style="17" customWidth="1"/>
    <col min="10491" max="10491" width="7.26953125" style="17" customWidth="1"/>
    <col min="10492" max="10492" width="5.54296875" style="17" customWidth="1"/>
    <col min="10493" max="10493" width="9" style="17" customWidth="1"/>
    <col min="10494" max="10495" width="9.81640625" style="17" customWidth="1"/>
    <col min="10496" max="10496" width="11.1796875" style="17" customWidth="1"/>
    <col min="10497" max="10497" width="2.81640625" style="17" customWidth="1"/>
    <col min="10498" max="10498" width="3.54296875" style="17" customWidth="1"/>
    <col min="10499" max="10743" width="9.1796875" style="17"/>
    <col min="10744" max="10744" width="8.7265625" style="17" customWidth="1"/>
    <col min="10745" max="10745" width="9.81640625" style="17" customWidth="1"/>
    <col min="10746" max="10746" width="14.453125" style="17" customWidth="1"/>
    <col min="10747" max="10747" width="7.26953125" style="17" customWidth="1"/>
    <col min="10748" max="10748" width="5.54296875" style="17" customWidth="1"/>
    <col min="10749" max="10749" width="9" style="17" customWidth="1"/>
    <col min="10750" max="10751" width="9.81640625" style="17" customWidth="1"/>
    <col min="10752" max="10752" width="11.1796875" style="17" customWidth="1"/>
    <col min="10753" max="10753" width="2.81640625" style="17" customWidth="1"/>
    <col min="10754" max="10754" width="3.54296875" style="17" customWidth="1"/>
    <col min="10755" max="10999" width="9.1796875" style="17"/>
    <col min="11000" max="11000" width="8.7265625" style="17" customWidth="1"/>
    <col min="11001" max="11001" width="9.81640625" style="17" customWidth="1"/>
    <col min="11002" max="11002" width="14.453125" style="17" customWidth="1"/>
    <col min="11003" max="11003" width="7.26953125" style="17" customWidth="1"/>
    <col min="11004" max="11004" width="5.54296875" style="17" customWidth="1"/>
    <col min="11005" max="11005" width="9" style="17" customWidth="1"/>
    <col min="11006" max="11007" width="9.81640625" style="17" customWidth="1"/>
    <col min="11008" max="11008" width="11.1796875" style="17" customWidth="1"/>
    <col min="11009" max="11009" width="2.81640625" style="17" customWidth="1"/>
    <col min="11010" max="11010" width="3.54296875" style="17" customWidth="1"/>
    <col min="11011" max="11255" width="9.1796875" style="17"/>
    <col min="11256" max="11256" width="8.7265625" style="17" customWidth="1"/>
    <col min="11257" max="11257" width="9.81640625" style="17" customWidth="1"/>
    <col min="11258" max="11258" width="14.453125" style="17" customWidth="1"/>
    <col min="11259" max="11259" width="7.26953125" style="17" customWidth="1"/>
    <col min="11260" max="11260" width="5.54296875" style="17" customWidth="1"/>
    <col min="11261" max="11261" width="9" style="17" customWidth="1"/>
    <col min="11262" max="11263" width="9.81640625" style="17" customWidth="1"/>
    <col min="11264" max="11264" width="11.1796875" style="17" customWidth="1"/>
    <col min="11265" max="11265" width="2.81640625" style="17" customWidth="1"/>
    <col min="11266" max="11266" width="3.54296875" style="17" customWidth="1"/>
    <col min="11267" max="11511" width="9.1796875" style="17"/>
    <col min="11512" max="11512" width="8.7265625" style="17" customWidth="1"/>
    <col min="11513" max="11513" width="9.81640625" style="17" customWidth="1"/>
    <col min="11514" max="11514" width="14.453125" style="17" customWidth="1"/>
    <col min="11515" max="11515" width="7.26953125" style="17" customWidth="1"/>
    <col min="11516" max="11516" width="5.54296875" style="17" customWidth="1"/>
    <col min="11517" max="11517" width="9" style="17" customWidth="1"/>
    <col min="11518" max="11519" width="9.81640625" style="17" customWidth="1"/>
    <col min="11520" max="11520" width="11.1796875" style="17" customWidth="1"/>
    <col min="11521" max="11521" width="2.81640625" style="17" customWidth="1"/>
    <col min="11522" max="11522" width="3.54296875" style="17" customWidth="1"/>
    <col min="11523" max="11767" width="9.1796875" style="17"/>
    <col min="11768" max="11768" width="8.7265625" style="17" customWidth="1"/>
    <col min="11769" max="11769" width="9.81640625" style="17" customWidth="1"/>
    <col min="11770" max="11770" width="14.453125" style="17" customWidth="1"/>
    <col min="11771" max="11771" width="7.26953125" style="17" customWidth="1"/>
    <col min="11772" max="11772" width="5.54296875" style="17" customWidth="1"/>
    <col min="11773" max="11773" width="9" style="17" customWidth="1"/>
    <col min="11774" max="11775" width="9.81640625" style="17" customWidth="1"/>
    <col min="11776" max="11776" width="11.1796875" style="17" customWidth="1"/>
    <col min="11777" max="11777" width="2.81640625" style="17" customWidth="1"/>
    <col min="11778" max="11778" width="3.54296875" style="17" customWidth="1"/>
    <col min="11779" max="12023" width="9.1796875" style="17"/>
    <col min="12024" max="12024" width="8.7265625" style="17" customWidth="1"/>
    <col min="12025" max="12025" width="9.81640625" style="17" customWidth="1"/>
    <col min="12026" max="12026" width="14.453125" style="17" customWidth="1"/>
    <col min="12027" max="12027" width="7.26953125" style="17" customWidth="1"/>
    <col min="12028" max="12028" width="5.54296875" style="17" customWidth="1"/>
    <col min="12029" max="12029" width="9" style="17" customWidth="1"/>
    <col min="12030" max="12031" width="9.81640625" style="17" customWidth="1"/>
    <col min="12032" max="12032" width="11.1796875" style="17" customWidth="1"/>
    <col min="12033" max="12033" width="2.81640625" style="17" customWidth="1"/>
    <col min="12034" max="12034" width="3.54296875" style="17" customWidth="1"/>
    <col min="12035" max="12279" width="9.1796875" style="17"/>
    <col min="12280" max="12280" width="8.7265625" style="17" customWidth="1"/>
    <col min="12281" max="12281" width="9.81640625" style="17" customWidth="1"/>
    <col min="12282" max="12282" width="14.453125" style="17" customWidth="1"/>
    <col min="12283" max="12283" width="7.26953125" style="17" customWidth="1"/>
    <col min="12284" max="12284" width="5.54296875" style="17" customWidth="1"/>
    <col min="12285" max="12285" width="9" style="17" customWidth="1"/>
    <col min="12286" max="12287" width="9.81640625" style="17" customWidth="1"/>
    <col min="12288" max="12288" width="11.1796875" style="17" customWidth="1"/>
    <col min="12289" max="12289" width="2.81640625" style="17" customWidth="1"/>
    <col min="12290" max="12290" width="3.54296875" style="17" customWidth="1"/>
    <col min="12291" max="12535" width="9.1796875" style="17"/>
    <col min="12536" max="12536" width="8.7265625" style="17" customWidth="1"/>
    <col min="12537" max="12537" width="9.81640625" style="17" customWidth="1"/>
    <col min="12538" max="12538" width="14.453125" style="17" customWidth="1"/>
    <col min="12539" max="12539" width="7.26953125" style="17" customWidth="1"/>
    <col min="12540" max="12540" width="5.54296875" style="17" customWidth="1"/>
    <col min="12541" max="12541" width="9" style="17" customWidth="1"/>
    <col min="12542" max="12543" width="9.81640625" style="17" customWidth="1"/>
    <col min="12544" max="12544" width="11.1796875" style="17" customWidth="1"/>
    <col min="12545" max="12545" width="2.81640625" style="17" customWidth="1"/>
    <col min="12546" max="12546" width="3.54296875" style="17" customWidth="1"/>
    <col min="12547" max="12791" width="9.1796875" style="17"/>
    <col min="12792" max="12792" width="8.7265625" style="17" customWidth="1"/>
    <col min="12793" max="12793" width="9.81640625" style="17" customWidth="1"/>
    <col min="12794" max="12794" width="14.453125" style="17" customWidth="1"/>
    <col min="12795" max="12795" width="7.26953125" style="17" customWidth="1"/>
    <col min="12796" max="12796" width="5.54296875" style="17" customWidth="1"/>
    <col min="12797" max="12797" width="9" style="17" customWidth="1"/>
    <col min="12798" max="12799" width="9.81640625" style="17" customWidth="1"/>
    <col min="12800" max="12800" width="11.1796875" style="17" customWidth="1"/>
    <col min="12801" max="12801" width="2.81640625" style="17" customWidth="1"/>
    <col min="12802" max="12802" width="3.54296875" style="17" customWidth="1"/>
    <col min="12803" max="13047" width="9.1796875" style="17"/>
    <col min="13048" max="13048" width="8.7265625" style="17" customWidth="1"/>
    <col min="13049" max="13049" width="9.81640625" style="17" customWidth="1"/>
    <col min="13050" max="13050" width="14.453125" style="17" customWidth="1"/>
    <col min="13051" max="13051" width="7.26953125" style="17" customWidth="1"/>
    <col min="13052" max="13052" width="5.54296875" style="17" customWidth="1"/>
    <col min="13053" max="13053" width="9" style="17" customWidth="1"/>
    <col min="13054" max="13055" width="9.81640625" style="17" customWidth="1"/>
    <col min="13056" max="13056" width="11.1796875" style="17" customWidth="1"/>
    <col min="13057" max="13057" width="2.81640625" style="17" customWidth="1"/>
    <col min="13058" max="13058" width="3.54296875" style="17" customWidth="1"/>
    <col min="13059" max="13303" width="9.1796875" style="17"/>
    <col min="13304" max="13304" width="8.7265625" style="17" customWidth="1"/>
    <col min="13305" max="13305" width="9.81640625" style="17" customWidth="1"/>
    <col min="13306" max="13306" width="14.453125" style="17" customWidth="1"/>
    <col min="13307" max="13307" width="7.26953125" style="17" customWidth="1"/>
    <col min="13308" max="13308" width="5.54296875" style="17" customWidth="1"/>
    <col min="13309" max="13309" width="9" style="17" customWidth="1"/>
    <col min="13310" max="13311" width="9.81640625" style="17" customWidth="1"/>
    <col min="13312" max="13312" width="11.1796875" style="17" customWidth="1"/>
    <col min="13313" max="13313" width="2.81640625" style="17" customWidth="1"/>
    <col min="13314" max="13314" width="3.54296875" style="17" customWidth="1"/>
    <col min="13315" max="13559" width="9.1796875" style="17"/>
    <col min="13560" max="13560" width="8.7265625" style="17" customWidth="1"/>
    <col min="13561" max="13561" width="9.81640625" style="17" customWidth="1"/>
    <col min="13562" max="13562" width="14.453125" style="17" customWidth="1"/>
    <col min="13563" max="13563" width="7.26953125" style="17" customWidth="1"/>
    <col min="13564" max="13564" width="5.54296875" style="17" customWidth="1"/>
    <col min="13565" max="13565" width="9" style="17" customWidth="1"/>
    <col min="13566" max="13567" width="9.81640625" style="17" customWidth="1"/>
    <col min="13568" max="13568" width="11.1796875" style="17" customWidth="1"/>
    <col min="13569" max="13569" width="2.81640625" style="17" customWidth="1"/>
    <col min="13570" max="13570" width="3.54296875" style="17" customWidth="1"/>
    <col min="13571" max="13815" width="9.1796875" style="17"/>
    <col min="13816" max="13816" width="8.7265625" style="17" customWidth="1"/>
    <col min="13817" max="13817" width="9.81640625" style="17" customWidth="1"/>
    <col min="13818" max="13818" width="14.453125" style="17" customWidth="1"/>
    <col min="13819" max="13819" width="7.26953125" style="17" customWidth="1"/>
    <col min="13820" max="13820" width="5.54296875" style="17" customWidth="1"/>
    <col min="13821" max="13821" width="9" style="17" customWidth="1"/>
    <col min="13822" max="13823" width="9.81640625" style="17" customWidth="1"/>
    <col min="13824" max="13824" width="11.1796875" style="17" customWidth="1"/>
    <col min="13825" max="13825" width="2.81640625" style="17" customWidth="1"/>
    <col min="13826" max="13826" width="3.54296875" style="17" customWidth="1"/>
    <col min="13827" max="14071" width="9.1796875" style="17"/>
    <col min="14072" max="14072" width="8.7265625" style="17" customWidth="1"/>
    <col min="14073" max="14073" width="9.81640625" style="17" customWidth="1"/>
    <col min="14074" max="14074" width="14.453125" style="17" customWidth="1"/>
    <col min="14075" max="14075" width="7.26953125" style="17" customWidth="1"/>
    <col min="14076" max="14076" width="5.54296875" style="17" customWidth="1"/>
    <col min="14077" max="14077" width="9" style="17" customWidth="1"/>
    <col min="14078" max="14079" width="9.81640625" style="17" customWidth="1"/>
    <col min="14080" max="14080" width="11.1796875" style="17" customWidth="1"/>
    <col min="14081" max="14081" width="2.81640625" style="17" customWidth="1"/>
    <col min="14082" max="14082" width="3.54296875" style="17" customWidth="1"/>
    <col min="14083" max="14327" width="9.1796875" style="17"/>
    <col min="14328" max="14328" width="8.7265625" style="17" customWidth="1"/>
    <col min="14329" max="14329" width="9.81640625" style="17" customWidth="1"/>
    <col min="14330" max="14330" width="14.453125" style="17" customWidth="1"/>
    <col min="14331" max="14331" width="7.26953125" style="17" customWidth="1"/>
    <col min="14332" max="14332" width="5.54296875" style="17" customWidth="1"/>
    <col min="14333" max="14333" width="9" style="17" customWidth="1"/>
    <col min="14334" max="14335" width="9.81640625" style="17" customWidth="1"/>
    <col min="14336" max="14336" width="11.1796875" style="17" customWidth="1"/>
    <col min="14337" max="14337" width="2.81640625" style="17" customWidth="1"/>
    <col min="14338" max="14338" width="3.54296875" style="17" customWidth="1"/>
    <col min="14339" max="14583" width="9.1796875" style="17"/>
    <col min="14584" max="14584" width="8.7265625" style="17" customWidth="1"/>
    <col min="14585" max="14585" width="9.81640625" style="17" customWidth="1"/>
    <col min="14586" max="14586" width="14.453125" style="17" customWidth="1"/>
    <col min="14587" max="14587" width="7.26953125" style="17" customWidth="1"/>
    <col min="14588" max="14588" width="5.54296875" style="17" customWidth="1"/>
    <col min="14589" max="14589" width="9" style="17" customWidth="1"/>
    <col min="14590" max="14591" width="9.81640625" style="17" customWidth="1"/>
    <col min="14592" max="14592" width="11.1796875" style="17" customWidth="1"/>
    <col min="14593" max="14593" width="2.81640625" style="17" customWidth="1"/>
    <col min="14594" max="14594" width="3.54296875" style="17" customWidth="1"/>
    <col min="14595" max="14839" width="9.1796875" style="17"/>
    <col min="14840" max="14840" width="8.7265625" style="17" customWidth="1"/>
    <col min="14841" max="14841" width="9.81640625" style="17" customWidth="1"/>
    <col min="14842" max="14842" width="14.453125" style="17" customWidth="1"/>
    <col min="14843" max="14843" width="7.26953125" style="17" customWidth="1"/>
    <col min="14844" max="14844" width="5.54296875" style="17" customWidth="1"/>
    <col min="14845" max="14845" width="9" style="17" customWidth="1"/>
    <col min="14846" max="14847" width="9.81640625" style="17" customWidth="1"/>
    <col min="14848" max="14848" width="11.1796875" style="17" customWidth="1"/>
    <col min="14849" max="14849" width="2.81640625" style="17" customWidth="1"/>
    <col min="14850" max="14850" width="3.54296875" style="17" customWidth="1"/>
    <col min="14851" max="15095" width="9.1796875" style="17"/>
    <col min="15096" max="15096" width="8.7265625" style="17" customWidth="1"/>
    <col min="15097" max="15097" width="9.81640625" style="17" customWidth="1"/>
    <col min="15098" max="15098" width="14.453125" style="17" customWidth="1"/>
    <col min="15099" max="15099" width="7.26953125" style="17" customWidth="1"/>
    <col min="15100" max="15100" width="5.54296875" style="17" customWidth="1"/>
    <col min="15101" max="15101" width="9" style="17" customWidth="1"/>
    <col min="15102" max="15103" width="9.81640625" style="17" customWidth="1"/>
    <col min="15104" max="15104" width="11.1796875" style="17" customWidth="1"/>
    <col min="15105" max="15105" width="2.81640625" style="17" customWidth="1"/>
    <col min="15106" max="15106" width="3.54296875" style="17" customWidth="1"/>
    <col min="15107" max="15351" width="9.1796875" style="17"/>
    <col min="15352" max="15352" width="8.7265625" style="17" customWidth="1"/>
    <col min="15353" max="15353" width="9.81640625" style="17" customWidth="1"/>
    <col min="15354" max="15354" width="14.453125" style="17" customWidth="1"/>
    <col min="15355" max="15355" width="7.26953125" style="17" customWidth="1"/>
    <col min="15356" max="15356" width="5.54296875" style="17" customWidth="1"/>
    <col min="15357" max="15357" width="9" style="17" customWidth="1"/>
    <col min="15358" max="15359" width="9.81640625" style="17" customWidth="1"/>
    <col min="15360" max="15360" width="11.1796875" style="17" customWidth="1"/>
    <col min="15361" max="15361" width="2.81640625" style="17" customWidth="1"/>
    <col min="15362" max="15362" width="3.54296875" style="17" customWidth="1"/>
    <col min="15363" max="15607" width="9.1796875" style="17"/>
    <col min="15608" max="15608" width="8.7265625" style="17" customWidth="1"/>
    <col min="15609" max="15609" width="9.81640625" style="17" customWidth="1"/>
    <col min="15610" max="15610" width="14.453125" style="17" customWidth="1"/>
    <col min="15611" max="15611" width="7.26953125" style="17" customWidth="1"/>
    <col min="15612" max="15612" width="5.54296875" style="17" customWidth="1"/>
    <col min="15613" max="15613" width="9" style="17" customWidth="1"/>
    <col min="15614" max="15615" width="9.81640625" style="17" customWidth="1"/>
    <col min="15616" max="15616" width="11.1796875" style="17" customWidth="1"/>
    <col min="15617" max="15617" width="2.81640625" style="17" customWidth="1"/>
    <col min="15618" max="15618" width="3.54296875" style="17" customWidth="1"/>
    <col min="15619" max="15863" width="9.1796875" style="17"/>
    <col min="15864" max="15864" width="8.7265625" style="17" customWidth="1"/>
    <col min="15865" max="15865" width="9.81640625" style="17" customWidth="1"/>
    <col min="15866" max="15866" width="14.453125" style="17" customWidth="1"/>
    <col min="15867" max="15867" width="7.26953125" style="17" customWidth="1"/>
    <col min="15868" max="15868" width="5.54296875" style="17" customWidth="1"/>
    <col min="15869" max="15869" width="9" style="17" customWidth="1"/>
    <col min="15870" max="15871" width="9.81640625" style="17" customWidth="1"/>
    <col min="15872" max="15872" width="11.1796875" style="17" customWidth="1"/>
    <col min="15873" max="15873" width="2.81640625" style="17" customWidth="1"/>
    <col min="15874" max="15874" width="3.54296875" style="17" customWidth="1"/>
    <col min="15875" max="16119" width="9.1796875" style="17"/>
    <col min="16120" max="16120" width="8.7265625" style="17" customWidth="1"/>
    <col min="16121" max="16121" width="9.81640625" style="17" customWidth="1"/>
    <col min="16122" max="16122" width="14.453125" style="17" customWidth="1"/>
    <col min="16123" max="16123" width="7.26953125" style="17" customWidth="1"/>
    <col min="16124" max="16124" width="5.54296875" style="17" customWidth="1"/>
    <col min="16125" max="16125" width="9" style="17" customWidth="1"/>
    <col min="16126" max="16127" width="9.81640625" style="17" customWidth="1"/>
    <col min="16128" max="16128" width="11.1796875" style="17" customWidth="1"/>
    <col min="16129" max="16129" width="2.81640625" style="17" customWidth="1"/>
    <col min="16130" max="16130" width="3.54296875" style="17" customWidth="1"/>
    <col min="16131" max="16384" width="9.1796875" style="17"/>
  </cols>
  <sheetData>
    <row r="1" spans="1:26" ht="46.5" customHeight="1" x14ac:dyDescent="0.35">
      <c r="A1" s="170" t="s">
        <v>161</v>
      </c>
      <c r="B1" s="170"/>
      <c r="C1" s="170"/>
      <c r="D1" s="170"/>
      <c r="E1" s="170"/>
      <c r="F1" s="170"/>
      <c r="G1" s="170"/>
      <c r="H1" s="170"/>
    </row>
    <row r="2" spans="1:26" ht="16.5" customHeight="1" x14ac:dyDescent="0.35">
      <c r="A2" s="147" t="s">
        <v>0</v>
      </c>
      <c r="B2" s="147"/>
      <c r="C2" s="147"/>
      <c r="D2" s="147"/>
      <c r="E2" s="147"/>
      <c r="F2" s="147"/>
      <c r="G2" s="147"/>
      <c r="H2" s="147"/>
    </row>
    <row r="3" spans="1:26" x14ac:dyDescent="0.35">
      <c r="A3" s="171" t="s">
        <v>1</v>
      </c>
      <c r="B3" s="171"/>
      <c r="C3" s="171"/>
      <c r="D3" s="171"/>
      <c r="E3" s="171" t="str">
        <f ca="1">TEXT(TODAY(),"DD/MM/YYYY")</f>
        <v>11/09/2025</v>
      </c>
      <c r="F3" s="171"/>
      <c r="G3" s="171"/>
      <c r="H3" s="171"/>
      <c r="K3" s="50" t="s">
        <v>231</v>
      </c>
      <c r="L3" s="47" t="s">
        <v>229</v>
      </c>
      <c r="M3" s="47" t="s">
        <v>234</v>
      </c>
      <c r="N3" s="47" t="s">
        <v>232</v>
      </c>
      <c r="O3" s="47" t="s">
        <v>233</v>
      </c>
      <c r="P3" s="47" t="s">
        <v>235</v>
      </c>
    </row>
    <row r="4" spans="1:26" ht="15" customHeight="1" x14ac:dyDescent="0.35">
      <c r="A4" s="171" t="s">
        <v>228</v>
      </c>
      <c r="B4" s="171"/>
      <c r="C4" s="171"/>
      <c r="D4" s="171"/>
      <c r="E4" s="173" t="s">
        <v>229</v>
      </c>
      <c r="F4" s="173"/>
      <c r="G4" s="173"/>
      <c r="H4" s="173"/>
      <c r="K4" s="46" t="s">
        <v>230</v>
      </c>
      <c r="L4" s="47" t="s">
        <v>167</v>
      </c>
      <c r="M4" s="47" t="s">
        <v>239</v>
      </c>
      <c r="N4" s="47" t="s">
        <v>241</v>
      </c>
      <c r="O4" s="47" t="s">
        <v>243</v>
      </c>
      <c r="P4" s="47"/>
    </row>
    <row r="5" spans="1:26" ht="15" customHeight="1" x14ac:dyDescent="0.35">
      <c r="A5" s="171" t="s">
        <v>2</v>
      </c>
      <c r="B5" s="171"/>
      <c r="C5" s="171"/>
      <c r="D5" s="171"/>
      <c r="E5" s="173" t="s">
        <v>238</v>
      </c>
      <c r="F5" s="173"/>
      <c r="G5" s="173"/>
      <c r="H5" s="173"/>
      <c r="K5" s="46"/>
      <c r="L5" s="47" t="s">
        <v>236</v>
      </c>
      <c r="M5" s="47" t="s">
        <v>240</v>
      </c>
      <c r="N5" s="47" t="s">
        <v>242</v>
      </c>
      <c r="O5" s="47" t="s">
        <v>244</v>
      </c>
      <c r="P5" s="47"/>
    </row>
    <row r="6" spans="1:26" x14ac:dyDescent="0.35">
      <c r="A6" s="171" t="s">
        <v>3</v>
      </c>
      <c r="B6" s="171"/>
      <c r="C6" s="171"/>
      <c r="D6" s="171"/>
      <c r="E6" s="174">
        <v>45906</v>
      </c>
      <c r="F6" s="171"/>
      <c r="G6" s="171"/>
      <c r="H6" s="171"/>
      <c r="K6" s="46"/>
      <c r="L6" s="47" t="s">
        <v>237</v>
      </c>
      <c r="M6" s="47"/>
      <c r="N6" s="47"/>
      <c r="O6" s="47" t="s">
        <v>245</v>
      </c>
      <c r="P6" s="47"/>
    </row>
    <row r="7" spans="1:26" ht="16.5" customHeight="1" x14ac:dyDescent="0.35">
      <c r="A7" s="171" t="s">
        <v>4</v>
      </c>
      <c r="B7" s="171"/>
      <c r="C7" s="171"/>
      <c r="D7" s="171"/>
      <c r="E7" s="172" t="s">
        <v>297</v>
      </c>
      <c r="F7" s="171"/>
      <c r="G7" s="171"/>
      <c r="H7" s="171"/>
      <c r="K7" s="46"/>
      <c r="L7" s="47" t="s">
        <v>238</v>
      </c>
      <c r="M7" s="47"/>
      <c r="N7" s="47"/>
      <c r="O7" s="47" t="s">
        <v>245</v>
      </c>
      <c r="P7" s="47"/>
    </row>
    <row r="8" spans="1:26" ht="15" customHeight="1" x14ac:dyDescent="0.35">
      <c r="A8" s="171" t="s">
        <v>5</v>
      </c>
      <c r="B8" s="171"/>
      <c r="C8" s="171"/>
      <c r="D8" s="171"/>
      <c r="E8" s="171" t="str">
        <f>E7</f>
        <v xml:space="preserve">Matoshree Space Builders And Developers
</v>
      </c>
      <c r="F8" s="171"/>
      <c r="G8" s="171"/>
      <c r="H8" s="171"/>
      <c r="K8" s="46"/>
      <c r="L8" s="47"/>
      <c r="M8" s="47"/>
      <c r="N8" s="47"/>
      <c r="O8" s="47" t="s">
        <v>246</v>
      </c>
      <c r="P8" s="47"/>
    </row>
    <row r="9" spans="1:26" x14ac:dyDescent="0.35">
      <c r="A9" s="171" t="s">
        <v>6</v>
      </c>
      <c r="B9" s="171"/>
      <c r="C9" s="171"/>
      <c r="D9" s="171"/>
      <c r="E9" s="114" t="s">
        <v>298</v>
      </c>
      <c r="F9" s="113"/>
      <c r="G9" s="113"/>
      <c r="H9" s="113"/>
      <c r="K9" s="46"/>
      <c r="L9" s="47"/>
      <c r="M9" s="47"/>
      <c r="N9" s="47"/>
      <c r="O9" s="47" t="s">
        <v>247</v>
      </c>
      <c r="P9" s="47"/>
    </row>
    <row r="10" spans="1:26" x14ac:dyDescent="0.35">
      <c r="A10" s="171" t="s">
        <v>164</v>
      </c>
      <c r="B10" s="171"/>
      <c r="C10" s="171"/>
      <c r="D10" s="171"/>
      <c r="E10" s="172" t="s">
        <v>299</v>
      </c>
      <c r="F10" s="171"/>
      <c r="G10" s="171"/>
      <c r="H10" s="171"/>
      <c r="K10" s="46"/>
      <c r="L10" s="47"/>
      <c r="M10" s="47"/>
      <c r="N10" s="47"/>
      <c r="O10" s="47"/>
      <c r="P10" s="47"/>
    </row>
    <row r="11" spans="1:26" x14ac:dyDescent="0.35">
      <c r="A11" s="171" t="s">
        <v>165</v>
      </c>
      <c r="B11" s="171"/>
      <c r="C11" s="171"/>
      <c r="D11" s="171"/>
      <c r="E11" s="171">
        <v>8356839878</v>
      </c>
      <c r="F11" s="171"/>
      <c r="G11" s="171"/>
      <c r="H11" s="171"/>
    </row>
    <row r="12" spans="1:26" x14ac:dyDescent="0.35">
      <c r="A12" s="171" t="s">
        <v>7</v>
      </c>
      <c r="B12" s="171"/>
      <c r="C12" s="171"/>
      <c r="D12" s="171"/>
      <c r="E12" s="171" t="s">
        <v>300</v>
      </c>
      <c r="F12" s="171"/>
      <c r="G12" s="171"/>
      <c r="H12" s="171"/>
    </row>
    <row r="13" spans="1:26" x14ac:dyDescent="0.35">
      <c r="A13" s="171" t="s">
        <v>168</v>
      </c>
      <c r="B13" s="171"/>
      <c r="C13" s="171"/>
      <c r="D13" s="171"/>
      <c r="E13" s="171" t="s">
        <v>28</v>
      </c>
      <c r="F13" s="171"/>
      <c r="G13" s="171"/>
      <c r="H13" s="171"/>
      <c r="S13" s="47" t="s">
        <v>174</v>
      </c>
      <c r="T13" s="47" t="s">
        <v>184</v>
      </c>
      <c r="U13" s="47" t="s">
        <v>169</v>
      </c>
      <c r="V13" s="47" t="s">
        <v>189</v>
      </c>
      <c r="W13" s="47" t="s">
        <v>207</v>
      </c>
      <c r="X13"/>
      <c r="Y13" t="s">
        <v>189</v>
      </c>
      <c r="Z13" t="e">
        <f ca="1">OFFSET($S$13,1,MATCH($G20,$S$13:$W$13,0)-1,15,1)</f>
        <v>#VALUE!</v>
      </c>
    </row>
    <row r="14" spans="1:26" ht="16.5" customHeight="1" x14ac:dyDescent="0.35">
      <c r="A14" s="95" t="s">
        <v>274</v>
      </c>
      <c r="B14" s="95"/>
      <c r="C14" s="95"/>
      <c r="D14" s="95"/>
      <c r="E14" s="175" t="s">
        <v>223</v>
      </c>
      <c r="F14" s="175"/>
      <c r="G14" s="175"/>
      <c r="H14" s="175"/>
      <c r="S14" s="47" t="s">
        <v>175</v>
      </c>
      <c r="T14" s="47" t="s">
        <v>182</v>
      </c>
      <c r="U14" s="47" t="s">
        <v>204</v>
      </c>
      <c r="V14" s="47" t="s">
        <v>190</v>
      </c>
      <c r="W14" s="47" t="s">
        <v>208</v>
      </c>
      <c r="X14"/>
      <c r="Y14"/>
      <c r="Z14"/>
    </row>
    <row r="15" spans="1:26" x14ac:dyDescent="0.35">
      <c r="A15" s="95" t="s">
        <v>8</v>
      </c>
      <c r="B15" s="95"/>
      <c r="C15" s="95"/>
      <c r="D15" s="95"/>
      <c r="E15" s="176" t="s">
        <v>301</v>
      </c>
      <c r="F15" s="173"/>
      <c r="G15" s="173"/>
      <c r="H15" s="173"/>
      <c r="I15" s="91" t="e">
        <f ca="1">OFFSET($D$5,1,MATCH($J13,$D$5:$H$5,0)-1,15,1)</f>
        <v>#N/A</v>
      </c>
      <c r="J15" s="92"/>
      <c r="K15" s="92"/>
      <c r="L15" s="92"/>
      <c r="M15" s="92"/>
      <c r="N15" s="92"/>
      <c r="O15" s="92"/>
      <c r="P15" s="92"/>
      <c r="S15" s="47" t="s">
        <v>176</v>
      </c>
      <c r="T15" s="47" t="s">
        <v>183</v>
      </c>
      <c r="U15" s="47" t="s">
        <v>205</v>
      </c>
      <c r="V15" s="47" t="s">
        <v>191</v>
      </c>
      <c r="W15" s="47" t="s">
        <v>221</v>
      </c>
      <c r="X15"/>
      <c r="Y15"/>
      <c r="Z15"/>
    </row>
    <row r="16" spans="1:26" ht="48.75" customHeight="1" x14ac:dyDescent="0.35">
      <c r="A16" s="107" t="s">
        <v>9</v>
      </c>
      <c r="B16" s="107"/>
      <c r="C16" s="107" t="str">
        <f>CONCATENATE((IF(OR(E9="",E9="NA"),"",E9)),", ",(IF(OR(A17="",A17="NA"),"",A17)),".",(IF(OR(C17="",C17="NA"),"",C17)),", near ",(IF(OR(C22="",C22="NA"),"",C22)),", ",(IF(OR(C19="",C19="NA"),"",C19)),", ",(IF(OR(C18="",C18="NA"),"",C18)),", ",(IF(OR(G19="",G19="NA"),"",G19)),", ",(IF(OR(C20="",C20="NA"),"",C20)),", ",(IF(OR(C21="",C21="NA"),"",C21)),", ",(IF(OR(G20="",G20="NA"),"",G20))," - ",(IF(OR(G21="",G21="NA"),"",G21)),".")</f>
        <v>Mukta Avenue, Survey No.5/10, 5/12, 5/13, 5/14, 5/15, 5/16, 5/17 &amp; 5/18, near Nirmal Nagari Building, Nirmal Nagari Road, Khardipada, Dawale, Diva East, Thane, Thane  - 400612.</v>
      </c>
      <c r="D16" s="107"/>
      <c r="E16" s="107"/>
      <c r="F16" s="107"/>
      <c r="G16" s="107"/>
      <c r="H16" s="107"/>
      <c r="S16" s="47" t="s">
        <v>177</v>
      </c>
      <c r="T16" s="47" t="s">
        <v>185</v>
      </c>
      <c r="U16" s="47" t="s">
        <v>206</v>
      </c>
      <c r="V16" s="47" t="s">
        <v>192</v>
      </c>
      <c r="W16" s="47" t="s">
        <v>209</v>
      </c>
      <c r="X16"/>
      <c r="Y16"/>
      <c r="Z16"/>
    </row>
    <row r="17" spans="1:26" x14ac:dyDescent="0.35">
      <c r="A17" s="176" t="s">
        <v>302</v>
      </c>
      <c r="B17" s="176"/>
      <c r="C17" s="176" t="s">
        <v>337</v>
      </c>
      <c r="D17" s="176"/>
      <c r="E17" s="176"/>
      <c r="F17" s="176"/>
      <c r="G17" s="176"/>
      <c r="H17" s="176"/>
      <c r="S17" s="47" t="s">
        <v>178</v>
      </c>
      <c r="T17" s="47" t="s">
        <v>186</v>
      </c>
      <c r="U17" s="47" t="s">
        <v>169</v>
      </c>
      <c r="V17" s="47" t="s">
        <v>193</v>
      </c>
      <c r="W17" s="47" t="s">
        <v>210</v>
      </c>
      <c r="X17"/>
      <c r="Y17"/>
      <c r="Z17"/>
    </row>
    <row r="18" spans="1:26" ht="15.75" customHeight="1" x14ac:dyDescent="0.35">
      <c r="A18" s="176" t="s">
        <v>159</v>
      </c>
      <c r="B18" s="176"/>
      <c r="C18" s="176" t="s">
        <v>326</v>
      </c>
      <c r="D18" s="176"/>
      <c r="E18" s="176"/>
      <c r="F18" s="176"/>
      <c r="G18" s="176"/>
      <c r="H18" s="176"/>
      <c r="S18" s="47" t="s">
        <v>179</v>
      </c>
      <c r="T18" s="47" t="s">
        <v>184</v>
      </c>
      <c r="U18" s="47"/>
      <c r="V18" s="47" t="s">
        <v>194</v>
      </c>
      <c r="W18" s="47" t="s">
        <v>211</v>
      </c>
      <c r="X18"/>
      <c r="Y18"/>
      <c r="Z18"/>
    </row>
    <row r="19" spans="1:26" ht="15.75" customHeight="1" x14ac:dyDescent="0.35">
      <c r="A19" s="176" t="s">
        <v>10</v>
      </c>
      <c r="B19" s="176"/>
      <c r="C19" s="173" t="s">
        <v>324</v>
      </c>
      <c r="D19" s="173"/>
      <c r="E19" s="176" t="s">
        <v>70</v>
      </c>
      <c r="F19" s="176"/>
      <c r="G19" s="176" t="s">
        <v>303</v>
      </c>
      <c r="H19" s="176"/>
      <c r="S19" s="47" t="s">
        <v>180</v>
      </c>
      <c r="T19" s="47" t="s">
        <v>187</v>
      </c>
      <c r="U19" s="47"/>
      <c r="V19" s="47" t="s">
        <v>195</v>
      </c>
      <c r="W19" s="47" t="s">
        <v>212</v>
      </c>
      <c r="X19"/>
      <c r="Y19"/>
      <c r="Z19"/>
    </row>
    <row r="20" spans="1:26" x14ac:dyDescent="0.35">
      <c r="A20" s="173" t="s">
        <v>12</v>
      </c>
      <c r="B20" s="173"/>
      <c r="C20" s="176" t="s">
        <v>328</v>
      </c>
      <c r="D20" s="176"/>
      <c r="E20" s="176" t="s">
        <v>11</v>
      </c>
      <c r="F20" s="176"/>
      <c r="G20" s="177" t="s">
        <v>174</v>
      </c>
      <c r="H20" s="177"/>
      <c r="S20" s="47" t="s">
        <v>181</v>
      </c>
      <c r="T20" s="47" t="s">
        <v>188</v>
      </c>
      <c r="U20" s="47"/>
      <c r="V20" s="47" t="s">
        <v>196</v>
      </c>
      <c r="W20" s="47" t="s">
        <v>213</v>
      </c>
      <c r="X20"/>
      <c r="Y20"/>
      <c r="Z20"/>
    </row>
    <row r="21" spans="1:26" x14ac:dyDescent="0.35">
      <c r="A21" s="173" t="s">
        <v>71</v>
      </c>
      <c r="B21" s="173"/>
      <c r="C21" s="176" t="s">
        <v>175</v>
      </c>
      <c r="D21" s="176"/>
      <c r="E21" s="176" t="s">
        <v>13</v>
      </c>
      <c r="F21" s="176"/>
      <c r="G21" s="176">
        <v>400612</v>
      </c>
      <c r="H21" s="176"/>
      <c r="S21" s="47"/>
      <c r="T21" s="47"/>
      <c r="U21" s="47"/>
      <c r="V21" s="47" t="s">
        <v>197</v>
      </c>
      <c r="W21" s="47" t="s">
        <v>214</v>
      </c>
      <c r="X21"/>
      <c r="Y21"/>
      <c r="Z21"/>
    </row>
    <row r="22" spans="1:26" ht="32.25" customHeight="1" x14ac:dyDescent="0.35">
      <c r="A22" s="173" t="s">
        <v>118</v>
      </c>
      <c r="B22" s="173"/>
      <c r="C22" s="176" t="s">
        <v>325</v>
      </c>
      <c r="D22" s="176"/>
      <c r="E22" s="176" t="s">
        <v>14</v>
      </c>
      <c r="F22" s="176"/>
      <c r="G22" s="176" t="s">
        <v>327</v>
      </c>
      <c r="H22" s="176"/>
      <c r="S22" s="47"/>
      <c r="T22" s="47"/>
      <c r="U22" s="47"/>
      <c r="V22" s="47" t="s">
        <v>198</v>
      </c>
      <c r="W22" s="47" t="s">
        <v>215</v>
      </c>
      <c r="X22"/>
      <c r="Y22"/>
      <c r="Z22"/>
    </row>
    <row r="23" spans="1:26" ht="15" customHeight="1" x14ac:dyDescent="0.35">
      <c r="A23" s="107" t="s">
        <v>73</v>
      </c>
      <c r="B23" s="107"/>
      <c r="C23" s="107"/>
      <c r="D23" s="107"/>
      <c r="E23" s="171" t="s">
        <v>15</v>
      </c>
      <c r="F23" s="171"/>
      <c r="G23" s="171"/>
      <c r="H23" s="171"/>
      <c r="S23" s="47"/>
      <c r="T23" s="47"/>
      <c r="U23" s="47"/>
      <c r="V23" s="47" t="s">
        <v>199</v>
      </c>
      <c r="W23" s="47" t="s">
        <v>216</v>
      </c>
      <c r="X23"/>
      <c r="Y23"/>
      <c r="Z23"/>
    </row>
    <row r="24" spans="1:26" ht="18.75" customHeight="1" x14ac:dyDescent="0.35">
      <c r="A24" s="107"/>
      <c r="B24" s="107"/>
      <c r="C24" s="107"/>
      <c r="D24" s="107"/>
      <c r="E24" s="171"/>
      <c r="F24" s="171"/>
      <c r="G24" s="171"/>
      <c r="H24" s="171"/>
      <c r="S24" s="47"/>
      <c r="T24" s="47"/>
      <c r="U24" s="47"/>
      <c r="V24" s="47" t="s">
        <v>200</v>
      </c>
      <c r="W24" s="47" t="s">
        <v>217</v>
      </c>
      <c r="X24"/>
      <c r="Y24"/>
      <c r="Z24"/>
    </row>
    <row r="25" spans="1:26" ht="15" customHeight="1" x14ac:dyDescent="0.35">
      <c r="A25" s="107" t="s">
        <v>16</v>
      </c>
      <c r="B25" s="107"/>
      <c r="C25" s="107"/>
      <c r="D25" s="107"/>
      <c r="E25" s="172" t="s">
        <v>17</v>
      </c>
      <c r="F25" s="172"/>
      <c r="G25" s="172"/>
      <c r="H25" s="172"/>
      <c r="S25" s="47"/>
      <c r="T25" s="47"/>
      <c r="U25" s="47"/>
      <c r="V25" s="47" t="s">
        <v>201</v>
      </c>
      <c r="W25" s="47" t="s">
        <v>218</v>
      </c>
      <c r="X25"/>
      <c r="Y25"/>
      <c r="Z25"/>
    </row>
    <row r="26" spans="1:26" ht="15" customHeight="1" x14ac:dyDescent="0.35">
      <c r="A26" s="95" t="s">
        <v>18</v>
      </c>
      <c r="B26" s="95"/>
      <c r="C26" s="95"/>
      <c r="D26" s="95"/>
      <c r="E26" s="172" t="str">
        <f>IF(AND(G20="Mumbai"),"Upper Class","Middle Class")</f>
        <v>Middle Class</v>
      </c>
      <c r="F26" s="172"/>
      <c r="G26" s="172"/>
      <c r="H26" s="172"/>
      <c r="S26" s="47"/>
      <c r="T26" s="47"/>
      <c r="U26" s="47"/>
      <c r="V26" s="47" t="s">
        <v>202</v>
      </c>
      <c r="W26" s="47" t="s">
        <v>219</v>
      </c>
      <c r="X26"/>
      <c r="Y26"/>
      <c r="Z26"/>
    </row>
    <row r="27" spans="1:26" x14ac:dyDescent="0.35">
      <c r="A27" s="95" t="s">
        <v>19</v>
      </c>
      <c r="B27" s="95"/>
      <c r="C27" s="95"/>
      <c r="D27" s="95"/>
      <c r="E27" s="172" t="s">
        <v>20</v>
      </c>
      <c r="F27" s="172"/>
      <c r="G27" s="172"/>
      <c r="H27" s="172"/>
      <c r="S27" s="47"/>
      <c r="T27" s="47"/>
      <c r="U27" s="47"/>
      <c r="V27" s="47" t="s">
        <v>203</v>
      </c>
      <c r="W27" s="47" t="s">
        <v>220</v>
      </c>
      <c r="X27"/>
      <c r="Y27"/>
      <c r="Z27"/>
    </row>
    <row r="28" spans="1:26" ht="15.75" customHeight="1" x14ac:dyDescent="0.35">
      <c r="A28" s="95" t="s">
        <v>21</v>
      </c>
      <c r="B28" s="95"/>
      <c r="C28" s="95"/>
      <c r="D28" s="95"/>
      <c r="E28" s="172" t="str">
        <f>IF(AND(G20="Mumbai"),"Developed","Developing")</f>
        <v>Developing</v>
      </c>
      <c r="F28" s="172"/>
      <c r="G28" s="172"/>
      <c r="H28" s="172"/>
    </row>
    <row r="29" spans="1:26" x14ac:dyDescent="0.35">
      <c r="A29" s="95" t="s">
        <v>22</v>
      </c>
      <c r="B29" s="95"/>
      <c r="C29" s="95"/>
      <c r="D29" s="95"/>
      <c r="E29" s="172" t="s">
        <v>23</v>
      </c>
      <c r="F29" s="172"/>
      <c r="G29" s="172"/>
      <c r="H29" s="172"/>
    </row>
    <row r="30" spans="1:26" ht="15.75" customHeight="1" x14ac:dyDescent="0.35">
      <c r="A30" s="95" t="s">
        <v>78</v>
      </c>
      <c r="B30" s="95"/>
      <c r="C30" s="95"/>
      <c r="D30" s="95"/>
      <c r="E30" s="172" t="s">
        <v>79</v>
      </c>
      <c r="F30" s="172"/>
      <c r="G30" s="172"/>
      <c r="H30" s="172"/>
    </row>
    <row r="31" spans="1:26" ht="15" customHeight="1" x14ac:dyDescent="0.35">
      <c r="A31" s="95" t="s">
        <v>30</v>
      </c>
      <c r="B31" s="95"/>
      <c r="C31" s="95"/>
      <c r="D31" s="95"/>
      <c r="E31" s="17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72"/>
      <c r="G31" s="172"/>
      <c r="H31" s="172"/>
    </row>
    <row r="32" spans="1:26" ht="15.75" customHeight="1" x14ac:dyDescent="0.35">
      <c r="A32" s="95" t="s">
        <v>89</v>
      </c>
      <c r="B32" s="95"/>
      <c r="C32" s="95"/>
      <c r="D32" s="95"/>
      <c r="E32" s="172" t="s">
        <v>31</v>
      </c>
      <c r="F32" s="172"/>
      <c r="G32" s="172"/>
      <c r="H32" s="172"/>
    </row>
    <row r="33" spans="1:19" s="18" customFormat="1" x14ac:dyDescent="0.35">
      <c r="A33" s="179" t="s">
        <v>90</v>
      </c>
      <c r="B33" s="179"/>
      <c r="C33" s="209" t="s">
        <v>170</v>
      </c>
      <c r="D33" s="209"/>
      <c r="E33" s="209"/>
      <c r="F33" s="209" t="s">
        <v>29</v>
      </c>
      <c r="G33" s="209"/>
      <c r="H33" s="209"/>
      <c r="S33" s="18" t="e">
        <f ca="1">OFFSET($S$13,1,MATCH($G20,$S$13:$W$13,0)-1,15,1)</f>
        <v>#VALUE!</v>
      </c>
    </row>
    <row r="34" spans="1:19" s="18" customFormat="1" x14ac:dyDescent="0.35">
      <c r="A34" s="178" t="s">
        <v>24</v>
      </c>
      <c r="B34" s="178" t="s">
        <v>28</v>
      </c>
      <c r="C34" s="210" t="s">
        <v>319</v>
      </c>
      <c r="D34" s="210"/>
      <c r="E34" s="210"/>
      <c r="F34" s="210" t="s">
        <v>319</v>
      </c>
      <c r="G34" s="210"/>
      <c r="H34" s="210"/>
    </row>
    <row r="35" spans="1:19" x14ac:dyDescent="0.35">
      <c r="A35" s="178" t="s">
        <v>25</v>
      </c>
      <c r="B35" s="178" t="s">
        <v>28</v>
      </c>
      <c r="C35" s="210" t="s">
        <v>320</v>
      </c>
      <c r="D35" s="210"/>
      <c r="E35" s="210"/>
      <c r="F35" s="210" t="s">
        <v>323</v>
      </c>
      <c r="G35" s="210"/>
      <c r="H35" s="210"/>
    </row>
    <row r="36" spans="1:19" s="18" customFormat="1" x14ac:dyDescent="0.35">
      <c r="A36" s="178" t="s">
        <v>27</v>
      </c>
      <c r="B36" s="178" t="s">
        <v>28</v>
      </c>
      <c r="C36" s="210" t="s">
        <v>319</v>
      </c>
      <c r="D36" s="210"/>
      <c r="E36" s="210"/>
      <c r="F36" s="210" t="s">
        <v>322</v>
      </c>
      <c r="G36" s="210"/>
      <c r="H36" s="210"/>
    </row>
    <row r="37" spans="1:19" x14ac:dyDescent="0.35">
      <c r="A37" s="178" t="s">
        <v>26</v>
      </c>
      <c r="B37" s="178" t="s">
        <v>28</v>
      </c>
      <c r="C37" s="210" t="s">
        <v>321</v>
      </c>
      <c r="D37" s="210"/>
      <c r="E37" s="210"/>
      <c r="F37" s="210" t="s">
        <v>324</v>
      </c>
      <c r="G37" s="210"/>
      <c r="H37" s="210"/>
    </row>
    <row r="38" spans="1:19" x14ac:dyDescent="0.35">
      <c r="A38" s="95" t="s">
        <v>275</v>
      </c>
      <c r="B38" s="95"/>
      <c r="C38" s="95"/>
      <c r="D38" s="95"/>
      <c r="E38" s="95"/>
      <c r="F38" s="95"/>
      <c r="G38" s="95"/>
      <c r="H38" s="95"/>
    </row>
    <row r="39" spans="1:19" ht="15.75" customHeight="1" x14ac:dyDescent="0.35">
      <c r="A39" s="95" t="s">
        <v>162</v>
      </c>
      <c r="B39" s="95"/>
      <c r="C39" s="165" t="s">
        <v>348</v>
      </c>
      <c r="D39" s="165"/>
      <c r="E39" s="165"/>
      <c r="F39" s="165"/>
      <c r="G39" s="165"/>
      <c r="H39" s="165"/>
    </row>
    <row r="40" spans="1:19" x14ac:dyDescent="0.35">
      <c r="A40" s="95" t="s">
        <v>158</v>
      </c>
      <c r="B40" s="95"/>
      <c r="C40" s="195" t="s">
        <v>344</v>
      </c>
      <c r="D40" s="172"/>
      <c r="E40" s="172"/>
      <c r="F40" s="172"/>
      <c r="G40" s="172"/>
      <c r="H40" s="172"/>
    </row>
    <row r="41" spans="1:19" x14ac:dyDescent="0.35">
      <c r="A41" s="165" t="s">
        <v>32</v>
      </c>
      <c r="B41" s="165"/>
      <c r="C41" s="165"/>
      <c r="D41" s="165"/>
      <c r="E41" s="165"/>
      <c r="F41" s="165"/>
      <c r="G41" s="165"/>
      <c r="H41" s="165"/>
    </row>
    <row r="42" spans="1:19" x14ac:dyDescent="0.35">
      <c r="A42" s="95" t="s">
        <v>33</v>
      </c>
      <c r="B42" s="95"/>
      <c r="C42" s="95"/>
      <c r="D42" s="95"/>
      <c r="E42" s="194">
        <v>4317.25</v>
      </c>
      <c r="F42" s="194"/>
      <c r="G42" s="194"/>
      <c r="H42" s="194"/>
    </row>
    <row r="43" spans="1:19" x14ac:dyDescent="0.35">
      <c r="A43" s="95" t="s">
        <v>34</v>
      </c>
      <c r="B43" s="95"/>
      <c r="C43" s="95"/>
      <c r="D43" s="95"/>
      <c r="E43" s="94">
        <f>4748.97/E42</f>
        <v>1.0999988418553477</v>
      </c>
      <c r="F43" s="94"/>
      <c r="G43" s="94"/>
      <c r="H43" s="94"/>
    </row>
    <row r="44" spans="1:19" x14ac:dyDescent="0.35">
      <c r="A44" s="95" t="s">
        <v>35</v>
      </c>
      <c r="B44" s="95"/>
      <c r="C44" s="95"/>
      <c r="D44" s="95"/>
      <c r="E44" s="94">
        <f>E46/E42-E43</f>
        <v>1.5460003474433959</v>
      </c>
      <c r="F44" s="94"/>
      <c r="G44" s="94"/>
      <c r="H44" s="94"/>
    </row>
    <row r="45" spans="1:19" x14ac:dyDescent="0.35">
      <c r="A45" s="95" t="s">
        <v>36</v>
      </c>
      <c r="B45" s="95"/>
      <c r="C45" s="95"/>
      <c r="D45" s="95"/>
      <c r="E45" s="94">
        <f>E43+E44</f>
        <v>2.6459991892987436</v>
      </c>
      <c r="F45" s="94"/>
      <c r="G45" s="94"/>
      <c r="H45" s="94"/>
    </row>
    <row r="46" spans="1:19" x14ac:dyDescent="0.35">
      <c r="A46" s="95" t="s">
        <v>88</v>
      </c>
      <c r="B46" s="95"/>
      <c r="C46" s="95"/>
      <c r="D46" s="95"/>
      <c r="E46" s="193">
        <v>11423.44</v>
      </c>
      <c r="F46" s="193"/>
      <c r="G46" s="193"/>
      <c r="H46" s="193"/>
      <c r="I46" s="17">
        <v>6521.44</v>
      </c>
    </row>
    <row r="47" spans="1:19" x14ac:dyDescent="0.35">
      <c r="A47" s="171" t="s">
        <v>37</v>
      </c>
      <c r="B47" s="171"/>
      <c r="C47" s="171"/>
      <c r="D47" s="171"/>
      <c r="E47" s="173" t="s">
        <v>305</v>
      </c>
      <c r="F47" s="173"/>
      <c r="G47" s="173"/>
      <c r="H47" s="173"/>
    </row>
    <row r="48" spans="1:19" x14ac:dyDescent="0.35">
      <c r="A48" s="165" t="s">
        <v>38</v>
      </c>
      <c r="B48" s="165"/>
      <c r="C48" s="165"/>
      <c r="D48" s="165"/>
      <c r="E48" s="165"/>
      <c r="F48" s="165"/>
      <c r="G48" s="165"/>
      <c r="H48" s="165"/>
    </row>
    <row r="49" spans="1:24" ht="33.75" customHeight="1" x14ac:dyDescent="0.35">
      <c r="A49" s="96" t="s">
        <v>147</v>
      </c>
      <c r="B49" s="97"/>
      <c r="C49" s="196" t="s">
        <v>255</v>
      </c>
      <c r="D49" s="197"/>
      <c r="E49" s="197"/>
      <c r="F49" s="197"/>
      <c r="G49" s="197"/>
      <c r="H49" s="198"/>
      <c r="R49" t="s">
        <v>248</v>
      </c>
      <c r="S49" t="s">
        <v>169</v>
      </c>
      <c r="T49" t="s">
        <v>174</v>
      </c>
      <c r="U49" t="s">
        <v>189</v>
      </c>
      <c r="V49" t="s">
        <v>184</v>
      </c>
    </row>
    <row r="50" spans="1:24" ht="31.5" customHeight="1" x14ac:dyDescent="0.35">
      <c r="A50" s="96" t="s">
        <v>39</v>
      </c>
      <c r="B50" s="97"/>
      <c r="C50" s="96" t="s">
        <v>334</v>
      </c>
      <c r="D50" s="98"/>
      <c r="E50" s="97"/>
      <c r="F50" s="15" t="s">
        <v>40</v>
      </c>
      <c r="G50" s="99">
        <v>45279</v>
      </c>
      <c r="H50" s="97"/>
      <c r="R50"/>
      <c r="S50" t="s">
        <v>249</v>
      </c>
      <c r="T50" t="s">
        <v>254</v>
      </c>
      <c r="U50" t="s">
        <v>265</v>
      </c>
      <c r="V50" t="s">
        <v>270</v>
      </c>
    </row>
    <row r="51" spans="1:24" ht="31.5" customHeight="1" x14ac:dyDescent="0.35">
      <c r="A51" s="96" t="s">
        <v>41</v>
      </c>
      <c r="B51" s="97"/>
      <c r="C51" s="96" t="str">
        <f>C50</f>
        <v>S11/0229/20/TMCB/TDD/0038/(P/C)/2023</v>
      </c>
      <c r="D51" s="98"/>
      <c r="E51" s="97"/>
      <c r="F51" s="15" t="s">
        <v>40</v>
      </c>
      <c r="G51" s="99">
        <v>45279</v>
      </c>
      <c r="H51" s="97"/>
      <c r="R51"/>
      <c r="S51" t="s">
        <v>250</v>
      </c>
      <c r="T51" t="s">
        <v>255</v>
      </c>
      <c r="U51" t="s">
        <v>263</v>
      </c>
      <c r="V51" t="s">
        <v>271</v>
      </c>
    </row>
    <row r="52" spans="1:24" s="19" customFormat="1" ht="30.75" customHeight="1" x14ac:dyDescent="0.35">
      <c r="A52" s="188" t="s">
        <v>151</v>
      </c>
      <c r="B52" s="189"/>
      <c r="C52" s="96" t="s">
        <v>334</v>
      </c>
      <c r="D52" s="98"/>
      <c r="E52" s="97"/>
      <c r="F52" s="15" t="s">
        <v>40</v>
      </c>
      <c r="G52" s="99">
        <v>45279</v>
      </c>
      <c r="H52" s="97"/>
      <c r="R52"/>
      <c r="S52" t="s">
        <v>251</v>
      </c>
      <c r="T52" t="s">
        <v>256</v>
      </c>
      <c r="U52" t="s">
        <v>253</v>
      </c>
      <c r="V52" t="s">
        <v>272</v>
      </c>
    </row>
    <row r="53" spans="1:24" s="19" customFormat="1" x14ac:dyDescent="0.35">
      <c r="A53" s="190"/>
      <c r="B53" s="191"/>
      <c r="C53" s="96" t="s">
        <v>304</v>
      </c>
      <c r="D53" s="98"/>
      <c r="E53" s="98"/>
      <c r="F53" s="98"/>
      <c r="G53" s="98"/>
      <c r="H53" s="97"/>
      <c r="R53"/>
      <c r="S53" t="s">
        <v>252</v>
      </c>
      <c r="T53" t="s">
        <v>259</v>
      </c>
      <c r="U53" t="s">
        <v>266</v>
      </c>
    </row>
    <row r="54" spans="1:24" s="19" customFormat="1" hidden="1" x14ac:dyDescent="0.35">
      <c r="A54" s="100" t="s">
        <v>276</v>
      </c>
      <c r="B54" s="101"/>
      <c r="C54" s="96" t="str">
        <f>C53</f>
        <v>Building No. E, F, G &amp; H = Stilt + 1st to 7th Floor</v>
      </c>
      <c r="D54" s="98"/>
      <c r="E54" s="97"/>
      <c r="F54" s="15" t="s">
        <v>40</v>
      </c>
      <c r="G54" s="96"/>
      <c r="H54" s="97"/>
      <c r="R54"/>
      <c r="S54" t="s">
        <v>251</v>
      </c>
      <c r="T54" t="s">
        <v>256</v>
      </c>
      <c r="U54" t="s">
        <v>253</v>
      </c>
      <c r="V54" t="s">
        <v>272</v>
      </c>
    </row>
    <row r="55" spans="1:24" s="19" customFormat="1" ht="32.25" hidden="1" customHeight="1" x14ac:dyDescent="0.35">
      <c r="A55" s="102"/>
      <c r="B55" s="103"/>
      <c r="C55" s="185"/>
      <c r="D55" s="186"/>
      <c r="E55" s="186"/>
      <c r="F55" s="186"/>
      <c r="G55" s="186"/>
      <c r="H55" s="187"/>
      <c r="R55"/>
      <c r="S55" t="s">
        <v>253</v>
      </c>
      <c r="T55" t="s">
        <v>257</v>
      </c>
      <c r="U55" t="s">
        <v>267</v>
      </c>
      <c r="V55" s="17"/>
      <c r="W55" s="17"/>
      <c r="X55" s="17"/>
    </row>
    <row r="56" spans="1:24" s="19" customFormat="1" ht="34.5" hidden="1" customHeight="1" x14ac:dyDescent="0.35">
      <c r="A56" s="100" t="s">
        <v>277</v>
      </c>
      <c r="B56" s="101"/>
      <c r="C56" s="96">
        <f>C55</f>
        <v>0</v>
      </c>
      <c r="D56" s="98"/>
      <c r="E56" s="97"/>
      <c r="F56" s="15" t="s">
        <v>40</v>
      </c>
      <c r="G56" s="96">
        <f>G55</f>
        <v>0</v>
      </c>
      <c r="H56" s="97"/>
      <c r="R56"/>
      <c r="S56" s="17"/>
      <c r="T56" t="s">
        <v>258</v>
      </c>
      <c r="U56" t="s">
        <v>268</v>
      </c>
      <c r="V56" s="17"/>
      <c r="W56" s="17"/>
      <c r="X56" s="17"/>
    </row>
    <row r="57" spans="1:24" s="19" customFormat="1" ht="41.25" hidden="1" customHeight="1" x14ac:dyDescent="0.35">
      <c r="A57" s="102"/>
      <c r="B57" s="103"/>
      <c r="C57" s="96"/>
      <c r="D57" s="98"/>
      <c r="E57" s="98"/>
      <c r="F57" s="98"/>
      <c r="G57" s="98"/>
      <c r="H57" s="97"/>
      <c r="R57"/>
      <c r="S57" s="17"/>
      <c r="T57" t="s">
        <v>260</v>
      </c>
      <c r="U57" t="s">
        <v>269</v>
      </c>
      <c r="V57" s="17"/>
      <c r="W57" s="17"/>
      <c r="X57" s="17"/>
    </row>
    <row r="58" spans="1:24" s="19" customFormat="1" ht="15.75" hidden="1" customHeight="1" x14ac:dyDescent="0.35">
      <c r="A58" s="100" t="s">
        <v>278</v>
      </c>
      <c r="B58" s="101"/>
      <c r="C58" s="96">
        <f>C57</f>
        <v>0</v>
      </c>
      <c r="D58" s="98"/>
      <c r="E58" s="97"/>
      <c r="F58" s="15" t="s">
        <v>40</v>
      </c>
      <c r="G58" s="96">
        <f>G57</f>
        <v>0</v>
      </c>
      <c r="H58" s="97"/>
      <c r="R58"/>
      <c r="S58" s="17"/>
      <c r="T58" t="s">
        <v>261</v>
      </c>
      <c r="U58" s="17" t="s">
        <v>292</v>
      </c>
      <c r="V58" s="17"/>
      <c r="W58" s="17"/>
      <c r="X58" s="17"/>
    </row>
    <row r="59" spans="1:24" s="19" customFormat="1" ht="33.75" hidden="1" customHeight="1" x14ac:dyDescent="0.35">
      <c r="A59" s="102"/>
      <c r="B59" s="103"/>
      <c r="C59" s="96"/>
      <c r="D59" s="98"/>
      <c r="E59" s="98"/>
      <c r="F59" s="98"/>
      <c r="G59" s="98"/>
      <c r="H59" s="97"/>
      <c r="R59"/>
      <c r="S59" s="17"/>
      <c r="T59" t="s">
        <v>262</v>
      </c>
      <c r="U59" s="17"/>
      <c r="V59" s="17"/>
      <c r="W59" s="17"/>
      <c r="X59" s="17"/>
    </row>
    <row r="60" spans="1:24" x14ac:dyDescent="0.35">
      <c r="A60" s="180" t="s">
        <v>42</v>
      </c>
      <c r="B60" s="182"/>
      <c r="C60" s="180" t="s">
        <v>102</v>
      </c>
      <c r="D60" s="181"/>
      <c r="E60" s="182"/>
      <c r="F60" s="39" t="s">
        <v>40</v>
      </c>
      <c r="G60" s="183" t="s">
        <v>28</v>
      </c>
      <c r="H60" s="184"/>
      <c r="R60"/>
      <c r="T60" t="s">
        <v>264</v>
      </c>
    </row>
    <row r="61" spans="1:24" x14ac:dyDescent="0.35">
      <c r="A61" s="166" t="s">
        <v>44</v>
      </c>
      <c r="B61" s="166"/>
      <c r="C61" s="166"/>
      <c r="D61" s="166"/>
      <c r="E61" s="166"/>
      <c r="F61" s="166"/>
      <c r="G61" s="166"/>
      <c r="H61" s="166"/>
      <c r="T61" t="s">
        <v>273</v>
      </c>
    </row>
    <row r="62" spans="1:24" ht="32.25" customHeight="1" x14ac:dyDescent="0.35">
      <c r="A62" s="107" t="s">
        <v>340</v>
      </c>
      <c r="B62" s="107"/>
      <c r="C62" s="107"/>
      <c r="D62" s="95">
        <f>2024.06+2008.33+1261.6+1227.45</f>
        <v>6521.44</v>
      </c>
      <c r="E62" s="95"/>
      <c r="F62" s="95"/>
      <c r="G62" s="95"/>
      <c r="H62" s="95"/>
      <c r="R62"/>
    </row>
    <row r="63" spans="1:24" x14ac:dyDescent="0.35">
      <c r="A63" s="172" t="s">
        <v>45</v>
      </c>
      <c r="B63" s="171"/>
      <c r="C63" s="171"/>
      <c r="D63" s="173" t="s">
        <v>333</v>
      </c>
      <c r="E63" s="173"/>
      <c r="F63" s="173"/>
      <c r="G63" s="173"/>
      <c r="H63" s="173"/>
      <c r="I63" s="20"/>
      <c r="R63"/>
    </row>
    <row r="64" spans="1:24" x14ac:dyDescent="0.35">
      <c r="A64" s="105" t="s">
        <v>46</v>
      </c>
      <c r="B64" s="106"/>
      <c r="C64" s="205"/>
      <c r="D64" s="203" t="s">
        <v>350</v>
      </c>
      <c r="E64" s="204"/>
      <c r="F64" s="204"/>
      <c r="G64" s="204"/>
      <c r="H64" s="204"/>
      <c r="R64"/>
    </row>
    <row r="65" spans="1:19" ht="15.75" customHeight="1" x14ac:dyDescent="0.35">
      <c r="A65" s="172" t="s">
        <v>86</v>
      </c>
      <c r="B65" s="172"/>
      <c r="C65" s="172"/>
      <c r="D65" s="176" t="s">
        <v>351</v>
      </c>
      <c r="E65" s="173"/>
      <c r="F65" s="173"/>
      <c r="G65" s="173"/>
      <c r="H65" s="173"/>
      <c r="R65"/>
    </row>
    <row r="66" spans="1:19" ht="15.75" customHeight="1" x14ac:dyDescent="0.35">
      <c r="A66" s="172"/>
      <c r="B66" s="172"/>
      <c r="C66" s="172"/>
      <c r="D66" s="173" t="s">
        <v>352</v>
      </c>
      <c r="E66" s="173"/>
      <c r="F66" s="173"/>
      <c r="G66" s="173"/>
      <c r="H66" s="173"/>
      <c r="R66"/>
    </row>
    <row r="67" spans="1:19" ht="15.75" hidden="1" customHeight="1" x14ac:dyDescent="0.35">
      <c r="A67" s="172"/>
      <c r="B67" s="172"/>
      <c r="C67" s="172"/>
      <c r="D67" s="211" t="s">
        <v>306</v>
      </c>
      <c r="E67" s="211"/>
      <c r="F67" s="211"/>
      <c r="G67" s="211"/>
      <c r="H67" s="211"/>
      <c r="R67"/>
    </row>
    <row r="68" spans="1:19" ht="15.75" hidden="1" customHeight="1" x14ac:dyDescent="0.35">
      <c r="A68" s="172"/>
      <c r="B68" s="172"/>
      <c r="C68" s="172"/>
      <c r="D68" s="211" t="s">
        <v>307</v>
      </c>
      <c r="E68" s="211"/>
      <c r="F68" s="211"/>
      <c r="G68" s="211"/>
      <c r="H68" s="211"/>
      <c r="S68"/>
    </row>
    <row r="69" spans="1:19" ht="15.75" customHeight="1" x14ac:dyDescent="0.35">
      <c r="A69" s="95" t="s">
        <v>43</v>
      </c>
      <c r="B69" s="95"/>
      <c r="C69" s="95"/>
      <c r="D69" s="107" t="s">
        <v>308</v>
      </c>
      <c r="E69" s="107"/>
      <c r="F69" s="107"/>
      <c r="G69" s="107"/>
      <c r="H69" s="107"/>
      <c r="J69" s="21"/>
      <c r="K69" s="20"/>
      <c r="N69" s="20"/>
      <c r="S69"/>
    </row>
    <row r="70" spans="1:19" ht="15.75" customHeight="1" x14ac:dyDescent="0.35">
      <c r="A70" s="95" t="s">
        <v>84</v>
      </c>
      <c r="B70" s="95"/>
      <c r="C70" s="95"/>
      <c r="D70" s="116" t="str">
        <f>(IF(G60="NA","60 Years After Completion",IF(G60&lt;&gt;"NA",""&amp;60-ROUNDDOWN((E3-G60)/360,0)&amp;" Years"," ")))</f>
        <v>60 Years After Completion</v>
      </c>
      <c r="E70" s="116"/>
      <c r="F70" s="116"/>
      <c r="G70" s="116"/>
      <c r="H70" s="116"/>
      <c r="N70" s="20"/>
      <c r="S70"/>
    </row>
    <row r="71" spans="1:19" ht="15.75" customHeight="1" x14ac:dyDescent="0.35">
      <c r="A71" s="95" t="s">
        <v>85</v>
      </c>
      <c r="B71" s="95"/>
      <c r="C71" s="95"/>
      <c r="D71" s="107" t="s">
        <v>23</v>
      </c>
      <c r="E71" s="107"/>
      <c r="F71" s="107"/>
      <c r="G71" s="107"/>
      <c r="H71" s="107"/>
      <c r="J71" s="22"/>
      <c r="K71" s="22"/>
      <c r="S71"/>
    </row>
    <row r="72" spans="1:19" x14ac:dyDescent="0.35">
      <c r="A72" s="173" t="s">
        <v>343</v>
      </c>
      <c r="B72" s="173"/>
      <c r="C72" s="173"/>
      <c r="D72" s="176" t="s">
        <v>342</v>
      </c>
      <c r="E72" s="176"/>
      <c r="F72" s="176"/>
      <c r="G72" s="176"/>
      <c r="H72" s="176"/>
      <c r="S72"/>
    </row>
    <row r="73" spans="1:19" x14ac:dyDescent="0.35">
      <c r="A73" s="107" t="s">
        <v>144</v>
      </c>
      <c r="B73" s="107"/>
      <c r="C73" s="107"/>
      <c r="D73" s="107" t="s">
        <v>28</v>
      </c>
      <c r="E73" s="107"/>
      <c r="F73" s="107"/>
      <c r="G73" s="107"/>
      <c r="H73" s="107"/>
      <c r="I73" s="23"/>
      <c r="J73" s="23"/>
      <c r="K73" s="23"/>
      <c r="L73" s="23"/>
      <c r="M73" s="23"/>
      <c r="N73" s="23"/>
    </row>
    <row r="74" spans="1:19" ht="15.75" customHeight="1" x14ac:dyDescent="0.35">
      <c r="A74" s="95" t="s">
        <v>83</v>
      </c>
      <c r="B74" s="95"/>
      <c r="C74" s="95"/>
      <c r="D74" s="172" t="str">
        <f ca="1">(IF(G108&gt;95%,"Nothing",IF(G108&gt;0%,"Cement, Aggregate, Steel, etc",IF(G108=0%,"Work not yet Started"))))</f>
        <v>Cement, Aggregate, Steel, etc</v>
      </c>
      <c r="E74" s="172"/>
      <c r="F74" s="172"/>
      <c r="G74" s="172"/>
      <c r="H74" s="172"/>
      <c r="J74" s="22"/>
      <c r="S74"/>
    </row>
    <row r="75" spans="1:19" ht="33.75" customHeight="1" thickBot="1" x14ac:dyDescent="0.4">
      <c r="A75" s="107" t="s">
        <v>115</v>
      </c>
      <c r="B75" s="107"/>
      <c r="C75" s="107"/>
      <c r="D75" s="172" t="str">
        <f ca="1">(IF(D74="Nothing","Yes",IF(D74="Cement, Aggregate, Steel, etc","Under Construction",IF(D74="Work not yet Started","Work not yet Started"))))</f>
        <v>Under Construction</v>
      </c>
      <c r="E75" s="172"/>
      <c r="F75" s="172" t="str">
        <f ca="1">(IF(D74="Nothing","Yes",IF(D74="Cement, Aggregate, Steel, etc","Under Construction",IF(D74="Work not yet Started","Work not yet Started"))))</f>
        <v>Under Construction</v>
      </c>
      <c r="G75" s="172"/>
      <c r="H75" s="172"/>
      <c r="S75"/>
    </row>
    <row r="76" spans="1:19" ht="15.75" customHeight="1" x14ac:dyDescent="0.35">
      <c r="A76" s="82" t="s">
        <v>136</v>
      </c>
      <c r="B76" s="82"/>
      <c r="C76" s="82" t="s">
        <v>353</v>
      </c>
      <c r="D76" s="82"/>
      <c r="E76" s="82"/>
      <c r="F76" s="82"/>
      <c r="G76" s="82"/>
      <c r="H76" s="82"/>
      <c r="I76" s="77" t="str">
        <f ca="1">IF(D89=100%,"All work Completed. Possession granted to the Building.",IF(D88=100%,"All work Completed, Waiting for OC",I77&amp;""&amp;I78&amp;""&amp;J77&amp;""&amp;J76&amp;" "&amp;J78))</f>
        <v>Excavation, Plinth Completed, RCC upto 1 Slab Completed</v>
      </c>
      <c r="J76" s="42"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1 Slab</v>
      </c>
      <c r="S76"/>
    </row>
    <row r="77" spans="1:19" x14ac:dyDescent="0.35">
      <c r="A77" s="70" t="s">
        <v>138</v>
      </c>
      <c r="B77" s="70">
        <f>IF(AND(ISNUMBER(SEARCH("1B",C76))),1,IF(AND(ISNUMBER(SEARCH("2B",C76))),2,IF(AND(ISNUMBER(SEARCH("3B",C76))),3,IF(AND(ISNUMBER(SEARCH("4B",C76))),4,IF(ISNUMBER(SEARCH("5B",C76)),5,0)))))</f>
        <v>0</v>
      </c>
      <c r="C77" s="70" t="s">
        <v>69</v>
      </c>
      <c r="D77" s="70">
        <v>1</v>
      </c>
      <c r="E77" s="70" t="s">
        <v>68</v>
      </c>
      <c r="F77" s="70">
        <v>0</v>
      </c>
      <c r="G77" s="70" t="s">
        <v>77</v>
      </c>
      <c r="H77" s="70">
        <f ca="1">--TRIM(RIGHT(SUBSTITUTE(LEFT(C76,_xlfn.AGGREGATE(16,6,FIND({0,1,2,3,4,5,6,7,8,9},C76,ROW(INDIRECT("1:"&amp;LEN(C76)))),1))," ",REPT(" ",LEN(C76))),LEN(C76)))</f>
        <v>7</v>
      </c>
      <c r="I77" s="78" t="str">
        <f ca="1">IF(D80=100%,"Excavation","")&amp;IF(D81=100%,", Plinth","")&amp;IF(D82=100%,", RCC Slab","")&amp;IF(D83=100%,", Brickwork","")&amp;IF(D84=100%,", Internal Plaster","")&amp;IF(D85=100%,", External Plaster","")&amp;IF(D86=100%,", Flooring","")&amp;IF(D87=100%,", Painting","")&amp;IF(D88=100%,", Building common Amenities","")</f>
        <v>Excavation, Plinth</v>
      </c>
      <c r="J77" s="44"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35">
      <c r="A78" s="83" t="s">
        <v>87</v>
      </c>
      <c r="B78" s="83"/>
      <c r="C78" s="82" t="str">
        <f ca="1">I76</f>
        <v>Excavation, Plinth Completed, RCC upto 1 Slab Completed</v>
      </c>
      <c r="D78" s="82"/>
      <c r="E78" s="82"/>
      <c r="F78" s="82"/>
      <c r="G78" s="82"/>
      <c r="H78" s="82"/>
      <c r="I78" s="78" t="str">
        <f ca="1">IF(I77&lt;&gt;""," Completed","")</f>
        <v xml:space="preserve"> Completed</v>
      </c>
      <c r="J78" s="44" t="str">
        <f ca="1">IF(J76&lt;&gt;"","Completed","")</f>
        <v>Completed</v>
      </c>
      <c r="S78"/>
    </row>
    <row r="79" spans="1:19" ht="15.75" customHeight="1" x14ac:dyDescent="0.35">
      <c r="A79" s="84" t="s">
        <v>47</v>
      </c>
      <c r="B79" s="84"/>
      <c r="C79" s="79" t="s">
        <v>135</v>
      </c>
      <c r="D79" s="79" t="s">
        <v>80</v>
      </c>
      <c r="E79" s="84" t="s">
        <v>82</v>
      </c>
      <c r="F79" s="84"/>
      <c r="G79" s="84" t="s">
        <v>81</v>
      </c>
      <c r="H79" s="84"/>
      <c r="I79" s="13" t="s">
        <v>137</v>
      </c>
      <c r="J79" s="24">
        <f ca="1">H77*25%</f>
        <v>1.75</v>
      </c>
      <c r="S79"/>
    </row>
    <row r="80" spans="1:19" x14ac:dyDescent="0.35">
      <c r="A80" s="84" t="s">
        <v>124</v>
      </c>
      <c r="B80" s="84"/>
      <c r="C80" s="75">
        <f ca="1">J81</f>
        <v>7</v>
      </c>
      <c r="D80" s="16">
        <f ca="1">((100/H77)*C80)/100</f>
        <v>1</v>
      </c>
      <c r="E80" s="85">
        <f ca="1">(((C81/H77*10)+(40/(D77+F77+H77)*C82)+(7.5/(H77)*C83)+(7.5/(H77)*C84)+(10/H77*C85)+(10/H77*C86)+(5/H77*C87)+(5/H77*C88)+(5/H77*C89))/100)</f>
        <v>0.15</v>
      </c>
      <c r="F80" s="85"/>
      <c r="G80" s="85">
        <f ca="1">((((C80/H77)*20)+((C81/H77)*25)+(30/(H77+F77+D77)*C82)+(5/H77*C83)+(5/H77*C84)+(5/H77*C85)+(5/H77*C86)+(0/H77*C87)+(0/H77*C88)+(5/H77*C89))/100)</f>
        <v>0.48749999999999999</v>
      </c>
      <c r="H80" s="85"/>
      <c r="I80" s="13" t="s">
        <v>97</v>
      </c>
      <c r="J80" s="25">
        <f ca="1">H77*50%</f>
        <v>3.5</v>
      </c>
    </row>
    <row r="81" spans="1:19" x14ac:dyDescent="0.35">
      <c r="A81" s="84" t="s">
        <v>48</v>
      </c>
      <c r="B81" s="84"/>
      <c r="C81" s="72">
        <f ca="1">J89</f>
        <v>7</v>
      </c>
      <c r="D81" s="16">
        <f ca="1">((100/H77)*C81)/100</f>
        <v>1</v>
      </c>
      <c r="E81" s="85"/>
      <c r="F81" s="85"/>
      <c r="G81" s="85"/>
      <c r="H81" s="85"/>
      <c r="I81" s="13" t="s">
        <v>98</v>
      </c>
      <c r="J81" s="25">
        <f ca="1">H77</f>
        <v>7</v>
      </c>
      <c r="S81"/>
    </row>
    <row r="82" spans="1:19" ht="15.75" customHeight="1" x14ac:dyDescent="0.35">
      <c r="A82" s="84" t="s">
        <v>125</v>
      </c>
      <c r="B82" s="84"/>
      <c r="C82" s="75">
        <v>1</v>
      </c>
      <c r="D82" s="16">
        <f ca="1">((100/(D77+F77+H77))*C82)/100</f>
        <v>0.125</v>
      </c>
      <c r="E82" s="85"/>
      <c r="F82" s="85"/>
      <c r="G82" s="85"/>
      <c r="H82" s="85"/>
      <c r="I82" s="13" t="s">
        <v>99</v>
      </c>
      <c r="J82" s="26">
        <f ca="1">(IF(B77&gt;1,(H77/(B77+2)),H77/4))</f>
        <v>1.75</v>
      </c>
      <c r="S82"/>
    </row>
    <row r="83" spans="1:19" ht="15.75" customHeight="1" x14ac:dyDescent="0.35">
      <c r="A83" s="84" t="s">
        <v>132</v>
      </c>
      <c r="B83" s="84" t="s">
        <v>126</v>
      </c>
      <c r="C83" s="75">
        <v>0</v>
      </c>
      <c r="D83" s="16">
        <f ca="1">((100/H77)*C83)/100</f>
        <v>0</v>
      </c>
      <c r="E83" s="85"/>
      <c r="F83" s="85"/>
      <c r="G83" s="85"/>
      <c r="H83" s="85"/>
      <c r="I83" s="13" t="s">
        <v>100</v>
      </c>
      <c r="J83" s="26">
        <f ca="1">(IF(B77&gt;1,(H77/(B77+2)+J82),H77/4+J82))</f>
        <v>3.5</v>
      </c>
    </row>
    <row r="84" spans="1:19" ht="15.75" customHeight="1" x14ac:dyDescent="0.35">
      <c r="A84" s="84" t="s">
        <v>133</v>
      </c>
      <c r="B84" s="84" t="s">
        <v>126</v>
      </c>
      <c r="C84" s="75">
        <v>0</v>
      </c>
      <c r="D84" s="16">
        <f ca="1">((100/H77)*C84)/100</f>
        <v>0</v>
      </c>
      <c r="E84" s="85"/>
      <c r="F84" s="85"/>
      <c r="G84" s="85"/>
      <c r="H84" s="85"/>
      <c r="I84" s="13" t="s">
        <v>142</v>
      </c>
      <c r="J84" s="26">
        <f>(IF(B77&gt;1,(H77/(B77+2)+J83),0))</f>
        <v>0</v>
      </c>
    </row>
    <row r="85" spans="1:19" ht="15" customHeight="1" x14ac:dyDescent="0.35">
      <c r="A85" s="84" t="s">
        <v>131</v>
      </c>
      <c r="B85" s="84" t="s">
        <v>128</v>
      </c>
      <c r="C85" s="75">
        <v>0</v>
      </c>
      <c r="D85" s="16">
        <f ca="1">((100/(H77))*C85)/100</f>
        <v>0</v>
      </c>
      <c r="E85" s="85"/>
      <c r="F85" s="85"/>
      <c r="G85" s="85"/>
      <c r="H85" s="85"/>
      <c r="I85" s="13" t="s">
        <v>139</v>
      </c>
      <c r="J85" s="26">
        <f>(IF(B77&gt;2,(H77/(B77+2)+J84),0))</f>
        <v>0</v>
      </c>
    </row>
    <row r="86" spans="1:19" ht="15.75" customHeight="1" x14ac:dyDescent="0.35">
      <c r="A86" s="84" t="s">
        <v>127</v>
      </c>
      <c r="B86" s="84" t="s">
        <v>127</v>
      </c>
      <c r="C86" s="75">
        <v>0</v>
      </c>
      <c r="D86" s="16">
        <f ca="1">((100/H77)*C86)/100</f>
        <v>0</v>
      </c>
      <c r="E86" s="85"/>
      <c r="F86" s="85"/>
      <c r="G86" s="85"/>
      <c r="H86" s="85"/>
      <c r="I86" s="13" t="s">
        <v>140</v>
      </c>
      <c r="J86" s="27">
        <f>(IF(B77&gt;3,(H77/(B77+2)+J85),0))</f>
        <v>0</v>
      </c>
    </row>
    <row r="87" spans="1:19" ht="15.75" customHeight="1" x14ac:dyDescent="0.35">
      <c r="A87" s="84" t="s">
        <v>134</v>
      </c>
      <c r="B87" s="84"/>
      <c r="C87" s="75">
        <v>0</v>
      </c>
      <c r="D87" s="16">
        <f ca="1">((100/H77)*C87)/100</f>
        <v>0</v>
      </c>
      <c r="E87" s="85"/>
      <c r="F87" s="85"/>
      <c r="G87" s="85"/>
      <c r="H87" s="85"/>
      <c r="I87" s="13" t="s">
        <v>141</v>
      </c>
      <c r="J87" s="26">
        <f>(IF(B77&gt;4,(H77/(B77+2)+J86),0))</f>
        <v>0</v>
      </c>
    </row>
    <row r="88" spans="1:19" ht="15.75" customHeight="1" x14ac:dyDescent="0.35">
      <c r="A88" s="84" t="s">
        <v>129</v>
      </c>
      <c r="B88" s="84" t="s">
        <v>129</v>
      </c>
      <c r="C88" s="75">
        <v>0</v>
      </c>
      <c r="D88" s="16">
        <f ca="1">((100/(H77))*C88)/100</f>
        <v>0</v>
      </c>
      <c r="E88" s="85"/>
      <c r="F88" s="85"/>
      <c r="G88" s="85"/>
      <c r="H88" s="85"/>
      <c r="I88" s="13" t="s">
        <v>143</v>
      </c>
      <c r="J88" s="26">
        <f ca="1">(IF(B77=1,(H77/(B77+3)+J83),IF(B77=0,(H77/4+J83),IF(B77&gt;1,0))))</f>
        <v>5.25</v>
      </c>
    </row>
    <row r="89" spans="1:19" ht="16" thickBot="1" x14ac:dyDescent="0.4">
      <c r="A89" s="84" t="s">
        <v>130</v>
      </c>
      <c r="B89" s="84"/>
      <c r="C89" s="75">
        <v>0</v>
      </c>
      <c r="D89" s="16">
        <f ca="1">((100/(H77))*C89)/100</f>
        <v>0</v>
      </c>
      <c r="E89" s="85"/>
      <c r="F89" s="85"/>
      <c r="G89" s="85"/>
      <c r="H89" s="85"/>
      <c r="I89" s="14" t="s">
        <v>101</v>
      </c>
      <c r="J89" s="28">
        <f ca="1">(IF(B77&gt;1.5,(H77/(B77+2)+J83+MAX(0,J84-J83)+MAX(0,J85-J84)+MAX(0,J86-J85)+MAX(0,J87-J86)+MAX(0,J88-J87)),IF(B77=1,(H77/(B77+3)+J88),IF(B77=0,H77/4+J88))))</f>
        <v>7</v>
      </c>
    </row>
    <row r="90" spans="1:19" ht="15.75" customHeight="1" x14ac:dyDescent="0.35">
      <c r="A90" s="82" t="s">
        <v>136</v>
      </c>
      <c r="B90" s="82"/>
      <c r="C90" s="82" t="s">
        <v>354</v>
      </c>
      <c r="D90" s="82"/>
      <c r="E90" s="82"/>
      <c r="F90" s="82"/>
      <c r="G90" s="82"/>
      <c r="H90" s="82"/>
      <c r="I90" s="77" t="str">
        <f ca="1">IF(D103=100%,"All work Completed. Possession granted to the Building.",IF(D102=100%,"All work Completed, Waiting for OC",I91&amp;""&amp;I92&amp;""&amp;J91&amp;""&amp;J90&amp;" "&amp;J92))</f>
        <v>Excavation, Plinth Completed, RCC upto 1 Slab Completed</v>
      </c>
      <c r="J90" s="42"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RCC upto 1 Slab</v>
      </c>
    </row>
    <row r="91" spans="1:19" x14ac:dyDescent="0.35">
      <c r="A91" s="70" t="s">
        <v>138</v>
      </c>
      <c r="B91" s="70">
        <f>IF(AND(ISNUMBER(SEARCH("1B",C90))),1,IF(AND(ISNUMBER(SEARCH("2B",C90))),2,IF(AND(ISNUMBER(SEARCH("3B",C90))),3,IF(AND(ISNUMBER(SEARCH("4B",C90))),4,IF(ISNUMBER(SEARCH("5B",C90)),5,0)))))</f>
        <v>0</v>
      </c>
      <c r="C91" s="70" t="s">
        <v>69</v>
      </c>
      <c r="D91" s="70">
        <v>1</v>
      </c>
      <c r="E91" s="70" t="s">
        <v>68</v>
      </c>
      <c r="F91" s="70">
        <v>0</v>
      </c>
      <c r="G91" s="70" t="s">
        <v>77</v>
      </c>
      <c r="H91" s="70">
        <f ca="1">--TRIM(RIGHT(SUBSTITUTE(LEFT(C90,_xlfn.AGGREGATE(16,6,FIND({0,1,2,3,4,5,6,7,8,9},C90,ROW(INDIRECT("1:"&amp;LEN(C90)))),1))," ",REPT(" ",LEN(C90))),LEN(C90)))</f>
        <v>7</v>
      </c>
      <c r="I91" s="78" t="str">
        <f ca="1">IF(D94=100%,"Excavation","")&amp;IF(D95=100%,", Plinth","")&amp;IF(D96=100%,", RCC Slab","")&amp;IF(D97=100%,", Brickwork","")&amp;IF(D98=100%,", Internal Plaster","")&amp;IF(D99=100%,", External Plaster","")&amp;IF(D100=100%,", Flooring","")&amp;IF(D101=100%,", Painting","")&amp;IF(D102=100%,", Building common Amenities","")</f>
        <v>Excavation, Plinth</v>
      </c>
      <c r="J91" s="44"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x14ac:dyDescent="0.35">
      <c r="A92" s="83" t="s">
        <v>87</v>
      </c>
      <c r="B92" s="83"/>
      <c r="C92" s="82" t="str">
        <f ca="1">I90</f>
        <v>Excavation, Plinth Completed, RCC upto 1 Slab Completed</v>
      </c>
      <c r="D92" s="82"/>
      <c r="E92" s="82"/>
      <c r="F92" s="82"/>
      <c r="G92" s="82"/>
      <c r="H92" s="82"/>
      <c r="I92" s="78" t="str">
        <f ca="1">IF(I91&lt;&gt;""," Completed","")</f>
        <v xml:space="preserve"> Completed</v>
      </c>
      <c r="J92" s="44" t="str">
        <f ca="1">IF(J90&lt;&gt;"","Completed","")</f>
        <v>Completed</v>
      </c>
    </row>
    <row r="93" spans="1:19" ht="15.75" customHeight="1" x14ac:dyDescent="0.35">
      <c r="A93" s="84" t="s">
        <v>47</v>
      </c>
      <c r="B93" s="84"/>
      <c r="C93" s="76" t="s">
        <v>135</v>
      </c>
      <c r="D93" s="76" t="s">
        <v>80</v>
      </c>
      <c r="E93" s="84" t="s">
        <v>82</v>
      </c>
      <c r="F93" s="84"/>
      <c r="G93" s="84" t="s">
        <v>81</v>
      </c>
      <c r="H93" s="84"/>
      <c r="I93" s="13" t="s">
        <v>137</v>
      </c>
      <c r="J93" s="24">
        <f ca="1">H91*25%</f>
        <v>1.75</v>
      </c>
    </row>
    <row r="94" spans="1:19" x14ac:dyDescent="0.35">
      <c r="A94" s="84" t="s">
        <v>124</v>
      </c>
      <c r="B94" s="84"/>
      <c r="C94" s="76">
        <f ca="1">J95</f>
        <v>7</v>
      </c>
      <c r="D94" s="16">
        <f ca="1">((100/H91)*C94)/100</f>
        <v>1</v>
      </c>
      <c r="E94" s="85">
        <f ca="1">(((C95/H91*10)+(40/(D91+F91+H91)*C96)+(7.5/(H91)*C97)+(7.5/(H91)*C98)+(10/H91*C99)+(10/H91*C100)+(5/H91*C101)+(5/H91*C102)+(5/H91*C103))/100)</f>
        <v>0.15</v>
      </c>
      <c r="F94" s="85"/>
      <c r="G94" s="85">
        <f ca="1">((((C94/H91)*20)+((C95/H91)*25)+(30/(H91+F91+D91)*C96)+(5/H91*C97)+(5/H91*C98)+(5/H91*C99)+(5/H91*C100)+(0/H91*C101)+(0/H91*C102)+(5/H91*C103))/100)</f>
        <v>0.48749999999999999</v>
      </c>
      <c r="H94" s="85"/>
      <c r="I94" s="13" t="s">
        <v>97</v>
      </c>
      <c r="J94" s="25">
        <f ca="1">H91*50%</f>
        <v>3.5</v>
      </c>
    </row>
    <row r="95" spans="1:19" x14ac:dyDescent="0.35">
      <c r="A95" s="84" t="s">
        <v>48</v>
      </c>
      <c r="B95" s="84"/>
      <c r="C95" s="72">
        <f ca="1">J103</f>
        <v>7</v>
      </c>
      <c r="D95" s="16">
        <f ca="1">((100/H91)*C95)/100</f>
        <v>1</v>
      </c>
      <c r="E95" s="85"/>
      <c r="F95" s="85"/>
      <c r="G95" s="85"/>
      <c r="H95" s="85"/>
      <c r="I95" s="13" t="s">
        <v>98</v>
      </c>
      <c r="J95" s="25">
        <f ca="1">H91</f>
        <v>7</v>
      </c>
    </row>
    <row r="96" spans="1:19" ht="15.75" customHeight="1" x14ac:dyDescent="0.35">
      <c r="A96" s="84" t="s">
        <v>125</v>
      </c>
      <c r="B96" s="84"/>
      <c r="C96" s="76">
        <v>1</v>
      </c>
      <c r="D96" s="16">
        <f ca="1">((100/(D91+F91+H91))*C96)/100</f>
        <v>0.125</v>
      </c>
      <c r="E96" s="85"/>
      <c r="F96" s="85"/>
      <c r="G96" s="85"/>
      <c r="H96" s="85"/>
      <c r="I96" s="13" t="s">
        <v>99</v>
      </c>
      <c r="J96" s="26">
        <f ca="1">(IF(B91&gt;1,(H91/(B91+2)),H91/4))</f>
        <v>1.75</v>
      </c>
    </row>
    <row r="97" spans="1:19" ht="15.75" customHeight="1" x14ac:dyDescent="0.35">
      <c r="A97" s="84" t="s">
        <v>132</v>
      </c>
      <c r="B97" s="84" t="s">
        <v>126</v>
      </c>
      <c r="C97" s="76">
        <v>0</v>
      </c>
      <c r="D97" s="16">
        <f ca="1">((100/H91)*C97)/100</f>
        <v>0</v>
      </c>
      <c r="E97" s="85"/>
      <c r="F97" s="85"/>
      <c r="G97" s="85"/>
      <c r="H97" s="85"/>
      <c r="I97" s="13" t="s">
        <v>100</v>
      </c>
      <c r="J97" s="26">
        <f ca="1">(IF(B91&gt;1,(H91/(B91+2)+J96),H91/4+J96))</f>
        <v>3.5</v>
      </c>
    </row>
    <row r="98" spans="1:19" ht="15.75" customHeight="1" x14ac:dyDescent="0.35">
      <c r="A98" s="84" t="s">
        <v>133</v>
      </c>
      <c r="B98" s="84" t="s">
        <v>126</v>
      </c>
      <c r="C98" s="76">
        <v>0</v>
      </c>
      <c r="D98" s="16">
        <f ca="1">((100/H91)*C98)/100</f>
        <v>0</v>
      </c>
      <c r="E98" s="85"/>
      <c r="F98" s="85"/>
      <c r="G98" s="85"/>
      <c r="H98" s="85"/>
      <c r="I98" s="13" t="s">
        <v>142</v>
      </c>
      <c r="J98" s="26">
        <f>(IF(B91&gt;1,(H91/(B91+2)+J97),0))</f>
        <v>0</v>
      </c>
    </row>
    <row r="99" spans="1:19" ht="15" customHeight="1" x14ac:dyDescent="0.35">
      <c r="A99" s="84" t="s">
        <v>131</v>
      </c>
      <c r="B99" s="84" t="s">
        <v>128</v>
      </c>
      <c r="C99" s="76">
        <v>0</v>
      </c>
      <c r="D99" s="16">
        <f ca="1">((100/(H91))*C99)/100</f>
        <v>0</v>
      </c>
      <c r="E99" s="85"/>
      <c r="F99" s="85"/>
      <c r="G99" s="85"/>
      <c r="H99" s="85"/>
      <c r="I99" s="13" t="s">
        <v>139</v>
      </c>
      <c r="J99" s="26">
        <f>(IF(B91&gt;2,(H91/(B91+2)+J98),0))</f>
        <v>0</v>
      </c>
    </row>
    <row r="100" spans="1:19" ht="15.75" customHeight="1" x14ac:dyDescent="0.35">
      <c r="A100" s="84" t="s">
        <v>127</v>
      </c>
      <c r="B100" s="84" t="s">
        <v>127</v>
      </c>
      <c r="C100" s="76">
        <v>0</v>
      </c>
      <c r="D100" s="16">
        <f ca="1">((100/H91)*C100)/100</f>
        <v>0</v>
      </c>
      <c r="E100" s="85"/>
      <c r="F100" s="85"/>
      <c r="G100" s="85"/>
      <c r="H100" s="85"/>
      <c r="I100" s="13" t="s">
        <v>140</v>
      </c>
      <c r="J100" s="27">
        <f>(IF(B91&gt;3,(H91/(B91+2)+J99),0))</f>
        <v>0</v>
      </c>
    </row>
    <row r="101" spans="1:19" ht="15.75" customHeight="1" x14ac:dyDescent="0.35">
      <c r="A101" s="84" t="s">
        <v>134</v>
      </c>
      <c r="B101" s="84"/>
      <c r="C101" s="76">
        <v>0</v>
      </c>
      <c r="D101" s="16">
        <f ca="1">((100/H91)*C101)/100</f>
        <v>0</v>
      </c>
      <c r="E101" s="85"/>
      <c r="F101" s="85"/>
      <c r="G101" s="85"/>
      <c r="H101" s="85"/>
      <c r="I101" s="13" t="s">
        <v>141</v>
      </c>
      <c r="J101" s="26">
        <f>(IF(B91&gt;4,(H91/(B91+2)+J100),0))</f>
        <v>0</v>
      </c>
    </row>
    <row r="102" spans="1:19" ht="15.75" customHeight="1" x14ac:dyDescent="0.35">
      <c r="A102" s="84" t="s">
        <v>129</v>
      </c>
      <c r="B102" s="84" t="s">
        <v>129</v>
      </c>
      <c r="C102" s="76">
        <v>0</v>
      </c>
      <c r="D102" s="16">
        <f ca="1">((100/(H91))*C102)/100</f>
        <v>0</v>
      </c>
      <c r="E102" s="85"/>
      <c r="F102" s="85"/>
      <c r="G102" s="85"/>
      <c r="H102" s="85"/>
      <c r="I102" s="13" t="s">
        <v>143</v>
      </c>
      <c r="J102" s="26">
        <f ca="1">(IF(B91=1,(H91/(B91+3)+J97),IF(B91=0,(H91/4+J97),IF(B91&gt;1,0))))</f>
        <v>5.25</v>
      </c>
    </row>
    <row r="103" spans="1:19" ht="16" thickBot="1" x14ac:dyDescent="0.4">
      <c r="A103" s="84" t="s">
        <v>130</v>
      </c>
      <c r="B103" s="84"/>
      <c r="C103" s="76">
        <v>0</v>
      </c>
      <c r="D103" s="16">
        <f ca="1">((100/(H91))*C103)/100</f>
        <v>0</v>
      </c>
      <c r="E103" s="85"/>
      <c r="F103" s="85"/>
      <c r="G103" s="85"/>
      <c r="H103" s="85"/>
      <c r="I103" s="14" t="s">
        <v>101</v>
      </c>
      <c r="J103" s="28">
        <f ca="1">(IF(B91&gt;1.5,(H91/(B91+2)+J97+MAX(0,J98-J97)+MAX(0,J99-J98)+MAX(0,J100-J99)+MAX(0,J101-J100)+MAX(0,J102-J101)),IF(B91=1,(H91/(B91+3)+J102),IF(B91=0,H91/4+J102))))</f>
        <v>7</v>
      </c>
    </row>
    <row r="104" spans="1:19" ht="15.75" customHeight="1" x14ac:dyDescent="0.35">
      <c r="A104" s="108" t="s">
        <v>136</v>
      </c>
      <c r="B104" s="109"/>
      <c r="C104" s="110" t="s">
        <v>355</v>
      </c>
      <c r="D104" s="111"/>
      <c r="E104" s="111"/>
      <c r="F104" s="111"/>
      <c r="G104" s="111"/>
      <c r="H104" s="112"/>
      <c r="I104" s="41" t="str">
        <f ca="1">IF(D117=100%,"All work Completed. Possession granted to the Building.",IF(D116=100%,"All work Completed, Waiting for OC",I105&amp;""&amp;I106&amp;""&amp;J105&amp;""&amp;J104&amp;" "&amp;J106))</f>
        <v>Excavation, Plinth, RCC Slab, Brickwork Completed, Internal Plaster upto 6 Floor, External Plaster upto 3 Floor, Flooring upto 1 Floor Completed</v>
      </c>
      <c r="J104" s="42"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Internal Plaster upto 6 Floor, External Plaster upto 3 Floor, Flooring upto 1 Floor</v>
      </c>
      <c r="S104"/>
    </row>
    <row r="105" spans="1:19" x14ac:dyDescent="0.35">
      <c r="A105" s="69" t="s">
        <v>138</v>
      </c>
      <c r="B105" s="70">
        <f>IF(AND(ISNUMBER(SEARCH("1B",C104))),1,IF(AND(ISNUMBER(SEARCH("2B",C104))),2,IF(AND(ISNUMBER(SEARCH("3B",C104))),3,IF(AND(ISNUMBER(SEARCH("4B",C104))),4,IF(ISNUMBER(SEARCH("5B",C104)),5,0)))))</f>
        <v>0</v>
      </c>
      <c r="C105" s="70" t="s">
        <v>69</v>
      </c>
      <c r="D105" s="70">
        <v>1</v>
      </c>
      <c r="E105" s="70" t="s">
        <v>68</v>
      </c>
      <c r="F105" s="70">
        <v>0</v>
      </c>
      <c r="G105" s="70" t="s">
        <v>77</v>
      </c>
      <c r="H105" s="71">
        <f ca="1">--TRIM(RIGHT(SUBSTITUTE(LEFT(C104,_xlfn.AGGREGATE(16,6,FIND({0,1,2,3,4,5,6,7,8,9},C104,ROW(INDIRECT("1:"&amp;LEN(C104)))),1))," ",REPT(" ",LEN(C104))),LEN(C104)))</f>
        <v>7</v>
      </c>
      <c r="I105" s="43" t="str">
        <f ca="1">IF(D108=100%,"Excavation","")&amp;IF(D109=100%,", Plinth","")&amp;IF(D110=100%,", RCC Slab","")&amp;IF(D111=100%,", Brickwork","")&amp;IF(D112=100%,", Internal Plaster","")&amp;IF(D113=100%,", External Plaster","")&amp;IF(D114=100%,", Flooring","")&amp;IF(D115=100%,", Painting","")&amp;IF(D116=100%,", Building common Amenities","")</f>
        <v>Excavation, Plinth, RCC Slab, Brickwork</v>
      </c>
      <c r="J105" s="44"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t="36.75" customHeight="1" x14ac:dyDescent="0.35">
      <c r="A106" s="199" t="s">
        <v>87</v>
      </c>
      <c r="B106" s="83"/>
      <c r="C106" s="82" t="str">
        <f ca="1">(IF($G$60="NA",I104,"All work Completed. OC Received."))</f>
        <v>Excavation, Plinth, RCC Slab, Brickwork Completed, Internal Plaster upto 6 Floor, External Plaster upto 3 Floor, Flooring upto 1 Floor Completed</v>
      </c>
      <c r="D106" s="82"/>
      <c r="E106" s="82"/>
      <c r="F106" s="82"/>
      <c r="G106" s="82"/>
      <c r="H106" s="192"/>
      <c r="I106" s="43" t="str">
        <f ca="1">IF(I105&lt;&gt;""," Completed","")</f>
        <v xml:space="preserve"> Completed</v>
      </c>
      <c r="J106" s="44" t="str">
        <f ca="1">IF(J104&lt;&gt;"","Completed","")</f>
        <v>Completed</v>
      </c>
      <c r="S106"/>
    </row>
    <row r="107" spans="1:19" ht="15.75" customHeight="1" x14ac:dyDescent="0.35">
      <c r="A107" s="115" t="s">
        <v>47</v>
      </c>
      <c r="B107" s="84"/>
      <c r="C107" s="65" t="s">
        <v>135</v>
      </c>
      <c r="D107" s="65" t="s">
        <v>80</v>
      </c>
      <c r="E107" s="84" t="s">
        <v>82</v>
      </c>
      <c r="F107" s="84"/>
      <c r="G107" s="84" t="s">
        <v>81</v>
      </c>
      <c r="H107" s="146"/>
      <c r="I107" s="13" t="s">
        <v>137</v>
      </c>
      <c r="J107" s="24">
        <f ca="1">H105*25%</f>
        <v>1.75</v>
      </c>
      <c r="S107"/>
    </row>
    <row r="108" spans="1:19" x14ac:dyDescent="0.35">
      <c r="A108" s="84" t="s">
        <v>124</v>
      </c>
      <c r="B108" s="84"/>
      <c r="C108" s="79">
        <f ca="1">J109</f>
        <v>7</v>
      </c>
      <c r="D108" s="16">
        <f ca="1">((100/H105)*C108)/100</f>
        <v>1</v>
      </c>
      <c r="E108" s="85">
        <f ca="1">(((C109/H105*10)+(40/(D105+F105+H105)*C110)+(7.5/(H105)*C111)+(7.5/(H105)*C112)+(10/H105*C113)+(10/H105*C114)+(5/H105*C115)+(5/H105*C116)+(5/H105*C117))/100)</f>
        <v>0.69642857142857151</v>
      </c>
      <c r="F108" s="85"/>
      <c r="G108" s="85">
        <f ca="1">((((C108/H105)*20)+((C109/H105)*25)+(30/(H105+F105+D105)*C110)+(5/H105*C111)+(5/H105*C112)+(5/H105*C113)+(5/H105*C114)+(0/H105*C115)+(0/H105*C116)+(5/H105*C117))/100)</f>
        <v>0.87142857142857144</v>
      </c>
      <c r="H108" s="85"/>
      <c r="I108" s="13" t="s">
        <v>97</v>
      </c>
      <c r="J108" s="25">
        <f ca="1">H105*50%</f>
        <v>3.5</v>
      </c>
    </row>
    <row r="109" spans="1:19" x14ac:dyDescent="0.35">
      <c r="A109" s="84" t="s">
        <v>48</v>
      </c>
      <c r="B109" s="84"/>
      <c r="C109" s="72">
        <f ca="1">J117</f>
        <v>7</v>
      </c>
      <c r="D109" s="16">
        <f ca="1">((100/H105)*C109)/100</f>
        <v>1</v>
      </c>
      <c r="E109" s="85"/>
      <c r="F109" s="85"/>
      <c r="G109" s="85"/>
      <c r="H109" s="85"/>
      <c r="I109" s="13" t="s">
        <v>98</v>
      </c>
      <c r="J109" s="25">
        <f ca="1">H105</f>
        <v>7</v>
      </c>
      <c r="S109"/>
    </row>
    <row r="110" spans="1:19" ht="15.75" customHeight="1" x14ac:dyDescent="0.35">
      <c r="A110" s="84" t="s">
        <v>125</v>
      </c>
      <c r="B110" s="84"/>
      <c r="C110" s="79">
        <v>8</v>
      </c>
      <c r="D110" s="16">
        <f ca="1">((100/(D105+F105+H105))*C110)/100</f>
        <v>1</v>
      </c>
      <c r="E110" s="85"/>
      <c r="F110" s="85"/>
      <c r="G110" s="85"/>
      <c r="H110" s="85"/>
      <c r="I110" s="13" t="s">
        <v>99</v>
      </c>
      <c r="J110" s="26">
        <f ca="1">(IF(B105&gt;1,(H105/(B105+2)),H105/4))</f>
        <v>1.75</v>
      </c>
      <c r="S110"/>
    </row>
    <row r="111" spans="1:19" ht="15.75" customHeight="1" x14ac:dyDescent="0.35">
      <c r="A111" s="84" t="s">
        <v>132</v>
      </c>
      <c r="B111" s="84" t="s">
        <v>126</v>
      </c>
      <c r="C111" s="79">
        <v>7</v>
      </c>
      <c r="D111" s="16">
        <f ca="1">((100/H105)*C111)/100</f>
        <v>1</v>
      </c>
      <c r="E111" s="85"/>
      <c r="F111" s="85"/>
      <c r="G111" s="85"/>
      <c r="H111" s="85"/>
      <c r="I111" s="13" t="s">
        <v>100</v>
      </c>
      <c r="J111" s="26">
        <f ca="1">(IF(B105&gt;1,(H105/(B105+2)+J110),H105/4+J110))</f>
        <v>3.5</v>
      </c>
    </row>
    <row r="112" spans="1:19" ht="15.75" customHeight="1" x14ac:dyDescent="0.35">
      <c r="A112" s="84" t="s">
        <v>133</v>
      </c>
      <c r="B112" s="84" t="s">
        <v>126</v>
      </c>
      <c r="C112" s="79">
        <v>6</v>
      </c>
      <c r="D112" s="16">
        <f ca="1">((100/H105)*C112)/100</f>
        <v>0.85714285714285721</v>
      </c>
      <c r="E112" s="85"/>
      <c r="F112" s="85"/>
      <c r="G112" s="85"/>
      <c r="H112" s="85"/>
      <c r="I112" s="13" t="s">
        <v>142</v>
      </c>
      <c r="J112" s="26">
        <f>(IF(B105&gt;1,(H105/(B105+2)+J111),0))</f>
        <v>0</v>
      </c>
    </row>
    <row r="113" spans="1:22" ht="15" customHeight="1" x14ac:dyDescent="0.35">
      <c r="A113" s="84" t="s">
        <v>131</v>
      </c>
      <c r="B113" s="84" t="s">
        <v>128</v>
      </c>
      <c r="C113" s="79">
        <v>3</v>
      </c>
      <c r="D113" s="16">
        <f ca="1">((100/(H105))*C113)/100</f>
        <v>0.4285714285714286</v>
      </c>
      <c r="E113" s="85"/>
      <c r="F113" s="85"/>
      <c r="G113" s="85"/>
      <c r="H113" s="85"/>
      <c r="I113" s="13" t="s">
        <v>139</v>
      </c>
      <c r="J113" s="26">
        <f>(IF(B105&gt;2,(H105/(B105+2)+J112),0))</f>
        <v>0</v>
      </c>
    </row>
    <row r="114" spans="1:22" ht="15.75" customHeight="1" x14ac:dyDescent="0.35">
      <c r="A114" s="84" t="s">
        <v>127</v>
      </c>
      <c r="B114" s="84" t="s">
        <v>127</v>
      </c>
      <c r="C114" s="79">
        <v>1</v>
      </c>
      <c r="D114" s="16">
        <f ca="1">((100/H105)*C114)/100</f>
        <v>0.14285714285714288</v>
      </c>
      <c r="E114" s="85"/>
      <c r="F114" s="85"/>
      <c r="G114" s="85"/>
      <c r="H114" s="85"/>
      <c r="I114" s="13" t="s">
        <v>140</v>
      </c>
      <c r="J114" s="27">
        <f>(IF(B105&gt;3,(H105/(B105+2)+J113),0))</f>
        <v>0</v>
      </c>
    </row>
    <row r="115" spans="1:22" ht="15.75" customHeight="1" x14ac:dyDescent="0.35">
      <c r="A115" s="84" t="s">
        <v>134</v>
      </c>
      <c r="B115" s="84"/>
      <c r="C115" s="79">
        <v>0</v>
      </c>
      <c r="D115" s="16">
        <f ca="1">((100/H105)*C115)/100</f>
        <v>0</v>
      </c>
      <c r="E115" s="85"/>
      <c r="F115" s="85"/>
      <c r="G115" s="85"/>
      <c r="H115" s="85"/>
      <c r="I115" s="13" t="s">
        <v>141</v>
      </c>
      <c r="J115" s="26">
        <f>(IF(B105&gt;4,(H105/(B105+2)+J114),0))</f>
        <v>0</v>
      </c>
    </row>
    <row r="116" spans="1:22" ht="15.75" customHeight="1" x14ac:dyDescent="0.35">
      <c r="A116" s="84" t="s">
        <v>129</v>
      </c>
      <c r="B116" s="84" t="s">
        <v>129</v>
      </c>
      <c r="C116" s="79">
        <v>0</v>
      </c>
      <c r="D116" s="16">
        <f ca="1">((100/(H105))*C116)/100</f>
        <v>0</v>
      </c>
      <c r="E116" s="85"/>
      <c r="F116" s="85"/>
      <c r="G116" s="85"/>
      <c r="H116" s="85"/>
      <c r="I116" s="13" t="s">
        <v>143</v>
      </c>
      <c r="J116" s="26">
        <f ca="1">(IF(B105=1,(H105/(B105+3)+J111),IF(B105=0,(H105/4+J111),IF(B105&gt;1,0))))</f>
        <v>5.25</v>
      </c>
    </row>
    <row r="117" spans="1:22" ht="16" thickBot="1" x14ac:dyDescent="0.4">
      <c r="A117" s="84" t="s">
        <v>130</v>
      </c>
      <c r="B117" s="84"/>
      <c r="C117" s="79">
        <v>0</v>
      </c>
      <c r="D117" s="16">
        <f ca="1">((100/(H105))*C117)/100</f>
        <v>0</v>
      </c>
      <c r="E117" s="85"/>
      <c r="F117" s="85"/>
      <c r="G117" s="85"/>
      <c r="H117" s="85"/>
      <c r="I117" s="14" t="s">
        <v>101</v>
      </c>
      <c r="J117" s="28">
        <f ca="1">(IF(B105&gt;1.5,(H105/(B105+2)+J111+MAX(0,J112-J111)+MAX(0,J113-J112)+MAX(0,J114-J113)+MAX(0,J115-J114)+MAX(0,J116-J115)),IF(B105=1,(H105/(B105+3)+J116),IF(B105=0,H105/4+J116))))</f>
        <v>7</v>
      </c>
    </row>
    <row r="118" spans="1:22" x14ac:dyDescent="0.35">
      <c r="A118" s="114" t="s">
        <v>136</v>
      </c>
      <c r="B118" s="114"/>
      <c r="C118" s="114" t="s">
        <v>356</v>
      </c>
      <c r="D118" s="114"/>
      <c r="E118" s="114"/>
      <c r="F118" s="114"/>
      <c r="G118" s="114"/>
      <c r="H118" s="114"/>
      <c r="I118" s="77" t="str">
        <f ca="1">IF(D131=100%,"All work Completed. Possession granted to the Building.",IF(D130=100%,"All work Completed, Waiting for OC",I119&amp;""&amp;I120&amp;""&amp;J119&amp;""&amp;J118&amp;" "&amp;J120))</f>
        <v>Excavation, Plinth, RCC Slab, Brickwork, Internal Plaster Completed, External Plaster upto 6 Floor, Flooring upto 4 Floor, Painting upto 2 Floor Completed</v>
      </c>
      <c r="J118" s="42"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External Plaster upto 6 Floor, Flooring upto 4 Floor, Painting upto 2 Floor</v>
      </c>
      <c r="R118" t="s">
        <v>248</v>
      </c>
      <c r="S118" t="s">
        <v>169</v>
      </c>
      <c r="T118" t="s">
        <v>174</v>
      </c>
      <c r="U118" t="s">
        <v>189</v>
      </c>
      <c r="V118" t="s">
        <v>184</v>
      </c>
    </row>
    <row r="119" spans="1:22" x14ac:dyDescent="0.35">
      <c r="A119" s="45" t="s">
        <v>138</v>
      </c>
      <c r="B119" s="45">
        <f>IF(AND(ISNUMBER(SEARCH("1B",C118))),1,IF(AND(ISNUMBER(SEARCH("2B",C118))),2,IF(AND(ISNUMBER(SEARCH("3B",C118))),3,IF(AND(ISNUMBER(SEARCH("4B",C118))),4,IF(ISNUMBER(SEARCH("5B",C118)),5,0)))))</f>
        <v>0</v>
      </c>
      <c r="C119" s="45" t="s">
        <v>69</v>
      </c>
      <c r="D119" s="45">
        <v>1</v>
      </c>
      <c r="E119" s="45" t="s">
        <v>68</v>
      </c>
      <c r="F119" s="45">
        <v>0</v>
      </c>
      <c r="G119" s="45" t="s">
        <v>77</v>
      </c>
      <c r="H119" s="45">
        <f ca="1">--TRIM(RIGHT(SUBSTITUTE(LEFT(C118,_xlfn.AGGREGATE(16,6,FIND({0,1,2,3,4,5,6,7,8,9},C118,ROW(INDIRECT("1:"&amp;LEN(C118)))),1))," ",REPT(" ",LEN(C118))),LEN(C118)))</f>
        <v>7</v>
      </c>
      <c r="I119" s="78" t="str">
        <f ca="1">IF(D122=100%,"Excavation","")&amp;IF(D123=100%,", Plinth","")&amp;IF(D124=100%,", RCC Slab","")&amp;IF(D125=100%,", Brickwork","")&amp;IF(D126=100%,", Internal Plaster","")&amp;IF(D127=100%,", External Plaster","")&amp;IF(D128=100%,", Flooring","")&amp;IF(D129=100%,", Painting","")&amp;IF(D130=100%,", Building common Amenities","")</f>
        <v>Excavation, Plinth, RCC Slab, Brickwork, Internal Plaster</v>
      </c>
      <c r="J119" s="44"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c r="R119"/>
      <c r="S119">
        <v>800000</v>
      </c>
      <c r="T119">
        <v>150000</v>
      </c>
      <c r="U119">
        <v>100000</v>
      </c>
      <c r="V119">
        <v>100000</v>
      </c>
    </row>
    <row r="120" spans="1:22" ht="47.5" customHeight="1" x14ac:dyDescent="0.35">
      <c r="A120" s="113" t="s">
        <v>87</v>
      </c>
      <c r="B120" s="113"/>
      <c r="C120" s="114" t="str">
        <f ca="1">I118</f>
        <v>Excavation, Plinth, RCC Slab, Brickwork, Internal Plaster Completed, External Plaster upto 6 Floor, Flooring upto 4 Floor, Painting upto 2 Floor Completed</v>
      </c>
      <c r="D120" s="114"/>
      <c r="E120" s="114"/>
      <c r="F120" s="114"/>
      <c r="G120" s="114"/>
      <c r="H120" s="114"/>
      <c r="I120" s="78" t="str">
        <f ca="1">IF(I119&lt;&gt;""," Completed","")</f>
        <v xml:space="preserve"> Completed</v>
      </c>
      <c r="J120" s="44" t="str">
        <f ca="1">IF(J118&lt;&gt;"","Completed","")</f>
        <v>Completed</v>
      </c>
      <c r="R120"/>
      <c r="S120">
        <v>900000</v>
      </c>
      <c r="T120">
        <v>200000</v>
      </c>
      <c r="U120">
        <v>150000</v>
      </c>
      <c r="V120">
        <v>150000</v>
      </c>
    </row>
    <row r="121" spans="1:22" x14ac:dyDescent="0.35">
      <c r="A121" s="104" t="s">
        <v>47</v>
      </c>
      <c r="B121" s="104"/>
      <c r="C121" s="80" t="s">
        <v>135</v>
      </c>
      <c r="D121" s="80" t="s">
        <v>80</v>
      </c>
      <c r="E121" s="104" t="s">
        <v>82</v>
      </c>
      <c r="F121" s="104"/>
      <c r="G121" s="104" t="s">
        <v>81</v>
      </c>
      <c r="H121" s="104"/>
      <c r="I121" s="13" t="s">
        <v>137</v>
      </c>
      <c r="J121" s="24">
        <f ca="1">H119*25%</f>
        <v>1.75</v>
      </c>
      <c r="R121"/>
      <c r="S121">
        <v>1000000</v>
      </c>
      <c r="T121">
        <v>250000</v>
      </c>
      <c r="U121">
        <v>200000</v>
      </c>
      <c r="V121">
        <v>200000</v>
      </c>
    </row>
    <row r="122" spans="1:22" s="29" customFormat="1" x14ac:dyDescent="0.35">
      <c r="A122" s="104" t="s">
        <v>124</v>
      </c>
      <c r="B122" s="104"/>
      <c r="C122" s="80">
        <f ca="1">J123</f>
        <v>7</v>
      </c>
      <c r="D122" s="74">
        <f ca="1">((100/H119)*C122)/100</f>
        <v>1</v>
      </c>
      <c r="E122" s="141">
        <f ca="1">(((C123/H119*10)+(40/(D119+F119+H119)*C124)+(7.5/(H119)*C125)+(7.5/(H119)*C126)+(10/H119*C127)+(10/H119*C128)+(5/H119*C129)+(5/H119*C130)+(5/H119*C131))/100)</f>
        <v>0.80714285714285705</v>
      </c>
      <c r="F122" s="141"/>
      <c r="G122" s="141">
        <f ca="1">((((C122/H119)*20)+((C123/H119)*25)+(30/(H119+F119+D119)*C124)+(5/H119*C125)+(5/H119*C126)+(5/H119*C127)+(5/H119*C128)+(0/H119*C129)+(0/H119*C130)+(5/H119*C131))/100)</f>
        <v>0.92142857142857149</v>
      </c>
      <c r="H122" s="141"/>
      <c r="I122" s="13" t="s">
        <v>97</v>
      </c>
      <c r="J122" s="25">
        <f ca="1">H119*50%</f>
        <v>3.5</v>
      </c>
      <c r="K122" s="17"/>
      <c r="R122"/>
      <c r="S122">
        <v>1100000</v>
      </c>
      <c r="T122">
        <v>300000</v>
      </c>
      <c r="U122">
        <v>250000</v>
      </c>
      <c r="V122" s="19">
        <v>250000</v>
      </c>
    </row>
    <row r="123" spans="1:22" s="29" customFormat="1" x14ac:dyDescent="0.35">
      <c r="A123" s="104" t="s">
        <v>48</v>
      </c>
      <c r="B123" s="104"/>
      <c r="C123" s="80">
        <f ca="1">J131</f>
        <v>7</v>
      </c>
      <c r="D123" s="74">
        <f ca="1">((100/H119)*C123)/100</f>
        <v>1</v>
      </c>
      <c r="E123" s="141"/>
      <c r="F123" s="141"/>
      <c r="G123" s="141"/>
      <c r="H123" s="141"/>
      <c r="I123" s="13" t="s">
        <v>98</v>
      </c>
      <c r="J123" s="25">
        <f ca="1">H119</f>
        <v>7</v>
      </c>
      <c r="K123" s="17"/>
      <c r="R123"/>
      <c r="S123">
        <v>1200000</v>
      </c>
      <c r="T123">
        <v>350000</v>
      </c>
      <c r="U123">
        <v>300000</v>
      </c>
      <c r="V123">
        <v>300000</v>
      </c>
    </row>
    <row r="124" spans="1:22" s="29" customFormat="1" x14ac:dyDescent="0.35">
      <c r="A124" s="104" t="s">
        <v>125</v>
      </c>
      <c r="B124" s="104"/>
      <c r="C124" s="80">
        <v>8</v>
      </c>
      <c r="D124" s="74">
        <f ca="1">((100/(D119+F119+H119))*C124)/100</f>
        <v>1</v>
      </c>
      <c r="E124" s="141"/>
      <c r="F124" s="141"/>
      <c r="G124" s="141"/>
      <c r="H124" s="141"/>
      <c r="I124" s="13" t="s">
        <v>99</v>
      </c>
      <c r="J124" s="26">
        <f ca="1">(IF(B119&gt;1,(H119/(B119+2)),H119/4))</f>
        <v>1.75</v>
      </c>
      <c r="K124" s="17"/>
      <c r="R124"/>
      <c r="S124">
        <v>1300000</v>
      </c>
      <c r="T124">
        <v>400000</v>
      </c>
      <c r="U124">
        <v>350000</v>
      </c>
      <c r="V124" s="19">
        <v>400000</v>
      </c>
    </row>
    <row r="125" spans="1:22" s="29" customFormat="1" x14ac:dyDescent="0.35">
      <c r="A125" s="104" t="s">
        <v>132</v>
      </c>
      <c r="B125" s="104" t="s">
        <v>126</v>
      </c>
      <c r="C125" s="80">
        <v>7</v>
      </c>
      <c r="D125" s="74">
        <f ca="1">((100/H119)*C125)/100</f>
        <v>1</v>
      </c>
      <c r="E125" s="141"/>
      <c r="F125" s="141"/>
      <c r="G125" s="141"/>
      <c r="H125" s="141"/>
      <c r="I125" s="13" t="s">
        <v>100</v>
      </c>
      <c r="J125" s="26">
        <f ca="1">(IF(B119&gt;1,(H119/(B119+2)+J124),H119/4+J124))</f>
        <v>3.5</v>
      </c>
      <c r="K125" s="17"/>
      <c r="R125"/>
      <c r="S125">
        <v>1400000</v>
      </c>
      <c r="T125">
        <v>500000</v>
      </c>
      <c r="U125">
        <v>400000</v>
      </c>
      <c r="V125"/>
    </row>
    <row r="126" spans="1:22" s="29" customFormat="1" x14ac:dyDescent="0.35">
      <c r="A126" s="104" t="s">
        <v>133</v>
      </c>
      <c r="B126" s="104" t="s">
        <v>126</v>
      </c>
      <c r="C126" s="80">
        <v>7</v>
      </c>
      <c r="D126" s="74">
        <f ca="1">((100/H119)*C126)/100</f>
        <v>1</v>
      </c>
      <c r="E126" s="141"/>
      <c r="F126" s="141"/>
      <c r="G126" s="141"/>
      <c r="H126" s="141"/>
      <c r="I126" s="13" t="s">
        <v>142</v>
      </c>
      <c r="J126" s="26">
        <f>(IF(B119&gt;1,(H119/(B119+2)+J125),0))</f>
        <v>0</v>
      </c>
      <c r="K126" s="17"/>
      <c r="R126"/>
      <c r="S126">
        <v>1500000</v>
      </c>
      <c r="T126">
        <v>600000</v>
      </c>
      <c r="U126">
        <v>500000</v>
      </c>
      <c r="V126" s="19"/>
    </row>
    <row r="127" spans="1:22" s="29" customFormat="1" x14ac:dyDescent="0.35">
      <c r="A127" s="104" t="s">
        <v>131</v>
      </c>
      <c r="B127" s="104" t="s">
        <v>128</v>
      </c>
      <c r="C127" s="80">
        <v>6</v>
      </c>
      <c r="D127" s="74">
        <f ca="1">((100/(H119))*C127)/100</f>
        <v>0.85714285714285721</v>
      </c>
      <c r="E127" s="141"/>
      <c r="F127" s="141"/>
      <c r="G127" s="141"/>
      <c r="H127" s="141"/>
      <c r="I127" s="13" t="s">
        <v>139</v>
      </c>
      <c r="J127" s="26">
        <f>(IF(B119&gt;2,(H119/(B119+2)+J126),0))</f>
        <v>0</v>
      </c>
      <c r="K127" s="17"/>
      <c r="R127"/>
      <c r="S127">
        <v>1600000</v>
      </c>
      <c r="T127">
        <v>700000</v>
      </c>
      <c r="U127">
        <v>600000</v>
      </c>
      <c r="V127"/>
    </row>
    <row r="128" spans="1:22" s="29" customFormat="1" x14ac:dyDescent="0.35">
      <c r="A128" s="104" t="s">
        <v>127</v>
      </c>
      <c r="B128" s="104" t="s">
        <v>127</v>
      </c>
      <c r="C128" s="80">
        <v>4</v>
      </c>
      <c r="D128" s="74">
        <f ca="1">((100/H119)*C128)/100</f>
        <v>0.57142857142857151</v>
      </c>
      <c r="E128" s="141"/>
      <c r="F128" s="141"/>
      <c r="G128" s="141"/>
      <c r="H128" s="141"/>
      <c r="I128" s="13" t="s">
        <v>140</v>
      </c>
      <c r="J128" s="27">
        <f>(IF(B119&gt;3,(H119/(B119+2)+J127),0))</f>
        <v>0</v>
      </c>
      <c r="K128" s="17"/>
      <c r="R128"/>
      <c r="S128">
        <v>1700000</v>
      </c>
      <c r="T128">
        <v>800000</v>
      </c>
      <c r="U128"/>
      <c r="V128" s="19"/>
    </row>
    <row r="129" spans="1:22" x14ac:dyDescent="0.35">
      <c r="A129" s="104" t="s">
        <v>134</v>
      </c>
      <c r="B129" s="104"/>
      <c r="C129" s="80">
        <v>2</v>
      </c>
      <c r="D129" s="74">
        <f ca="1">((100/H119)*C129)/100</f>
        <v>0.28571428571428575</v>
      </c>
      <c r="E129" s="141"/>
      <c r="F129" s="141"/>
      <c r="G129" s="141"/>
      <c r="H129" s="141"/>
      <c r="I129" s="13" t="s">
        <v>141</v>
      </c>
      <c r="J129" s="26">
        <f>(IF(B119&gt;4,(H119/(B119+2)+J128),0))</f>
        <v>0</v>
      </c>
      <c r="O129" s="17" t="s">
        <v>346</v>
      </c>
      <c r="R129"/>
      <c r="S129">
        <v>1800000</v>
      </c>
      <c r="T129">
        <v>900000</v>
      </c>
      <c r="U129"/>
    </row>
    <row r="130" spans="1:22" s="30" customFormat="1" x14ac:dyDescent="0.35">
      <c r="A130" s="104" t="s">
        <v>129</v>
      </c>
      <c r="B130" s="104" t="s">
        <v>129</v>
      </c>
      <c r="C130" s="80">
        <v>0</v>
      </c>
      <c r="D130" s="74">
        <f ca="1">((100/(H119))*C130)/100</f>
        <v>0</v>
      </c>
      <c r="E130" s="141"/>
      <c r="F130" s="141"/>
      <c r="G130" s="141"/>
      <c r="H130" s="141"/>
      <c r="I130" s="13" t="s">
        <v>143</v>
      </c>
      <c r="J130" s="26">
        <f ca="1">(IF(B119=1,(H119/(B119+3)+J125),IF(B119=0,(H119/4+J125),IF(B119&gt;1,0))))</f>
        <v>5.25</v>
      </c>
      <c r="K130" s="17"/>
      <c r="R130" s="17"/>
      <c r="S130" s="17"/>
      <c r="T130">
        <v>1000000</v>
      </c>
      <c r="U130"/>
      <c r="V130" s="17"/>
    </row>
    <row r="131" spans="1:22" s="31" customFormat="1" ht="15.75" customHeight="1" thickBot="1" x14ac:dyDescent="0.4">
      <c r="A131" s="104" t="s">
        <v>130</v>
      </c>
      <c r="B131" s="104"/>
      <c r="C131" s="80">
        <v>0</v>
      </c>
      <c r="D131" s="74">
        <f ca="1">((100/(H119))*C131)/100</f>
        <v>0</v>
      </c>
      <c r="E131" s="141"/>
      <c r="F131" s="141"/>
      <c r="G131" s="141"/>
      <c r="H131" s="141"/>
      <c r="I131" s="14" t="s">
        <v>101</v>
      </c>
      <c r="J131" s="28">
        <f ca="1">(IF(B119&gt;1.5,(H119/(B119+2)+J125+MAX(0,J126-J125)+MAX(0,J127-J126)+MAX(0,J128-J127)+MAX(0,J129-J128)+MAX(0,J130-J129)),IF(B119=1,(H119/(B119+3)+J130),IF(B119=0,H119/4+J130))))</f>
        <v>7</v>
      </c>
      <c r="K131" s="17"/>
      <c r="R131"/>
      <c r="S131" s="17"/>
      <c r="T131"/>
      <c r="U131"/>
      <c r="V131" s="17"/>
    </row>
    <row r="132" spans="1:22" s="31" customFormat="1" ht="15.75" customHeight="1" x14ac:dyDescent="0.35">
      <c r="A132" s="165" t="s">
        <v>153</v>
      </c>
      <c r="B132" s="165"/>
      <c r="C132" s="165"/>
      <c r="D132" s="165"/>
      <c r="E132" s="165"/>
      <c r="F132" s="147" t="s">
        <v>157</v>
      </c>
      <c r="G132" s="147"/>
      <c r="H132" s="147"/>
      <c r="I132" s="17"/>
      <c r="J132" s="17"/>
      <c r="K132" s="17"/>
      <c r="R132"/>
      <c r="S132" s="17"/>
      <c r="T132"/>
      <c r="U132" s="17"/>
      <c r="V132" s="17"/>
    </row>
    <row r="133" spans="1:22" s="31" customFormat="1" x14ac:dyDescent="0.35">
      <c r="A133" s="95" t="s">
        <v>155</v>
      </c>
      <c r="B133" s="95"/>
      <c r="C133" s="95"/>
      <c r="D133" s="95"/>
      <c r="E133" s="95"/>
      <c r="F133" s="93">
        <v>5500</v>
      </c>
      <c r="G133" s="93"/>
      <c r="H133" s="93"/>
      <c r="I133" s="17"/>
      <c r="J133" s="17"/>
      <c r="K133" s="17"/>
      <c r="R133"/>
      <c r="S133" s="17"/>
      <c r="T133"/>
      <c r="U133" s="17"/>
      <c r="V133" s="17"/>
    </row>
    <row r="134" spans="1:22" s="31" customFormat="1" hidden="1" x14ac:dyDescent="0.35">
      <c r="A134" s="95" t="s">
        <v>154</v>
      </c>
      <c r="B134" s="95"/>
      <c r="C134" s="95"/>
      <c r="D134" s="95"/>
      <c r="E134" s="95"/>
      <c r="F134" s="93"/>
      <c r="G134" s="93"/>
      <c r="H134" s="93"/>
      <c r="I134" s="17"/>
      <c r="J134" s="17"/>
      <c r="K134" s="17"/>
      <c r="R134"/>
      <c r="S134" s="17"/>
      <c r="T134"/>
      <c r="U134" s="17"/>
      <c r="V134" s="17"/>
    </row>
    <row r="135" spans="1:22" s="31" customFormat="1" hidden="1" x14ac:dyDescent="0.35">
      <c r="A135" s="95" t="s">
        <v>156</v>
      </c>
      <c r="B135" s="95"/>
      <c r="C135" s="95"/>
      <c r="D135" s="95"/>
      <c r="E135" s="95"/>
      <c r="F135" s="93"/>
      <c r="G135" s="93"/>
      <c r="H135" s="93"/>
      <c r="I135" s="17"/>
      <c r="J135" s="17"/>
      <c r="K135" s="17"/>
      <c r="R135"/>
      <c r="S135" s="17"/>
      <c r="T135"/>
      <c r="U135" s="17"/>
      <c r="V135" s="17"/>
    </row>
    <row r="136" spans="1:22" s="31" customFormat="1" hidden="1" x14ac:dyDescent="0.35">
      <c r="A136" s="95" t="s">
        <v>171</v>
      </c>
      <c r="B136" s="95"/>
      <c r="C136" s="95"/>
      <c r="D136" s="95"/>
      <c r="E136" s="95"/>
      <c r="F136" s="93"/>
      <c r="G136" s="93"/>
      <c r="H136" s="93"/>
      <c r="I136" s="29"/>
      <c r="J136" s="29"/>
      <c r="K136" s="29"/>
      <c r="T136"/>
    </row>
    <row r="137" spans="1:22" s="31" customFormat="1" ht="15.75" customHeight="1" x14ac:dyDescent="0.35">
      <c r="A137" s="95" t="s">
        <v>91</v>
      </c>
      <c r="B137" s="95"/>
      <c r="C137" s="95"/>
      <c r="D137" s="95"/>
      <c r="E137" s="95"/>
      <c r="F137" s="93">
        <v>200000</v>
      </c>
      <c r="G137" s="93"/>
      <c r="H137" s="93"/>
      <c r="I137" s="29"/>
      <c r="J137" s="29"/>
      <c r="K137" s="29"/>
      <c r="T137"/>
    </row>
    <row r="138" spans="1:22" s="31" customFormat="1" hidden="1" x14ac:dyDescent="0.35">
      <c r="A138" s="95" t="s">
        <v>92</v>
      </c>
      <c r="B138" s="95"/>
      <c r="C138" s="95"/>
      <c r="D138" s="95"/>
      <c r="E138" s="95"/>
      <c r="F138" s="93"/>
      <c r="G138" s="93"/>
      <c r="H138" s="93"/>
      <c r="I138" s="29"/>
      <c r="J138" s="29"/>
      <c r="K138" s="29"/>
      <c r="T138"/>
    </row>
    <row r="139" spans="1:22" s="31" customFormat="1" hidden="1" x14ac:dyDescent="0.35">
      <c r="A139" s="95" t="s">
        <v>93</v>
      </c>
      <c r="B139" s="95"/>
      <c r="C139" s="95"/>
      <c r="D139" s="95"/>
      <c r="E139" s="95"/>
      <c r="F139" s="93"/>
      <c r="G139" s="93"/>
      <c r="H139" s="93"/>
      <c r="I139" s="29"/>
      <c r="J139" s="29"/>
      <c r="K139" s="29"/>
      <c r="T139"/>
    </row>
    <row r="140" spans="1:22" s="31" customFormat="1" hidden="1" x14ac:dyDescent="0.35">
      <c r="A140" s="95" t="s">
        <v>94</v>
      </c>
      <c r="B140" s="95"/>
      <c r="C140" s="95"/>
      <c r="D140" s="95"/>
      <c r="E140" s="95"/>
      <c r="F140" s="93"/>
      <c r="G140" s="93"/>
      <c r="H140" s="93"/>
      <c r="I140" s="29"/>
      <c r="J140" s="29"/>
      <c r="K140" s="29"/>
      <c r="T140"/>
    </row>
    <row r="141" spans="1:22" s="31" customFormat="1" hidden="1" x14ac:dyDescent="0.35">
      <c r="A141" s="95" t="s">
        <v>95</v>
      </c>
      <c r="B141" s="95"/>
      <c r="C141" s="95"/>
      <c r="D141" s="95"/>
      <c r="E141" s="95"/>
      <c r="F141" s="93"/>
      <c r="G141" s="93"/>
      <c r="H141" s="93"/>
      <c r="I141" s="29"/>
      <c r="J141" s="29"/>
      <c r="K141" s="29"/>
      <c r="T141"/>
    </row>
    <row r="142" spans="1:22" s="31" customFormat="1" hidden="1" x14ac:dyDescent="0.35">
      <c r="A142" s="95" t="s">
        <v>96</v>
      </c>
      <c r="B142" s="95"/>
      <c r="C142" s="95"/>
      <c r="D142" s="95"/>
      <c r="E142" s="95"/>
      <c r="F142" s="93"/>
      <c r="G142" s="93"/>
      <c r="H142" s="93"/>
      <c r="I142" s="29"/>
      <c r="J142" s="29"/>
      <c r="K142" s="29"/>
      <c r="T142"/>
    </row>
    <row r="143" spans="1:22" s="31" customFormat="1" hidden="1" x14ac:dyDescent="0.35">
      <c r="A143" s="95" t="s">
        <v>49</v>
      </c>
      <c r="B143" s="95"/>
      <c r="C143" s="95"/>
      <c r="D143" s="95"/>
      <c r="E143" s="95"/>
      <c r="F143" s="164">
        <v>300000</v>
      </c>
      <c r="G143" s="164"/>
      <c r="H143" s="164"/>
      <c r="I143" s="17"/>
      <c r="J143" s="21">
        <v>45584</v>
      </c>
      <c r="K143" s="17" t="s">
        <v>345</v>
      </c>
      <c r="T143"/>
    </row>
    <row r="144" spans="1:22" s="30" customFormat="1" x14ac:dyDescent="0.35">
      <c r="A144" s="165" t="s">
        <v>50</v>
      </c>
      <c r="B144" s="165"/>
      <c r="C144" s="165"/>
      <c r="D144" s="165"/>
      <c r="E144" s="165"/>
      <c r="F144" s="93">
        <f>F133*0.8</f>
        <v>4400</v>
      </c>
      <c r="G144" s="93"/>
      <c r="H144" s="93"/>
      <c r="T144" s="31"/>
    </row>
    <row r="145" spans="1:20" hidden="1" x14ac:dyDescent="0.35">
      <c r="A145" s="163" t="s">
        <v>72</v>
      </c>
      <c r="B145" s="163"/>
      <c r="C145" s="163"/>
      <c r="D145" s="163"/>
      <c r="E145" s="163"/>
      <c r="F145" s="163"/>
      <c r="G145" s="163"/>
      <c r="H145" s="163"/>
      <c r="I145" s="31"/>
      <c r="J145" s="31"/>
      <c r="K145" s="31"/>
      <c r="T145" s="31"/>
    </row>
    <row r="146" spans="1:20" hidden="1" x14ac:dyDescent="0.35">
      <c r="A146" s="118" t="s">
        <v>51</v>
      </c>
      <c r="B146" s="118"/>
      <c r="C146" s="138" t="s">
        <v>75</v>
      </c>
      <c r="D146" s="138"/>
      <c r="E146" s="142" t="s">
        <v>52</v>
      </c>
      <c r="F146" s="142"/>
      <c r="G146" s="118" t="s">
        <v>53</v>
      </c>
      <c r="H146" s="118"/>
      <c r="I146" s="31"/>
      <c r="J146" s="31"/>
      <c r="K146" s="31"/>
      <c r="T146" s="31"/>
    </row>
    <row r="147" spans="1:20" s="33" customFormat="1" hidden="1" x14ac:dyDescent="0.35">
      <c r="A147" s="89"/>
      <c r="B147" s="89"/>
      <c r="C147" s="168"/>
      <c r="D147" s="168"/>
      <c r="E147" s="169"/>
      <c r="F147" s="169"/>
      <c r="G147" s="148"/>
      <c r="H147" s="148"/>
      <c r="I147" s="31"/>
      <c r="J147" s="31"/>
      <c r="K147" s="31"/>
      <c r="T147" s="31"/>
    </row>
    <row r="148" spans="1:20" s="33" customFormat="1" hidden="1" x14ac:dyDescent="0.35">
      <c r="A148" s="89"/>
      <c r="B148" s="89"/>
      <c r="C148" s="168"/>
      <c r="D148" s="168"/>
      <c r="E148" s="169"/>
      <c r="F148" s="169"/>
      <c r="G148" s="148"/>
      <c r="H148" s="148"/>
      <c r="I148" s="31"/>
      <c r="J148" s="31"/>
      <c r="K148" s="31"/>
      <c r="T148" s="31"/>
    </row>
    <row r="149" spans="1:20" s="33" customFormat="1" ht="15.75" hidden="1" customHeight="1" x14ac:dyDescent="0.35">
      <c r="A149" s="163" t="s">
        <v>146</v>
      </c>
      <c r="B149" s="163"/>
      <c r="C149" s="138"/>
      <c r="D149" s="138"/>
      <c r="E149" s="142"/>
      <c r="F149" s="142"/>
      <c r="G149" s="118"/>
      <c r="H149" s="118"/>
      <c r="I149" s="31"/>
      <c r="J149" s="31"/>
      <c r="K149" s="31"/>
      <c r="L149" s="200"/>
      <c r="M149" s="200"/>
      <c r="N149" s="32"/>
      <c r="T149" s="31"/>
    </row>
    <row r="150" spans="1:20" s="33" customFormat="1" ht="15.75" customHeight="1" x14ac:dyDescent="0.35">
      <c r="A150" s="163" t="s">
        <v>67</v>
      </c>
      <c r="B150" s="163"/>
      <c r="C150" s="163"/>
      <c r="D150" s="163"/>
      <c r="E150" s="163"/>
      <c r="F150" s="163"/>
      <c r="G150" s="163"/>
      <c r="H150" s="163"/>
      <c r="I150" s="31"/>
      <c r="J150" s="31"/>
      <c r="K150" s="31"/>
      <c r="L150" s="200"/>
      <c r="M150" s="200"/>
      <c r="N150" s="32"/>
      <c r="T150" s="30"/>
    </row>
    <row r="151" spans="1:20" s="33" customFormat="1" ht="15.75" customHeight="1" x14ac:dyDescent="0.35">
      <c r="A151" s="118" t="s">
        <v>51</v>
      </c>
      <c r="B151" s="118"/>
      <c r="C151" s="138" t="s">
        <v>75</v>
      </c>
      <c r="D151" s="138"/>
      <c r="E151" s="142" t="s">
        <v>52</v>
      </c>
      <c r="F151" s="142"/>
      <c r="G151" s="118" t="s">
        <v>53</v>
      </c>
      <c r="H151" s="118"/>
      <c r="I151" s="31"/>
      <c r="J151" s="31"/>
      <c r="K151" s="31"/>
      <c r="L151" s="200"/>
      <c r="M151" s="200"/>
      <c r="N151" s="32"/>
      <c r="T151" s="17"/>
    </row>
    <row r="152" spans="1:20" s="33" customFormat="1" ht="15.75" customHeight="1" x14ac:dyDescent="0.35">
      <c r="A152" s="89" t="s">
        <v>329</v>
      </c>
      <c r="B152" s="89"/>
      <c r="C152" s="90">
        <f>COUNT(D173:D178)*7</f>
        <v>42</v>
      </c>
      <c r="D152" s="90"/>
      <c r="E152" s="90">
        <f t="shared" ref="E152" si="0">SUM(F173:F178)*7</f>
        <v>19067.941620000001</v>
      </c>
      <c r="F152" s="90"/>
      <c r="G152" s="90">
        <f t="shared" ref="G152" si="1">SUM(H173:H178)*7</f>
        <v>27648.515349000001</v>
      </c>
      <c r="H152" s="90"/>
      <c r="I152" s="31">
        <f>7*6</f>
        <v>42</v>
      </c>
      <c r="J152" s="31"/>
      <c r="K152" s="31"/>
      <c r="L152" s="200"/>
      <c r="M152" s="200"/>
      <c r="N152" s="32"/>
      <c r="T152" s="17"/>
    </row>
    <row r="153" spans="1:20" s="33" customFormat="1" ht="15.75" customHeight="1" x14ac:dyDescent="0.35">
      <c r="A153" s="89" t="s">
        <v>330</v>
      </c>
      <c r="B153" s="89"/>
      <c r="C153" s="90">
        <f>COUNT(D182:D187)*7</f>
        <v>42</v>
      </c>
      <c r="D153" s="90"/>
      <c r="E153" s="90">
        <f t="shared" ref="E153" si="2">SUM(F182:F187)*7</f>
        <v>19213.363259999998</v>
      </c>
      <c r="F153" s="90"/>
      <c r="G153" s="90">
        <f t="shared" ref="G153" si="3">SUM(H182:H187)*7</f>
        <v>27859.376726999999</v>
      </c>
      <c r="H153" s="90"/>
      <c r="I153" s="31">
        <f>7*6</f>
        <v>42</v>
      </c>
      <c r="J153" s="31"/>
      <c r="K153" s="31"/>
      <c r="N153" s="32"/>
    </row>
    <row r="154" spans="1:20" x14ac:dyDescent="0.35">
      <c r="A154" s="89" t="s">
        <v>331</v>
      </c>
      <c r="B154" s="89"/>
      <c r="C154" s="90">
        <f>COUNT(D191:D194)*7</f>
        <v>28</v>
      </c>
      <c r="D154" s="90"/>
      <c r="E154" s="90">
        <f t="shared" ref="E154" si="4">SUM(F191:F194)*7</f>
        <v>11871.830880000001</v>
      </c>
      <c r="F154" s="90"/>
      <c r="G154" s="90">
        <f t="shared" ref="G154" si="5">SUM(H191:H194)*7</f>
        <v>17214.154775999999</v>
      </c>
      <c r="H154" s="90"/>
      <c r="I154" s="31">
        <f>7*4</f>
        <v>28</v>
      </c>
      <c r="J154" s="31"/>
      <c r="K154" s="31"/>
      <c r="T154" s="33"/>
    </row>
    <row r="155" spans="1:20" s="33" customFormat="1" x14ac:dyDescent="0.35">
      <c r="A155" s="89" t="s">
        <v>332</v>
      </c>
      <c r="B155" s="89"/>
      <c r="C155" s="90">
        <f>COUNT(D198:D201)*7</f>
        <v>28</v>
      </c>
      <c r="D155" s="90"/>
      <c r="E155" s="90">
        <f t="shared" ref="E155" si="6">SUM(F198:F201)*7</f>
        <v>11978.825039999998</v>
      </c>
      <c r="F155" s="90"/>
      <c r="G155" s="90">
        <f t="shared" ref="G155" si="7">SUM(H198:H201)*7</f>
        <v>17369.296307999997</v>
      </c>
      <c r="H155" s="90"/>
      <c r="I155" s="31">
        <f>7*4</f>
        <v>28</v>
      </c>
      <c r="J155" s="31"/>
      <c r="K155" s="31"/>
    </row>
    <row r="156" spans="1:20" s="63" customFormat="1" x14ac:dyDescent="0.35">
      <c r="A156" s="167" t="s">
        <v>146</v>
      </c>
      <c r="B156" s="167"/>
      <c r="C156" s="139">
        <f>SUM(C152:D155)</f>
        <v>140</v>
      </c>
      <c r="D156" s="140"/>
      <c r="E156" s="139">
        <f t="shared" ref="E156" si="8">SUM(E152:F155)</f>
        <v>62131.960799999993</v>
      </c>
      <c r="F156" s="140"/>
      <c r="G156" s="139">
        <f t="shared" ref="G156" si="9">SUM(G152:H155)</f>
        <v>90091.343159999989</v>
      </c>
      <c r="H156" s="140"/>
      <c r="I156" s="31"/>
      <c r="J156" s="31"/>
      <c r="K156" s="31"/>
    </row>
    <row r="157" spans="1:20" s="63" customFormat="1" hidden="1" x14ac:dyDescent="0.35">
      <c r="A157" s="153" t="s">
        <v>163</v>
      </c>
      <c r="B157" s="154"/>
      <c r="C157" s="155">
        <f>C149+C156</f>
        <v>140</v>
      </c>
      <c r="D157" s="155"/>
      <c r="E157" s="130">
        <f>E149+E156</f>
        <v>62131.960799999993</v>
      </c>
      <c r="F157" s="130"/>
      <c r="G157" s="158">
        <f>G149+G156</f>
        <v>90091.343159999989</v>
      </c>
      <c r="H157" s="159"/>
      <c r="I157" s="31"/>
      <c r="J157" s="31"/>
      <c r="K157" s="31"/>
    </row>
    <row r="158" spans="1:20" s="63" customFormat="1" hidden="1" x14ac:dyDescent="0.35">
      <c r="A158" s="147" t="s">
        <v>54</v>
      </c>
      <c r="B158" s="147"/>
      <c r="C158" s="147"/>
      <c r="D158" s="147"/>
      <c r="E158" s="147"/>
      <c r="F158" s="147"/>
      <c r="G158" s="147"/>
      <c r="H158" s="147"/>
      <c r="I158" s="30"/>
      <c r="J158" s="30"/>
      <c r="K158" s="30"/>
    </row>
    <row r="159" spans="1:20" s="63" customFormat="1" ht="15.75" hidden="1" customHeight="1" x14ac:dyDescent="0.35">
      <c r="A159" s="121" t="s">
        <v>335</v>
      </c>
      <c r="B159" s="121"/>
      <c r="C159" s="121"/>
      <c r="D159" s="121"/>
      <c r="E159" s="121"/>
      <c r="F159" s="121"/>
      <c r="G159" s="121"/>
      <c r="H159" s="121"/>
      <c r="I159" s="17"/>
      <c r="J159" s="17"/>
      <c r="K159" s="17"/>
    </row>
    <row r="160" spans="1:20" s="63" customFormat="1" ht="15.75" hidden="1" customHeight="1" x14ac:dyDescent="0.35">
      <c r="A160" s="149" t="s">
        <v>117</v>
      </c>
      <c r="B160" s="149" t="s">
        <v>172</v>
      </c>
      <c r="C160" s="149" t="s">
        <v>55</v>
      </c>
      <c r="D160" s="206" t="s">
        <v>227</v>
      </c>
      <c r="E160" s="201" t="s">
        <v>152</v>
      </c>
      <c r="F160" s="149" t="s">
        <v>56</v>
      </c>
      <c r="G160" s="201" t="s">
        <v>57</v>
      </c>
      <c r="H160" s="61" t="s">
        <v>145</v>
      </c>
      <c r="I160" s="17"/>
      <c r="J160" s="17"/>
      <c r="K160" s="17"/>
    </row>
    <row r="161" spans="1:11" s="63" customFormat="1" ht="15.75" hidden="1" customHeight="1" x14ac:dyDescent="0.35">
      <c r="A161" s="150"/>
      <c r="B161" s="150"/>
      <c r="C161" s="150"/>
      <c r="D161" s="207"/>
      <c r="E161" s="202"/>
      <c r="F161" s="150"/>
      <c r="G161" s="202"/>
      <c r="H161" s="49">
        <v>0.45</v>
      </c>
      <c r="I161" s="33"/>
      <c r="J161" s="33"/>
      <c r="K161" s="33"/>
    </row>
    <row r="162" spans="1:11" s="63" customFormat="1" ht="15.75" hidden="1" customHeight="1" x14ac:dyDescent="0.35">
      <c r="A162" s="134" t="s">
        <v>116</v>
      </c>
      <c r="B162" s="135"/>
      <c r="C162" s="135"/>
      <c r="D162" s="135"/>
      <c r="E162" s="135"/>
      <c r="F162" s="135"/>
      <c r="G162" s="135"/>
      <c r="H162" s="136"/>
      <c r="I162" s="33"/>
      <c r="J162" s="32"/>
      <c r="K162" s="33"/>
    </row>
    <row r="163" spans="1:11" s="63" customFormat="1" ht="15.75" hidden="1" customHeight="1" x14ac:dyDescent="0.35">
      <c r="A163" s="122">
        <v>1</v>
      </c>
      <c r="B163" s="123"/>
      <c r="C163" s="38"/>
      <c r="D163" s="38">
        <v>0</v>
      </c>
      <c r="E163" s="38">
        <v>0</v>
      </c>
      <c r="F163" s="55">
        <f>D163+(IF(E163&lt;201,E163,IF(E163&lt;301,E163/2,E163/3)))</f>
        <v>0</v>
      </c>
      <c r="G163" s="56">
        <v>0</v>
      </c>
      <c r="H163" s="55">
        <f>(F163+(IF(G163&lt;101,G163,IF(G163&lt;201,G163/2,IF(G163&lt;=301,G163/3,G163/4)))))*(($H$161)+1)</f>
        <v>0</v>
      </c>
      <c r="I163" s="32"/>
      <c r="J163" s="33"/>
      <c r="K163" s="33"/>
    </row>
    <row r="164" spans="1:11" s="63" customFormat="1" ht="15.75" hidden="1" customHeight="1" x14ac:dyDescent="0.35">
      <c r="A164" s="122">
        <f>A163+1</f>
        <v>2</v>
      </c>
      <c r="B164" s="123"/>
      <c r="C164" s="38"/>
      <c r="D164" s="38"/>
      <c r="E164" s="38">
        <v>0</v>
      </c>
      <c r="F164" s="55">
        <f t="shared" ref="F164:F166" si="10">D164+(IF(E164&lt;201,E164,IF(E164&lt;301,E164/2,E164/3)))</f>
        <v>0</v>
      </c>
      <c r="G164" s="48">
        <v>0</v>
      </c>
      <c r="H164" s="55">
        <f t="shared" ref="H164:H166" si="11">(F164+(IF(G164&lt;101,G164,IF(G164&lt;201,G164/2,IF(G164&lt;=301,G164/3,G164/4)))))*(($H$161)+1)</f>
        <v>0</v>
      </c>
      <c r="I164" s="32"/>
      <c r="J164" s="33"/>
      <c r="K164" s="33"/>
    </row>
    <row r="165" spans="1:11" s="63" customFormat="1" hidden="1" x14ac:dyDescent="0.35">
      <c r="A165" s="122">
        <f>A164+1</f>
        <v>3</v>
      </c>
      <c r="B165" s="123"/>
      <c r="C165" s="38"/>
      <c r="D165" s="38"/>
      <c r="E165" s="38">
        <v>0</v>
      </c>
      <c r="F165" s="55">
        <f t="shared" si="10"/>
        <v>0</v>
      </c>
      <c r="G165" s="48">
        <v>0</v>
      </c>
      <c r="H165" s="55">
        <f t="shared" si="11"/>
        <v>0</v>
      </c>
      <c r="I165" s="32"/>
      <c r="J165" s="33"/>
      <c r="K165" s="33"/>
    </row>
    <row r="166" spans="1:11" s="63" customFormat="1" hidden="1" x14ac:dyDescent="0.35">
      <c r="A166" s="122">
        <f>A165+1</f>
        <v>4</v>
      </c>
      <c r="B166" s="123"/>
      <c r="C166" s="38"/>
      <c r="D166" s="38"/>
      <c r="E166" s="38">
        <v>0</v>
      </c>
      <c r="F166" s="55">
        <f t="shared" si="10"/>
        <v>0</v>
      </c>
      <c r="G166" s="48">
        <v>0</v>
      </c>
      <c r="H166" s="55">
        <f t="shared" si="11"/>
        <v>0</v>
      </c>
      <c r="I166" s="32"/>
      <c r="J166" s="33"/>
      <c r="K166" s="33"/>
    </row>
    <row r="167" spans="1:11" s="63" customFormat="1" x14ac:dyDescent="0.35">
      <c r="A167" s="147" t="s">
        <v>338</v>
      </c>
      <c r="B167" s="147"/>
      <c r="C167" s="147"/>
      <c r="D167" s="147"/>
      <c r="E167" s="147"/>
      <c r="F167" s="147"/>
      <c r="G167" s="147"/>
      <c r="H167" s="147"/>
      <c r="I167" s="32"/>
      <c r="J167" s="33"/>
      <c r="K167" s="33"/>
    </row>
    <row r="168" spans="1:11" s="63" customFormat="1" ht="53.25" customHeight="1" x14ac:dyDescent="0.35">
      <c r="A168" s="151" t="s">
        <v>339</v>
      </c>
      <c r="B168" s="119" t="s">
        <v>173</v>
      </c>
      <c r="C168" s="119" t="s">
        <v>55</v>
      </c>
      <c r="D168" s="119" t="s">
        <v>227</v>
      </c>
      <c r="E168" s="119" t="s">
        <v>336</v>
      </c>
      <c r="F168" s="119" t="s">
        <v>56</v>
      </c>
      <c r="G168" s="156" t="s">
        <v>57</v>
      </c>
      <c r="H168" s="67" t="s">
        <v>145</v>
      </c>
      <c r="I168" s="32"/>
      <c r="J168" s="17"/>
      <c r="K168" s="17"/>
    </row>
    <row r="169" spans="1:11" s="63" customFormat="1" ht="15.75" customHeight="1" x14ac:dyDescent="0.35">
      <c r="A169" s="152"/>
      <c r="B169" s="120"/>
      <c r="C169" s="120"/>
      <c r="D169" s="120"/>
      <c r="E169" s="120"/>
      <c r="F169" s="120"/>
      <c r="G169" s="157"/>
      <c r="H169" s="68">
        <v>0.45</v>
      </c>
      <c r="I169" s="32"/>
      <c r="J169" s="33"/>
      <c r="K169" s="33"/>
    </row>
    <row r="170" spans="1:11" s="63" customFormat="1" ht="15.75" customHeight="1" x14ac:dyDescent="0.35">
      <c r="A170" s="131" t="s">
        <v>309</v>
      </c>
      <c r="B170" s="132"/>
      <c r="C170" s="132"/>
      <c r="D170" s="132"/>
      <c r="E170" s="132"/>
      <c r="F170" s="132"/>
      <c r="G170" s="132"/>
      <c r="H170" s="133"/>
      <c r="I170" s="32"/>
    </row>
    <row r="171" spans="1:11" s="63" customFormat="1" ht="15.75" customHeight="1" x14ac:dyDescent="0.35">
      <c r="A171" s="145" t="s">
        <v>310</v>
      </c>
      <c r="B171" s="145"/>
      <c r="C171" s="145"/>
      <c r="D171" s="145"/>
      <c r="E171" s="145"/>
      <c r="F171" s="145"/>
      <c r="G171" s="145"/>
      <c r="H171" s="145"/>
      <c r="I171" s="32"/>
    </row>
    <row r="172" spans="1:11" s="63" customFormat="1" ht="15.75" customHeight="1" x14ac:dyDescent="0.35">
      <c r="A172" s="145" t="s">
        <v>315</v>
      </c>
      <c r="B172" s="145"/>
      <c r="C172" s="145"/>
      <c r="D172" s="145"/>
      <c r="E172" s="145"/>
      <c r="F172" s="145"/>
      <c r="G172" s="145"/>
      <c r="H172" s="145"/>
      <c r="I172" s="32"/>
      <c r="J172" s="32">
        <f>10.764</f>
        <v>10.763999999999999</v>
      </c>
      <c r="K172" s="63">
        <v>5500</v>
      </c>
    </row>
    <row r="173" spans="1:11" s="63" customFormat="1" ht="15.75" customHeight="1" x14ac:dyDescent="0.35">
      <c r="A173" s="137"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10^ROW(INDIRECT("1:"&amp;LEN((LEFT(A172,SUM(LEN(A172)-LEN(SUBSTITUTE(A172,{"0","1","2"},""))))))))/10))*100+1&amp;""&amp;" to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",LEN(A172))),LEN(A172)))))))/10))*100+1</f>
        <v>101 to 701</v>
      </c>
      <c r="B173" s="137"/>
      <c r="C173" s="81" t="s">
        <v>311</v>
      </c>
      <c r="D173" s="64">
        <f>(49)*(10.764)</f>
        <v>527.43599999999992</v>
      </c>
      <c r="E173" s="64">
        <f>(0.75*(3.05+2.75+2.3)+(2*1))*(10.764)</f>
        <v>86.919299999999993</v>
      </c>
      <c r="F173" s="81">
        <f t="shared" ref="F173:F178" si="12">D173+E173</f>
        <v>614.35529999999994</v>
      </c>
      <c r="G173" s="81">
        <v>0</v>
      </c>
      <c r="H173" s="81">
        <f t="shared" ref="H173:H178" si="13">F173*(($H$169)+1)+(IF(G173&lt;101,G173,IF(G173&lt;201,G173/2,IF(G173&lt;=301,G173/3,G173/4))))</f>
        <v>890.81518499999993</v>
      </c>
      <c r="I173" s="32">
        <f>(4.5*3.05+2.3*2.4+2.75*3.15+3.05*3.45+2.1*1.2+2.15*2.1+3.2*0.9)</f>
        <v>48.345000000000006</v>
      </c>
      <c r="K173" s="63">
        <f>K$172*H173</f>
        <v>4899483.5174999991</v>
      </c>
    </row>
    <row r="174" spans="1:11" s="63" customFormat="1" x14ac:dyDescent="0.35">
      <c r="A174" s="137"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102 to 702</v>
      </c>
      <c r="B174" s="137"/>
      <c r="C174" s="81" t="s">
        <v>312</v>
      </c>
      <c r="D174" s="64">
        <f>(33.87)*(10.764)</f>
        <v>364.57667999999995</v>
      </c>
      <c r="E174" s="64">
        <f>(0.75*(2.1+2.75)+(2.75*1))*(10.764)</f>
        <v>68.755049999999983</v>
      </c>
      <c r="F174" s="81">
        <f t="shared" si="12"/>
        <v>433.33172999999994</v>
      </c>
      <c r="G174" s="81">
        <v>0</v>
      </c>
      <c r="H174" s="81">
        <f t="shared" si="13"/>
        <v>628.33100849999994</v>
      </c>
      <c r="I174" s="32">
        <f>(2.75*4.55+2.1*2.75+3.2*2.75+1.2*2.15+2.05*1.2)</f>
        <v>32.127499999999998</v>
      </c>
      <c r="K174" s="66">
        <f t="shared" ref="K174:K188" si="14">K$172*H174</f>
        <v>3455820.5467499997</v>
      </c>
    </row>
    <row r="175" spans="1:11" s="63" customFormat="1" x14ac:dyDescent="0.35">
      <c r="A175" s="137"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103 to 703</v>
      </c>
      <c r="B175" s="137"/>
      <c r="C175" s="81" t="s">
        <v>312</v>
      </c>
      <c r="D175" s="64">
        <f>(33.87)*(10.764)</f>
        <v>364.57667999999995</v>
      </c>
      <c r="E175" s="64">
        <f>(1.05*2.75+0.75*(2+2.88))*(10.764)</f>
        <v>70.477289999999996</v>
      </c>
      <c r="F175" s="81">
        <f t="shared" si="12"/>
        <v>435.05396999999994</v>
      </c>
      <c r="G175" s="81">
        <v>0</v>
      </c>
      <c r="H175" s="81">
        <f t="shared" si="13"/>
        <v>630.82825649999984</v>
      </c>
      <c r="I175" s="32"/>
      <c r="K175" s="66">
        <f t="shared" si="14"/>
        <v>3469555.4107499993</v>
      </c>
    </row>
    <row r="176" spans="1:11" s="63" customFormat="1" x14ac:dyDescent="0.35">
      <c r="A176" s="137"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104 to 704</v>
      </c>
      <c r="B176" s="137"/>
      <c r="C176" s="81" t="s">
        <v>312</v>
      </c>
      <c r="D176" s="64">
        <f>(32.4)*(10.764)</f>
        <v>348.75359999999995</v>
      </c>
      <c r="E176" s="64">
        <f>(2.6*1+0.75*3)*(10.764)</f>
        <v>52.20539999999999</v>
      </c>
      <c r="F176" s="81">
        <f t="shared" si="12"/>
        <v>400.95899999999995</v>
      </c>
      <c r="G176" s="81">
        <v>0</v>
      </c>
      <c r="H176" s="81">
        <f t="shared" si="13"/>
        <v>581.39054999999985</v>
      </c>
      <c r="I176" s="32"/>
      <c r="K176" s="66">
        <f t="shared" si="14"/>
        <v>3197648.024999999</v>
      </c>
    </row>
    <row r="177" spans="1:20" s="63" customFormat="1" ht="15.75" customHeight="1" x14ac:dyDescent="0.35">
      <c r="A177" s="137"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105 to 705</v>
      </c>
      <c r="B177" s="137"/>
      <c r="C177" s="81" t="s">
        <v>312</v>
      </c>
      <c r="D177" s="64">
        <f>(33)*(10.764)</f>
        <v>355.21199999999999</v>
      </c>
      <c r="E177" s="64">
        <f>(0.75*(2.1+3.2)+(2.75*1))*(10.764)</f>
        <v>72.387900000000002</v>
      </c>
      <c r="F177" s="81">
        <f t="shared" si="12"/>
        <v>427.59989999999999</v>
      </c>
      <c r="G177" s="81">
        <v>0</v>
      </c>
      <c r="H177" s="81">
        <f t="shared" si="13"/>
        <v>620.01985500000001</v>
      </c>
      <c r="I177" s="32"/>
      <c r="K177" s="66">
        <f t="shared" si="14"/>
        <v>3410109.2025000001</v>
      </c>
    </row>
    <row r="178" spans="1:20" s="63" customFormat="1" ht="15.75" customHeight="1" x14ac:dyDescent="0.35">
      <c r="A178" s="137"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106 to 706</v>
      </c>
      <c r="B178" s="137"/>
      <c r="C178" s="81" t="s">
        <v>312</v>
      </c>
      <c r="D178" s="64">
        <f>(32.64)*(10.764)</f>
        <v>351.33695999999998</v>
      </c>
      <c r="E178" s="64">
        <f>(0.75*(2.75+2.1+2.75))*(10.764)</f>
        <v>61.35479999999999</v>
      </c>
      <c r="F178" s="81">
        <f t="shared" si="12"/>
        <v>412.69175999999999</v>
      </c>
      <c r="G178" s="81">
        <v>0</v>
      </c>
      <c r="H178" s="81">
        <f t="shared" si="13"/>
        <v>598.403052</v>
      </c>
      <c r="I178" s="32"/>
      <c r="K178" s="66">
        <f t="shared" si="14"/>
        <v>3291216.7859999998</v>
      </c>
    </row>
    <row r="179" spans="1:20" s="63" customFormat="1" ht="15.75" customHeight="1" x14ac:dyDescent="0.35">
      <c r="A179" s="144" t="s">
        <v>313</v>
      </c>
      <c r="B179" s="144"/>
      <c r="C179" s="144"/>
      <c r="D179" s="144"/>
      <c r="E179" s="144"/>
      <c r="F179" s="144"/>
      <c r="G179" s="144"/>
      <c r="H179" s="144"/>
      <c r="I179" s="32"/>
      <c r="K179" s="66">
        <f t="shared" si="14"/>
        <v>0</v>
      </c>
    </row>
    <row r="180" spans="1:20" s="63" customFormat="1" ht="15.75" customHeight="1" x14ac:dyDescent="0.35">
      <c r="A180" s="145" t="s">
        <v>314</v>
      </c>
      <c r="B180" s="145"/>
      <c r="C180" s="145"/>
      <c r="D180" s="145"/>
      <c r="E180" s="145"/>
      <c r="F180" s="145"/>
      <c r="G180" s="145"/>
      <c r="H180" s="145"/>
      <c r="I180" s="32"/>
      <c r="K180" s="66">
        <f t="shared" si="14"/>
        <v>0</v>
      </c>
    </row>
    <row r="181" spans="1:20" s="63" customFormat="1" x14ac:dyDescent="0.35">
      <c r="A181" s="145" t="s">
        <v>315</v>
      </c>
      <c r="B181" s="145"/>
      <c r="C181" s="145"/>
      <c r="D181" s="145"/>
      <c r="E181" s="145"/>
      <c r="F181" s="145"/>
      <c r="G181" s="145"/>
      <c r="H181" s="145"/>
      <c r="I181" s="32"/>
      <c r="K181" s="66">
        <f t="shared" si="14"/>
        <v>0</v>
      </c>
    </row>
    <row r="182" spans="1:20" s="63" customFormat="1" x14ac:dyDescent="0.35">
      <c r="A182" s="137"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10^ROW(INDIRECT("1:"&amp;LEN((LEFT(A181,SUM(LEN(A181)-LEN(SUBSTITUTE(A181,{"0","1","2"},""))))))))/10))*100+1&amp;""&amp;" to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",LEN(A181))),LEN(A181)))))))/10))*100+1</f>
        <v>101 to 701</v>
      </c>
      <c r="B182" s="137"/>
      <c r="C182" s="81" t="s">
        <v>312</v>
      </c>
      <c r="D182" s="64">
        <f>(32.64)*(10.764)</f>
        <v>351.33695999999998</v>
      </c>
      <c r="E182" s="64">
        <f>(0.75*(2.75+2.75+2.1))*(10.764)</f>
        <v>61.35479999999999</v>
      </c>
      <c r="F182" s="81">
        <f t="shared" ref="F182:F187" si="15">D182+E182</f>
        <v>412.69175999999999</v>
      </c>
      <c r="G182" s="81">
        <v>0</v>
      </c>
      <c r="H182" s="81">
        <f t="shared" ref="H182:H187" si="16">F182*(($H$169)+1)+(IF(G182&lt;101,G182,IF(G182&lt;201,G182/2,IF(G182&lt;=301,G182/3,G182/4))))</f>
        <v>598.403052</v>
      </c>
      <c r="I182" s="32">
        <f>(4.1*2.75+2.75*2.1+3.2*2.75+1.2*2.1+1.2*2.05)</f>
        <v>30.83</v>
      </c>
      <c r="K182" s="66">
        <f t="shared" si="14"/>
        <v>3291216.7859999998</v>
      </c>
    </row>
    <row r="183" spans="1:20" s="63" customFormat="1" x14ac:dyDescent="0.35">
      <c r="A183" s="137"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to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102 to 702</v>
      </c>
      <c r="B183" s="137"/>
      <c r="C183" s="81" t="s">
        <v>312</v>
      </c>
      <c r="D183" s="64">
        <f>(32.28)*(10.764)</f>
        <v>347.46191999999996</v>
      </c>
      <c r="E183" s="64">
        <f>(0.75*2.1+1*2.75+0.75*2.75)*(10.764)</f>
        <v>68.755049999999997</v>
      </c>
      <c r="F183" s="81">
        <f t="shared" si="15"/>
        <v>416.21696999999995</v>
      </c>
      <c r="G183" s="81">
        <v>0</v>
      </c>
      <c r="H183" s="81">
        <f t="shared" si="16"/>
        <v>603.5146064999999</v>
      </c>
      <c r="I183" s="32"/>
      <c r="K183" s="66">
        <f t="shared" si="14"/>
        <v>3319330.3357499996</v>
      </c>
    </row>
    <row r="184" spans="1:20" s="63" customFormat="1" ht="15.75" customHeight="1" x14ac:dyDescent="0.35">
      <c r="A184" s="137"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to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103 to 703</v>
      </c>
      <c r="B184" s="137"/>
      <c r="C184" s="81" t="s">
        <v>312</v>
      </c>
      <c r="D184" s="64">
        <f>(33)*(10.764)</f>
        <v>355.21199999999999</v>
      </c>
      <c r="E184" s="64">
        <f>(0.75*(2.1*3.2)+(1*2.75))*(10.764)</f>
        <v>83.851560000000006</v>
      </c>
      <c r="F184" s="81">
        <f t="shared" si="15"/>
        <v>439.06356</v>
      </c>
      <c r="G184" s="81">
        <v>0</v>
      </c>
      <c r="H184" s="81">
        <f t="shared" si="16"/>
        <v>636.64216199999998</v>
      </c>
      <c r="I184" s="32"/>
      <c r="K184" s="66">
        <f t="shared" si="14"/>
        <v>3501531.8909999998</v>
      </c>
    </row>
    <row r="185" spans="1:20" s="63" customFormat="1" ht="15.75" customHeight="1" x14ac:dyDescent="0.35">
      <c r="A185" s="122"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to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104 to 704</v>
      </c>
      <c r="B185" s="123"/>
      <c r="C185" s="62" t="s">
        <v>312</v>
      </c>
      <c r="D185" s="64">
        <f>(33.87)*(10.764)</f>
        <v>364.57667999999995</v>
      </c>
      <c r="E185" s="64">
        <f>(0.75*(3.2+2.1)+(2.75*1))*(10.764)</f>
        <v>72.387900000000002</v>
      </c>
      <c r="F185" s="62">
        <f t="shared" si="15"/>
        <v>436.96457999999996</v>
      </c>
      <c r="G185" s="62">
        <v>0</v>
      </c>
      <c r="H185" s="62">
        <f t="shared" si="16"/>
        <v>633.59864099999993</v>
      </c>
      <c r="I185" s="32"/>
      <c r="K185" s="66">
        <f t="shared" si="14"/>
        <v>3484792.5254999995</v>
      </c>
    </row>
    <row r="186" spans="1:20" s="63" customFormat="1" ht="15.75" customHeight="1" x14ac:dyDescent="0.35">
      <c r="A186" s="122"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to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105 to 705</v>
      </c>
      <c r="B186" s="123"/>
      <c r="C186" s="62" t="s">
        <v>312</v>
      </c>
      <c r="D186" s="64">
        <f>(33.87)*(10.764)</f>
        <v>364.57667999999995</v>
      </c>
      <c r="E186" s="64">
        <f>(0.75*(3.2+2.1)+(2.75*1))*(10.764)</f>
        <v>72.387900000000002</v>
      </c>
      <c r="F186" s="62">
        <f t="shared" si="15"/>
        <v>436.96457999999996</v>
      </c>
      <c r="G186" s="62">
        <v>0</v>
      </c>
      <c r="H186" s="62">
        <f t="shared" si="16"/>
        <v>633.59864099999993</v>
      </c>
      <c r="I186" s="32"/>
      <c r="K186" s="66">
        <f>K$172*H186</f>
        <v>3484792.5254999995</v>
      </c>
    </row>
    <row r="187" spans="1:20" s="63" customFormat="1" ht="15.75" customHeight="1" x14ac:dyDescent="0.35">
      <c r="A187" s="122"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to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106 to 706</v>
      </c>
      <c r="B187" s="123"/>
      <c r="C187" s="62" t="s">
        <v>311</v>
      </c>
      <c r="D187" s="64">
        <f>(48.57)*(10.764)</f>
        <v>522.80747999999994</v>
      </c>
      <c r="E187" s="64">
        <f>(0.75*(2.1+2.75+2)+(1*2.3))*(10.764)</f>
        <v>80.057249999999982</v>
      </c>
      <c r="F187" s="62">
        <f t="shared" si="15"/>
        <v>602.86472999999989</v>
      </c>
      <c r="G187" s="62">
        <v>0</v>
      </c>
      <c r="H187" s="62">
        <f t="shared" si="16"/>
        <v>874.15385849999984</v>
      </c>
      <c r="I187" s="32">
        <f>(4.5*3.05+2.1*2.4+2.75*2.9+3.2*2.8+0.6*1.8+1.2*2.25+2.75*1.2+2.9*1)</f>
        <v>45.68</v>
      </c>
      <c r="K187" s="66">
        <f t="shared" si="14"/>
        <v>4807846.2217499996</v>
      </c>
    </row>
    <row r="188" spans="1:20" s="31" customFormat="1" x14ac:dyDescent="0.35">
      <c r="A188" s="144" t="s">
        <v>316</v>
      </c>
      <c r="B188" s="144"/>
      <c r="C188" s="144"/>
      <c r="D188" s="144"/>
      <c r="E188" s="144"/>
      <c r="F188" s="144"/>
      <c r="G188" s="144"/>
      <c r="H188" s="144"/>
      <c r="I188" s="32"/>
      <c r="J188" s="63"/>
      <c r="K188" s="66">
        <f t="shared" si="14"/>
        <v>0</v>
      </c>
      <c r="T188" s="33"/>
    </row>
    <row r="189" spans="1:20" s="31" customFormat="1" x14ac:dyDescent="0.35">
      <c r="A189" s="145" t="s">
        <v>317</v>
      </c>
      <c r="B189" s="145"/>
      <c r="C189" s="145"/>
      <c r="D189" s="145"/>
      <c r="E189" s="145"/>
      <c r="F189" s="145"/>
      <c r="G189" s="145"/>
      <c r="H189" s="145"/>
      <c r="I189" s="32"/>
      <c r="J189" s="63"/>
      <c r="K189" s="63"/>
      <c r="T189" s="33"/>
    </row>
    <row r="190" spans="1:20" s="31" customFormat="1" x14ac:dyDescent="0.35">
      <c r="A190" s="145" t="s">
        <v>315</v>
      </c>
      <c r="B190" s="145"/>
      <c r="C190" s="145"/>
      <c r="D190" s="145"/>
      <c r="E190" s="145"/>
      <c r="F190" s="145"/>
      <c r="G190" s="145"/>
      <c r="H190" s="145"/>
      <c r="I190" s="32"/>
      <c r="J190" s="63"/>
      <c r="K190" s="63"/>
      <c r="T190" s="33"/>
    </row>
    <row r="191" spans="1:20" s="31" customFormat="1" x14ac:dyDescent="0.35">
      <c r="A191" s="137"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10^ROW(INDIRECT("1:"&amp;LEN((LEFT(A190,SUM(LEN(A190)-LEN(SUBSTITUTE(A190,{"0","1","2"},""))))))))/10))*100+1&amp;""&amp;" to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",LEN(A190))),LEN(A190)))))))/10))*100+1</f>
        <v>101 to 701</v>
      </c>
      <c r="B191" s="137"/>
      <c r="C191" s="62" t="s">
        <v>312</v>
      </c>
      <c r="D191" s="64">
        <f>(33.14)*(10.764)</f>
        <v>356.71895999999998</v>
      </c>
      <c r="E191" s="64">
        <f>(0.75*(2.15+2.75)+(1*2.75))*(10.764)</f>
        <v>69.15870000000001</v>
      </c>
      <c r="F191" s="62">
        <f>D191+E191</f>
        <v>425.87765999999999</v>
      </c>
      <c r="G191" s="62">
        <v>0</v>
      </c>
      <c r="H191" s="62">
        <f>F191*(($H$169)+1)+(IF(G191&lt;101,G191,IF(G191&lt;201,G191/2,IF(G191&lt;=301,G191/3,G191/4))))</f>
        <v>617.52260699999999</v>
      </c>
      <c r="I191" s="32">
        <f>(4.25*2.75+2.75*2.15+3.2*2.75+1.2*2.05+2.15*1.2)</f>
        <v>31.44</v>
      </c>
      <c r="J191" s="63"/>
      <c r="K191" s="63"/>
      <c r="T191" s="33"/>
    </row>
    <row r="192" spans="1:20" s="31" customFormat="1" x14ac:dyDescent="0.35">
      <c r="A192" s="137"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to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102 to 702</v>
      </c>
      <c r="B192" s="137"/>
      <c r="C192" s="62" t="s">
        <v>312</v>
      </c>
      <c r="D192" s="64">
        <f>(30.95)*(10.764)</f>
        <v>333.14579999999995</v>
      </c>
      <c r="E192" s="64">
        <f>(0.75*(2.15+2.75)+1*2.75)*(10.764)</f>
        <v>69.15870000000001</v>
      </c>
      <c r="F192" s="62">
        <f>D192+E192</f>
        <v>402.30449999999996</v>
      </c>
      <c r="G192" s="62">
        <v>0</v>
      </c>
      <c r="H192" s="62">
        <f>F192*(($H$169)+1)+(IF(G192&lt;101,G192,IF(G192&lt;201,G192/2,IF(G192&lt;=301,G192/3,G192/4))))</f>
        <v>583.34152499999993</v>
      </c>
      <c r="I192" s="32">
        <f>(4.25*2.75+2.75*2.15+2.75*2.75+2.15*1.2+1.2*1.2)</f>
        <v>29.182500000000001</v>
      </c>
      <c r="J192" s="63"/>
      <c r="K192" s="63"/>
      <c r="T192" s="33"/>
    </row>
    <row r="193" spans="1:20" s="31" customFormat="1" x14ac:dyDescent="0.35">
      <c r="A193" s="137"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103 to 703</v>
      </c>
      <c r="B193" s="137"/>
      <c r="C193" s="62" t="s">
        <v>312</v>
      </c>
      <c r="D193" s="64">
        <f>(34.63)*(10.764)</f>
        <v>372.75731999999999</v>
      </c>
      <c r="E193" s="64">
        <f>(0.75*(2.15+2.75)+(1*2.75))*(10.764)</f>
        <v>69.15870000000001</v>
      </c>
      <c r="F193" s="62">
        <f>D193+E193</f>
        <v>441.91602</v>
      </c>
      <c r="G193" s="62">
        <v>0</v>
      </c>
      <c r="H193" s="62">
        <f>F193*(($H$169)+1)+(IF(G193&lt;101,G193,IF(G193&lt;201,G193/2,IF(G193&lt;=301,G193/3,G193/4))))</f>
        <v>640.77822900000001</v>
      </c>
      <c r="I193" s="32"/>
      <c r="J193" s="63"/>
      <c r="K193" s="63"/>
      <c r="T193" s="33"/>
    </row>
    <row r="194" spans="1:20" s="31" customFormat="1" x14ac:dyDescent="0.35">
      <c r="A194" s="122"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104 to 704</v>
      </c>
      <c r="B194" s="123"/>
      <c r="C194" s="62" t="s">
        <v>312</v>
      </c>
      <c r="D194" s="64">
        <f>(33.14)*(10.764)</f>
        <v>356.71895999999998</v>
      </c>
      <c r="E194" s="64">
        <f>(0.75*(2.15+2.75)+(1*2.75))*(10.764)</f>
        <v>69.15870000000001</v>
      </c>
      <c r="F194" s="62">
        <f>D194+E194</f>
        <v>425.87765999999999</v>
      </c>
      <c r="G194" s="62">
        <v>0</v>
      </c>
      <c r="H194" s="62">
        <f>F194*(($H$169)+1)+(IF(G194&lt;101,G194,IF(G194&lt;201,G194/2,IF(G194&lt;=301,G194/3,G194/4))))</f>
        <v>617.52260699999999</v>
      </c>
      <c r="I194" s="32"/>
      <c r="J194" s="63"/>
      <c r="K194" s="63"/>
    </row>
    <row r="195" spans="1:20" s="31" customFormat="1" x14ac:dyDescent="0.35">
      <c r="A195" s="131" t="s">
        <v>318</v>
      </c>
      <c r="B195" s="132"/>
      <c r="C195" s="132"/>
      <c r="D195" s="132"/>
      <c r="E195" s="132"/>
      <c r="F195" s="132"/>
      <c r="G195" s="132"/>
      <c r="H195" s="133"/>
      <c r="I195" s="32"/>
      <c r="J195" s="63"/>
      <c r="K195" s="63"/>
    </row>
    <row r="196" spans="1:20" s="31" customFormat="1" x14ac:dyDescent="0.35">
      <c r="A196" s="134" t="s">
        <v>317</v>
      </c>
      <c r="B196" s="135"/>
      <c r="C196" s="135"/>
      <c r="D196" s="135"/>
      <c r="E196" s="135"/>
      <c r="F196" s="135"/>
      <c r="G196" s="135"/>
      <c r="H196" s="136"/>
      <c r="I196" s="32"/>
      <c r="J196" s="63"/>
      <c r="K196" s="63"/>
    </row>
    <row r="197" spans="1:20" s="31" customFormat="1" x14ac:dyDescent="0.35">
      <c r="A197" s="134" t="s">
        <v>315</v>
      </c>
      <c r="B197" s="135"/>
      <c r="C197" s="135"/>
      <c r="D197" s="135"/>
      <c r="E197" s="135"/>
      <c r="F197" s="135"/>
      <c r="G197" s="135"/>
      <c r="H197" s="136"/>
      <c r="I197" s="32"/>
      <c r="J197" s="63"/>
      <c r="K197" s="63"/>
    </row>
    <row r="198" spans="1:20" s="31" customFormat="1" x14ac:dyDescent="0.35">
      <c r="A198" s="122"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10^ROW(INDIRECT("1:"&amp;LEN((LEFT(A197,SUM(LEN(A197)-LEN(SUBSTITUTE(A197,{"0","1","2"},""))))))))/10))*100+1&amp;""&amp;"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",LEN(A197))),LEN(A197)))))))/10))*100+1</f>
        <v>101 to 701</v>
      </c>
      <c r="B198" s="123"/>
      <c r="C198" s="62" t="s">
        <v>312</v>
      </c>
      <c r="D198" s="64">
        <f>(33.14)*(10.764)</f>
        <v>356.71895999999998</v>
      </c>
      <c r="E198" s="64">
        <f>(0.75*(2.15+2.75)+(1*2.75))*(10.764)</f>
        <v>69.15870000000001</v>
      </c>
      <c r="F198" s="62">
        <f>D198+E198</f>
        <v>425.87765999999999</v>
      </c>
      <c r="G198" s="62">
        <v>0</v>
      </c>
      <c r="H198" s="62">
        <f>F198*(($H$169)+1)+(IF(G198&lt;101,G198,IF(G198&lt;201,G198/2,IF(G198&lt;=301,G198/3,G198/4))))</f>
        <v>617.52260699999999</v>
      </c>
      <c r="I198" s="32">
        <f>(4.25*2.75+2.75*2.15+3.2*2.75+1.2*2.05+2.15*1.2)</f>
        <v>31.44</v>
      </c>
      <c r="J198" s="63"/>
      <c r="K198" s="63"/>
    </row>
    <row r="199" spans="1:20" x14ac:dyDescent="0.35">
      <c r="A199" s="122"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102 to 702</v>
      </c>
      <c r="B199" s="123"/>
      <c r="C199" s="62" t="s">
        <v>312</v>
      </c>
      <c r="D199" s="64">
        <f>(32.27)*(10.764)</f>
        <v>347.35428000000002</v>
      </c>
      <c r="E199" s="64">
        <f>(0.75*(2.35+3.15)+(1*2.75))*(10.764)</f>
        <v>74.002499999999998</v>
      </c>
      <c r="F199" s="62">
        <f>D199+E199</f>
        <v>421.35678000000001</v>
      </c>
      <c r="G199" s="62">
        <v>0</v>
      </c>
      <c r="H199" s="62">
        <f>F199*(($H$169)+1)+(IF(G199&lt;101,G199,IF(G199&lt;201,G199/2,IF(G199&lt;=301,G199/3,G199/4))))</f>
        <v>610.96733100000006</v>
      </c>
      <c r="I199" s="32">
        <f>(4.25*2.75+2.75*2.15+2.75*2.75+2.15*1.2+1.2*1.2)</f>
        <v>29.182500000000001</v>
      </c>
      <c r="J199" s="63"/>
      <c r="K199" s="63"/>
      <c r="T199" s="31"/>
    </row>
    <row r="200" spans="1:20" x14ac:dyDescent="0.35">
      <c r="A200" s="122"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103 to 703</v>
      </c>
      <c r="B200" s="123"/>
      <c r="C200" s="62" t="s">
        <v>312</v>
      </c>
      <c r="D200" s="64">
        <f>(34.28)*(10.764)</f>
        <v>368.98991999999998</v>
      </c>
      <c r="E200" s="64">
        <f>(0.75*(2.15+2.75)+(1*2.75))*(10.764)</f>
        <v>69.15870000000001</v>
      </c>
      <c r="F200" s="62">
        <f>D200+E200</f>
        <v>438.14861999999999</v>
      </c>
      <c r="G200" s="62">
        <v>0</v>
      </c>
      <c r="H200" s="62">
        <f>F200*(($H$169)+1)+(IF(G200&lt;101,G200,IF(G200&lt;201,G200/2,IF(G200&lt;=301,G200/3,G200/4))))</f>
        <v>635.31549899999993</v>
      </c>
      <c r="I200" s="32"/>
      <c r="J200" s="63"/>
      <c r="K200" s="63"/>
      <c r="T200" s="31"/>
    </row>
    <row r="201" spans="1:20" ht="15.75" customHeight="1" x14ac:dyDescent="0.35">
      <c r="A201" s="122"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104 to 704</v>
      </c>
      <c r="B201" s="123"/>
      <c r="C201" s="62" t="s">
        <v>312</v>
      </c>
      <c r="D201" s="64">
        <f>(33.14)*(10.764)</f>
        <v>356.71895999999998</v>
      </c>
      <c r="E201" s="64">
        <f>(0.75*(2.15+2.75)+(1*2.75))*(10.764)</f>
        <v>69.15870000000001</v>
      </c>
      <c r="F201" s="62">
        <f>D201+E201</f>
        <v>425.87765999999999</v>
      </c>
      <c r="G201" s="62">
        <v>0</v>
      </c>
      <c r="H201" s="62">
        <f>F201*(($H$169)+1)+(IF(G201&lt;101,G201,IF(G201&lt;201,G201/2,IF(G201&lt;=301,G201/3,G201/4))))</f>
        <v>617.52260699999999</v>
      </c>
      <c r="I201" s="32"/>
      <c r="J201" s="63"/>
      <c r="K201" s="63"/>
      <c r="T201" s="31"/>
    </row>
    <row r="202" spans="1:20" x14ac:dyDescent="0.35">
      <c r="A202" s="143" t="s">
        <v>65</v>
      </c>
      <c r="B202" s="143"/>
      <c r="C202" s="143"/>
      <c r="D202" s="143"/>
      <c r="E202" s="143"/>
      <c r="F202" s="143"/>
      <c r="G202" s="143"/>
      <c r="H202" s="143"/>
      <c r="I202" s="31"/>
      <c r="J202" s="31"/>
      <c r="K202" s="31"/>
      <c r="T202" s="31"/>
    </row>
    <row r="203" spans="1:20" x14ac:dyDescent="0.35">
      <c r="A203" s="40" t="s">
        <v>149</v>
      </c>
      <c r="B203" s="127" t="s">
        <v>357</v>
      </c>
      <c r="C203" s="128"/>
      <c r="D203" s="128"/>
      <c r="E203" s="128"/>
      <c r="F203" s="128"/>
      <c r="G203" s="128"/>
      <c r="H203" s="129"/>
      <c r="I203" s="31"/>
      <c r="J203" s="31"/>
      <c r="K203" s="31"/>
      <c r="T203" s="31"/>
    </row>
    <row r="204" spans="1:20" x14ac:dyDescent="0.35">
      <c r="A204" s="40" t="s">
        <v>149</v>
      </c>
      <c r="B204" s="124" t="str">
        <f>(IF(H168="Saleable area Loading :","We have considered Saleable area of Flats as per our Calculation.","We considered Saleable area of Flat as per Builder area Sheet."))</f>
        <v>We have considered Saleable area of Flats as per our Calculation.</v>
      </c>
      <c r="C204" s="125"/>
      <c r="D204" s="125"/>
      <c r="E204" s="125"/>
      <c r="F204" s="125"/>
      <c r="G204" s="125"/>
      <c r="H204" s="126"/>
      <c r="I204" s="31"/>
      <c r="J204" s="31"/>
      <c r="K204" s="31"/>
      <c r="T204" s="31"/>
    </row>
    <row r="205" spans="1:20" x14ac:dyDescent="0.35">
      <c r="A205" s="40" t="s">
        <v>149</v>
      </c>
      <c r="B205" s="124" t="str">
        <f>(IF(H160="Saleable area Loading :","We have considered Saleable area of Commercial as per our Calculation.","We considered Saleable area of Commercial as per Builder area Sheet."))</f>
        <v>We have considered Saleable area of Commercial as per our Calculation.</v>
      </c>
      <c r="C205" s="125"/>
      <c r="D205" s="125"/>
      <c r="E205" s="125"/>
      <c r="F205" s="125"/>
      <c r="G205" s="125"/>
      <c r="H205" s="126"/>
      <c r="I205" s="31"/>
      <c r="J205" s="31"/>
      <c r="K205" s="31"/>
    </row>
    <row r="206" spans="1:20" x14ac:dyDescent="0.35">
      <c r="A206" s="40" t="s">
        <v>149</v>
      </c>
      <c r="B206" s="86" t="s">
        <v>119</v>
      </c>
      <c r="C206" s="87"/>
      <c r="D206" s="87"/>
      <c r="E206" s="87"/>
      <c r="F206" s="87"/>
      <c r="G206" s="87"/>
      <c r="H206" s="88"/>
      <c r="I206" s="31"/>
      <c r="J206" s="31"/>
      <c r="K206" s="31"/>
    </row>
    <row r="207" spans="1:20" x14ac:dyDescent="0.35">
      <c r="A207" s="40" t="s">
        <v>149</v>
      </c>
      <c r="B207" s="86" t="s">
        <v>341</v>
      </c>
      <c r="C207" s="87"/>
      <c r="D207" s="87"/>
      <c r="E207" s="87"/>
      <c r="F207" s="87"/>
      <c r="G207" s="87"/>
      <c r="H207" s="88"/>
      <c r="I207" s="31"/>
      <c r="J207" s="31"/>
      <c r="K207" s="31"/>
    </row>
    <row r="208" spans="1:20" x14ac:dyDescent="0.35">
      <c r="A208" s="40" t="s">
        <v>149</v>
      </c>
      <c r="B208" s="86" t="s">
        <v>148</v>
      </c>
      <c r="C208" s="87"/>
      <c r="D208" s="87"/>
      <c r="E208" s="87"/>
      <c r="F208" s="87"/>
      <c r="G208" s="87"/>
      <c r="H208" s="88"/>
      <c r="I208" s="31"/>
      <c r="J208" s="31"/>
      <c r="K208" s="31"/>
    </row>
    <row r="209" spans="1:11" x14ac:dyDescent="0.35">
      <c r="A209" s="40" t="s">
        <v>149</v>
      </c>
      <c r="B209" s="86" t="s">
        <v>120</v>
      </c>
      <c r="C209" s="87"/>
      <c r="D209" s="87"/>
      <c r="E209" s="87"/>
      <c r="F209" s="87"/>
      <c r="G209" s="87"/>
      <c r="H209" s="88"/>
      <c r="I209" s="31"/>
      <c r="J209" s="31"/>
      <c r="K209" s="31"/>
    </row>
    <row r="210" spans="1:11" x14ac:dyDescent="0.35">
      <c r="A210" s="40" t="s">
        <v>149</v>
      </c>
      <c r="B210" s="86" t="s">
        <v>150</v>
      </c>
      <c r="C210" s="87"/>
      <c r="D210" s="87"/>
      <c r="E210" s="87"/>
      <c r="F210" s="87"/>
      <c r="G210" s="87"/>
      <c r="H210" s="88"/>
      <c r="I210" s="31"/>
      <c r="J210" s="31"/>
      <c r="K210" s="31"/>
    </row>
    <row r="211" spans="1:11" x14ac:dyDescent="0.35">
      <c r="A211" s="40" t="s">
        <v>149</v>
      </c>
      <c r="B211" s="86" t="s">
        <v>121</v>
      </c>
      <c r="C211" s="87"/>
      <c r="D211" s="87"/>
      <c r="E211" s="87"/>
      <c r="F211" s="87"/>
      <c r="G211" s="87"/>
      <c r="H211" s="88"/>
      <c r="I211" s="31"/>
      <c r="J211" s="31"/>
      <c r="K211" s="31"/>
    </row>
    <row r="212" spans="1:11" x14ac:dyDescent="0.35">
      <c r="A212" s="73" t="s">
        <v>149</v>
      </c>
      <c r="B212" s="86" t="s">
        <v>347</v>
      </c>
      <c r="C212" s="87"/>
      <c r="D212" s="87"/>
      <c r="E212" s="87"/>
      <c r="F212" s="87"/>
      <c r="G212" s="87"/>
      <c r="H212" s="88"/>
      <c r="I212" s="31"/>
      <c r="J212" s="31"/>
      <c r="K212" s="31"/>
    </row>
    <row r="213" spans="1:11" x14ac:dyDescent="0.35">
      <c r="A213" s="166" t="s">
        <v>58</v>
      </c>
      <c r="B213" s="166"/>
      <c r="C213" s="166"/>
      <c r="D213" s="166"/>
      <c r="E213" s="166"/>
      <c r="F213" s="166"/>
      <c r="G213" s="166"/>
      <c r="H213" s="166"/>
    </row>
    <row r="214" spans="1:11" ht="15" customHeight="1" x14ac:dyDescent="0.35">
      <c r="A214" s="95" t="s">
        <v>59</v>
      </c>
      <c r="B214" s="95"/>
      <c r="C214" s="95"/>
      <c r="D214" s="95"/>
      <c r="E214" s="95"/>
      <c r="F214" s="95"/>
      <c r="G214" s="95"/>
      <c r="H214" s="95"/>
    </row>
    <row r="215" spans="1:11" x14ac:dyDescent="0.35">
      <c r="A215" s="117" t="s">
        <v>60</v>
      </c>
      <c r="B215" s="117"/>
      <c r="C215" s="117"/>
      <c r="D215" s="117"/>
      <c r="E215" s="117"/>
      <c r="F215" s="117"/>
      <c r="G215" s="117"/>
      <c r="H215" s="117"/>
    </row>
    <row r="216" spans="1:11" x14ac:dyDescent="0.35">
      <c r="A216" s="95" t="s">
        <v>61</v>
      </c>
      <c r="B216" s="95"/>
      <c r="C216" s="95"/>
      <c r="D216" s="95"/>
      <c r="E216" s="95"/>
      <c r="F216" s="95"/>
      <c r="G216" s="95"/>
      <c r="H216" s="95"/>
    </row>
    <row r="217" spans="1:11" x14ac:dyDescent="0.35">
      <c r="A217" s="95" t="s">
        <v>62</v>
      </c>
      <c r="B217" s="95"/>
      <c r="C217" s="95"/>
      <c r="D217" s="95"/>
      <c r="E217" s="95"/>
      <c r="F217" s="95"/>
      <c r="G217" s="95"/>
      <c r="H217" s="95"/>
    </row>
    <row r="218" spans="1:11" x14ac:dyDescent="0.35">
      <c r="A218" s="95" t="s">
        <v>122</v>
      </c>
      <c r="B218" s="95"/>
      <c r="C218" s="95"/>
      <c r="D218" s="95"/>
      <c r="E218" s="95"/>
      <c r="F218" s="95"/>
      <c r="G218" s="95"/>
      <c r="H218" s="95"/>
    </row>
    <row r="219" spans="1:11" x14ac:dyDescent="0.35">
      <c r="A219" s="107" t="s">
        <v>123</v>
      </c>
      <c r="B219" s="107"/>
      <c r="C219" s="107"/>
      <c r="D219" s="107"/>
      <c r="E219" s="107"/>
      <c r="F219" s="107"/>
      <c r="G219" s="107"/>
      <c r="H219" s="107"/>
    </row>
    <row r="220" spans="1:11" x14ac:dyDescent="0.35">
      <c r="A220" s="161" t="s">
        <v>74</v>
      </c>
      <c r="B220" s="161"/>
      <c r="C220" s="161" t="s">
        <v>349</v>
      </c>
      <c r="D220" s="161"/>
      <c r="E220" s="161" t="s">
        <v>103</v>
      </c>
      <c r="F220" s="161"/>
      <c r="G220" s="162" t="s">
        <v>358</v>
      </c>
      <c r="H220" s="162"/>
    </row>
    <row r="221" spans="1:11" x14ac:dyDescent="0.35">
      <c r="A221" s="160" t="s">
        <v>76</v>
      </c>
      <c r="B221" s="160"/>
      <c r="C221" s="160"/>
      <c r="D221" s="160"/>
      <c r="E221" s="160"/>
      <c r="F221" s="160"/>
      <c r="G221" s="160"/>
      <c r="H221" s="160"/>
    </row>
    <row r="222" spans="1:11" x14ac:dyDescent="0.35">
      <c r="A222" s="160"/>
      <c r="B222" s="160"/>
      <c r="C222" s="160"/>
      <c r="D222" s="160"/>
      <c r="E222" s="160"/>
      <c r="F222" s="160"/>
      <c r="G222" s="160"/>
      <c r="H222" s="160"/>
    </row>
    <row r="223" spans="1:11" x14ac:dyDescent="0.35">
      <c r="A223" s="160"/>
      <c r="B223" s="160"/>
      <c r="C223" s="160"/>
      <c r="D223" s="160"/>
      <c r="E223" s="160"/>
      <c r="F223" s="160"/>
      <c r="G223" s="160"/>
      <c r="H223" s="160"/>
    </row>
    <row r="224" spans="1:11" x14ac:dyDescent="0.35">
      <c r="A224" s="160"/>
      <c r="B224" s="160"/>
      <c r="C224" s="160"/>
      <c r="D224" s="160"/>
      <c r="E224" s="160"/>
      <c r="F224" s="160"/>
      <c r="G224" s="160"/>
      <c r="H224" s="160"/>
    </row>
    <row r="225" spans="1:8" x14ac:dyDescent="0.35">
      <c r="A225" s="34" t="s">
        <v>63</v>
      </c>
      <c r="B225" s="35"/>
      <c r="C225" s="35"/>
      <c r="D225" s="34" t="str">
        <f>E9</f>
        <v>Mukta Avenue</v>
      </c>
      <c r="F225" s="35"/>
      <c r="G225" s="35"/>
      <c r="H225" s="35"/>
    </row>
    <row r="226" spans="1:8" x14ac:dyDescent="0.35">
      <c r="A226" s="35"/>
      <c r="B226" s="35"/>
      <c r="C226" s="35"/>
      <c r="D226" s="35"/>
      <c r="E226" s="35"/>
      <c r="F226" s="35"/>
      <c r="G226" s="35"/>
      <c r="H226" s="35"/>
    </row>
    <row r="227" spans="1:8" x14ac:dyDescent="0.35">
      <c r="A227" s="35"/>
      <c r="B227" s="35"/>
      <c r="C227" s="35"/>
      <c r="D227" s="35"/>
      <c r="E227" s="35"/>
      <c r="F227" s="35"/>
      <c r="G227" s="35"/>
      <c r="H227" s="35"/>
    </row>
    <row r="268" spans="1:1" x14ac:dyDescent="0.35">
      <c r="A268" s="37" t="s">
        <v>160</v>
      </c>
    </row>
    <row r="307" spans="1:1" x14ac:dyDescent="0.35">
      <c r="A307" s="37" t="s">
        <v>64</v>
      </c>
    </row>
  </sheetData>
  <mergeCells count="385">
    <mergeCell ref="B160:B161"/>
    <mergeCell ref="A160:A161"/>
    <mergeCell ref="A117:B117"/>
    <mergeCell ref="A142:E142"/>
    <mergeCell ref="G148:H148"/>
    <mergeCell ref="A149:B149"/>
    <mergeCell ref="A162:H162"/>
    <mergeCell ref="E160:E161"/>
    <mergeCell ref="A108:B108"/>
    <mergeCell ref="A47:D47"/>
    <mergeCell ref="A48:H48"/>
    <mergeCell ref="D64:H64"/>
    <mergeCell ref="A64:C64"/>
    <mergeCell ref="B208:H208"/>
    <mergeCell ref="G108:H117"/>
    <mergeCell ref="A109:B109"/>
    <mergeCell ref="A110:B110"/>
    <mergeCell ref="A111:B111"/>
    <mergeCell ref="F134:H134"/>
    <mergeCell ref="A134:E134"/>
    <mergeCell ref="D160:D161"/>
    <mergeCell ref="A136:E136"/>
    <mergeCell ref="A135:E135"/>
    <mergeCell ref="A132:E132"/>
    <mergeCell ref="F136:H136"/>
    <mergeCell ref="A166:B166"/>
    <mergeCell ref="G160:G161"/>
    <mergeCell ref="A137:E137"/>
    <mergeCell ref="F160:F161"/>
    <mergeCell ref="C147:D147"/>
    <mergeCell ref="A148:B148"/>
    <mergeCell ref="A141:E141"/>
    <mergeCell ref="D69:H69"/>
    <mergeCell ref="A72:C72"/>
    <mergeCell ref="D72:H72"/>
    <mergeCell ref="A39:B39"/>
    <mergeCell ref="C39:H39"/>
    <mergeCell ref="A46:D46"/>
    <mergeCell ref="L152:M152"/>
    <mergeCell ref="L151:M151"/>
    <mergeCell ref="L150:M150"/>
    <mergeCell ref="L149:M149"/>
    <mergeCell ref="A87:B87"/>
    <mergeCell ref="C152:D152"/>
    <mergeCell ref="E152:F152"/>
    <mergeCell ref="G152:H152"/>
    <mergeCell ref="A133:E133"/>
    <mergeCell ref="E147:F147"/>
    <mergeCell ref="C106:H106"/>
    <mergeCell ref="A44:D44"/>
    <mergeCell ref="E44:H44"/>
    <mergeCell ref="E45:H45"/>
    <mergeCell ref="E46:H46"/>
    <mergeCell ref="D63:H63"/>
    <mergeCell ref="A38:H38"/>
    <mergeCell ref="A37:B37"/>
    <mergeCell ref="C37:E37"/>
    <mergeCell ref="A42:D42"/>
    <mergeCell ref="E42:H42"/>
    <mergeCell ref="A41:H41"/>
    <mergeCell ref="A45:D45"/>
    <mergeCell ref="A40:B40"/>
    <mergeCell ref="C40:H40"/>
    <mergeCell ref="A49:B49"/>
    <mergeCell ref="C49:H49"/>
    <mergeCell ref="E47:H47"/>
    <mergeCell ref="C57:H57"/>
    <mergeCell ref="C59:H59"/>
    <mergeCell ref="A106:B106"/>
    <mergeCell ref="F37:H37"/>
    <mergeCell ref="A60:B60"/>
    <mergeCell ref="A78:B78"/>
    <mergeCell ref="A29:D29"/>
    <mergeCell ref="E29:H29"/>
    <mergeCell ref="G58:H58"/>
    <mergeCell ref="G51:H51"/>
    <mergeCell ref="A52:B53"/>
    <mergeCell ref="C53:H53"/>
    <mergeCell ref="C52:E52"/>
    <mergeCell ref="C51:E51"/>
    <mergeCell ref="A86:B86"/>
    <mergeCell ref="A76:B76"/>
    <mergeCell ref="C76:H76"/>
    <mergeCell ref="A84:B84"/>
    <mergeCell ref="A71:C71"/>
    <mergeCell ref="D71:H71"/>
    <mergeCell ref="C78:H78"/>
    <mergeCell ref="A81:B81"/>
    <mergeCell ref="A83:B83"/>
    <mergeCell ref="E79:F79"/>
    <mergeCell ref="A75:C75"/>
    <mergeCell ref="D75:H75"/>
    <mergeCell ref="A73:C73"/>
    <mergeCell ref="D74:H74"/>
    <mergeCell ref="A82:B82"/>
    <mergeCell ref="A80:B80"/>
    <mergeCell ref="C60:E60"/>
    <mergeCell ref="D62:H62"/>
    <mergeCell ref="C58:E58"/>
    <mergeCell ref="G60:H60"/>
    <mergeCell ref="A61:H61"/>
    <mergeCell ref="A62:C62"/>
    <mergeCell ref="C55:H55"/>
    <mergeCell ref="A63:C63"/>
    <mergeCell ref="E80:F89"/>
    <mergeCell ref="G79:H79"/>
    <mergeCell ref="A79:B7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21:H224"/>
    <mergeCell ref="A220:B220"/>
    <mergeCell ref="E220:F220"/>
    <mergeCell ref="C220:D220"/>
    <mergeCell ref="G220:H220"/>
    <mergeCell ref="A145:H145"/>
    <mergeCell ref="A143:E143"/>
    <mergeCell ref="F143:H143"/>
    <mergeCell ref="A144:E144"/>
    <mergeCell ref="F144:H144"/>
    <mergeCell ref="A152:B152"/>
    <mergeCell ref="A147:B147"/>
    <mergeCell ref="A216:H216"/>
    <mergeCell ref="A150:H150"/>
    <mergeCell ref="A219:H219"/>
    <mergeCell ref="A217:H217"/>
    <mergeCell ref="A213:H213"/>
    <mergeCell ref="G151:H151"/>
    <mergeCell ref="B210:H210"/>
    <mergeCell ref="A156:B156"/>
    <mergeCell ref="E156:F156"/>
    <mergeCell ref="G156:H156"/>
    <mergeCell ref="C148:D148"/>
    <mergeCell ref="E148:F148"/>
    <mergeCell ref="A182:B182"/>
    <mergeCell ref="A183:B183"/>
    <mergeCell ref="C151:D151"/>
    <mergeCell ref="C160:C161"/>
    <mergeCell ref="B168:B169"/>
    <mergeCell ref="A214:H214"/>
    <mergeCell ref="A177:B177"/>
    <mergeCell ref="A178:B178"/>
    <mergeCell ref="A165:B165"/>
    <mergeCell ref="A167:H167"/>
    <mergeCell ref="E151:F151"/>
    <mergeCell ref="A158:H158"/>
    <mergeCell ref="A168:A169"/>
    <mergeCell ref="F168:F169"/>
    <mergeCell ref="A181:H181"/>
    <mergeCell ref="A170:H170"/>
    <mergeCell ref="A171:H171"/>
    <mergeCell ref="A172:H172"/>
    <mergeCell ref="A163:B163"/>
    <mergeCell ref="A157:B157"/>
    <mergeCell ref="C157:D157"/>
    <mergeCell ref="C168:C169"/>
    <mergeCell ref="G168:G169"/>
    <mergeCell ref="G157:H157"/>
    <mergeCell ref="A173:B173"/>
    <mergeCell ref="A174:B174"/>
    <mergeCell ref="A175:B175"/>
    <mergeCell ref="E107:F107"/>
    <mergeCell ref="G107:H107"/>
    <mergeCell ref="A138:E138"/>
    <mergeCell ref="F138:H138"/>
    <mergeCell ref="A140:E140"/>
    <mergeCell ref="F135:H135"/>
    <mergeCell ref="A139:E139"/>
    <mergeCell ref="E108:F117"/>
    <mergeCell ref="A115:B115"/>
    <mergeCell ref="A116:B116"/>
    <mergeCell ref="F132:H132"/>
    <mergeCell ref="F137:H137"/>
    <mergeCell ref="A126:B126"/>
    <mergeCell ref="A127:B127"/>
    <mergeCell ref="E121:F121"/>
    <mergeCell ref="G121:H121"/>
    <mergeCell ref="A122:B122"/>
    <mergeCell ref="A113:B113"/>
    <mergeCell ref="A114:B114"/>
    <mergeCell ref="F133:H133"/>
    <mergeCell ref="G147:H147"/>
    <mergeCell ref="A202:H202"/>
    <mergeCell ref="A200:B200"/>
    <mergeCell ref="A201:B201"/>
    <mergeCell ref="A184:B184"/>
    <mergeCell ref="A185:B185"/>
    <mergeCell ref="A186:B186"/>
    <mergeCell ref="A187:B187"/>
    <mergeCell ref="A197:H197"/>
    <mergeCell ref="A188:H188"/>
    <mergeCell ref="A189:H189"/>
    <mergeCell ref="A190:H190"/>
    <mergeCell ref="A191:B191"/>
    <mergeCell ref="A192:B192"/>
    <mergeCell ref="F139:H139"/>
    <mergeCell ref="C146:D146"/>
    <mergeCell ref="C156:D156"/>
    <mergeCell ref="G146:H146"/>
    <mergeCell ref="E122:F131"/>
    <mergeCell ref="G122:H131"/>
    <mergeCell ref="A123:B123"/>
    <mergeCell ref="E155:F155"/>
    <mergeCell ref="G155:H155"/>
    <mergeCell ref="E146:F146"/>
    <mergeCell ref="A128:B128"/>
    <mergeCell ref="A129:B129"/>
    <mergeCell ref="C149:D149"/>
    <mergeCell ref="E149:F149"/>
    <mergeCell ref="G149:H149"/>
    <mergeCell ref="A155:B155"/>
    <mergeCell ref="C155:D155"/>
    <mergeCell ref="A146:B146"/>
    <mergeCell ref="A154:B154"/>
    <mergeCell ref="C154:D154"/>
    <mergeCell ref="E154:F154"/>
    <mergeCell ref="G154:H154"/>
    <mergeCell ref="F141:H141"/>
    <mergeCell ref="A130:B130"/>
    <mergeCell ref="A218:H218"/>
    <mergeCell ref="A215:H215"/>
    <mergeCell ref="A151:B151"/>
    <mergeCell ref="D168:D169"/>
    <mergeCell ref="E168:E169"/>
    <mergeCell ref="A159:H159"/>
    <mergeCell ref="A198:B198"/>
    <mergeCell ref="A199:B199"/>
    <mergeCell ref="B211:H211"/>
    <mergeCell ref="B209:H209"/>
    <mergeCell ref="B205:H205"/>
    <mergeCell ref="B203:H203"/>
    <mergeCell ref="B204:H204"/>
    <mergeCell ref="E157:F157"/>
    <mergeCell ref="A164:B164"/>
    <mergeCell ref="A176:B176"/>
    <mergeCell ref="B206:H206"/>
    <mergeCell ref="B207:H207"/>
    <mergeCell ref="A195:H195"/>
    <mergeCell ref="A196:H196"/>
    <mergeCell ref="A193:B193"/>
    <mergeCell ref="A194:B194"/>
    <mergeCell ref="A179:H179"/>
    <mergeCell ref="A180:H180"/>
    <mergeCell ref="C118:H118"/>
    <mergeCell ref="A131:B131"/>
    <mergeCell ref="D68:H68"/>
    <mergeCell ref="A65:C68"/>
    <mergeCell ref="D65:H65"/>
    <mergeCell ref="D66:H66"/>
    <mergeCell ref="D73:H73"/>
    <mergeCell ref="A74:C74"/>
    <mergeCell ref="A104:B104"/>
    <mergeCell ref="C104:H104"/>
    <mergeCell ref="A85:B85"/>
    <mergeCell ref="A124:B124"/>
    <mergeCell ref="A125:B125"/>
    <mergeCell ref="A120:B120"/>
    <mergeCell ref="C120:H120"/>
    <mergeCell ref="A121:B121"/>
    <mergeCell ref="A112:B112"/>
    <mergeCell ref="A107:B107"/>
    <mergeCell ref="G80:H89"/>
    <mergeCell ref="A88:B88"/>
    <mergeCell ref="A89:B89"/>
    <mergeCell ref="D70:H70"/>
    <mergeCell ref="A69:C69"/>
    <mergeCell ref="A70:C70"/>
    <mergeCell ref="B212:H212"/>
    <mergeCell ref="A153:B153"/>
    <mergeCell ref="C153:D153"/>
    <mergeCell ref="E153:F153"/>
    <mergeCell ref="G153:H153"/>
    <mergeCell ref="I15:P15"/>
    <mergeCell ref="F142:H142"/>
    <mergeCell ref="F140:H140"/>
    <mergeCell ref="E43:H43"/>
    <mergeCell ref="A43:D43"/>
    <mergeCell ref="A50:B50"/>
    <mergeCell ref="C50:E50"/>
    <mergeCell ref="G50:H50"/>
    <mergeCell ref="G52:H52"/>
    <mergeCell ref="A51:B51"/>
    <mergeCell ref="A54:B55"/>
    <mergeCell ref="C54:E54"/>
    <mergeCell ref="G54:H54"/>
    <mergeCell ref="A56:B57"/>
    <mergeCell ref="C56:E56"/>
    <mergeCell ref="G56:H56"/>
    <mergeCell ref="A58:B59"/>
    <mergeCell ref="D67:H67"/>
    <mergeCell ref="A118:B118"/>
    <mergeCell ref="A90:B90"/>
    <mergeCell ref="C90:H90"/>
    <mergeCell ref="A92:B92"/>
    <mergeCell ref="C92:H92"/>
    <mergeCell ref="A93:B93"/>
    <mergeCell ref="E93:F93"/>
    <mergeCell ref="G93:H93"/>
    <mergeCell ref="A94:B94"/>
    <mergeCell ref="E94:F103"/>
    <mergeCell ref="G94:H103"/>
    <mergeCell ref="A95:B95"/>
    <mergeCell ref="A96:B96"/>
    <mergeCell ref="A97:B97"/>
    <mergeCell ref="A98:B98"/>
    <mergeCell ref="A99:B99"/>
    <mergeCell ref="A100:B100"/>
    <mergeCell ref="A101:B101"/>
    <mergeCell ref="A102:B102"/>
    <mergeCell ref="A103:B10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60:E161">
      <formula1>"Attached Loft area,Attached Otla area,Attached Mezzanine area"</formula1>
    </dataValidation>
    <dataValidation type="list" allowBlank="1" showInputMessage="1" showErrorMessage="1" sqref="G220:H220">
      <formula1>"Kunal Kadam,Pranita Mhatre,Shruti Fule,Pooja Kawale,Neha Dhokale,Shruti Tathare, Hitakshi Mhatre, Sachin Sawant"</formula1>
    </dataValidation>
    <dataValidation type="list" allowBlank="1" showInputMessage="1" showErrorMessage="1" sqref="F132:H132">
      <formula1>"On Saleable Area,On Builtup Area,On Carpet Area,On Plot Area"</formula1>
    </dataValidation>
    <dataValidation type="list" allowBlank="1" showInputMessage="1" showErrorMessage="1" sqref="F143:H143">
      <formula1>OFFSET($S$118,1,MATCH($G20,$S$118:$W$118,0)-1,15,1)</formula1>
    </dataValidation>
    <dataValidation type="list" allowBlank="1" showInputMessage="1" showErrorMessage="1" sqref="B160:B161">
      <formula1>"Shop No. (Sale Plan),Sale / Rehab,Sale / Mhada"</formula1>
    </dataValidation>
    <dataValidation type="list" allowBlank="1" showInputMessage="1" showErrorMessage="1" sqref="B168:B16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8:E169">
      <formula1>"Fungible area,Balcony Area + EP,Chajja Area,Cornice Area,AP Area,WS Area"</formula1>
    </dataValidation>
    <dataValidation type="list" allowBlank="1" showInputMessage="1" showErrorMessage="1" sqref="H161 H16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C127 C99">
      <formula1>0</formula1>
      <formula2>H77</formula2>
    </dataValidation>
    <dataValidation type="list" allowBlank="1" showInputMessage="1" showErrorMessage="1" sqref="H160 H168">
      <formula1>"Saleable area Loading :,Builder Saleable Area"</formula1>
    </dataValidation>
    <dataValidation type="list" allowBlank="1" showInputMessage="1" showErrorMessage="1" sqref="D160:D161 D168:D16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5" max="7" man="1"/>
    <brk id="224" max="7" man="1"/>
    <brk id="267" max="7" man="1"/>
    <brk id="306"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08" t="s">
        <v>104</v>
      </c>
      <c r="C3" s="208"/>
      <c r="D3" s="208"/>
      <c r="E3" s="208"/>
      <c r="F3" s="208"/>
      <c r="G3" s="208"/>
      <c r="H3" s="208"/>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6"/>
      <c r="C4" s="46" t="s">
        <v>11</v>
      </c>
      <c r="D4" s="47" t="s">
        <v>174</v>
      </c>
      <c r="E4" s="47" t="s">
        <v>184</v>
      </c>
      <c r="F4" s="47" t="s">
        <v>169</v>
      </c>
      <c r="G4" s="47" t="s">
        <v>189</v>
      </c>
      <c r="H4" s="47" t="s">
        <v>207</v>
      </c>
      <c r="J4" t="s">
        <v>189</v>
      </c>
      <c r="K4" t="s">
        <v>205</v>
      </c>
    </row>
    <row r="5" spans="2:11" x14ac:dyDescent="0.35">
      <c r="B5" s="46"/>
      <c r="C5" s="46"/>
      <c r="D5" s="47" t="s">
        <v>175</v>
      </c>
      <c r="E5" s="47" t="s">
        <v>182</v>
      </c>
      <c r="F5" s="47" t="s">
        <v>204</v>
      </c>
      <c r="G5" s="47" t="s">
        <v>190</v>
      </c>
      <c r="H5" s="47" t="s">
        <v>208</v>
      </c>
    </row>
    <row r="6" spans="2:11" x14ac:dyDescent="0.35">
      <c r="B6" s="46"/>
      <c r="C6" s="46"/>
      <c r="D6" s="47" t="s">
        <v>176</v>
      </c>
      <c r="E6" s="47" t="s">
        <v>183</v>
      </c>
      <c r="F6" s="47" t="s">
        <v>205</v>
      </c>
      <c r="G6" s="47" t="s">
        <v>191</v>
      </c>
      <c r="H6" s="47" t="s">
        <v>221</v>
      </c>
    </row>
    <row r="7" spans="2:11" x14ac:dyDescent="0.35">
      <c r="B7" s="46"/>
      <c r="C7" s="46"/>
      <c r="D7" s="47" t="s">
        <v>177</v>
      </c>
      <c r="E7" s="47" t="s">
        <v>185</v>
      </c>
      <c r="F7" s="47" t="s">
        <v>206</v>
      </c>
      <c r="G7" s="47" t="s">
        <v>192</v>
      </c>
      <c r="H7" s="47" t="s">
        <v>209</v>
      </c>
    </row>
    <row r="8" spans="2:11" x14ac:dyDescent="0.35">
      <c r="B8" s="46"/>
      <c r="C8" s="46"/>
      <c r="D8" s="47" t="s">
        <v>178</v>
      </c>
      <c r="E8" s="47" t="s">
        <v>186</v>
      </c>
      <c r="F8" s="47"/>
      <c r="G8" s="47" t="s">
        <v>193</v>
      </c>
      <c r="H8" s="47" t="s">
        <v>210</v>
      </c>
    </row>
    <row r="9" spans="2:11" x14ac:dyDescent="0.35">
      <c r="B9" s="46"/>
      <c r="C9" s="46"/>
      <c r="D9" s="47" t="s">
        <v>179</v>
      </c>
      <c r="E9" s="47" t="s">
        <v>184</v>
      </c>
      <c r="F9" s="47"/>
      <c r="G9" s="47" t="s">
        <v>194</v>
      </c>
      <c r="H9" s="47" t="s">
        <v>211</v>
      </c>
    </row>
    <row r="10" spans="2:11" x14ac:dyDescent="0.35">
      <c r="B10" s="46"/>
      <c r="C10" s="46"/>
      <c r="D10" s="47" t="s">
        <v>180</v>
      </c>
      <c r="E10" s="47" t="s">
        <v>187</v>
      </c>
      <c r="F10" s="47"/>
      <c r="G10" s="47" t="s">
        <v>195</v>
      </c>
      <c r="H10" s="47" t="s">
        <v>212</v>
      </c>
    </row>
    <row r="11" spans="2:11" x14ac:dyDescent="0.35">
      <c r="B11" s="46"/>
      <c r="C11" s="46"/>
      <c r="D11" s="47" t="s">
        <v>181</v>
      </c>
      <c r="E11" s="47" t="s">
        <v>188</v>
      </c>
      <c r="F11" s="47"/>
      <c r="G11" s="47" t="s">
        <v>196</v>
      </c>
      <c r="H11" s="47" t="s">
        <v>213</v>
      </c>
    </row>
    <row r="12" spans="2:11" x14ac:dyDescent="0.35">
      <c r="B12" s="46"/>
      <c r="C12" s="46"/>
      <c r="D12" s="47"/>
      <c r="E12" s="47"/>
      <c r="F12" s="47"/>
      <c r="G12" s="47" t="s">
        <v>197</v>
      </c>
      <c r="H12" s="47" t="s">
        <v>214</v>
      </c>
    </row>
    <row r="13" spans="2:11" x14ac:dyDescent="0.35">
      <c r="B13" s="46"/>
      <c r="C13" s="46"/>
      <c r="D13" s="47"/>
      <c r="E13" s="47"/>
      <c r="F13" s="47"/>
      <c r="G13" s="47" t="s">
        <v>198</v>
      </c>
      <c r="H13" s="47" t="s">
        <v>215</v>
      </c>
    </row>
    <row r="14" spans="2:11" x14ac:dyDescent="0.35">
      <c r="B14" s="46"/>
      <c r="C14" s="46"/>
      <c r="D14" s="47"/>
      <c r="E14" s="47"/>
      <c r="F14" s="47"/>
      <c r="G14" s="47" t="s">
        <v>199</v>
      </c>
      <c r="H14" s="47" t="s">
        <v>216</v>
      </c>
    </row>
    <row r="15" spans="2:11" x14ac:dyDescent="0.35">
      <c r="B15" s="46"/>
      <c r="C15" s="46"/>
      <c r="D15" s="47"/>
      <c r="E15" s="47"/>
      <c r="F15" s="47"/>
      <c r="G15" s="47" t="s">
        <v>200</v>
      </c>
      <c r="H15" s="47" t="s">
        <v>217</v>
      </c>
    </row>
    <row r="16" spans="2:11" x14ac:dyDescent="0.35">
      <c r="B16" s="46"/>
      <c r="C16" s="46"/>
      <c r="D16" s="47"/>
      <c r="E16" s="47"/>
      <c r="F16" s="47"/>
      <c r="G16" s="47" t="s">
        <v>201</v>
      </c>
      <c r="H16" s="47" t="s">
        <v>218</v>
      </c>
    </row>
    <row r="17" spans="2:8" x14ac:dyDescent="0.35">
      <c r="B17" s="46"/>
      <c r="C17" s="46"/>
      <c r="D17" s="47"/>
      <c r="E17" s="47"/>
      <c r="F17" s="47"/>
      <c r="G17" s="47" t="s">
        <v>202</v>
      </c>
      <c r="H17" s="47" t="s">
        <v>219</v>
      </c>
    </row>
    <row r="18" spans="2:8" x14ac:dyDescent="0.35">
      <c r="B18" s="46"/>
      <c r="C18" s="46"/>
      <c r="D18" s="47"/>
      <c r="E18" s="47"/>
      <c r="F18" s="47"/>
      <c r="G18" s="47" t="s">
        <v>203</v>
      </c>
      <c r="H18" s="47" t="s">
        <v>220</v>
      </c>
    </row>
    <row r="24" spans="2:8" x14ac:dyDescent="0.35">
      <c r="C24" t="s">
        <v>166</v>
      </c>
    </row>
    <row r="25" spans="2:8" x14ac:dyDescent="0.35">
      <c r="C25" t="s">
        <v>222</v>
      </c>
    </row>
    <row r="26" spans="2:8" x14ac:dyDescent="0.35">
      <c r="C26" t="s">
        <v>223</v>
      </c>
    </row>
    <row r="27" spans="2:8" x14ac:dyDescent="0.35">
      <c r="C27" t="s">
        <v>224</v>
      </c>
    </row>
    <row r="28" spans="2:8" x14ac:dyDescent="0.35">
      <c r="C28" t="s">
        <v>225</v>
      </c>
    </row>
    <row r="29" spans="2:8" x14ac:dyDescent="0.35">
      <c r="C29" t="s">
        <v>226</v>
      </c>
    </row>
    <row r="30" spans="2:8" x14ac:dyDescent="0.35">
      <c r="C30" t="s">
        <v>166</v>
      </c>
    </row>
    <row r="33" spans="3:11" x14ac:dyDescent="0.35">
      <c r="J33">
        <v>1</v>
      </c>
      <c r="K33">
        <v>2</v>
      </c>
    </row>
    <row r="34" spans="3:11" x14ac:dyDescent="0.35">
      <c r="C34" s="50" t="s">
        <v>231</v>
      </c>
      <c r="D34" s="47" t="s">
        <v>229</v>
      </c>
      <c r="E34" s="47" t="s">
        <v>234</v>
      </c>
      <c r="F34" s="47" t="s">
        <v>232</v>
      </c>
      <c r="G34" s="47" t="s">
        <v>233</v>
      </c>
      <c r="H34" s="47" t="s">
        <v>235</v>
      </c>
      <c r="J34" t="s">
        <v>189</v>
      </c>
      <c r="K34" t="s">
        <v>205</v>
      </c>
    </row>
    <row r="35" spans="3:11" x14ac:dyDescent="0.35">
      <c r="C35" s="46" t="s">
        <v>230</v>
      </c>
      <c r="D35" s="47" t="s">
        <v>167</v>
      </c>
      <c r="E35" s="47" t="s">
        <v>239</v>
      </c>
      <c r="F35" s="47" t="s">
        <v>241</v>
      </c>
      <c r="G35" s="47" t="s">
        <v>243</v>
      </c>
      <c r="H35" s="47"/>
    </row>
    <row r="36" spans="3:11" x14ac:dyDescent="0.35">
      <c r="C36" s="46"/>
      <c r="D36" s="47" t="s">
        <v>236</v>
      </c>
      <c r="E36" s="47" t="s">
        <v>240</v>
      </c>
      <c r="F36" s="47" t="s">
        <v>242</v>
      </c>
      <c r="G36" s="47" t="s">
        <v>244</v>
      </c>
      <c r="H36" s="47"/>
    </row>
    <row r="37" spans="3:11" x14ac:dyDescent="0.35">
      <c r="C37" s="46"/>
      <c r="D37" s="47" t="s">
        <v>237</v>
      </c>
      <c r="E37" s="47"/>
      <c r="F37" s="47"/>
      <c r="G37" s="47" t="s">
        <v>245</v>
      </c>
      <c r="H37" s="47"/>
    </row>
    <row r="38" spans="3:11" x14ac:dyDescent="0.35">
      <c r="C38" s="46"/>
      <c r="D38" s="47" t="s">
        <v>238</v>
      </c>
      <c r="E38" s="47"/>
      <c r="F38" s="47"/>
      <c r="G38" s="47" t="s">
        <v>245</v>
      </c>
      <c r="H38" s="47"/>
    </row>
    <row r="39" spans="3:11" x14ac:dyDescent="0.35">
      <c r="C39" s="46"/>
      <c r="D39" s="47"/>
      <c r="E39" s="47"/>
      <c r="F39" s="47"/>
      <c r="G39" s="47" t="s">
        <v>246</v>
      </c>
      <c r="H39" s="47"/>
    </row>
    <row r="40" spans="3:11" x14ac:dyDescent="0.35">
      <c r="C40" s="46"/>
      <c r="D40" s="47"/>
      <c r="E40" s="47"/>
      <c r="F40" s="47"/>
      <c r="G40" s="47" t="s">
        <v>247</v>
      </c>
      <c r="H40" s="47"/>
    </row>
    <row r="41" spans="3:11" x14ac:dyDescent="0.35">
      <c r="C41" s="46"/>
      <c r="D41" s="47"/>
      <c r="E41" s="47"/>
      <c r="F41" s="47"/>
      <c r="G41" s="47"/>
      <c r="H41" s="47"/>
    </row>
    <row r="43" spans="3:11" x14ac:dyDescent="0.35">
      <c r="C43" t="s">
        <v>248</v>
      </c>
    </row>
    <row r="44" spans="3:11" x14ac:dyDescent="0.35">
      <c r="C44" t="s">
        <v>169</v>
      </c>
      <c r="D44" t="s">
        <v>249</v>
      </c>
    </row>
    <row r="45" spans="3:11" x14ac:dyDescent="0.35">
      <c r="D45" t="s">
        <v>250</v>
      </c>
    </row>
    <row r="46" spans="3:11" x14ac:dyDescent="0.35">
      <c r="D46" t="s">
        <v>251</v>
      </c>
    </row>
    <row r="47" spans="3:11" x14ac:dyDescent="0.35">
      <c r="D47" t="s">
        <v>252</v>
      </c>
    </row>
    <row r="48" spans="3:11" x14ac:dyDescent="0.35">
      <c r="D48" t="s">
        <v>253</v>
      </c>
    </row>
    <row r="49" spans="3:4" x14ac:dyDescent="0.35">
      <c r="C49" t="s">
        <v>174</v>
      </c>
      <c r="D49" t="s">
        <v>254</v>
      </c>
    </row>
    <row r="50" spans="3:4" x14ac:dyDescent="0.35">
      <c r="D50" t="s">
        <v>255</v>
      </c>
    </row>
    <row r="51" spans="3:4" x14ac:dyDescent="0.35">
      <c r="D51" t="s">
        <v>256</v>
      </c>
    </row>
    <row r="52" spans="3:4" x14ac:dyDescent="0.35">
      <c r="D52" t="s">
        <v>259</v>
      </c>
    </row>
    <row r="53" spans="3:4" x14ac:dyDescent="0.35">
      <c r="D53" t="s">
        <v>257</v>
      </c>
    </row>
    <row r="54" spans="3:4" x14ac:dyDescent="0.35">
      <c r="D54" t="s">
        <v>258</v>
      </c>
    </row>
    <row r="55" spans="3:4" x14ac:dyDescent="0.35">
      <c r="D55" t="s">
        <v>260</v>
      </c>
    </row>
    <row r="56" spans="3:4" x14ac:dyDescent="0.35">
      <c r="D56" t="s">
        <v>261</v>
      </c>
    </row>
    <row r="57" spans="3:4" x14ac:dyDescent="0.35">
      <c r="D57" t="s">
        <v>262</v>
      </c>
    </row>
    <row r="58" spans="3:4" x14ac:dyDescent="0.35">
      <c r="D58" t="s">
        <v>264</v>
      </c>
    </row>
    <row r="59" spans="3:4" x14ac:dyDescent="0.35">
      <c r="D59" t="s">
        <v>273</v>
      </c>
    </row>
    <row r="60" spans="3:4" x14ac:dyDescent="0.35">
      <c r="C60" t="s">
        <v>189</v>
      </c>
      <c r="D60" t="s">
        <v>265</v>
      </c>
    </row>
    <row r="61" spans="3:4" x14ac:dyDescent="0.35">
      <c r="D61" t="s">
        <v>263</v>
      </c>
    </row>
    <row r="62" spans="3:4" x14ac:dyDescent="0.35">
      <c r="D62" t="s">
        <v>253</v>
      </c>
    </row>
    <row r="63" spans="3:4" x14ac:dyDescent="0.35">
      <c r="D63" t="s">
        <v>266</v>
      </c>
    </row>
    <row r="64" spans="3:4" x14ac:dyDescent="0.35">
      <c r="D64" t="s">
        <v>267</v>
      </c>
    </row>
    <row r="65" spans="3:4" x14ac:dyDescent="0.35">
      <c r="D65" t="s">
        <v>268</v>
      </c>
    </row>
    <row r="66" spans="3:4" x14ac:dyDescent="0.35">
      <c r="D66" t="s">
        <v>269</v>
      </c>
    </row>
    <row r="67" spans="3:4" x14ac:dyDescent="0.35">
      <c r="C67" t="s">
        <v>184</v>
      </c>
      <c r="D67" t="s">
        <v>270</v>
      </c>
    </row>
    <row r="68" spans="3:4" x14ac:dyDescent="0.35">
      <c r="D68" t="s">
        <v>271</v>
      </c>
    </row>
    <row r="69" spans="3:4" x14ac:dyDescent="0.3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1">
        <v>1</v>
      </c>
      <c r="C2" s="54" t="s">
        <v>279</v>
      </c>
    </row>
    <row r="3" spans="2:3" x14ac:dyDescent="0.35">
      <c r="B3" s="51">
        <v>2</v>
      </c>
      <c r="C3" s="52" t="s">
        <v>280</v>
      </c>
    </row>
    <row r="4" spans="2:3" x14ac:dyDescent="0.35">
      <c r="B4" s="51">
        <v>3</v>
      </c>
      <c r="C4" s="53" t="s">
        <v>281</v>
      </c>
    </row>
    <row r="5" spans="2:3" x14ac:dyDescent="0.35">
      <c r="B5" s="51">
        <v>4</v>
      </c>
      <c r="C5" s="52" t="s">
        <v>282</v>
      </c>
    </row>
    <row r="6" spans="2:3" x14ac:dyDescent="0.35">
      <c r="B6" s="51">
        <v>5</v>
      </c>
      <c r="C6" s="53" t="s">
        <v>283</v>
      </c>
    </row>
    <row r="7" spans="2:3" ht="29" x14ac:dyDescent="0.35">
      <c r="B7" s="51">
        <v>6</v>
      </c>
      <c r="C7" s="52" t="s">
        <v>284</v>
      </c>
    </row>
    <row r="8" spans="2:3" ht="72.5" x14ac:dyDescent="0.35">
      <c r="B8" s="51">
        <v>7</v>
      </c>
      <c r="C8" s="52" t="s">
        <v>285</v>
      </c>
    </row>
    <row r="9" spans="2:3" x14ac:dyDescent="0.35">
      <c r="B9" s="51">
        <v>8</v>
      </c>
      <c r="C9" s="53" t="s">
        <v>286</v>
      </c>
    </row>
    <row r="10" spans="2:3" x14ac:dyDescent="0.35">
      <c r="B10" s="51">
        <v>9</v>
      </c>
      <c r="C10" s="53" t="s">
        <v>287</v>
      </c>
    </row>
    <row r="11" spans="2:3" x14ac:dyDescent="0.35">
      <c r="B11" s="51">
        <v>10</v>
      </c>
      <c r="C11" s="53" t="s">
        <v>288</v>
      </c>
    </row>
    <row r="12" spans="2:3" x14ac:dyDescent="0.35">
      <c r="B12" s="51">
        <v>11</v>
      </c>
      <c r="C12" s="53" t="s">
        <v>289</v>
      </c>
    </row>
    <row r="13" spans="2:3" x14ac:dyDescent="0.35">
      <c r="B13" s="51">
        <v>12</v>
      </c>
      <c r="C13" s="53" t="s">
        <v>290</v>
      </c>
    </row>
    <row r="14" spans="2:3" x14ac:dyDescent="0.35">
      <c r="B14" s="51">
        <v>13</v>
      </c>
      <c r="C14" s="53" t="s">
        <v>291</v>
      </c>
    </row>
    <row r="15" spans="2:3" x14ac:dyDescent="0.35">
      <c r="B15" s="51">
        <v>14</v>
      </c>
      <c r="C15" s="53" t="s">
        <v>281</v>
      </c>
    </row>
    <row r="16" spans="2:3" x14ac:dyDescent="0.35">
      <c r="B16" s="51">
        <v>15</v>
      </c>
      <c r="C16" s="53" t="s">
        <v>293</v>
      </c>
    </row>
    <row r="17" spans="2:3" ht="31.5" customHeight="1" x14ac:dyDescent="0.35">
      <c r="B17" s="57">
        <v>16</v>
      </c>
      <c r="C17" s="59" t="s">
        <v>294</v>
      </c>
    </row>
    <row r="18" spans="2:3" x14ac:dyDescent="0.35">
      <c r="B18" s="58">
        <v>17</v>
      </c>
      <c r="C18" s="59" t="s">
        <v>295</v>
      </c>
    </row>
    <row r="19" spans="2:3" x14ac:dyDescent="0.35">
      <c r="B19" s="57">
        <v>18</v>
      </c>
      <c r="C19" s="51" t="s">
        <v>296</v>
      </c>
    </row>
    <row r="20" spans="2:3" x14ac:dyDescent="0.35">
      <c r="B20" s="58">
        <v>19</v>
      </c>
      <c r="C20" s="51"/>
    </row>
    <row r="21" spans="2:3" x14ac:dyDescent="0.35">
      <c r="B21" s="60">
        <v>20</v>
      </c>
      <c r="C21" s="51"/>
    </row>
    <row r="22" spans="2:3" x14ac:dyDescent="0.35">
      <c r="B22" s="51"/>
      <c r="C22" s="51"/>
    </row>
    <row r="23" spans="2:3" x14ac:dyDescent="0.35">
      <c r="B23" s="51"/>
      <c r="C23" s="51"/>
    </row>
    <row r="24" spans="2:3" x14ac:dyDescent="0.35">
      <c r="B24" s="51"/>
      <c r="C24" s="51"/>
    </row>
    <row r="25" spans="2:3" x14ac:dyDescent="0.35">
      <c r="B25" s="51"/>
      <c r="C25" s="51"/>
    </row>
    <row r="26" spans="2:3" x14ac:dyDescent="0.35">
      <c r="B26" s="51"/>
      <c r="C26" s="5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2025-06-06T10:27:12Z</cp:lastPrinted>
  <dcterms:created xsi:type="dcterms:W3CDTF">2019-07-16T09:29:46Z</dcterms:created>
  <dcterms:modified xsi:type="dcterms:W3CDTF">2025-09-11T12:42:37Z</dcterms:modified>
</cp:coreProperties>
</file>