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VSJCV\Making\AXIS\2025-26\Axis\APF Dump\Sept 2025\13-09-2025\"/>
    </mc:Choice>
  </mc:AlternateContent>
  <bookViews>
    <workbookView xWindow="0" yWindow="0" windowWidth="19200" windowHeight="6930" tabRatio="855"/>
  </bookViews>
  <sheets>
    <sheet name="Report" sheetId="16" r:id="rId1"/>
    <sheet name="1" sheetId="15" r:id="rId2"/>
    <sheet name="2" sheetId="18" r:id="rId3"/>
    <sheet name="3" sheetId="19" r:id="rId4"/>
    <sheet name="4" sheetId="14" r:id="rId5"/>
    <sheet name="Wing A" sheetId="11" r:id="rId6"/>
    <sheet name="Wing B" sheetId="12" r:id="rId7"/>
    <sheet name="Wing C" sheetId="13" r:id="rId8"/>
    <sheet name="Sheet3" sheetId="17" r:id="rId9"/>
  </sheets>
  <definedNames>
    <definedName name="_xlnm.Print_Area" localSheetId="0">Report!$A$1:$J$269</definedName>
  </definedNames>
  <calcPr calcId="162913"/>
</workbook>
</file>

<file path=xl/calcChain.xml><?xml version="1.0" encoding="utf-8"?>
<calcChain xmlns="http://schemas.openxmlformats.org/spreadsheetml/2006/main">
  <c r="N35" i="13" l="1"/>
  <c r="M35" i="13"/>
  <c r="K35" i="13"/>
  <c r="J35" i="13"/>
  <c r="G35" i="13"/>
  <c r="F35" i="13"/>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5" i="12"/>
  <c r="L35" i="12"/>
  <c r="J35" i="12"/>
  <c r="I35" i="12"/>
  <c r="F35" i="12"/>
  <c r="E35" i="12"/>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P13" i="12"/>
  <c r="M13" i="12"/>
  <c r="J13" i="12"/>
  <c r="F13" i="12"/>
  <c r="P12" i="12"/>
  <c r="M12" i="12"/>
  <c r="J12" i="12"/>
  <c r="F12" i="12"/>
  <c r="M11" i="12"/>
  <c r="J11" i="12"/>
  <c r="F11" i="12"/>
  <c r="M10" i="12"/>
  <c r="J10" i="12"/>
  <c r="F10" i="12"/>
  <c r="M9" i="12"/>
  <c r="J9" i="12"/>
  <c r="F9" i="12"/>
  <c r="M8" i="12"/>
  <c r="J8" i="12"/>
  <c r="F8" i="12"/>
  <c r="M7" i="12"/>
  <c r="J7" i="12"/>
  <c r="F7" i="12"/>
  <c r="H20" i="11"/>
  <c r="G20" i="11"/>
  <c r="H19" i="11"/>
  <c r="G19" i="11"/>
  <c r="H18" i="11"/>
  <c r="G18" i="11"/>
  <c r="H17" i="11"/>
  <c r="G17" i="11"/>
  <c r="H16" i="11"/>
  <c r="G16" i="11"/>
  <c r="B16" i="11"/>
  <c r="H15" i="11"/>
  <c r="G15" i="11"/>
  <c r="H14" i="11"/>
  <c r="G14" i="11"/>
  <c r="B14" i="11"/>
  <c r="H13" i="11"/>
  <c r="G13" i="11"/>
  <c r="B12" i="11"/>
  <c r="E10" i="11"/>
  <c r="B10" i="11"/>
  <c r="E9" i="11"/>
  <c r="E8" i="11"/>
  <c r="B8" i="11"/>
  <c r="O7" i="11"/>
  <c r="N7" i="11"/>
  <c r="M7" i="11"/>
  <c r="L7" i="11"/>
  <c r="K7" i="11"/>
  <c r="J7" i="11"/>
  <c r="I7" i="11"/>
  <c r="E7" i="11"/>
  <c r="O6" i="11"/>
  <c r="N6" i="11"/>
  <c r="M6" i="11"/>
  <c r="L6" i="11"/>
  <c r="K6" i="11"/>
  <c r="J6" i="11"/>
  <c r="I6" i="11"/>
  <c r="E6" i="11"/>
  <c r="B6" i="11"/>
  <c r="E5" i="11"/>
  <c r="E4" i="11"/>
  <c r="H20" i="14"/>
  <c r="G20" i="14"/>
  <c r="H19" i="14"/>
  <c r="G19" i="14"/>
  <c r="H18" i="14"/>
  <c r="G18" i="14"/>
  <c r="H17" i="14"/>
  <c r="G17" i="14"/>
  <c r="H16" i="14"/>
  <c r="G16" i="14"/>
  <c r="B16" i="14"/>
  <c r="H15" i="14"/>
  <c r="G15" i="14"/>
  <c r="H14" i="14"/>
  <c r="G14" i="14"/>
  <c r="B14" i="14"/>
  <c r="H13" i="14"/>
  <c r="G13" i="14"/>
  <c r="B12" i="14"/>
  <c r="E10" i="14"/>
  <c r="B10" i="14"/>
  <c r="E9" i="14"/>
  <c r="E8" i="14"/>
  <c r="B8" i="14"/>
  <c r="O7" i="14"/>
  <c r="N7" i="14"/>
  <c r="M7" i="14"/>
  <c r="L7" i="14"/>
  <c r="K7" i="14"/>
  <c r="J7" i="14"/>
  <c r="I7" i="14"/>
  <c r="E7" i="14"/>
  <c r="O6" i="14"/>
  <c r="N6" i="14"/>
  <c r="M6" i="14"/>
  <c r="L6" i="14"/>
  <c r="K6" i="14"/>
  <c r="J6" i="14"/>
  <c r="I6" i="14"/>
  <c r="E6" i="14"/>
  <c r="B6" i="14"/>
  <c r="E5" i="14"/>
  <c r="E4" i="14"/>
  <c r="H20" i="19"/>
  <c r="G20" i="19"/>
  <c r="H19" i="19"/>
  <c r="G19" i="19"/>
  <c r="H18" i="19"/>
  <c r="G18" i="19"/>
  <c r="H17" i="19"/>
  <c r="G17" i="19"/>
  <c r="H16" i="19"/>
  <c r="G16" i="19"/>
  <c r="B16" i="19"/>
  <c r="H15" i="19"/>
  <c r="G15" i="19"/>
  <c r="H14" i="19"/>
  <c r="G14" i="19"/>
  <c r="B14" i="19"/>
  <c r="H13" i="19"/>
  <c r="G13" i="19"/>
  <c r="B12" i="19"/>
  <c r="E10" i="19"/>
  <c r="B10" i="19"/>
  <c r="E9" i="19"/>
  <c r="E8" i="19"/>
  <c r="B8" i="19"/>
  <c r="O7" i="19"/>
  <c r="N7" i="19"/>
  <c r="M7" i="19"/>
  <c r="L7" i="19"/>
  <c r="K7" i="19"/>
  <c r="J7" i="19"/>
  <c r="I7" i="19"/>
  <c r="E7" i="19"/>
  <c r="O6" i="19"/>
  <c r="N6" i="19"/>
  <c r="M6" i="19"/>
  <c r="L6" i="19"/>
  <c r="K6" i="19"/>
  <c r="J6" i="19"/>
  <c r="I6" i="19"/>
  <c r="E6" i="19"/>
  <c r="B6" i="19"/>
  <c r="E5" i="19"/>
  <c r="E4" i="19"/>
  <c r="H20" i="18"/>
  <c r="G20" i="18"/>
  <c r="H19" i="18"/>
  <c r="G19" i="18"/>
  <c r="H18" i="18"/>
  <c r="G18" i="18"/>
  <c r="H17" i="18"/>
  <c r="G17" i="18"/>
  <c r="H16" i="18"/>
  <c r="G16" i="18"/>
  <c r="H15" i="18"/>
  <c r="G15" i="18"/>
  <c r="H14" i="18"/>
  <c r="G14" i="18"/>
  <c r="H13" i="18"/>
  <c r="G13" i="18"/>
  <c r="E10" i="18"/>
  <c r="E9" i="18"/>
  <c r="E8" i="18"/>
  <c r="O7" i="18"/>
  <c r="N7" i="18"/>
  <c r="M7" i="18"/>
  <c r="L7" i="18"/>
  <c r="K7" i="18"/>
  <c r="J7" i="18"/>
  <c r="I7" i="18"/>
  <c r="E7" i="18"/>
  <c r="O6" i="18"/>
  <c r="N6" i="18"/>
  <c r="M6" i="18"/>
  <c r="L6" i="18"/>
  <c r="K6" i="18"/>
  <c r="J6" i="18"/>
  <c r="I6" i="18"/>
  <c r="E6" i="18"/>
  <c r="B6" i="18"/>
  <c r="E5" i="18"/>
  <c r="E4" i="18"/>
  <c r="H20" i="15"/>
  <c r="G20" i="15"/>
  <c r="H19" i="15"/>
  <c r="G19" i="15"/>
  <c r="H18" i="15"/>
  <c r="G18" i="15"/>
  <c r="H17" i="15"/>
  <c r="G17" i="15"/>
  <c r="H16" i="15"/>
  <c r="G16" i="15"/>
  <c r="H15" i="15"/>
  <c r="G15" i="15"/>
  <c r="H14" i="15"/>
  <c r="G14" i="15"/>
  <c r="H13" i="15"/>
  <c r="G13" i="15"/>
  <c r="E10" i="15"/>
  <c r="E9" i="15"/>
  <c r="E8" i="15"/>
  <c r="O7" i="15"/>
  <c r="N7" i="15"/>
  <c r="M7" i="15"/>
  <c r="L7" i="15"/>
  <c r="K7" i="15"/>
  <c r="J7" i="15"/>
  <c r="I7" i="15"/>
  <c r="E7" i="15"/>
  <c r="O6" i="15"/>
  <c r="N6" i="15"/>
  <c r="M6" i="15"/>
  <c r="L6" i="15"/>
  <c r="K6" i="15"/>
  <c r="J6" i="15"/>
  <c r="I6" i="15"/>
  <c r="E6" i="15"/>
  <c r="B6" i="15"/>
  <c r="E5" i="15"/>
  <c r="E4" i="15"/>
  <c r="D191" i="16"/>
  <c r="D177" i="16"/>
  <c r="D176" i="16"/>
  <c r="I175" i="16"/>
  <c r="D175" i="16"/>
  <c r="D173" i="16"/>
  <c r="D172" i="16"/>
  <c r="D171" i="16"/>
  <c r="I170" i="16"/>
  <c r="D170" i="16"/>
  <c r="F107" i="16" s="1"/>
  <c r="F166" i="16"/>
  <c r="D166" i="16"/>
  <c r="I165" i="16"/>
  <c r="F165" i="16"/>
  <c r="D165" i="16"/>
  <c r="F163" i="16"/>
  <c r="D163" i="16"/>
  <c r="I162" i="16"/>
  <c r="F162" i="16"/>
  <c r="D162" i="16"/>
  <c r="D160" i="16"/>
  <c r="F106" i="16" s="1"/>
  <c r="D159" i="16"/>
  <c r="D158" i="16"/>
  <c r="D155" i="16"/>
  <c r="F154" i="16"/>
  <c r="D154" i="16"/>
  <c r="F153" i="16"/>
  <c r="D153" i="16"/>
  <c r="I152" i="16"/>
  <c r="F152" i="16"/>
  <c r="D152" i="16"/>
  <c r="F150" i="16"/>
  <c r="D150" i="16"/>
  <c r="F149" i="16"/>
  <c r="D149" i="16"/>
  <c r="F148" i="16"/>
  <c r="D148" i="16"/>
  <c r="F105" i="16" s="1"/>
  <c r="I147" i="16"/>
  <c r="F147" i="16"/>
  <c r="D147" i="16"/>
  <c r="D145" i="16"/>
  <c r="F142" i="16"/>
  <c r="D142" i="16"/>
  <c r="F141" i="16"/>
  <c r="D141" i="16"/>
  <c r="F140" i="16"/>
  <c r="D140" i="16"/>
  <c r="I139" i="16"/>
  <c r="F139" i="16"/>
  <c r="D139" i="16"/>
  <c r="F137" i="16"/>
  <c r="D137" i="16"/>
  <c r="F136" i="16"/>
  <c r="D136" i="16"/>
  <c r="F135" i="16"/>
  <c r="D135" i="16"/>
  <c r="I134" i="16"/>
  <c r="F134" i="16"/>
  <c r="D134" i="16"/>
  <c r="D132" i="16"/>
  <c r="F128" i="16"/>
  <c r="D128" i="16"/>
  <c r="I127" i="16"/>
  <c r="F127" i="16"/>
  <c r="D127" i="16"/>
  <c r="F125" i="16"/>
  <c r="D125" i="16"/>
  <c r="I124" i="16"/>
  <c r="F124" i="16"/>
  <c r="D124" i="16"/>
  <c r="F122" i="16"/>
  <c r="D122" i="16"/>
  <c r="I121" i="16"/>
  <c r="F121" i="16"/>
  <c r="D121" i="16"/>
  <c r="F104" i="16" s="1"/>
  <c r="D119" i="16"/>
  <c r="D118" i="16"/>
  <c r="F102" i="16" s="1"/>
  <c r="D117" i="16"/>
  <c r="D116" i="16"/>
  <c r="D115" i="16"/>
  <c r="D114" i="16"/>
  <c r="H107" i="16"/>
  <c r="H106" i="16"/>
  <c r="H105" i="16"/>
  <c r="H108" i="16" s="1"/>
  <c r="C105" i="16"/>
  <c r="H104" i="16"/>
  <c r="H102" i="16"/>
  <c r="G99" i="16"/>
  <c r="D84" i="16"/>
  <c r="D83" i="16"/>
  <c r="L82" i="16"/>
  <c r="D82" i="16"/>
  <c r="L81" i="16"/>
  <c r="D81" i="16"/>
  <c r="L80" i="16"/>
  <c r="D80" i="16"/>
  <c r="L79" i="16"/>
  <c r="D79" i="16"/>
  <c r="D78" i="16"/>
  <c r="L77" i="16"/>
  <c r="L78" i="16" s="1"/>
  <c r="L83" i="16" s="1"/>
  <c r="L84" i="16" s="1"/>
  <c r="C76" i="16" s="1"/>
  <c r="C77" i="16"/>
  <c r="D77" i="16" s="1"/>
  <c r="L76" i="16"/>
  <c r="L75" i="16"/>
  <c r="C75" i="16"/>
  <c r="L74" i="16"/>
  <c r="D70" i="16"/>
  <c r="D69" i="16"/>
  <c r="L68" i="16"/>
  <c r="D68" i="16"/>
  <c r="L67" i="16"/>
  <c r="D67" i="16"/>
  <c r="L66" i="16"/>
  <c r="D66" i="16"/>
  <c r="L65" i="16"/>
  <c r="D65" i="16"/>
  <c r="L64" i="16"/>
  <c r="L69" i="16" s="1"/>
  <c r="L70" i="16" s="1"/>
  <c r="C62" i="16" s="1"/>
  <c r="D64" i="16"/>
  <c r="L63" i="16"/>
  <c r="C63" i="16"/>
  <c r="D63" i="16" s="1"/>
  <c r="L62" i="16"/>
  <c r="C61" i="16" s="1"/>
  <c r="L61" i="16"/>
  <c r="L60" i="16"/>
  <c r="D50" i="16"/>
  <c r="H46" i="16"/>
  <c r="C46" i="16"/>
  <c r="F41" i="16"/>
  <c r="F42" i="16" s="1"/>
  <c r="D52" i="16" s="1"/>
  <c r="C14" i="16"/>
  <c r="F8" i="16"/>
  <c r="F3" i="16"/>
  <c r="F108" i="16" l="1"/>
  <c r="D62" i="16"/>
  <c r="F61" i="16"/>
  <c r="H61" i="16"/>
  <c r="D61" i="16"/>
  <c r="H75" i="16"/>
  <c r="F75" i="16"/>
  <c r="K71" i="16" s="1"/>
  <c r="C73" i="16" s="1"/>
  <c r="D76" i="16"/>
  <c r="C106" i="16"/>
  <c r="C104" i="16"/>
  <c r="C108" i="16" s="1"/>
  <c r="C107" i="16"/>
  <c r="D75" i="16"/>
  <c r="C102" i="16"/>
  <c r="K57" i="16" l="1"/>
  <c r="C59" i="16" s="1"/>
</calcChain>
</file>

<file path=xl/sharedStrings.xml><?xml version="1.0" encoding="utf-8"?>
<sst xmlns="http://schemas.openxmlformats.org/spreadsheetml/2006/main" count="674" uniqueCount="261">
  <si>
    <t>Office No. 1031, Wing J, Akshar Business Park, Plot No. 03 Sector 25, Near APMC Market,
Vashi, Navi Mumbai, Maharashtra 400703 TEL: 022-46090378/79/80                                                                                                                                          E mail : vsjcapf@gmail.com. Web site : www.vsjadon.com</t>
  </si>
  <si>
    <t xml:space="preserve">Valuation Report </t>
  </si>
  <si>
    <t>Date:</t>
  </si>
  <si>
    <t>CPC Name:</t>
  </si>
  <si>
    <t>Axis Sanpada</t>
  </si>
  <si>
    <t>Date Of Property Visit</t>
  </si>
  <si>
    <t>Name of the builder group</t>
  </si>
  <si>
    <t>M/s.Shivkrupa Builders &amp; Developers</t>
  </si>
  <si>
    <t>Name of the builder company</t>
  </si>
  <si>
    <t>Name of the Project</t>
  </si>
  <si>
    <t>Priyanshi Residency</t>
  </si>
  <si>
    <t>Contect Details ( Name &amp; Contect No.)</t>
  </si>
  <si>
    <t>Name / No of the Building</t>
  </si>
  <si>
    <t xml:space="preserve">Building No.1
Building No.2 (A1 &amp; A2 Wings)
Building No.3
Building No.4
</t>
  </si>
  <si>
    <t>Docouments Provided</t>
  </si>
  <si>
    <t>Approved Layout, Approved Building Plan, CC, Cost Sheet.</t>
  </si>
  <si>
    <t>RERA No.</t>
  </si>
  <si>
    <t>P52000016200</t>
  </si>
  <si>
    <t xml:space="preserve">Project location details       </t>
  </si>
  <si>
    <t>Gut No</t>
  </si>
  <si>
    <t>Plot No</t>
  </si>
  <si>
    <t>1&amp;2</t>
  </si>
  <si>
    <t>Locality</t>
  </si>
  <si>
    <t>Usarli Khurd</t>
  </si>
  <si>
    <t>Road</t>
  </si>
  <si>
    <t>Mumbai - Pune Expressway</t>
  </si>
  <si>
    <t>District</t>
  </si>
  <si>
    <t>Raigad</t>
  </si>
  <si>
    <t>City</t>
  </si>
  <si>
    <t>Panvel</t>
  </si>
  <si>
    <t>Pin Code</t>
  </si>
  <si>
    <t>Near by Landmark</t>
  </si>
  <si>
    <t>Shri Renuka Yellama Temple</t>
  </si>
  <si>
    <t xml:space="preserve">Distance from city centre: </t>
  </si>
  <si>
    <t>2.9 Km from Panvel Railway Station</t>
  </si>
  <si>
    <t>Accessibility to the Project from the City:
(Proximity to civic amenities like school, hospital, market)</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</si>
  <si>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</si>
  <si>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</si>
  <si>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</si>
  <si>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</si>
  <si>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</si>
  <si>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</si>
  <si>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</si>
  <si>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</si>
  <si>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</si>
  <si>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</si>
  <si>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</si>
  <si>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</si>
  <si>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</si>
  <si>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</si>
  <si>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</si>
  <si>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</si>
  <si>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</si>
  <si>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</si>
  <si>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</si>
  <si>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Building</t>
  </si>
  <si>
    <t>Chawl</t>
  </si>
  <si>
    <t>Does the boundaries at site match, as mentioned in the Docoumentation: NA</t>
  </si>
  <si>
    <t>Type of Structure : RCC Frame Structure</t>
  </si>
  <si>
    <t xml:space="preserve">Latitude &amp; Longitude </t>
  </si>
  <si>
    <t>18.977605,73.137755</t>
  </si>
  <si>
    <t>Location Link</t>
  </si>
  <si>
    <t>https://goo.gl/maps/H7RtQ2t9pK378ZXt5</t>
  </si>
  <si>
    <t>Approval details:</t>
  </si>
  <si>
    <t xml:space="preserve">Approved usage of the Property:                                                                                                                                             </t>
  </si>
  <si>
    <t>Residential + Commercial.</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</si>
  <si>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</si>
  <si>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</si>
  <si>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</si>
  <si>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</si>
  <si>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</si>
  <si>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</si>
  <si>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</si>
  <si>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</si>
  <si>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</si>
  <si>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04 Building ( 02 Wings )</t>
  </si>
  <si>
    <t xml:space="preserve">Approval Detail : Plan approval </t>
  </si>
  <si>
    <t xml:space="preserve">Layout Approval No     </t>
  </si>
  <si>
    <t>CIDCO/NAINA/PANVEL/USARLI KHURD/BP-227/CC/2018/1296.</t>
  </si>
  <si>
    <t>Dated</t>
  </si>
  <si>
    <t>22/02/2018.</t>
  </si>
  <si>
    <t xml:space="preserve">Approved Floor plan No.  </t>
  </si>
  <si>
    <t>Commencement Certificate No.</t>
  </si>
  <si>
    <t xml:space="preserve">Valid Up to:  Building No 1 = Stilt + 1st to 4th Floor
Building No 2(Wing A1 &amp; A2) = G + 1st to 4th Floor.
Building No 3 &amp; 4 = Stilt + 1st to 3rd Floor
</t>
  </si>
  <si>
    <t xml:space="preserve">O. Certificate No.: </t>
  </si>
  <si>
    <t xml:space="preserve">Date of approval: </t>
  </si>
  <si>
    <t xml:space="preserve">Commencement date of construction </t>
  </si>
  <si>
    <t>Expected Completion</t>
  </si>
  <si>
    <t>30/06/2021.</t>
  </si>
  <si>
    <t>Building wise Construction details</t>
  </si>
  <si>
    <t>Approved area of the building in Sq.Mt</t>
  </si>
  <si>
    <t>Approved no of units</t>
  </si>
  <si>
    <t>Shop = 09
Flat = 49</t>
  </si>
  <si>
    <t>Approved no of Floors</t>
  </si>
  <si>
    <t xml:space="preserve">Building No 1 = Stilt + 1st to 4th Floor
Building No 2 ( Wing A1 &amp; A2) = G + 1st to 4th Floor.
Building No 3 &amp; 4 = Stilt + 1st to 3rd Floor.
</t>
  </si>
  <si>
    <t>Quality of construction: Good</t>
  </si>
  <si>
    <t>Projected life of the structure: 60 Years After Completion</t>
  </si>
  <si>
    <t>Material laying at Site: :Bricks, Cement &amp; Steel etc.</t>
  </si>
  <si>
    <t xml:space="preserve">Construction details:                                                                  </t>
  </si>
  <si>
    <t>Construction details:</t>
  </si>
  <si>
    <t>Building No 1 = Stilt + 1st to 4th Floor
Building No 2 ( Wing A1 &amp; A2) = G + 1st to 4th Floor.</t>
  </si>
  <si>
    <t>Basement</t>
  </si>
  <si>
    <t>Ground</t>
  </si>
  <si>
    <t>Podium</t>
  </si>
  <si>
    <t>Floors</t>
  </si>
  <si>
    <t xml:space="preserve">Stage of construction: </t>
  </si>
  <si>
    <t>All work Completed. OC Received.</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</si>
  <si>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</si>
  <si>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</si>
  <si>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</si>
  <si>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</si>
  <si>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</si>
  <si>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</si>
  <si>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</si>
  <si>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</si>
  <si>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</si>
  <si>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</si>
  <si>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</si>
  <si>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</si>
  <si>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</si>
  <si>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</si>
  <si>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</si>
  <si>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</si>
  <si>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</si>
  <si>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</si>
  <si>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</si>
  <si>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</si>
  <si>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</si>
  <si>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</si>
  <si>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</si>
  <si>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</si>
  <si>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</si>
  <si>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</si>
  <si>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</si>
  <si>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</si>
  <si>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Building No 3  = Stilt + 1st to 3rd Floor
Building No 4 = Stilt + 1st to 3rd Floor</t>
  </si>
  <si>
    <t>Wheather the construction is as per approved Building plan : Under Construction</t>
  </si>
  <si>
    <t>Violations Observed if any : NA</t>
  </si>
  <si>
    <r>
      <rPr>
        <b/>
        <sz val="11"/>
        <rFont val="Times New Roman"/>
        <family val="1"/>
      </rPr>
      <t xml:space="preserve">Proposed Amenities :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</si>
  <si>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Recommended Rates of the Property :</t>
  </si>
  <si>
    <t>Recommended rate of the flat Per Sq. Ft. ( on Saleable area)</t>
  </si>
  <si>
    <t>Recommended rate of the Shop Per Sq. Ft. ( on Saleable area)</t>
  </si>
  <si>
    <t>9900/-</t>
  </si>
  <si>
    <t>Floor rise rate  Per Sq. Ft.</t>
  </si>
  <si>
    <t>PLC charges</t>
  </si>
  <si>
    <t>Club Charges</t>
  </si>
  <si>
    <t>Any Other amenities</t>
  </si>
  <si>
    <t>Society formation charges</t>
  </si>
  <si>
    <t xml:space="preserve">Recommended rate of Parking </t>
  </si>
  <si>
    <t>3,00,000/-</t>
  </si>
  <si>
    <t>Development charges</t>
  </si>
  <si>
    <t>180000/-</t>
  </si>
  <si>
    <t>Valuation as per Government reckoners rates</t>
  </si>
  <si>
    <t>Distressed valuation of the Property</t>
  </si>
  <si>
    <t>Commercial Area Details.</t>
  </si>
  <si>
    <t>Building /Wing</t>
  </si>
  <si>
    <t>Total No of units</t>
  </si>
  <si>
    <t>Total carpet area</t>
  </si>
  <si>
    <t>Total Sealable Area</t>
  </si>
  <si>
    <t>Building No.1</t>
  </si>
  <si>
    <t>Residential Area Details.</t>
  </si>
  <si>
    <t>Building No.2</t>
  </si>
  <si>
    <t>Wing A1</t>
  </si>
  <si>
    <t>Wing A2</t>
  </si>
  <si>
    <t>Building No.3</t>
  </si>
  <si>
    <t>Building No.4</t>
  </si>
  <si>
    <t>Total</t>
  </si>
  <si>
    <t>Building details Floor Wise</t>
  </si>
  <si>
    <t xml:space="preserve">Details of Flats in Building   </t>
  </si>
  <si>
    <t>Flat No.</t>
  </si>
  <si>
    <t>Description</t>
  </si>
  <si>
    <t>Gross Carpet area</t>
  </si>
  <si>
    <t>Attached Terrace area</t>
  </si>
  <si>
    <t>Builder Saleable area</t>
  </si>
  <si>
    <t>PLC Y/N</t>
  </si>
  <si>
    <t>Floor</t>
  </si>
  <si>
    <t>Ground Floor is For Commercial</t>
  </si>
  <si>
    <t>Shop</t>
  </si>
  <si>
    <t>N</t>
  </si>
  <si>
    <t>Ground Floor</t>
  </si>
  <si>
    <t xml:space="preserve">1st &amp; 3rd Floor </t>
  </si>
  <si>
    <t>1BHK</t>
  </si>
  <si>
    <t xml:space="preserve">2nd Floor </t>
  </si>
  <si>
    <t xml:space="preserve"> 4th Floor </t>
  </si>
  <si>
    <t>Ground Floor is For Residential &amp; Stilt</t>
  </si>
  <si>
    <t xml:space="preserve">1st &amp; 3rd  Floor </t>
  </si>
  <si>
    <t xml:space="preserve">2nd &amp; 4th  Floor </t>
  </si>
  <si>
    <t>Ground Floor is For Residential &amp; Parking</t>
  </si>
  <si>
    <t xml:space="preserve">Ground Floor is For Commercial &amp; Stilt </t>
  </si>
  <si>
    <t>1RK</t>
  </si>
  <si>
    <t xml:space="preserve">2nd   Floor </t>
  </si>
  <si>
    <t>Ground Floor is for stilt</t>
  </si>
  <si>
    <t xml:space="preserve">1st &amp; 2nd Floor </t>
  </si>
  <si>
    <t xml:space="preserve">3rd  Floor </t>
  </si>
  <si>
    <t>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</si>
  <si>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</si>
  <si>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</si>
  <si>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</si>
  <si>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</si>
  <si>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</si>
  <si>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</si>
  <si>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</si>
  <si>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Authorized Signatory
                                                                                                                                                                                                                                                                                     Name &amp; Seal of the agency</t>
  </si>
  <si>
    <t xml:space="preserve">PHOTOGRAPHS OF PROPERTY : 
</t>
  </si>
  <si>
    <t>Google Map :</t>
  </si>
  <si>
    <t>Particulars</t>
  </si>
  <si>
    <t xml:space="preserve">totaL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</si>
  <si>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</si>
  <si>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</si>
  <si>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</si>
  <si>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</si>
  <si>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</si>
  <si>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</si>
  <si>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</si>
  <si>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</si>
  <si>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</si>
  <si>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</si>
  <si>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</si>
  <si>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</si>
  <si>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</si>
  <si>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</si>
  <si>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</si>
  <si>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</si>
  <si>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</si>
  <si>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</si>
  <si>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</si>
  <si>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</si>
  <si>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</si>
  <si>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RCC</t>
  </si>
  <si>
    <t>total</t>
  </si>
  <si>
    <t xml:space="preserve">Floor No </t>
  </si>
  <si>
    <t>Flat</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</si>
  <si>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</si>
  <si>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</si>
  <si>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</si>
  <si>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</si>
  <si>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</si>
  <si>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</si>
  <si>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</si>
  <si>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</si>
  <si>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</si>
  <si>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</si>
  <si>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</si>
  <si>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</si>
  <si>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</si>
  <si>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</si>
  <si>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</si>
  <si>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</si>
  <si>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</si>
  <si>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</si>
  <si>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</si>
  <si>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</si>
  <si>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</si>
  <si>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t>Axis Goregaon</t>
  </si>
  <si>
    <t>Axis Kalina</t>
  </si>
  <si>
    <t>Upper Class</t>
  </si>
  <si>
    <t>Developed</t>
  </si>
  <si>
    <t>Residential</t>
  </si>
  <si>
    <t>Commercial</t>
  </si>
  <si>
    <t>Residential &amp; Commercial</t>
  </si>
  <si>
    <r>
      <t xml:space="preserve">Remarks:  
1. Construction work was stopped at the time of visit. Work is same since visit (dtd.10/09/2022).
2. We considered Saleable area as per Builder's Area Sheet.
3. We considered Carpet area as per Approved Plan.
4. We have considered rate by verifying it from market inquire.
5. We have considered Other charges from cost sheet.
6. Car parking is subjected to authentic documentation.
7. Recommended rate should be considered as all inclusive rate if other charges are not mentioned. (Excluding GST &amp; other government Taxes).
8. The project has received first CC on 22/02/2018, But construction work is not yet completed.
</t>
    </r>
    <r>
      <rPr>
        <b/>
        <sz val="11"/>
        <color rgb="FFFF0000"/>
        <rFont val="Times New Roman"/>
        <family val="1"/>
      </rPr>
      <t>9. As per RERA, completion period of project Priyanshi Residency is expired on 30/06/2021 but still project is under construction.</t>
    </r>
    <r>
      <rPr>
        <b/>
        <sz val="11"/>
        <rFont val="Times New Roman"/>
        <family val="1"/>
      </rPr>
      <t xml:space="preserve">
8 On site We meet Mr. Hanumant(Supervisor) - 9594440423.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</si>
</sst>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charset val="134"/>
      <scheme val="minor"/>
    </font>
    <font>
      <sz val="11"/>
      <color theme="1"/>
      <name val="Times New Roman"/>
      <family val="1"/>
    </font>
    <font>
      <b/>
      <sz val="11"/>
      <color theme="1"/>
      <name val="Calibri"/>
      <family val="2"/>
      <scheme val="minor"/>
    </font>
    <font>
      <sz val="11"/>
      <color rgb="FFFF0000"/>
      <name val="Calibri"/>
      <family val="2"/>
      <scheme val="minor"/>
    </font>
    <font>
      <sz val="11"/>
      <name val="Calibri"/>
      <family val="2"/>
    </font>
    <font>
      <sz val="11"/>
      <name val="Calibri"/>
      <family val="2"/>
      <scheme val="minor"/>
    </font>
    <font>
      <b/>
      <sz val="11"/>
      <name val="Times New Roman"/>
      <family val="1"/>
    </font>
    <font>
      <sz val="11"/>
      <name val="Times New Roman"/>
      <family val="1"/>
    </font>
    <font>
      <b/>
      <sz val="11"/>
      <color theme="1"/>
      <name val="Times New Roman"/>
      <family val="1"/>
    </font>
    <font>
      <u/>
      <sz val="11"/>
      <color theme="10"/>
      <name val="Calibri"/>
      <family val="2"/>
      <scheme val="minor"/>
    </font>
    <font>
      <b/>
      <sz val="12"/>
      <name val="Times New Roman"/>
      <family val="1"/>
    </font>
    <font>
      <sz val="12"/>
      <name val="Times New Roman"/>
      <family val="1"/>
    </font>
    <font>
      <sz val="12"/>
      <color theme="1"/>
      <name val="Times New Roman"/>
      <family val="1"/>
    </font>
    <font>
      <sz val="11"/>
      <color rgb="FF000000"/>
      <name val="Times New Roman"/>
      <family val="1"/>
    </font>
    <font>
      <b/>
      <sz val="14"/>
      <name val="Times New Roman"/>
      <family val="1"/>
    </font>
    <font>
      <b/>
      <sz val="10"/>
      <name val="Times New Roman"/>
      <family val="1"/>
    </font>
    <font>
      <sz val="11"/>
      <color indexed="8"/>
      <name val="Calibri"/>
      <family val="2"/>
    </font>
    <font>
      <b/>
      <sz val="11"/>
      <color rgb="FFFF0000"/>
      <name val="Times New Roman"/>
      <family val="1"/>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4">
    <xf numFmtId="0" fontId="0" fillId="0" borderId="0"/>
    <xf numFmtId="0" fontId="9" fillId="0" borderId="0" applyNumberFormat="0" applyFill="0" applyBorder="0" applyAlignment="0" applyProtection="0"/>
    <xf numFmtId="0" fontId="16" fillId="0" borderId="0"/>
    <xf numFmtId="0" fontId="18" fillId="0" borderId="0"/>
  </cellStyleXfs>
  <cellXfs count="164">
    <xf numFmtId="0" fontId="0" fillId="0" borderId="0" xfId="0"/>
    <xf numFmtId="0" fontId="1" fillId="0" borderId="0" xfId="0" applyFont="1"/>
    <xf numFmtId="0" fontId="0" fillId="2" borderId="1" xfId="0" applyFill="1" applyBorder="1"/>
    <xf numFmtId="0" fontId="0" fillId="0" borderId="2" xfId="0" applyBorder="1"/>
    <xf numFmtId="0" fontId="2" fillId="0" borderId="1" xfId="0" applyFont="1" applyBorder="1"/>
    <xf numFmtId="0" fontId="2" fillId="0" borderId="1" xfId="0" applyFont="1" applyBorder="1" applyAlignment="1">
      <alignment horizontal="center"/>
    </xf>
    <xf numFmtId="0" fontId="0" fillId="0" borderId="1" xfId="0" applyBorder="1"/>
    <xf numFmtId="0" fontId="2" fillId="2" borderId="1" xfId="0" applyFont="1" applyFill="1" applyBorder="1"/>
    <xf numFmtId="0" fontId="0" fillId="0" borderId="3" xfId="0" applyBorder="1"/>
    <xf numFmtId="0" fontId="0" fillId="0" borderId="0" xfId="0" applyAlignment="1">
      <alignment wrapText="1"/>
    </xf>
    <xf numFmtId="0" fontId="0" fillId="0" borderId="1" xfId="0" applyBorder="1" applyAlignment="1">
      <alignment wrapText="1"/>
    </xf>
    <xf numFmtId="0" fontId="3" fillId="0" borderId="0" xfId="0" applyFont="1"/>
    <xf numFmtId="16" fontId="0" fillId="0" borderId="1" xfId="0" applyNumberFormat="1" applyBorder="1"/>
    <xf numFmtId="0" fontId="4" fillId="0" borderId="0" xfId="2" applyFont="1"/>
    <xf numFmtId="0" fontId="5" fillId="0" borderId="0" xfId="0" applyFont="1"/>
    <xf numFmtId="0" fontId="7" fillId="0" borderId="1" xfId="0" applyFont="1" applyBorder="1" applyAlignment="1">
      <alignment horizontal="left" vertical="top"/>
    </xf>
    <xf numFmtId="0" fontId="7" fillId="0" borderId="1" xfId="0" applyFont="1" applyBorder="1" applyAlignment="1">
      <alignment vertical="top" wrapText="1"/>
    </xf>
    <xf numFmtId="0" fontId="7" fillId="0" borderId="1" xfId="0" applyFont="1" applyBorder="1" applyAlignment="1">
      <alignment horizontal="left" vertical="top" wrapText="1"/>
    </xf>
    <xf numFmtId="0" fontId="7" fillId="0" borderId="4" xfId="0" applyFont="1" applyBorder="1" applyAlignment="1">
      <alignment vertical="top"/>
    </xf>
    <xf numFmtId="0" fontId="7" fillId="0" borderId="1" xfId="0" applyFont="1" applyBorder="1" applyAlignment="1">
      <alignment vertical="top"/>
    </xf>
    <xf numFmtId="0" fontId="11" fillId="0" borderId="15" xfId="3" applyFont="1" applyBorder="1" applyAlignment="1" applyProtection="1">
      <alignment horizontal="center" vertical="top"/>
      <protection locked="0"/>
    </xf>
    <xf numFmtId="0" fontId="11" fillId="0" borderId="4" xfId="3" applyFont="1" applyBorder="1" applyAlignment="1" applyProtection="1">
      <alignment horizontal="center" vertical="top"/>
      <protection locked="0"/>
    </xf>
    <xf numFmtId="0" fontId="11" fillId="0" borderId="1" xfId="3" applyFont="1" applyBorder="1" applyAlignment="1" applyProtection="1">
      <alignment horizontal="center" vertical="top"/>
      <protection locked="0"/>
    </xf>
    <xf numFmtId="0" fontId="11" fillId="0" borderId="1" xfId="3" applyFont="1" applyBorder="1" applyAlignment="1" applyProtection="1">
      <alignment horizontal="center" vertical="top" wrapText="1"/>
      <protection locked="0"/>
    </xf>
    <xf numFmtId="0" fontId="11" fillId="0" borderId="1" xfId="3" applyFont="1" applyBorder="1" applyAlignment="1" applyProtection="1">
      <alignment horizontal="center" wrapText="1"/>
      <protection locked="0"/>
    </xf>
    <xf numFmtId="1" fontId="11" fillId="0" borderId="1" xfId="3" applyNumberFormat="1" applyFont="1" applyBorder="1" applyAlignment="1" applyProtection="1">
      <alignment horizontal="center" wrapText="1"/>
      <protection locked="0"/>
    </xf>
    <xf numFmtId="0" fontId="7" fillId="0" borderId="6" xfId="0" applyFont="1" applyBorder="1" applyAlignment="1">
      <alignment vertical="top" wrapText="1"/>
    </xf>
    <xf numFmtId="0" fontId="5" fillId="0" borderId="0" xfId="0" applyFont="1" applyAlignment="1">
      <alignment wrapText="1"/>
    </xf>
    <xf numFmtId="0" fontId="12" fillId="0" borderId="0" xfId="3" applyFont="1" applyProtection="1">
      <protection hidden="1"/>
    </xf>
    <xf numFmtId="0" fontId="13" fillId="0" borderId="0" xfId="0" applyFont="1" applyProtection="1">
      <protection hidden="1"/>
    </xf>
    <xf numFmtId="0" fontId="12" fillId="0" borderId="0" xfId="3" applyFont="1"/>
    <xf numFmtId="1" fontId="0" fillId="0" borderId="0" xfId="0" applyNumberFormat="1"/>
    <xf numFmtId="1" fontId="10" fillId="0" borderId="1" xfId="0" applyNumberFormat="1" applyFont="1" applyBorder="1" applyAlignment="1">
      <alignment horizontal="center" vertical="top" wrapText="1"/>
    </xf>
    <xf numFmtId="1" fontId="15" fillId="0" borderId="1" xfId="0" applyNumberFormat="1" applyFont="1" applyBorder="1" applyAlignment="1">
      <alignment horizontal="center" vertical="top" wrapText="1"/>
    </xf>
    <xf numFmtId="1" fontId="11" fillId="0" borderId="1" xfId="0" applyNumberFormat="1" applyFont="1" applyBorder="1" applyAlignment="1">
      <alignment horizontal="center" vertical="center" wrapText="1"/>
    </xf>
    <xf numFmtId="1" fontId="0" fillId="0" borderId="0" xfId="0" applyNumberFormat="1" applyAlignment="1">
      <alignment horizontal="right"/>
    </xf>
    <xf numFmtId="0" fontId="15" fillId="0" borderId="0" xfId="0" applyFont="1" applyAlignment="1">
      <alignment vertical="top"/>
    </xf>
    <xf numFmtId="0" fontId="6" fillId="0" borderId="0" xfId="0" applyFont="1" applyAlignment="1">
      <alignment vertical="top" wrapText="1"/>
    </xf>
    <xf numFmtId="0" fontId="6" fillId="0" borderId="0" xfId="0" applyFont="1"/>
    <xf numFmtId="0" fontId="11" fillId="0" borderId="1" xfId="3" applyFont="1" applyBorder="1" applyAlignment="1" applyProtection="1">
      <alignment horizontal="center" vertical="top"/>
      <protection locked="0"/>
    </xf>
    <xf numFmtId="0" fontId="11" fillId="0" borderId="1" xfId="3" applyFont="1" applyBorder="1" applyAlignment="1" applyProtection="1">
      <alignment horizontal="center" vertical="top" wrapText="1"/>
      <protection locked="0"/>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6" fillId="0" borderId="0" xfId="0" applyFont="1" applyAlignment="1">
      <alignment vertical="top" wrapText="1"/>
    </xf>
    <xf numFmtId="0" fontId="7" fillId="0" borderId="3" xfId="0" applyFont="1" applyBorder="1" applyAlignment="1">
      <alignment horizontal="center" vertical="top" wrapText="1"/>
    </xf>
    <xf numFmtId="0" fontId="7" fillId="0" borderId="19" xfId="0" applyFont="1" applyBorder="1" applyAlignment="1">
      <alignment horizontal="center"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2"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2" xfId="0" applyFont="1" applyBorder="1" applyAlignment="1">
      <alignment horizontal="left" vertical="top"/>
    </xf>
    <xf numFmtId="0" fontId="7" fillId="0" borderId="11" xfId="0" applyFont="1" applyBorder="1" applyAlignment="1">
      <alignment horizontal="left" vertical="top"/>
    </xf>
    <xf numFmtId="9" fontId="11" fillId="3" borderId="1" xfId="3" applyNumberFormat="1" applyFont="1" applyFill="1" applyBorder="1" applyAlignment="1" applyProtection="1">
      <alignment horizontal="center" vertical="center" wrapText="1"/>
      <protection hidden="1"/>
    </xf>
    <xf numFmtId="1" fontId="11" fillId="0" borderId="7" xfId="0" applyNumberFormat="1" applyFont="1" applyBorder="1" applyAlignment="1">
      <alignment horizontal="center" vertical="center" wrapText="1"/>
    </xf>
    <xf numFmtId="1" fontId="11" fillId="0" borderId="9" xfId="0" applyNumberFormat="1" applyFont="1" applyBorder="1" applyAlignment="1">
      <alignment horizontal="center" vertical="center" wrapText="1"/>
    </xf>
    <xf numFmtId="1" fontId="11" fillId="0" borderId="20" xfId="0" applyNumberFormat="1" applyFont="1" applyBorder="1" applyAlignment="1">
      <alignment horizontal="center" vertical="center" wrapText="1"/>
    </xf>
    <xf numFmtId="1" fontId="11" fillId="0" borderId="21" xfId="0" applyNumberFormat="1" applyFont="1" applyBorder="1" applyAlignment="1">
      <alignment horizontal="center" vertical="center" wrapText="1"/>
    </xf>
    <xf numFmtId="1" fontId="11" fillId="0" borderId="10"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0" fontId="6" fillId="0" borderId="20" xfId="0" applyFont="1" applyBorder="1" applyAlignment="1">
      <alignment horizontal="center" vertical="top" wrapText="1"/>
    </xf>
    <xf numFmtId="0" fontId="6" fillId="0" borderId="0" xfId="0" applyFont="1" applyAlignment="1">
      <alignment horizontal="center" vertical="top" wrapText="1"/>
    </xf>
    <xf numFmtId="0" fontId="6" fillId="0" borderId="21" xfId="0" applyFont="1" applyBorder="1" applyAlignment="1">
      <alignment horizontal="center" vertical="top" wrapText="1"/>
    </xf>
    <xf numFmtId="0" fontId="6" fillId="0" borderId="10" xfId="0" applyFont="1" applyBorder="1" applyAlignment="1">
      <alignment horizontal="center" vertical="top" wrapText="1"/>
    </xf>
    <xf numFmtId="0" fontId="6" fillId="0" borderId="2" xfId="0" applyFont="1" applyBorder="1" applyAlignment="1">
      <alignment horizontal="center" vertical="top" wrapText="1"/>
    </xf>
    <xf numFmtId="0" fontId="6" fillId="0" borderId="11" xfId="0" applyFont="1" applyBorder="1" applyAlignment="1">
      <alignment horizontal="center" vertical="top" wrapText="1"/>
    </xf>
    <xf numFmtId="1" fontId="11" fillId="0" borderId="4"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1" fontId="11" fillId="0" borderId="5" xfId="0" applyNumberFormat="1" applyFont="1" applyBorder="1" applyAlignment="1">
      <alignment horizontal="center" vertical="center" wrapText="1"/>
    </xf>
    <xf numFmtId="0" fontId="6" fillId="0" borderId="4" xfId="2" applyFont="1" applyBorder="1" applyAlignment="1">
      <alignment horizontal="left" vertical="top" wrapText="1"/>
    </xf>
    <xf numFmtId="0" fontId="6" fillId="0" borderId="5" xfId="2" applyFont="1" applyBorder="1" applyAlignment="1">
      <alignment horizontal="left" vertical="top" wrapText="1"/>
    </xf>
    <xf numFmtId="0" fontId="6" fillId="0" borderId="6" xfId="2" applyFont="1" applyBorder="1" applyAlignment="1">
      <alignment horizontal="left" vertical="top" wrapText="1"/>
    </xf>
    <xf numFmtId="0" fontId="7" fillId="0" borderId="4"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1" fontId="10" fillId="0" borderId="4"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0" fontId="14" fillId="0" borderId="4" xfId="0" applyFont="1" applyBorder="1" applyAlignment="1">
      <alignment horizontal="center" vertical="top"/>
    </xf>
    <xf numFmtId="0" fontId="14" fillId="0" borderId="5" xfId="0" applyFont="1" applyBorder="1" applyAlignment="1">
      <alignment horizontal="center" vertical="top"/>
    </xf>
    <xf numFmtId="0" fontId="14" fillId="0" borderId="6" xfId="0" applyFont="1" applyBorder="1" applyAlignment="1">
      <alignment horizontal="center" vertical="top"/>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1" fontId="10" fillId="0" borderId="4" xfId="0" applyNumberFormat="1" applyFont="1" applyBorder="1" applyAlignment="1">
      <alignment horizontal="center" vertical="top" wrapText="1"/>
    </xf>
    <xf numFmtId="1" fontId="10" fillId="0" borderId="6" xfId="0" applyNumberFormat="1" applyFont="1" applyBorder="1" applyAlignment="1">
      <alignment horizontal="center" vertical="top" wrapText="1"/>
    </xf>
    <xf numFmtId="1" fontId="6" fillId="0" borderId="4" xfId="0" applyNumberFormat="1" applyFont="1" applyBorder="1" applyAlignment="1">
      <alignment horizontal="center" vertical="top" wrapText="1"/>
    </xf>
    <xf numFmtId="1" fontId="6" fillId="0" borderId="6" xfId="0" applyNumberFormat="1" applyFont="1" applyBorder="1" applyAlignment="1">
      <alignment horizontal="center" vertical="top" wrapText="1"/>
    </xf>
    <xf numFmtId="0" fontId="7" fillId="0" borderId="1" xfId="0" applyFont="1" applyBorder="1" applyAlignment="1">
      <alignment horizontal="center" vertical="top"/>
    </xf>
    <xf numFmtId="1" fontId="7" fillId="0" borderId="1" xfId="0" applyNumberFormat="1" applyFont="1" applyBorder="1" applyAlignment="1">
      <alignment horizontal="center" vertical="top"/>
    </xf>
    <xf numFmtId="0" fontId="6" fillId="0" borderId="1" xfId="0" applyFont="1" applyBorder="1" applyAlignment="1">
      <alignment horizontal="center" vertical="top"/>
    </xf>
    <xf numFmtId="1" fontId="6" fillId="0" borderId="1" xfId="0" applyNumberFormat="1" applyFont="1" applyBorder="1" applyAlignment="1">
      <alignment horizontal="center"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10" fillId="0" borderId="15" xfId="3" applyFont="1" applyBorder="1" applyAlignment="1" applyProtection="1">
      <alignment horizontal="left" vertical="top"/>
      <protection locked="0"/>
    </xf>
    <xf numFmtId="0" fontId="10" fillId="0" borderId="4" xfId="3" applyFont="1" applyBorder="1" applyAlignment="1" applyProtection="1">
      <alignment horizontal="left" vertical="top"/>
      <protection locked="0"/>
    </xf>
    <xf numFmtId="0" fontId="10" fillId="0" borderId="1" xfId="3" applyFont="1" applyBorder="1" applyAlignment="1" applyProtection="1">
      <alignment horizontal="left" vertical="top" wrapText="1"/>
      <protection locked="0"/>
    </xf>
    <xf numFmtId="0" fontId="10" fillId="0" borderId="18" xfId="3" applyFont="1" applyBorder="1" applyAlignment="1" applyProtection="1">
      <alignment horizontal="left" vertical="top" wrapText="1"/>
      <protection locked="0"/>
    </xf>
    <xf numFmtId="0" fontId="11" fillId="0" borderId="16" xfId="3" applyFont="1" applyBorder="1" applyAlignment="1" applyProtection="1">
      <alignment horizontal="center" vertical="top" wrapText="1"/>
      <protection locked="0"/>
    </xf>
    <xf numFmtId="0" fontId="11" fillId="0" borderId="5" xfId="3" applyFont="1" applyBorder="1" applyAlignment="1" applyProtection="1">
      <alignment horizontal="center" vertical="top" wrapText="1"/>
      <protection locked="0"/>
    </xf>
    <xf numFmtId="0" fontId="11" fillId="0" borderId="1" xfId="3" applyFont="1" applyBorder="1" applyAlignment="1" applyProtection="1">
      <alignment horizontal="center" vertical="top" wrapText="1"/>
      <protection locked="0"/>
    </xf>
    <xf numFmtId="0" fontId="11" fillId="0" borderId="18" xfId="3" applyFont="1" applyBorder="1" applyAlignment="1" applyProtection="1">
      <alignment horizontal="center" vertical="top" wrapText="1"/>
      <protection locked="0"/>
    </xf>
    <xf numFmtId="0" fontId="10" fillId="0" borderId="12" xfId="3" applyFont="1" applyBorder="1" applyAlignment="1" applyProtection="1">
      <alignment horizontal="center" vertical="top" wrapText="1"/>
      <protection locked="0"/>
    </xf>
    <xf numFmtId="0" fontId="10" fillId="0" borderId="13" xfId="3" applyFont="1" applyBorder="1" applyAlignment="1" applyProtection="1">
      <alignment horizontal="center" vertical="top" wrapText="1"/>
      <protection locked="0"/>
    </xf>
    <xf numFmtId="0" fontId="10" fillId="0" borderId="14" xfId="3" applyFont="1" applyBorder="1" applyAlignment="1" applyProtection="1">
      <alignment horizontal="left" vertical="top" wrapText="1"/>
      <protection locked="0"/>
    </xf>
    <xf numFmtId="0" fontId="10" fillId="0" borderId="17" xfId="3" applyFont="1" applyBorder="1" applyAlignment="1" applyProtection="1">
      <alignment horizontal="left" vertical="top" wrapText="1"/>
      <protection locked="0"/>
    </xf>
    <xf numFmtId="0" fontId="11" fillId="0" borderId="1" xfId="3" applyFont="1" applyBorder="1" applyAlignment="1" applyProtection="1">
      <alignment horizontal="center" vertical="top"/>
      <protection locked="0"/>
    </xf>
    <xf numFmtId="0" fontId="11" fillId="0" borderId="18" xfId="3" applyFont="1" applyBorder="1" applyAlignment="1" applyProtection="1">
      <alignment horizontal="center" vertical="top"/>
      <protection locked="0"/>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7" fillId="0" borderId="1" xfId="0" applyFont="1" applyBorder="1" applyAlignment="1">
      <alignment horizontal="left" vertical="top"/>
    </xf>
    <xf numFmtId="0" fontId="5" fillId="0" borderId="6" xfId="0" applyFont="1" applyBorder="1" applyAlignment="1">
      <alignment horizontal="left"/>
    </xf>
    <xf numFmtId="14" fontId="7" fillId="0" borderId="4" xfId="0" applyNumberFormat="1" applyFont="1" applyBorder="1" applyAlignment="1">
      <alignment horizontal="left" vertical="top"/>
    </xf>
    <xf numFmtId="0" fontId="6" fillId="0" borderId="4" xfId="0" applyFont="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7" fillId="0" borderId="4" xfId="0" applyFont="1" applyBorder="1" applyAlignment="1">
      <alignment horizontal="center" vertical="top"/>
    </xf>
    <xf numFmtId="0" fontId="7" fillId="0" borderId="6" xfId="0" applyFont="1" applyBorder="1" applyAlignment="1">
      <alignment horizontal="center" vertical="top"/>
    </xf>
    <xf numFmtId="0" fontId="7" fillId="0" borderId="1" xfId="0" applyFont="1" applyBorder="1" applyAlignment="1">
      <alignment horizontal="left" vertical="top" wrapText="1"/>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8" fillId="0" borderId="4"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9" fillId="0" borderId="4" xfId="1" applyBorder="1" applyAlignment="1">
      <alignment horizontal="left" vertical="top"/>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4" xfId="0" applyFont="1" applyBorder="1" applyAlignment="1">
      <alignment horizontal="center" vertical="top" wrapText="1"/>
    </xf>
    <xf numFmtId="0" fontId="7" fillId="0" borderId="6"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14" fontId="7" fillId="0" borderId="5" xfId="0" applyNumberFormat="1" applyFont="1" applyBorder="1" applyAlignment="1">
      <alignment horizontal="left" vertical="top"/>
    </xf>
    <xf numFmtId="14" fontId="7" fillId="0" borderId="6" xfId="0" applyNumberFormat="1" applyFont="1" applyBorder="1" applyAlignment="1">
      <alignment horizontal="left" vertical="top"/>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0" fillId="2" borderId="1" xfId="0" applyFill="1" applyBorder="1" applyAlignment="1">
      <alignment horizontal="center" wrapText="1"/>
    </xf>
    <xf numFmtId="0" fontId="2" fillId="0" borderId="1" xfId="0" applyFont="1" applyBorder="1" applyAlignment="1">
      <alignment horizontal="center"/>
    </xf>
    <xf numFmtId="0" fontId="10" fillId="0" borderId="1" xfId="3" applyFont="1" applyBorder="1" applyAlignment="1" applyProtection="1">
      <alignment horizontal="center" vertical="top" wrapText="1"/>
      <protection locked="0"/>
    </xf>
    <xf numFmtId="0" fontId="10" fillId="0" borderId="1" xfId="3" applyFont="1" applyBorder="1" applyAlignment="1" applyProtection="1">
      <alignment horizontal="left" vertical="top"/>
      <protection locked="0"/>
    </xf>
    <xf numFmtId="1" fontId="11" fillId="0" borderId="1" xfId="0" applyNumberFormat="1" applyFont="1" applyBorder="1" applyAlignment="1">
      <alignment horizontal="center" vertical="center" wrapText="1"/>
    </xf>
  </cellXfs>
  <cellStyles count="4">
    <cellStyle name="Excel Built-in Normal" xfId="2"/>
    <cellStyle name="Hyperlink" xfId="1" builtinId="8"/>
    <cellStyle name="Normal" xfId="0" builtinId="0"/>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Style="combo" dx="26" sel="0" val="0"/>
</file>

<file path=xl/ctrlProps/ctrlProp2.xml><?xml version="1.0" encoding="utf-8"?>
<formControlPr xmlns="http://schemas.microsoft.com/office/spreadsheetml/2009/9/main" objectType="Drop" dropStyle="combo" dx="26" sel="0" val="0"/>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media/image22.jpeg"/><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627585</xdr:colOff>
      <xdr:row>238</xdr:row>
      <xdr:rowOff>18746</xdr:rowOff>
    </xdr:from>
    <xdr:to>
      <xdr:col>7</xdr:col>
      <xdr:colOff>342391</xdr:colOff>
      <xdr:row>251</xdr:row>
      <xdr:rowOff>62246</xdr:rowOff>
    </xdr:to>
    <xdr:pic>
      <xdr:nvPicPr>
        <xdr:cNvPr id="5826" name="Picture 1">
          <a:extLst>
            <a:ext uri="{FF2B5EF4-FFF2-40B4-BE49-F238E27FC236}">
              <a16:creationId xmlns:a16="http://schemas.microsoft.com/office/drawing/2014/main" id="{00000000-0008-0000-0000-0000C2160000}"/>
            </a:ext>
          </a:extLst>
        </xdr:cNvPr>
        <xdr:cNvPicPr>
          <a:picLocks noChangeAspect="1" noChangeArrowheads="1"/>
        </xdr:cNvPicPr>
      </xdr:nvPicPr>
      <xdr:blipFill>
        <a:blip xmlns:r="http://schemas.openxmlformats.org/officeDocument/2006/relationships" r:embed="rId1"/>
        <a:srcRect/>
        <a:stretch>
          <a:fillRect/>
        </a:stretch>
      </xdr:blipFill>
      <xdr:spPr>
        <a:xfrm>
          <a:off x="1351280" y="51640105"/>
          <a:ext cx="3763010" cy="252031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664565</xdr:colOff>
      <xdr:row>252</xdr:row>
      <xdr:rowOff>26590</xdr:rowOff>
    </xdr:from>
    <xdr:to>
      <xdr:col>7</xdr:col>
      <xdr:colOff>371790</xdr:colOff>
      <xdr:row>265</xdr:row>
      <xdr:rowOff>70090</xdr:rowOff>
    </xdr:to>
    <xdr:pic>
      <xdr:nvPicPr>
        <xdr:cNvPr id="5827" name="Picture 2">
          <a:extLst>
            <a:ext uri="{FF2B5EF4-FFF2-40B4-BE49-F238E27FC236}">
              <a16:creationId xmlns:a16="http://schemas.microsoft.com/office/drawing/2014/main" id="{00000000-0008-0000-0000-0000C3160000}"/>
            </a:ext>
          </a:extLst>
        </xdr:cNvPr>
        <xdr:cNvPicPr>
          <a:picLocks noChangeAspect="1" noChangeArrowheads="1"/>
        </xdr:cNvPicPr>
      </xdr:nvPicPr>
      <xdr:blipFill>
        <a:blip xmlns:r="http://schemas.openxmlformats.org/officeDocument/2006/relationships" r:embed="rId2"/>
        <a:srcRect/>
        <a:stretch>
          <a:fillRect/>
        </a:stretch>
      </xdr:blipFill>
      <xdr:spPr>
        <a:xfrm>
          <a:off x="1388110" y="54314725"/>
          <a:ext cx="3755390" cy="252031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604542</xdr:colOff>
      <xdr:row>192</xdr:row>
      <xdr:rowOff>44626</xdr:rowOff>
    </xdr:from>
    <xdr:to>
      <xdr:col>12</xdr:col>
      <xdr:colOff>337607</xdr:colOff>
      <xdr:row>193</xdr:row>
      <xdr:rowOff>105240</xdr:rowOff>
    </xdr:to>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8576945" y="42903140"/>
          <a:ext cx="342265" cy="250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2A</a:t>
          </a:r>
        </a:p>
      </xdr:txBody>
    </xdr:sp>
    <xdr:clientData/>
  </xdr:twoCellAnchor>
  <xdr:twoCellAnchor>
    <xdr:from>
      <xdr:col>10</xdr:col>
      <xdr:colOff>200025</xdr:colOff>
      <xdr:row>190</xdr:row>
      <xdr:rowOff>161925</xdr:rowOff>
    </xdr:from>
    <xdr:to>
      <xdr:col>10</xdr:col>
      <xdr:colOff>571510</xdr:colOff>
      <xdr:row>192</xdr:row>
      <xdr:rowOff>25689</xdr:rowOff>
    </xdr:to>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7010400" y="42639615"/>
          <a:ext cx="371475" cy="24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1</a:t>
          </a:r>
        </a:p>
      </xdr:txBody>
    </xdr:sp>
    <xdr:clientData/>
  </xdr:twoCellAnchor>
  <mc:AlternateContent xmlns:mc="http://schemas.openxmlformats.org/markup-compatibility/2006">
    <mc:Choice xmlns:a14="http://schemas.microsoft.com/office/drawing/2010/main" Requires="a14">
      <xdr:twoCellAnchor>
        <xdr:from>
          <xdr:col>5</xdr:col>
          <xdr:colOff>0</xdr:colOff>
          <xdr:row>3</xdr:row>
          <xdr:rowOff>0</xdr:rowOff>
        </xdr:from>
        <xdr:to>
          <xdr:col>9</xdr:col>
          <xdr:colOff>158750</xdr:colOff>
          <xdr:row>4</xdr:row>
          <xdr:rowOff>0</xdr:rowOff>
        </xdr:to>
        <xdr:sp macro="" textlink="">
          <xdr:nvSpPr>
            <xdr:cNvPr id="2054" name="Drop Dow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0</xdr:rowOff>
        </xdr:from>
        <xdr:to>
          <xdr:col>9</xdr:col>
          <xdr:colOff>158750</xdr:colOff>
          <xdr:row>35</xdr:row>
          <xdr:rowOff>0</xdr:rowOff>
        </xdr:to>
        <xdr:sp macro="" textlink="">
          <xdr:nvSpPr>
            <xdr:cNvPr id="2055" name="Drop Dow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twoCellAnchor>
    <xdr:from>
      <xdr:col>11</xdr:col>
      <xdr:colOff>173990</xdr:colOff>
      <xdr:row>192</xdr:row>
      <xdr:rowOff>24765</xdr:rowOff>
    </xdr:from>
    <xdr:to>
      <xdr:col>21</xdr:col>
      <xdr:colOff>520065</xdr:colOff>
      <xdr:row>231</xdr:row>
      <xdr:rowOff>92075</xdr:rowOff>
    </xdr:to>
    <xdr:grpSp>
      <xdr:nvGrpSpPr>
        <xdr:cNvPr id="39" name="Group 38">
          <a:extLst>
            <a:ext uri="{FF2B5EF4-FFF2-40B4-BE49-F238E27FC236}">
              <a16:creationId xmlns:a16="http://schemas.microsoft.com/office/drawing/2014/main" id="{00000000-0008-0000-0000-000027000000}"/>
            </a:ext>
          </a:extLst>
        </xdr:cNvPr>
        <xdr:cNvGrpSpPr/>
      </xdr:nvGrpSpPr>
      <xdr:grpSpPr>
        <a:xfrm>
          <a:off x="8549640" y="41915715"/>
          <a:ext cx="6696075" cy="7249160"/>
          <a:chOff x="187" y="67272"/>
          <a:chExt cx="10097" cy="11818"/>
        </a:xfrm>
      </xdr:grpSpPr>
      <xdr:pic>
        <xdr:nvPicPr>
          <xdr:cNvPr id="10" name="Picture 10" descr="https://vsjcllp.vsjadon.com/upload/insp-220664-1525.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460" y="76261"/>
            <a:ext cx="3763" cy="28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descr="https://vsjcllp.vsjadon.com/upload/insp-220664-843.jpg">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069" y="71758"/>
            <a:ext cx="5783" cy="433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4" descr="https://vsjcllp.vsjadon.com/upload/insp-220664-845.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249" y="76264"/>
            <a:ext cx="3743" cy="28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18" descr="https://vsjcllp.vsjadon.com/upload/insp-220664-877.jpg">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039" y="67297"/>
            <a:ext cx="3245" cy="432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20" descr="https://vsjcllp.vsjadon.com/upload/insp-220664-1022.jpg">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187" y="67272"/>
            <a:ext cx="3243" cy="432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22" descr="https://vsjcllp.vsjadon.com/upload/insp-220664-883.jpg">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637" y="71757"/>
            <a:ext cx="3241" cy="43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24" descr="https://vsjcllp.vsjadon.com/upload/insp-220664-916.jpg">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4175" y="76262"/>
            <a:ext cx="2119" cy="28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26" descr="https://vsjcllp.vsjadon.com/upload/insp-220664-1512.jpg">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592" y="67278"/>
            <a:ext cx="3237" cy="432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381000</xdr:colOff>
      <xdr:row>191</xdr:row>
      <xdr:rowOff>88900</xdr:rowOff>
    </xdr:from>
    <xdr:to>
      <xdr:col>9</xdr:col>
      <xdr:colOff>449771</xdr:colOff>
      <xdr:row>231</xdr:row>
      <xdr:rowOff>4090</xdr:rowOff>
    </xdr:to>
    <xdr:grpSp>
      <xdr:nvGrpSpPr>
        <xdr:cNvPr id="12" name="Group 11"/>
        <xdr:cNvGrpSpPr/>
      </xdr:nvGrpSpPr>
      <xdr:grpSpPr>
        <a:xfrm>
          <a:off x="381000" y="41795700"/>
          <a:ext cx="6431471" cy="7281190"/>
          <a:chOff x="381000" y="41795700"/>
          <a:chExt cx="6431471" cy="7281190"/>
        </a:xfrm>
      </xdr:grpSpPr>
      <xdr:pic>
        <xdr:nvPicPr>
          <xdr:cNvPr id="30" name="Picture 2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918762" y="46916890"/>
            <a:ext cx="2877333" cy="21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918763" y="44646045"/>
            <a:ext cx="2877333" cy="21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08859" y="46916890"/>
            <a:ext cx="1618313"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81000" y="41799200"/>
            <a:ext cx="2049863" cy="2736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571804" y="41795700"/>
            <a:ext cx="2049863" cy="2736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762608" y="41795700"/>
            <a:ext cx="2049863" cy="2736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163811" y="46916890"/>
            <a:ext cx="1618313" cy="216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08859" y="44646045"/>
            <a:ext cx="1618313" cy="2160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163811" y="44646045"/>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161925</xdr:colOff>
      <xdr:row>12</xdr:row>
      <xdr:rowOff>0</xdr:rowOff>
    </xdr:from>
    <xdr:to>
      <xdr:col>13</xdr:col>
      <xdr:colOff>66675</xdr:colOff>
      <xdr:row>21</xdr:row>
      <xdr:rowOff>57150</xdr:rowOff>
    </xdr:to>
    <xdr:pic>
      <xdr:nvPicPr>
        <xdr:cNvPr id="4262" name="Picture 1">
          <a:extLst>
            <a:ext uri="{FF2B5EF4-FFF2-40B4-BE49-F238E27FC236}">
              <a16:creationId xmlns:a16="http://schemas.microsoft.com/office/drawing/2014/main" id="{00000000-0008-0000-0100-0000A6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8239125" y="2286000"/>
          <a:ext cx="1609725"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12</xdr:row>
      <xdr:rowOff>0</xdr:rowOff>
    </xdr:from>
    <xdr:to>
      <xdr:col>11</xdr:col>
      <xdr:colOff>0</xdr:colOff>
      <xdr:row>21</xdr:row>
      <xdr:rowOff>57150</xdr:rowOff>
    </xdr:to>
    <xdr:pic>
      <xdr:nvPicPr>
        <xdr:cNvPr id="4263" name="Picture 2">
          <a:extLst>
            <a:ext uri="{FF2B5EF4-FFF2-40B4-BE49-F238E27FC236}">
              <a16:creationId xmlns:a16="http://schemas.microsoft.com/office/drawing/2014/main" id="{00000000-0008-0000-0100-0000A71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6467475" y="2286000"/>
          <a:ext cx="1609725"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23</xdr:row>
      <xdr:rowOff>0</xdr:rowOff>
    </xdr:from>
    <xdr:to>
      <xdr:col>11</xdr:col>
      <xdr:colOff>0</xdr:colOff>
      <xdr:row>34</xdr:row>
      <xdr:rowOff>66675</xdr:rowOff>
    </xdr:to>
    <xdr:pic>
      <xdr:nvPicPr>
        <xdr:cNvPr id="4264" name="Picture 3">
          <a:extLst>
            <a:ext uri="{FF2B5EF4-FFF2-40B4-BE49-F238E27FC236}">
              <a16:creationId xmlns:a16="http://schemas.microsoft.com/office/drawing/2014/main" id="{00000000-0008-0000-0100-0000A81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6467475" y="4772025"/>
          <a:ext cx="1609725"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2.xml"/><Relationship Id="rId2" Type="http://schemas.openxmlformats.org/officeDocument/2006/relationships/printerSettings" Target="../printerSettings/printerSettings1.bin"/><Relationship Id="rId1" Type="http://schemas.openxmlformats.org/officeDocument/2006/relationships/hyperlink" Target="https://goo.gl/maps/H7RtQ2t9pK378ZXt5" TargetMode="External"/><Relationship Id="rId6" Type="http://schemas.openxmlformats.org/officeDocument/2006/relationships/ctrlProp" Target="../ctrlProps/ctrlProp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38"/>
  <sheetViews>
    <sheetView tabSelected="1" view="pageBreakPreview" zoomScaleNormal="100" workbookViewId="0">
      <selection activeCell="F10" sqref="F10:J10"/>
    </sheetView>
  </sheetViews>
  <sheetFormatPr defaultColWidth="9.08984375" defaultRowHeight="14.5"/>
  <cols>
    <col min="1" max="1" width="10.90625" style="14" customWidth="1"/>
    <col min="2" max="2" width="12.54296875" style="14" customWidth="1"/>
    <col min="3" max="3" width="13.36328125" style="14" customWidth="1"/>
    <col min="4" max="4" width="7.36328125" style="14" customWidth="1"/>
    <col min="5" max="5" width="8.6328125" style="14" customWidth="1"/>
    <col min="6" max="6" width="9" style="14" customWidth="1"/>
    <col min="7" max="7" width="9.90625" style="14" customWidth="1"/>
    <col min="8" max="8" width="9" style="14" customWidth="1"/>
    <col min="9" max="9" width="10.36328125" style="14" customWidth="1"/>
    <col min="10" max="10" width="11.36328125" style="14" customWidth="1"/>
    <col min="11" max="11" width="17.453125" style="14" customWidth="1"/>
    <col min="12" max="16384" width="9.08984375" style="14"/>
  </cols>
  <sheetData>
    <row r="1" spans="1:10" ht="44" customHeight="1">
      <c r="A1" s="151" t="s">
        <v>0</v>
      </c>
      <c r="B1" s="152"/>
      <c r="C1" s="152"/>
      <c r="D1" s="152"/>
      <c r="E1" s="152"/>
      <c r="F1" s="152"/>
      <c r="G1" s="152"/>
      <c r="H1" s="152"/>
      <c r="I1" s="152"/>
      <c r="J1" s="153"/>
    </row>
    <row r="2" spans="1:10">
      <c r="A2" s="97" t="s">
        <v>1</v>
      </c>
      <c r="B2" s="98"/>
      <c r="C2" s="98"/>
      <c r="D2" s="98"/>
      <c r="E2" s="98"/>
      <c r="F2" s="98"/>
      <c r="G2" s="98"/>
      <c r="H2" s="98"/>
      <c r="I2" s="98"/>
      <c r="J2" s="99"/>
    </row>
    <row r="3" spans="1:10">
      <c r="A3" s="41" t="s">
        <v>2</v>
      </c>
      <c r="B3" s="42"/>
      <c r="C3" s="42"/>
      <c r="D3" s="42"/>
      <c r="E3" s="43"/>
      <c r="F3" s="133" t="str">
        <f ca="1">TEXT(TODAY(),"DD/MM/YYYY")</f>
        <v>13/09/2025</v>
      </c>
      <c r="G3" s="154"/>
      <c r="H3" s="154"/>
      <c r="I3" s="154"/>
      <c r="J3" s="155"/>
    </row>
    <row r="4" spans="1:10" ht="15" hidden="1" customHeight="1">
      <c r="A4" s="41"/>
      <c r="B4" s="42"/>
      <c r="C4" s="42"/>
      <c r="D4" s="42"/>
      <c r="E4" s="43"/>
      <c r="F4" s="156"/>
      <c r="G4" s="157"/>
      <c r="H4" s="157"/>
      <c r="I4" s="157"/>
      <c r="J4" s="158"/>
    </row>
    <row r="5" spans="1:10">
      <c r="A5" s="41" t="s">
        <v>3</v>
      </c>
      <c r="B5" s="42"/>
      <c r="C5" s="42"/>
      <c r="D5" s="42"/>
      <c r="E5" s="43"/>
      <c r="F5" s="133" t="s">
        <v>4</v>
      </c>
      <c r="G5" s="154"/>
      <c r="H5" s="154"/>
      <c r="I5" s="154"/>
      <c r="J5" s="155"/>
    </row>
    <row r="6" spans="1:10">
      <c r="A6" s="41" t="s">
        <v>5</v>
      </c>
      <c r="B6" s="42"/>
      <c r="C6" s="42"/>
      <c r="D6" s="42"/>
      <c r="E6" s="43"/>
      <c r="F6" s="133">
        <v>45906</v>
      </c>
      <c r="G6" s="154"/>
      <c r="H6" s="154"/>
      <c r="I6" s="154"/>
      <c r="J6" s="155"/>
    </row>
    <row r="7" spans="1:10" ht="16.5" customHeight="1">
      <c r="A7" s="41" t="s">
        <v>6</v>
      </c>
      <c r="B7" s="42"/>
      <c r="C7" s="42"/>
      <c r="D7" s="42"/>
      <c r="E7" s="43"/>
      <c r="F7" s="44" t="s">
        <v>7</v>
      </c>
      <c r="G7" s="45"/>
      <c r="H7" s="45"/>
      <c r="I7" s="45"/>
      <c r="J7" s="46"/>
    </row>
    <row r="8" spans="1:10" ht="15" customHeight="1">
      <c r="A8" s="41" t="s">
        <v>8</v>
      </c>
      <c r="B8" s="42"/>
      <c r="C8" s="42"/>
      <c r="D8" s="42"/>
      <c r="E8" s="43"/>
      <c r="F8" s="44" t="str">
        <f>F7</f>
        <v>M/s.Shivkrupa Builders &amp; Developers</v>
      </c>
      <c r="G8" s="45"/>
      <c r="H8" s="45"/>
      <c r="I8" s="45"/>
      <c r="J8" s="46"/>
    </row>
    <row r="9" spans="1:10">
      <c r="A9" s="41" t="s">
        <v>9</v>
      </c>
      <c r="B9" s="42"/>
      <c r="C9" s="42"/>
      <c r="D9" s="42"/>
      <c r="E9" s="43"/>
      <c r="F9" s="108" t="s">
        <v>10</v>
      </c>
      <c r="G9" s="109"/>
      <c r="H9" s="109"/>
      <c r="I9" s="109"/>
      <c r="J9" s="110"/>
    </row>
    <row r="10" spans="1:10">
      <c r="A10" s="41" t="s">
        <v>11</v>
      </c>
      <c r="B10" s="42"/>
      <c r="C10" s="42"/>
      <c r="D10" s="42"/>
      <c r="E10" s="43"/>
      <c r="F10" s="41">
        <v>9004150006</v>
      </c>
      <c r="G10" s="42"/>
      <c r="H10" s="42"/>
      <c r="I10" s="42"/>
      <c r="J10" s="43"/>
    </row>
    <row r="11" spans="1:10" ht="59" customHeight="1">
      <c r="A11" s="41" t="s">
        <v>12</v>
      </c>
      <c r="B11" s="42"/>
      <c r="C11" s="42"/>
      <c r="D11" s="42"/>
      <c r="E11" s="43"/>
      <c r="F11" s="44" t="s">
        <v>13</v>
      </c>
      <c r="G11" s="42"/>
      <c r="H11" s="42"/>
      <c r="I11" s="42"/>
      <c r="J11" s="43"/>
    </row>
    <row r="12" spans="1:10" ht="17" customHeight="1">
      <c r="A12" s="41" t="s">
        <v>14</v>
      </c>
      <c r="B12" s="42"/>
      <c r="C12" s="42"/>
      <c r="D12" s="42"/>
      <c r="E12" s="43"/>
      <c r="F12" s="44" t="s">
        <v>15</v>
      </c>
      <c r="G12" s="45"/>
      <c r="H12" s="45"/>
      <c r="I12" s="45"/>
      <c r="J12" s="46"/>
    </row>
    <row r="13" spans="1:10">
      <c r="A13" s="41" t="s">
        <v>16</v>
      </c>
      <c r="B13" s="42"/>
      <c r="C13" s="42"/>
      <c r="D13" s="42"/>
      <c r="E13" s="43"/>
      <c r="F13" s="41" t="s">
        <v>17</v>
      </c>
      <c r="G13" s="42"/>
      <c r="H13" s="42"/>
      <c r="I13" s="42"/>
      <c r="J13" s="43"/>
    </row>
    <row r="14" spans="1:10" ht="30.75" customHeight="1">
      <c r="A14" s="131" t="s">
        <v>18</v>
      </c>
      <c r="B14" s="131"/>
      <c r="C14" s="44" t="str">
        <f>CONCATENATE((IF(OR(F9="",F9="NA"),"",F9)),", ",(IF(OR(A15="",A15="NA"),"",A15)),". ",(IF(OR(C15="",C15="NA"),"",C15)),", ",(IF(OR(F15="",F15="NA"),"",F15)),". ",(IF(OR(G15="",G15="NA"),"",G15)),", ",(IF(OR(B16="",B16="NA"),"",B16)),", ",(IF(OR(I15="",I15="NA"),"",I15)),", ",(IF(OR(B17="",B17="NA"),"",B17)),", ",(IF(OR(G16="",G16="NA"),"",G16)),".")</f>
        <v>Priyanshi Residency, Gut No. 12, Plot No. 1&amp;2, Mumbai - Pune Expressway, Usarli Khurd, Panvel, Raigad.</v>
      </c>
      <c r="D14" s="45"/>
      <c r="E14" s="45"/>
      <c r="F14" s="45"/>
      <c r="G14" s="45"/>
      <c r="H14" s="45"/>
      <c r="I14" s="45"/>
      <c r="J14" s="46"/>
    </row>
    <row r="15" spans="1:10">
      <c r="A15" s="44" t="s">
        <v>19</v>
      </c>
      <c r="B15" s="46"/>
      <c r="C15" s="44">
        <v>12</v>
      </c>
      <c r="D15" s="45"/>
      <c r="E15" s="45"/>
      <c r="F15" s="16" t="s">
        <v>20</v>
      </c>
      <c r="G15" s="17" t="s">
        <v>21</v>
      </c>
      <c r="H15" s="16" t="s">
        <v>22</v>
      </c>
      <c r="I15" s="149" t="s">
        <v>23</v>
      </c>
      <c r="J15" s="150"/>
    </row>
    <row r="16" spans="1:10">
      <c r="A16" s="18" t="s">
        <v>24</v>
      </c>
      <c r="B16" s="41" t="s">
        <v>25</v>
      </c>
      <c r="C16" s="42"/>
      <c r="D16" s="42"/>
      <c r="E16" s="43"/>
      <c r="F16" s="19" t="s">
        <v>26</v>
      </c>
      <c r="G16" s="41" t="s">
        <v>27</v>
      </c>
      <c r="H16" s="42"/>
      <c r="I16" s="42"/>
      <c r="J16" s="43"/>
    </row>
    <row r="17" spans="1:10">
      <c r="A17" s="18" t="s">
        <v>28</v>
      </c>
      <c r="B17" s="41" t="s">
        <v>29</v>
      </c>
      <c r="C17" s="42"/>
      <c r="D17" s="42"/>
      <c r="E17" s="43"/>
      <c r="F17" s="19" t="s">
        <v>30</v>
      </c>
      <c r="G17" s="41">
        <v>410206</v>
      </c>
      <c r="H17" s="42"/>
      <c r="I17" s="42"/>
      <c r="J17" s="43"/>
    </row>
    <row r="18" spans="1:10" ht="32.25" customHeight="1">
      <c r="A18" s="131" t="s">
        <v>31</v>
      </c>
      <c r="B18" s="131"/>
      <c r="C18" s="131" t="s">
        <v>32</v>
      </c>
      <c r="D18" s="131"/>
      <c r="E18" s="131"/>
      <c r="F18" s="139" t="s">
        <v>33</v>
      </c>
      <c r="G18" s="139"/>
      <c r="H18" s="45" t="s">
        <v>34</v>
      </c>
      <c r="I18" s="45"/>
      <c r="J18" s="46"/>
    </row>
    <row r="19" spans="1:10" ht="15" customHeight="1">
      <c r="A19" s="50" t="s">
        <v>35</v>
      </c>
      <c r="B19" s="51"/>
      <c r="C19" s="51"/>
      <c r="D19" s="51"/>
      <c r="E19" s="52"/>
      <c r="F19" s="56" t="s">
        <v>36</v>
      </c>
      <c r="G19" s="57"/>
      <c r="H19" s="57"/>
      <c r="I19" s="57"/>
      <c r="J19" s="58"/>
    </row>
    <row r="20" spans="1:10">
      <c r="A20" s="53"/>
      <c r="B20" s="54"/>
      <c r="C20" s="54"/>
      <c r="D20" s="54"/>
      <c r="E20" s="55"/>
      <c r="F20" s="59"/>
      <c r="G20" s="60"/>
      <c r="H20" s="60"/>
      <c r="I20" s="60"/>
      <c r="J20" s="61"/>
    </row>
    <row r="21" spans="1:10" ht="15" customHeight="1">
      <c r="A21" s="50" t="s">
        <v>37</v>
      </c>
      <c r="B21" s="51"/>
      <c r="C21" s="51"/>
      <c r="D21" s="51"/>
      <c r="E21" s="52"/>
      <c r="F21" s="50" t="s">
        <v>38</v>
      </c>
      <c r="G21" s="51"/>
      <c r="H21" s="51"/>
      <c r="I21" s="51"/>
      <c r="J21" s="52"/>
    </row>
    <row r="22" spans="1:10">
      <c r="A22" s="53"/>
      <c r="B22" s="54"/>
      <c r="C22" s="54"/>
      <c r="D22" s="54"/>
      <c r="E22" s="55"/>
      <c r="F22" s="53"/>
      <c r="G22" s="54"/>
      <c r="H22" s="54"/>
      <c r="I22" s="54"/>
      <c r="J22" s="55"/>
    </row>
    <row r="23" spans="1:10" ht="15" customHeight="1">
      <c r="A23" s="41" t="s">
        <v>39</v>
      </c>
      <c r="B23" s="42"/>
      <c r="C23" s="42"/>
      <c r="D23" s="42"/>
      <c r="E23" s="43"/>
      <c r="F23" s="147" t="s">
        <v>40</v>
      </c>
      <c r="G23" s="148"/>
      <c r="H23" s="148"/>
      <c r="I23" s="148"/>
      <c r="J23" s="26"/>
    </row>
    <row r="24" spans="1:10">
      <c r="A24" s="41" t="s">
        <v>41</v>
      </c>
      <c r="B24" s="42"/>
      <c r="C24" s="42"/>
      <c r="D24" s="42"/>
      <c r="E24" s="43"/>
      <c r="F24" s="84" t="s">
        <v>42</v>
      </c>
      <c r="G24" s="85"/>
      <c r="H24" s="85"/>
      <c r="I24" s="85"/>
      <c r="J24" s="86"/>
    </row>
    <row r="25" spans="1:10" ht="15" customHeight="1">
      <c r="A25" s="41" t="s">
        <v>43</v>
      </c>
      <c r="B25" s="42"/>
      <c r="C25" s="42"/>
      <c r="D25" s="42"/>
      <c r="E25" s="43"/>
      <c r="F25" s="147" t="s">
        <v>44</v>
      </c>
      <c r="G25" s="148"/>
      <c r="H25" s="148"/>
      <c r="I25" s="148"/>
      <c r="J25" s="26"/>
    </row>
    <row r="26" spans="1:10">
      <c r="A26" s="41" t="s">
        <v>45</v>
      </c>
      <c r="B26" s="42"/>
      <c r="C26" s="42"/>
      <c r="D26" s="42"/>
      <c r="E26" s="43"/>
      <c r="F26" s="84" t="s">
        <v>46</v>
      </c>
      <c r="G26" s="85"/>
      <c r="H26" s="85"/>
      <c r="I26" s="85"/>
      <c r="J26" s="86"/>
    </row>
    <row r="27" spans="1:10">
      <c r="A27" s="137" t="s">
        <v>47</v>
      </c>
      <c r="B27" s="138"/>
      <c r="C27" s="137" t="s">
        <v>48</v>
      </c>
      <c r="D27" s="138"/>
      <c r="E27" s="137" t="s">
        <v>49</v>
      </c>
      <c r="F27" s="138"/>
      <c r="G27" s="137" t="s">
        <v>50</v>
      </c>
      <c r="H27" s="138"/>
      <c r="I27" s="137" t="s">
        <v>51</v>
      </c>
      <c r="J27" s="138"/>
    </row>
    <row r="28" spans="1:10">
      <c r="A28" s="137" t="s">
        <v>52</v>
      </c>
      <c r="B28" s="138"/>
      <c r="C28" s="137" t="s">
        <v>53</v>
      </c>
      <c r="D28" s="138"/>
      <c r="E28" s="137" t="s">
        <v>53</v>
      </c>
      <c r="F28" s="138"/>
      <c r="G28" s="137" t="s">
        <v>53</v>
      </c>
      <c r="H28" s="138"/>
      <c r="I28" s="137" t="s">
        <v>53</v>
      </c>
      <c r="J28" s="138"/>
    </row>
    <row r="29" spans="1:10">
      <c r="A29" s="137" t="s">
        <v>54</v>
      </c>
      <c r="B29" s="138"/>
      <c r="C29" s="137" t="s">
        <v>55</v>
      </c>
      <c r="D29" s="138"/>
      <c r="E29" s="137" t="s">
        <v>24</v>
      </c>
      <c r="F29" s="138"/>
      <c r="G29" s="137" t="s">
        <v>24</v>
      </c>
      <c r="H29" s="138"/>
      <c r="I29" s="137" t="s">
        <v>56</v>
      </c>
      <c r="J29" s="138"/>
    </row>
    <row r="30" spans="1:10">
      <c r="A30" s="140" t="s">
        <v>57</v>
      </c>
      <c r="B30" s="141"/>
      <c r="C30" s="141"/>
      <c r="D30" s="141"/>
      <c r="E30" s="141"/>
      <c r="F30" s="141"/>
      <c r="G30" s="141"/>
      <c r="H30" s="141"/>
      <c r="I30" s="141"/>
      <c r="J30" s="142"/>
    </row>
    <row r="31" spans="1:10">
      <c r="A31" s="140" t="s">
        <v>58</v>
      </c>
      <c r="B31" s="141"/>
      <c r="C31" s="141"/>
      <c r="D31" s="141"/>
      <c r="E31" s="141"/>
      <c r="F31" s="141"/>
      <c r="G31" s="141"/>
      <c r="H31" s="141"/>
      <c r="I31" s="141"/>
      <c r="J31" s="142"/>
    </row>
    <row r="32" spans="1:10">
      <c r="A32" s="140" t="s">
        <v>59</v>
      </c>
      <c r="B32" s="142"/>
      <c r="C32" s="143" t="s">
        <v>60</v>
      </c>
      <c r="D32" s="144"/>
      <c r="E32" s="144"/>
      <c r="F32" s="144"/>
      <c r="G32" s="144"/>
      <c r="H32" s="144"/>
      <c r="I32" s="144"/>
      <c r="J32" s="145"/>
    </row>
    <row r="33" spans="1:12">
      <c r="A33" s="140" t="s">
        <v>61</v>
      </c>
      <c r="B33" s="142"/>
      <c r="C33" s="146" t="s">
        <v>62</v>
      </c>
      <c r="D33" s="141"/>
      <c r="E33" s="141"/>
      <c r="F33" s="141"/>
      <c r="G33" s="141"/>
      <c r="H33" s="141"/>
      <c r="I33" s="141"/>
      <c r="J33" s="142"/>
    </row>
    <row r="34" spans="1:12">
      <c r="A34" s="143" t="s">
        <v>63</v>
      </c>
      <c r="B34" s="144"/>
      <c r="C34" s="144"/>
      <c r="D34" s="144"/>
      <c r="E34" s="144"/>
      <c r="F34" s="144"/>
      <c r="G34" s="144"/>
      <c r="H34" s="144"/>
      <c r="I34" s="144"/>
      <c r="J34" s="145"/>
    </row>
    <row r="35" spans="1:12" ht="15" customHeight="1">
      <c r="A35" s="44" t="s">
        <v>64</v>
      </c>
      <c r="B35" s="45"/>
      <c r="C35" s="45"/>
      <c r="D35" s="45"/>
      <c r="E35" s="46"/>
      <c r="F35" s="147" t="s">
        <v>65</v>
      </c>
      <c r="G35" s="148"/>
      <c r="H35" s="148"/>
      <c r="I35" s="148"/>
      <c r="J35" s="26"/>
    </row>
    <row r="36" spans="1:12" ht="15" customHeight="1">
      <c r="A36" s="53" t="s">
        <v>66</v>
      </c>
      <c r="B36" s="54"/>
      <c r="C36" s="54"/>
      <c r="D36" s="54"/>
      <c r="E36" s="54"/>
      <c r="F36" s="44" t="s">
        <v>67</v>
      </c>
      <c r="G36" s="45"/>
      <c r="H36" s="45"/>
      <c r="I36" s="45"/>
      <c r="J36" s="46"/>
    </row>
    <row r="37" spans="1:12">
      <c r="A37" s="108" t="s">
        <v>68</v>
      </c>
      <c r="B37" s="109"/>
      <c r="C37" s="109"/>
      <c r="D37" s="109"/>
      <c r="E37" s="109"/>
      <c r="F37" s="109"/>
      <c r="G37" s="109"/>
      <c r="H37" s="109"/>
      <c r="I37" s="109"/>
      <c r="J37" s="110"/>
    </row>
    <row r="38" spans="1:12">
      <c r="A38" s="41" t="s">
        <v>69</v>
      </c>
      <c r="B38" s="42"/>
      <c r="C38" s="42"/>
      <c r="D38" s="42"/>
      <c r="E38" s="43"/>
      <c r="F38" s="44">
        <v>2195.89</v>
      </c>
      <c r="G38" s="45"/>
      <c r="H38" s="45"/>
      <c r="I38" s="45"/>
      <c r="J38" s="46"/>
    </row>
    <row r="39" spans="1:12">
      <c r="A39" s="41" t="s">
        <v>70</v>
      </c>
      <c r="B39" s="42"/>
      <c r="C39" s="42"/>
      <c r="D39" s="42"/>
      <c r="E39" s="43"/>
      <c r="F39" s="41">
        <v>1</v>
      </c>
      <c r="G39" s="42"/>
      <c r="H39" s="42"/>
      <c r="I39" s="42"/>
      <c r="J39" s="43"/>
    </row>
    <row r="40" spans="1:12">
      <c r="A40" s="41" t="s">
        <v>71</v>
      </c>
      <c r="B40" s="42"/>
      <c r="C40" s="42"/>
      <c r="D40" s="42"/>
      <c r="E40" s="43"/>
      <c r="F40" s="41">
        <v>0</v>
      </c>
      <c r="G40" s="42"/>
      <c r="H40" s="42"/>
      <c r="I40" s="42"/>
      <c r="J40" s="43"/>
    </row>
    <row r="41" spans="1:12">
      <c r="A41" s="41" t="s">
        <v>72</v>
      </c>
      <c r="B41" s="42"/>
      <c r="C41" s="42"/>
      <c r="D41" s="42"/>
      <c r="E41" s="43"/>
      <c r="F41" s="41">
        <f>F39+F40</f>
        <v>1</v>
      </c>
      <c r="G41" s="42"/>
      <c r="H41" s="42"/>
      <c r="I41" s="42"/>
      <c r="J41" s="43"/>
    </row>
    <row r="42" spans="1:12">
      <c r="A42" s="41" t="s">
        <v>73</v>
      </c>
      <c r="B42" s="42"/>
      <c r="C42" s="42"/>
      <c r="D42" s="42"/>
      <c r="E42" s="43"/>
      <c r="F42" s="41">
        <f>F38*F41</f>
        <v>2195.89</v>
      </c>
      <c r="G42" s="42"/>
      <c r="H42" s="42"/>
      <c r="I42" s="42"/>
      <c r="J42" s="43"/>
    </row>
    <row r="43" spans="1:12">
      <c r="A43" s="41" t="s">
        <v>74</v>
      </c>
      <c r="B43" s="42"/>
      <c r="C43" s="42"/>
      <c r="D43" s="42"/>
      <c r="E43" s="43"/>
      <c r="F43" s="41" t="s">
        <v>75</v>
      </c>
      <c r="G43" s="42"/>
      <c r="H43" s="42"/>
      <c r="I43" s="42"/>
      <c r="J43" s="43"/>
    </row>
    <row r="44" spans="1:12">
      <c r="A44" s="108" t="s">
        <v>76</v>
      </c>
      <c r="B44" s="109"/>
      <c r="C44" s="109"/>
      <c r="D44" s="109"/>
      <c r="E44" s="109"/>
      <c r="F44" s="109"/>
      <c r="G44" s="109"/>
      <c r="H44" s="109"/>
      <c r="I44" s="109"/>
      <c r="J44" s="110"/>
    </row>
    <row r="45" spans="1:12" ht="31.5" customHeight="1">
      <c r="A45" s="44" t="s">
        <v>77</v>
      </c>
      <c r="B45" s="46"/>
      <c r="C45" s="44" t="s">
        <v>78</v>
      </c>
      <c r="D45" s="45"/>
      <c r="E45" s="45"/>
      <c r="F45" s="46"/>
      <c r="G45" s="15" t="s">
        <v>79</v>
      </c>
      <c r="H45" s="44" t="s">
        <v>80</v>
      </c>
      <c r="I45" s="45"/>
      <c r="J45" s="46"/>
    </row>
    <row r="46" spans="1:12" ht="31.5" customHeight="1">
      <c r="A46" s="44" t="s">
        <v>81</v>
      </c>
      <c r="B46" s="46"/>
      <c r="C46" s="44" t="str">
        <f>C45</f>
        <v>CIDCO/NAINA/PANVEL/USARLI KHURD/BP-227/CC/2018/1296.</v>
      </c>
      <c r="D46" s="45"/>
      <c r="E46" s="45"/>
      <c r="F46" s="46"/>
      <c r="G46" s="15" t="s">
        <v>79</v>
      </c>
      <c r="H46" s="44" t="str">
        <f>H45</f>
        <v>22/02/2018.</v>
      </c>
      <c r="I46" s="45"/>
      <c r="J46" s="46"/>
    </row>
    <row r="47" spans="1:12" ht="32.25" customHeight="1">
      <c r="A47" s="50" t="s">
        <v>82</v>
      </c>
      <c r="B47" s="52"/>
      <c r="C47" s="44" t="s">
        <v>78</v>
      </c>
      <c r="D47" s="45"/>
      <c r="E47" s="45"/>
      <c r="F47" s="46"/>
      <c r="G47" s="19" t="s">
        <v>79</v>
      </c>
      <c r="H47" s="41" t="s">
        <v>80</v>
      </c>
      <c r="I47" s="42"/>
      <c r="J47" s="43"/>
      <c r="L47" s="27"/>
    </row>
    <row r="48" spans="1:12" ht="44.25" customHeight="1">
      <c r="A48" s="53"/>
      <c r="B48" s="55"/>
      <c r="C48" s="44" t="s">
        <v>83</v>
      </c>
      <c r="D48" s="45"/>
      <c r="E48" s="45"/>
      <c r="F48" s="45"/>
      <c r="G48" s="45"/>
      <c r="H48" s="45"/>
      <c r="I48" s="45"/>
      <c r="J48" s="46"/>
      <c r="L48" s="27"/>
    </row>
    <row r="49" spans="1:12" ht="15" customHeight="1">
      <c r="A49" s="44" t="s">
        <v>84</v>
      </c>
      <c r="B49" s="46"/>
      <c r="C49" s="41" t="s">
        <v>53</v>
      </c>
      <c r="D49" s="42"/>
      <c r="E49" s="42"/>
      <c r="F49" s="43" t="s">
        <v>85</v>
      </c>
      <c r="G49" s="15" t="s">
        <v>79</v>
      </c>
      <c r="H49" s="44" t="s">
        <v>53</v>
      </c>
      <c r="I49" s="45" t="s">
        <v>53</v>
      </c>
      <c r="J49" s="46"/>
    </row>
    <row r="50" spans="1:12">
      <c r="A50" s="131" t="s">
        <v>86</v>
      </c>
      <c r="B50" s="131"/>
      <c r="C50" s="131"/>
      <c r="D50" s="104" t="str">
        <f>H47</f>
        <v>22/02/2018.</v>
      </c>
      <c r="E50" s="104"/>
      <c r="F50" s="41" t="s">
        <v>87</v>
      </c>
      <c r="G50" s="132"/>
      <c r="H50" s="133" t="s">
        <v>88</v>
      </c>
      <c r="I50" s="42"/>
      <c r="J50" s="43"/>
    </row>
    <row r="51" spans="1:12">
      <c r="A51" s="134" t="s">
        <v>89</v>
      </c>
      <c r="B51" s="135"/>
      <c r="C51" s="135"/>
      <c r="D51" s="135"/>
      <c r="E51" s="135"/>
      <c r="F51" s="135"/>
      <c r="G51" s="135"/>
      <c r="H51" s="135"/>
      <c r="I51" s="135"/>
      <c r="J51" s="136"/>
    </row>
    <row r="52" spans="1:12" ht="32.25" customHeight="1">
      <c r="A52" s="41" t="s">
        <v>90</v>
      </c>
      <c r="B52" s="42"/>
      <c r="C52" s="43"/>
      <c r="D52" s="137">
        <f>F42</f>
        <v>2195.89</v>
      </c>
      <c r="E52" s="138"/>
      <c r="F52" s="139" t="s">
        <v>91</v>
      </c>
      <c r="G52" s="139"/>
      <c r="H52" s="139"/>
      <c r="I52" s="44" t="s">
        <v>92</v>
      </c>
      <c r="J52" s="46"/>
    </row>
    <row r="53" spans="1:12" ht="46.5" customHeight="1">
      <c r="A53" s="41" t="s">
        <v>93</v>
      </c>
      <c r="B53" s="42"/>
      <c r="C53" s="44" t="s">
        <v>94</v>
      </c>
      <c r="D53" s="45"/>
      <c r="E53" s="45"/>
      <c r="F53" s="45"/>
      <c r="G53" s="45"/>
      <c r="H53" s="45"/>
      <c r="I53" s="45"/>
      <c r="J53" s="46"/>
    </row>
    <row r="54" spans="1:12">
      <c r="A54" s="41" t="s">
        <v>95</v>
      </c>
      <c r="B54" s="42"/>
      <c r="C54" s="42"/>
      <c r="D54" s="44" t="s">
        <v>96</v>
      </c>
      <c r="E54" s="45"/>
      <c r="F54" s="45"/>
      <c r="G54" s="45"/>
      <c r="H54" s="45"/>
      <c r="I54" s="45"/>
      <c r="J54" s="46"/>
    </row>
    <row r="55" spans="1:12">
      <c r="A55" s="41" t="s">
        <v>97</v>
      </c>
      <c r="B55" s="42"/>
      <c r="C55" s="42"/>
      <c r="D55" s="42"/>
      <c r="E55" s="42"/>
      <c r="F55" s="42"/>
      <c r="G55" s="42"/>
      <c r="H55" s="42"/>
      <c r="I55" s="42"/>
      <c r="J55" s="43"/>
    </row>
    <row r="56" spans="1:12" ht="15" customHeight="1">
      <c r="A56" s="128" t="s">
        <v>98</v>
      </c>
      <c r="B56" s="129"/>
      <c r="C56" s="129"/>
      <c r="D56" s="129"/>
      <c r="E56" s="129"/>
      <c r="F56" s="129"/>
      <c r="G56" s="129"/>
      <c r="H56" s="129"/>
      <c r="I56" s="129"/>
      <c r="J56" s="130"/>
    </row>
    <row r="57" spans="1:12" customFormat="1" ht="33.65" customHeight="1">
      <c r="A57" s="122" t="s">
        <v>99</v>
      </c>
      <c r="B57" s="123"/>
      <c r="C57" s="124" t="s">
        <v>100</v>
      </c>
      <c r="D57" s="124"/>
      <c r="E57" s="124"/>
      <c r="F57" s="124"/>
      <c r="G57" s="124"/>
      <c r="H57" s="124"/>
      <c r="I57" s="124"/>
      <c r="J57" s="125"/>
      <c r="K57" s="28" t="str">
        <f>(IF(F61&gt;99%,"All work completed. Please provide OC.",IF(F61&gt;89.8%,"Plinth, RCC, Brick, Plaster, Flooring, Painting work Completed. Finishing work is in process.",IF(F61&lt;94%,(IF(C61=0,"Work not yet Started.",IF(D61=25%,"Piling work in process",IF(D61=50%,"Excavation work in process",IF(D61=100%,"Excavation work Completed. ","0")))&amp;(IF(C62=0%,"",IF(C62=L63,"Footing work is process",IF(C62=L64,"Footing work Completed",IF(C62=L65,"1st Basement Completed",IF(C62=L66,"1st &amp; 2nd Basement Completed",IF(C62=L67,"1st to 3rd Basement Completed",IF(C62=L68,"1st to 4th Basement Completed",IF(C62=L69,"Plinth work is process",IF(C62=L70,"Plinth work completed","0")))))))))))&amp;(IF(C63=(D58+G58+I58),", RCC Slab",IF(C63&gt;0,", RCC upto "&amp;C63&amp;" Slab",""))&amp;(IF(C64=I58,", Brickwork",IF(C64&gt;0,", Brickwork upto "&amp;C64&amp;" Floor",""))&amp;(IF(C65=I58,", Internal Plaster",IF(C65&gt;0,", Internal Plaster upto "&amp;C65&amp;" Floor",""))&amp;(IF(C66=I58,", External Plaster",IF(C66&gt;0,", External Plaster upto "&amp;C66&amp;" Floor",""))&amp;(IF(C67=I58,", Flooring",IF(C67&gt;0,", Flooring upto "&amp;C67&amp;" Floor",""))&amp;(IF(C68=I58,", Painting",IF(C68&gt;0,", Painting upto "&amp;C68&amp;" Floor",""))&amp;(IF(C69&gt;0,", Finishing upto "&amp;C69&amp;" Floor","")&amp;(IF(C63&gt;0.5," Completed",""))))))))))))))</f>
        <v>Excavation work Completed. Plinth work completed, RCC Slab, Brickwork, Internal Plaster, External Plaster, Flooring upto 3 Floor, Painting upto 2 Floor Completed</v>
      </c>
      <c r="L57" s="28"/>
    </row>
    <row r="58" spans="1:12" customFormat="1" ht="15.5">
      <c r="A58" s="20" t="s">
        <v>101</v>
      </c>
      <c r="B58" s="21">
        <v>0</v>
      </c>
      <c r="C58" s="22" t="s">
        <v>102</v>
      </c>
      <c r="D58" s="22">
        <v>1</v>
      </c>
      <c r="E58" s="126" t="s">
        <v>103</v>
      </c>
      <c r="F58" s="126"/>
      <c r="G58" s="22">
        <v>0</v>
      </c>
      <c r="H58" s="22" t="s">
        <v>104</v>
      </c>
      <c r="I58" s="126">
        <v>4</v>
      </c>
      <c r="J58" s="127"/>
      <c r="K58" s="28"/>
      <c r="L58" s="28"/>
    </row>
    <row r="59" spans="1:12" customFormat="1" ht="33" customHeight="1">
      <c r="A59" s="114" t="s">
        <v>105</v>
      </c>
      <c r="B59" s="115"/>
      <c r="C59" s="116" t="str">
        <f>K57</f>
        <v>Excavation work Completed. Plinth work completed, RCC Slab, Brickwork, Internal Plaster, External Plaster, Flooring upto 3 Floor, Painting upto 2 Floor Completed</v>
      </c>
      <c r="D59" s="116"/>
      <c r="E59" s="116"/>
      <c r="F59" s="116"/>
      <c r="G59" s="116"/>
      <c r="H59" s="116"/>
      <c r="I59" s="116"/>
      <c r="J59" s="117"/>
      <c r="K59" s="28" t="s">
        <v>106</v>
      </c>
      <c r="L59" s="28"/>
    </row>
    <row r="60" spans="1:12" customFormat="1" ht="15.75" customHeight="1">
      <c r="A60" s="118" t="s">
        <v>107</v>
      </c>
      <c r="B60" s="119"/>
      <c r="C60" s="23" t="s">
        <v>108</v>
      </c>
      <c r="D60" s="120" t="s">
        <v>109</v>
      </c>
      <c r="E60" s="120"/>
      <c r="F60" s="120" t="s">
        <v>110</v>
      </c>
      <c r="G60" s="120"/>
      <c r="H60" s="120" t="s">
        <v>111</v>
      </c>
      <c r="I60" s="120"/>
      <c r="J60" s="121"/>
      <c r="K60" s="29" t="s">
        <v>112</v>
      </c>
      <c r="L60" s="30">
        <f>I58*25%</f>
        <v>1</v>
      </c>
    </row>
    <row r="61" spans="1:12" customFormat="1" ht="15.75" customHeight="1">
      <c r="A61" s="120" t="s">
        <v>113</v>
      </c>
      <c r="B61" s="120"/>
      <c r="C61" s="24">
        <f>L62</f>
        <v>4</v>
      </c>
      <c r="D61" s="62">
        <f>((100/I58)*C61)/100</f>
        <v>1</v>
      </c>
      <c r="E61" s="62"/>
      <c r="F61" s="62">
        <f>(((C62/I58*10)+(40/(D58+G58+I58)*C63)+(7.5/(I58)*C64)+(7.5/(I58)*C65)+(10/I58*C66)+(10/I58*C67)+(5/I58*C68)+(5/I58*C69)+(5/I58*C70))/100)</f>
        <v>0.85</v>
      </c>
      <c r="G61" s="62"/>
      <c r="H61" s="62">
        <f>((((C61/I58)*20)+((C62/I58)*25)+(30/(I58+G58+D58)*C63)+(5/I58*C64)+(5/I58*C65)+(5/I58*C66)+(5/I58*C67)+(0/I58*C68)+(0/I58*C69)+(5/I58*C70))/100)</f>
        <v>0.9375</v>
      </c>
      <c r="I61" s="62"/>
      <c r="J61" s="62"/>
      <c r="K61" s="29" t="s">
        <v>114</v>
      </c>
      <c r="L61" s="29">
        <f>I58*50%</f>
        <v>2</v>
      </c>
    </row>
    <row r="62" spans="1:12" customFormat="1" ht="15.5">
      <c r="A62" s="120" t="s">
        <v>115</v>
      </c>
      <c r="B62" s="120"/>
      <c r="C62" s="25">
        <f>L70</f>
        <v>4</v>
      </c>
      <c r="D62" s="62">
        <f>((100/I58)*C62)/100</f>
        <v>1</v>
      </c>
      <c r="E62" s="62"/>
      <c r="F62" s="62"/>
      <c r="G62" s="62"/>
      <c r="H62" s="62"/>
      <c r="I62" s="62"/>
      <c r="J62" s="62"/>
      <c r="K62" s="29" t="s">
        <v>116</v>
      </c>
      <c r="L62" s="29">
        <f>I58</f>
        <v>4</v>
      </c>
    </row>
    <row r="63" spans="1:12" customFormat="1" ht="15.75" customHeight="1">
      <c r="A63" s="120" t="s">
        <v>117</v>
      </c>
      <c r="B63" s="120"/>
      <c r="C63" s="25">
        <f>D58+I58</f>
        <v>5</v>
      </c>
      <c r="D63" s="62">
        <f>((100/(D58+G58+I58))*C63)/100</f>
        <v>1</v>
      </c>
      <c r="E63" s="62"/>
      <c r="F63" s="62"/>
      <c r="G63" s="62"/>
      <c r="H63" s="62"/>
      <c r="I63" s="62"/>
      <c r="J63" s="62"/>
      <c r="K63" s="29" t="s">
        <v>118</v>
      </c>
      <c r="L63" s="31">
        <f>(IF(B58&gt;1,(I58/(B58+2)),I58/4))</f>
        <v>1</v>
      </c>
    </row>
    <row r="64" spans="1:12" customFormat="1" ht="15.75" customHeight="1">
      <c r="A64" s="120" t="s">
        <v>119</v>
      </c>
      <c r="B64" s="120" t="s">
        <v>120</v>
      </c>
      <c r="C64" s="24">
        <v>4</v>
      </c>
      <c r="D64" s="62">
        <f>((100/I58)*C64)/100</f>
        <v>1</v>
      </c>
      <c r="E64" s="62"/>
      <c r="F64" s="62"/>
      <c r="G64" s="62"/>
      <c r="H64" s="62"/>
      <c r="I64" s="62"/>
      <c r="J64" s="62"/>
      <c r="K64" s="29" t="s">
        <v>121</v>
      </c>
      <c r="L64" s="31">
        <f>(IF(B58&gt;1,(I58/(B58+2)+L63),I58/4+L63))</f>
        <v>2</v>
      </c>
    </row>
    <row r="65" spans="1:12" customFormat="1" ht="15.75" customHeight="1">
      <c r="A65" s="120" t="s">
        <v>122</v>
      </c>
      <c r="B65" s="120" t="s">
        <v>120</v>
      </c>
      <c r="C65" s="24">
        <v>4</v>
      </c>
      <c r="D65" s="62">
        <f>((100/I58)*C65)/100</f>
        <v>1</v>
      </c>
      <c r="E65" s="62"/>
      <c r="F65" s="62"/>
      <c r="G65" s="62"/>
      <c r="H65" s="62"/>
      <c r="I65" s="62"/>
      <c r="J65" s="62"/>
      <c r="K65" s="29" t="s">
        <v>123</v>
      </c>
      <c r="L65" s="31">
        <f>(IF(B58&gt;1,(I58/(B58+2)+L64),0))</f>
        <v>0</v>
      </c>
    </row>
    <row r="66" spans="1:12" customFormat="1" ht="15.75" customHeight="1">
      <c r="A66" s="120" t="s">
        <v>124</v>
      </c>
      <c r="B66" s="120" t="s">
        <v>125</v>
      </c>
      <c r="C66" s="24">
        <v>4</v>
      </c>
      <c r="D66" s="62">
        <f>((100/(I58))*C66)/100</f>
        <v>1</v>
      </c>
      <c r="E66" s="62"/>
      <c r="F66" s="62"/>
      <c r="G66" s="62"/>
      <c r="H66" s="62"/>
      <c r="I66" s="62"/>
      <c r="J66" s="62"/>
      <c r="K66" s="29" t="s">
        <v>126</v>
      </c>
      <c r="L66" s="31">
        <f>(IF(B58&gt;2,(I58/(B58+2)+L65),0))</f>
        <v>0</v>
      </c>
    </row>
    <row r="67" spans="1:12" customFormat="1" ht="15.75" customHeight="1">
      <c r="A67" s="120" t="s">
        <v>127</v>
      </c>
      <c r="B67" s="120" t="s">
        <v>127</v>
      </c>
      <c r="C67" s="24">
        <v>3</v>
      </c>
      <c r="D67" s="62">
        <f>((100/I58)*C67)/100</f>
        <v>0.75</v>
      </c>
      <c r="E67" s="62"/>
      <c r="F67" s="62"/>
      <c r="G67" s="62"/>
      <c r="H67" s="62"/>
      <c r="I67" s="62"/>
      <c r="J67" s="62"/>
      <c r="K67" s="29" t="s">
        <v>128</v>
      </c>
      <c r="L67" s="35">
        <f>(IF(B58&gt;3,(I58/(B58+2)+L66),0))</f>
        <v>0</v>
      </c>
    </row>
    <row r="68" spans="1:12" customFormat="1" ht="15.75" customHeight="1">
      <c r="A68" s="120" t="s">
        <v>129</v>
      </c>
      <c r="B68" s="120"/>
      <c r="C68" s="24">
        <v>2</v>
      </c>
      <c r="D68" s="62">
        <f>((100/I58)*C68)/100</f>
        <v>0.5</v>
      </c>
      <c r="E68" s="62"/>
      <c r="F68" s="62"/>
      <c r="G68" s="62"/>
      <c r="H68" s="62"/>
      <c r="I68" s="62"/>
      <c r="J68" s="62"/>
      <c r="K68" s="29" t="s">
        <v>130</v>
      </c>
      <c r="L68" s="31">
        <f>(IF(B58&gt;4,(I58/(B58+2)+L67),0))</f>
        <v>0</v>
      </c>
    </row>
    <row r="69" spans="1:12" customFormat="1" ht="15.75" customHeight="1">
      <c r="A69" s="120" t="s">
        <v>131</v>
      </c>
      <c r="B69" s="120" t="s">
        <v>131</v>
      </c>
      <c r="C69" s="24">
        <v>0</v>
      </c>
      <c r="D69" s="62">
        <f>((100/(I58))*C69)/100</f>
        <v>0</v>
      </c>
      <c r="E69" s="62"/>
      <c r="F69" s="62"/>
      <c r="G69" s="62"/>
      <c r="H69" s="62"/>
      <c r="I69" s="62"/>
      <c r="J69" s="62"/>
      <c r="K69" s="29" t="s">
        <v>132</v>
      </c>
      <c r="L69" s="31">
        <f>(IF(B58=1,(I58/(B58+3)+L64),IF(B58=0,(I58/4+L64),IF(B58&gt;1,0))))</f>
        <v>3</v>
      </c>
    </row>
    <row r="70" spans="1:12" customFormat="1" ht="16.5" customHeight="1">
      <c r="A70" s="120" t="s">
        <v>133</v>
      </c>
      <c r="B70" s="120"/>
      <c r="C70" s="24">
        <v>0</v>
      </c>
      <c r="D70" s="62">
        <f>((100/(I58))*C70)/100</f>
        <v>0</v>
      </c>
      <c r="E70" s="62"/>
      <c r="F70" s="62"/>
      <c r="G70" s="62"/>
      <c r="H70" s="62"/>
      <c r="I70" s="62"/>
      <c r="J70" s="62"/>
      <c r="K70" s="29" t="s">
        <v>134</v>
      </c>
      <c r="L70" s="31">
        <f>(IF(B58&gt;1.5,(I58/(B58+2)+L64+MAX(0,L65-L64)+MAX(0,L66-L65)+MAX(0,L67-L66)+MAX(0,L68-L67)+MAX(0,L69-L68)),IF(B58=1,(I58/(B58+3)+L69),IF(B58=0,I58/4+L69))))</f>
        <v>4</v>
      </c>
    </row>
    <row r="71" spans="1:12" customFormat="1" ht="35.25" customHeight="1">
      <c r="A71" s="161" t="s">
        <v>99</v>
      </c>
      <c r="B71" s="161"/>
      <c r="C71" s="116" t="s">
        <v>135</v>
      </c>
      <c r="D71" s="116"/>
      <c r="E71" s="116"/>
      <c r="F71" s="116"/>
      <c r="G71" s="116"/>
      <c r="H71" s="116"/>
      <c r="I71" s="116"/>
      <c r="J71" s="116"/>
      <c r="K71" s="28" t="str">
        <f>(IF(F75&gt;99%,"All work completed. Please provide OC.",IF(F75&gt;89.8%,"Plinth, RCC, Brick, Plaster, Flooring, Painting work Completed. Finishing work is in process.",IF(F75&lt;94%,(IF(C75=0,"Work not yet Started.",IF(D75=25%,"Piling work in process",IF(D75=50%,"Excavation work in process",IF(D75=100%,"Excavation work Completed. ","0")))&amp;(IF(C76=0%,"",IF(C76=L77,"Footing work is process",IF(C76=L78,"Footing work Completed",IF(C76=L79,"1st Basement Completed",IF(C76=L80,"1st &amp; 2nd Basement Completed",IF(C76=L81,"1st to 3rd Basement Completed",IF(C76=L82,"1st to 4th Basement Completed",IF(C76=L83,"Plinth work is process",IF(C76=L84,"Plinth work completed","0")))))))))))&amp;(IF(C77=(D72+G72+I72),", RCC Slab",IF(C77&gt;0,", RCC upto "&amp;C77&amp;" Slab",""))&amp;(IF(C78=I72,", Brickwork",IF(C78&gt;0,", Brickwork upto "&amp;C78&amp;" Floor",""))&amp;(IF(C79=I72,", Internal Plaster",IF(C79&gt;0,", Internal Plaster upto "&amp;C79&amp;" Floor",""))&amp;(IF(C80=I72,", External Plaster",IF(C80&gt;0,", External Plaster upto "&amp;C80&amp;" Floor",""))&amp;(IF(C81=I72,", Flooring",IF(C81&gt;0,", Flooring upto "&amp;C81&amp;" Floor",""))&amp;(IF(C82=I72,", Painting",IF(C82&gt;0,", Painting upto "&amp;C82&amp;" Floor",""))&amp;(IF(C83&gt;0,", Finishing upto "&amp;C83&amp;" Floor","")&amp;(IF(C77&gt;0.5," Completed",""))))))))))))))</f>
        <v>Excavation work Completed. Plinth work completed, RCC Slab, Brickwork, Internal Plaster, External Plaster upto 2 Floor, Flooring upto 2 Floor, Painting upto 1 Floor Completed</v>
      </c>
      <c r="L71" s="28"/>
    </row>
    <row r="72" spans="1:12" customFormat="1" ht="15.5">
      <c r="A72" s="39" t="s">
        <v>101</v>
      </c>
      <c r="B72" s="39">
        <v>0</v>
      </c>
      <c r="C72" s="39" t="s">
        <v>102</v>
      </c>
      <c r="D72" s="39">
        <v>1</v>
      </c>
      <c r="E72" s="126" t="s">
        <v>103</v>
      </c>
      <c r="F72" s="126"/>
      <c r="G72" s="39">
        <v>0</v>
      </c>
      <c r="H72" s="39" t="s">
        <v>104</v>
      </c>
      <c r="I72" s="126">
        <v>3</v>
      </c>
      <c r="J72" s="126"/>
      <c r="K72" s="28"/>
      <c r="L72" s="28"/>
    </row>
    <row r="73" spans="1:12" customFormat="1" ht="34.5" customHeight="1">
      <c r="A73" s="162" t="s">
        <v>105</v>
      </c>
      <c r="B73" s="162"/>
      <c r="C73" s="116" t="str">
        <f>K71</f>
        <v>Excavation work Completed. Plinth work completed, RCC Slab, Brickwork, Internal Plaster, External Plaster upto 2 Floor, Flooring upto 2 Floor, Painting upto 1 Floor Completed</v>
      </c>
      <c r="D73" s="116"/>
      <c r="E73" s="116"/>
      <c r="F73" s="116"/>
      <c r="G73" s="116"/>
      <c r="H73" s="116"/>
      <c r="I73" s="116"/>
      <c r="J73" s="116"/>
      <c r="K73" s="28" t="s">
        <v>106</v>
      </c>
      <c r="L73" s="28"/>
    </row>
    <row r="74" spans="1:12" customFormat="1" ht="15.75" customHeight="1">
      <c r="A74" s="120" t="s">
        <v>107</v>
      </c>
      <c r="B74" s="120"/>
      <c r="C74" s="40" t="s">
        <v>108</v>
      </c>
      <c r="D74" s="120" t="s">
        <v>109</v>
      </c>
      <c r="E74" s="120"/>
      <c r="F74" s="120" t="s">
        <v>110</v>
      </c>
      <c r="G74" s="120"/>
      <c r="H74" s="120" t="s">
        <v>111</v>
      </c>
      <c r="I74" s="120"/>
      <c r="J74" s="120"/>
      <c r="K74" s="29" t="s">
        <v>112</v>
      </c>
      <c r="L74" s="30">
        <f>I72*25%</f>
        <v>0.75</v>
      </c>
    </row>
    <row r="75" spans="1:12" customFormat="1" ht="15.75" customHeight="1">
      <c r="A75" s="120" t="s">
        <v>113</v>
      </c>
      <c r="B75" s="120"/>
      <c r="C75" s="24">
        <f>L76</f>
        <v>3</v>
      </c>
      <c r="D75" s="62">
        <f>((100/I72)*C75)/100</f>
        <v>1</v>
      </c>
      <c r="E75" s="62"/>
      <c r="F75" s="62">
        <f>(((C76/I72*10)+(40/(D72+G72+I72)*C77)+(7.5/(I72)*C78)+(7.5/(I72)*C79)+(10/I72*C80)+(10/I72*C81)+(5/I72*C82)+(5/I72*C83)+(5/I72*C84))/100)</f>
        <v>0.80000000000000016</v>
      </c>
      <c r="G75" s="62"/>
      <c r="H75" s="62">
        <f>((((C75/I72)*20)+((C76/I72)*25)+(30/(I72+G72+D72)*C77)+(5/I72*C78)+(5/I72*C79)+(5/I72*C80)+(5/I72*C81)+(0/I72*C82)+(0/I72*C83)+(5/I72*C84))/100)</f>
        <v>0.91666666666666652</v>
      </c>
      <c r="I75" s="62"/>
      <c r="J75" s="62"/>
      <c r="K75" s="29" t="s">
        <v>114</v>
      </c>
      <c r="L75" s="29">
        <f>I72*50%</f>
        <v>1.5</v>
      </c>
    </row>
    <row r="76" spans="1:12" customFormat="1" ht="15.5">
      <c r="A76" s="120" t="s">
        <v>115</v>
      </c>
      <c r="B76" s="120"/>
      <c r="C76" s="25">
        <f>L84</f>
        <v>3</v>
      </c>
      <c r="D76" s="62">
        <f>((100/I72)*C76)/100</f>
        <v>1</v>
      </c>
      <c r="E76" s="62"/>
      <c r="F76" s="62"/>
      <c r="G76" s="62"/>
      <c r="H76" s="62"/>
      <c r="I76" s="62"/>
      <c r="J76" s="62"/>
      <c r="K76" s="29" t="s">
        <v>116</v>
      </c>
      <c r="L76" s="29">
        <f>I72</f>
        <v>3</v>
      </c>
    </row>
    <row r="77" spans="1:12" customFormat="1" ht="15.75" customHeight="1">
      <c r="A77" s="120" t="s">
        <v>117</v>
      </c>
      <c r="B77" s="120"/>
      <c r="C77" s="25">
        <f>D72+I72</f>
        <v>4</v>
      </c>
      <c r="D77" s="62">
        <f>((100/(D72+G72+I72))*C77)/100</f>
        <v>1</v>
      </c>
      <c r="E77" s="62"/>
      <c r="F77" s="62"/>
      <c r="G77" s="62"/>
      <c r="H77" s="62"/>
      <c r="I77" s="62"/>
      <c r="J77" s="62"/>
      <c r="K77" s="29" t="s">
        <v>118</v>
      </c>
      <c r="L77" s="31">
        <f>(IF(B72&gt;1,(I72/(B72+2)),I72/4))</f>
        <v>0.75</v>
      </c>
    </row>
    <row r="78" spans="1:12" customFormat="1" ht="15.75" customHeight="1">
      <c r="A78" s="120" t="s">
        <v>119</v>
      </c>
      <c r="B78" s="120" t="s">
        <v>120</v>
      </c>
      <c r="C78" s="24">
        <v>3</v>
      </c>
      <c r="D78" s="62">
        <f>((100/I72)*C78)/100</f>
        <v>1</v>
      </c>
      <c r="E78" s="62"/>
      <c r="F78" s="62"/>
      <c r="G78" s="62"/>
      <c r="H78" s="62"/>
      <c r="I78" s="62"/>
      <c r="J78" s="62"/>
      <c r="K78" s="29" t="s">
        <v>121</v>
      </c>
      <c r="L78" s="31">
        <f>(IF(B72&gt;1,(I72/(B72+2)+L77),I72/4+L77))</f>
        <v>1.5</v>
      </c>
    </row>
    <row r="79" spans="1:12" customFormat="1" ht="15.75" customHeight="1">
      <c r="A79" s="120" t="s">
        <v>122</v>
      </c>
      <c r="B79" s="120" t="s">
        <v>120</v>
      </c>
      <c r="C79" s="24">
        <v>3</v>
      </c>
      <c r="D79" s="62">
        <f>((100/I72)*C79)/100</f>
        <v>1</v>
      </c>
      <c r="E79" s="62"/>
      <c r="F79" s="62"/>
      <c r="G79" s="62"/>
      <c r="H79" s="62"/>
      <c r="I79" s="62"/>
      <c r="J79" s="62"/>
      <c r="K79" s="29" t="s">
        <v>123</v>
      </c>
      <c r="L79" s="31">
        <f>(IF(B72&gt;1,(I72/(B72+2)+L78),0))</f>
        <v>0</v>
      </c>
    </row>
    <row r="80" spans="1:12" customFormat="1" ht="15.75" customHeight="1">
      <c r="A80" s="120" t="s">
        <v>124</v>
      </c>
      <c r="B80" s="120" t="s">
        <v>125</v>
      </c>
      <c r="C80" s="24">
        <v>2</v>
      </c>
      <c r="D80" s="62">
        <f>((100/(I72))*C80)/100</f>
        <v>0.66666666666666674</v>
      </c>
      <c r="E80" s="62"/>
      <c r="F80" s="62"/>
      <c r="G80" s="62"/>
      <c r="H80" s="62"/>
      <c r="I80" s="62"/>
      <c r="J80" s="62"/>
      <c r="K80" s="29" t="s">
        <v>126</v>
      </c>
      <c r="L80" s="31">
        <f>(IF(B72&gt;2,(I72/(B72+2)+L79),0))</f>
        <v>0</v>
      </c>
    </row>
    <row r="81" spans="1:12" customFormat="1" ht="15.75" customHeight="1">
      <c r="A81" s="120" t="s">
        <v>127</v>
      </c>
      <c r="B81" s="120" t="s">
        <v>127</v>
      </c>
      <c r="C81" s="24">
        <v>2</v>
      </c>
      <c r="D81" s="62">
        <f>((100/I72)*C81)/100</f>
        <v>0.66666666666666674</v>
      </c>
      <c r="E81" s="62"/>
      <c r="F81" s="62"/>
      <c r="G81" s="62"/>
      <c r="H81" s="62"/>
      <c r="I81" s="62"/>
      <c r="J81" s="62"/>
      <c r="K81" s="29" t="s">
        <v>128</v>
      </c>
      <c r="L81" s="35">
        <f>(IF(B72&gt;3,(I72/(B72+2)+L80),0))</f>
        <v>0</v>
      </c>
    </row>
    <row r="82" spans="1:12" customFormat="1" ht="15.75" customHeight="1">
      <c r="A82" s="120" t="s">
        <v>129</v>
      </c>
      <c r="B82" s="120"/>
      <c r="C82" s="24">
        <v>1</v>
      </c>
      <c r="D82" s="62">
        <f>((100/I72)*C82)/100</f>
        <v>0.33333333333333337</v>
      </c>
      <c r="E82" s="62"/>
      <c r="F82" s="62"/>
      <c r="G82" s="62"/>
      <c r="H82" s="62"/>
      <c r="I82" s="62"/>
      <c r="J82" s="62"/>
      <c r="K82" s="29" t="s">
        <v>130</v>
      </c>
      <c r="L82" s="31">
        <f>(IF(B72&gt;4,(I72/(B72+2)+L81),0))</f>
        <v>0</v>
      </c>
    </row>
    <row r="83" spans="1:12" customFormat="1" ht="15.75" customHeight="1">
      <c r="A83" s="120" t="s">
        <v>131</v>
      </c>
      <c r="B83" s="120" t="s">
        <v>131</v>
      </c>
      <c r="C83" s="24">
        <v>0</v>
      </c>
      <c r="D83" s="62">
        <f>((100/(I72))*C83)/100</f>
        <v>0</v>
      </c>
      <c r="E83" s="62"/>
      <c r="F83" s="62"/>
      <c r="G83" s="62"/>
      <c r="H83" s="62"/>
      <c r="I83" s="62"/>
      <c r="J83" s="62"/>
      <c r="K83" s="29" t="s">
        <v>132</v>
      </c>
      <c r="L83" s="31">
        <f>(IF(B72=1,(I72/(B72+3)+L78),IF(B72=0,(I72/4+L78),IF(B72&gt;1,0))))</f>
        <v>2.25</v>
      </c>
    </row>
    <row r="84" spans="1:12" customFormat="1" ht="16.5" customHeight="1">
      <c r="A84" s="120" t="s">
        <v>133</v>
      </c>
      <c r="B84" s="120"/>
      <c r="C84" s="24">
        <v>0</v>
      </c>
      <c r="D84" s="62">
        <f>((100/(I72))*C84)/100</f>
        <v>0</v>
      </c>
      <c r="E84" s="62"/>
      <c r="F84" s="62"/>
      <c r="G84" s="62"/>
      <c r="H84" s="62"/>
      <c r="I84" s="62"/>
      <c r="J84" s="62"/>
      <c r="K84" s="29" t="s">
        <v>134</v>
      </c>
      <c r="L84" s="31">
        <f>(IF(B72&gt;1.5,(I72/(B72+2)+L78+MAX(0,L79-L78)+MAX(0,L80-L79)+MAX(0,L81-L80)+MAX(0,L82-L81)+MAX(0,L83-L82)),IF(B72=1,(I72/(B72+3)+L83),IF(B72=0,I72/4+L83))))</f>
        <v>3</v>
      </c>
    </row>
    <row r="85" spans="1:12">
      <c r="A85" s="59" t="s">
        <v>136</v>
      </c>
      <c r="B85" s="60"/>
      <c r="C85" s="60"/>
      <c r="D85" s="60"/>
      <c r="E85" s="60"/>
      <c r="F85" s="60"/>
      <c r="G85" s="60"/>
      <c r="H85" s="60"/>
      <c r="I85" s="60"/>
      <c r="J85" s="61"/>
    </row>
    <row r="86" spans="1:12">
      <c r="A86" s="41" t="s">
        <v>137</v>
      </c>
      <c r="B86" s="42"/>
      <c r="C86" s="42"/>
      <c r="D86" s="42"/>
      <c r="E86" s="42"/>
      <c r="F86" s="42"/>
      <c r="G86" s="42"/>
      <c r="H86" s="42"/>
      <c r="I86" s="42"/>
      <c r="J86" s="43"/>
    </row>
    <row r="87" spans="1:12" ht="15" customHeight="1">
      <c r="A87" s="111" t="s">
        <v>138</v>
      </c>
      <c r="B87" s="112"/>
      <c r="C87" s="112"/>
      <c r="D87" s="112"/>
      <c r="E87" s="112"/>
      <c r="F87" s="112"/>
      <c r="G87" s="112"/>
      <c r="H87" s="112"/>
      <c r="I87" s="112"/>
      <c r="J87" s="113"/>
    </row>
    <row r="88" spans="1:12">
      <c r="A88" s="108" t="s">
        <v>139</v>
      </c>
      <c r="B88" s="109"/>
      <c r="C88" s="109"/>
      <c r="D88" s="109"/>
      <c r="E88" s="109"/>
      <c r="F88" s="109"/>
      <c r="G88" s="109"/>
      <c r="H88" s="109"/>
      <c r="I88" s="109"/>
      <c r="J88" s="110"/>
    </row>
    <row r="89" spans="1:12">
      <c r="A89" s="41" t="s">
        <v>140</v>
      </c>
      <c r="B89" s="42"/>
      <c r="C89" s="42"/>
      <c r="D89" s="42"/>
      <c r="E89" s="42"/>
      <c r="F89" s="43"/>
      <c r="G89" s="108">
        <v>5600</v>
      </c>
      <c r="H89" s="109"/>
      <c r="I89" s="109"/>
      <c r="J89" s="110"/>
    </row>
    <row r="90" spans="1:12">
      <c r="A90" s="41" t="s">
        <v>141</v>
      </c>
      <c r="B90" s="42"/>
      <c r="C90" s="42"/>
      <c r="D90" s="42"/>
      <c r="E90" s="42"/>
      <c r="F90" s="43"/>
      <c r="G90" s="41" t="s">
        <v>142</v>
      </c>
      <c r="H90" s="42"/>
      <c r="I90" s="42"/>
      <c r="J90" s="43"/>
    </row>
    <row r="91" spans="1:12" hidden="1">
      <c r="A91" s="41" t="s">
        <v>143</v>
      </c>
      <c r="B91" s="42"/>
      <c r="C91" s="42"/>
      <c r="D91" s="42"/>
      <c r="E91" s="42"/>
      <c r="F91" s="43"/>
      <c r="G91" s="44" t="s">
        <v>53</v>
      </c>
      <c r="H91" s="45"/>
      <c r="I91" s="45"/>
      <c r="J91" s="46"/>
    </row>
    <row r="92" spans="1:12" hidden="1">
      <c r="A92" s="41" t="s">
        <v>144</v>
      </c>
      <c r="B92" s="42"/>
      <c r="C92" s="42"/>
      <c r="D92" s="42"/>
      <c r="E92" s="42"/>
      <c r="F92" s="43"/>
      <c r="G92" s="44" t="s">
        <v>53</v>
      </c>
      <c r="H92" s="45"/>
      <c r="I92" s="45"/>
      <c r="J92" s="46"/>
    </row>
    <row r="93" spans="1:12" hidden="1">
      <c r="A93" s="41" t="s">
        <v>145</v>
      </c>
      <c r="B93" s="42"/>
      <c r="C93" s="42"/>
      <c r="D93" s="42"/>
      <c r="E93" s="42"/>
      <c r="F93" s="43"/>
      <c r="G93" s="44" t="s">
        <v>53</v>
      </c>
      <c r="H93" s="45"/>
      <c r="I93" s="45"/>
      <c r="J93" s="46"/>
    </row>
    <row r="94" spans="1:12" hidden="1">
      <c r="A94" s="44" t="s">
        <v>146</v>
      </c>
      <c r="B94" s="45"/>
      <c r="C94" s="45"/>
      <c r="D94" s="45"/>
      <c r="E94" s="45"/>
      <c r="F94" s="46"/>
      <c r="G94" s="44" t="s">
        <v>53</v>
      </c>
      <c r="H94" s="45"/>
      <c r="I94" s="45"/>
      <c r="J94" s="46"/>
    </row>
    <row r="95" spans="1:12" hidden="1">
      <c r="A95" s="41" t="s">
        <v>147</v>
      </c>
      <c r="B95" s="42"/>
      <c r="C95" s="42"/>
      <c r="D95" s="42"/>
      <c r="E95" s="42"/>
      <c r="F95" s="43"/>
      <c r="G95" s="44" t="s">
        <v>53</v>
      </c>
      <c r="H95" s="45"/>
      <c r="I95" s="45"/>
      <c r="J95" s="46"/>
    </row>
    <row r="96" spans="1:12">
      <c r="A96" s="41" t="s">
        <v>148</v>
      </c>
      <c r="B96" s="42"/>
      <c r="C96" s="42"/>
      <c r="D96" s="42"/>
      <c r="E96" s="42"/>
      <c r="F96" s="43"/>
      <c r="G96" s="44" t="s">
        <v>149</v>
      </c>
      <c r="H96" s="45"/>
      <c r="I96" s="45"/>
      <c r="J96" s="46"/>
    </row>
    <row r="97" spans="1:10">
      <c r="A97" s="41" t="s">
        <v>150</v>
      </c>
      <c r="B97" s="42"/>
      <c r="C97" s="42"/>
      <c r="D97" s="42"/>
      <c r="E97" s="42"/>
      <c r="F97" s="43"/>
      <c r="G97" s="44" t="s">
        <v>151</v>
      </c>
      <c r="H97" s="45"/>
      <c r="I97" s="45"/>
      <c r="J97" s="46"/>
    </row>
    <row r="98" spans="1:10" hidden="1">
      <c r="A98" s="41" t="s">
        <v>152</v>
      </c>
      <c r="B98" s="42"/>
      <c r="C98" s="42"/>
      <c r="D98" s="42"/>
      <c r="E98" s="42"/>
      <c r="F98" s="43"/>
      <c r="G98" s="44" t="s">
        <v>53</v>
      </c>
      <c r="H98" s="45"/>
      <c r="I98" s="45"/>
      <c r="J98" s="46"/>
    </row>
    <row r="99" spans="1:10" s="13" customFormat="1" ht="14.4" customHeight="1">
      <c r="A99" s="108" t="s">
        <v>153</v>
      </c>
      <c r="B99" s="109"/>
      <c r="C99" s="109"/>
      <c r="D99" s="109"/>
      <c r="E99" s="109"/>
      <c r="F99" s="110"/>
      <c r="G99" s="41">
        <f>G89*0.8</f>
        <v>4480</v>
      </c>
      <c r="H99" s="42"/>
      <c r="I99" s="42"/>
      <c r="J99" s="43"/>
    </row>
    <row r="100" spans="1:10">
      <c r="A100" s="97" t="s">
        <v>154</v>
      </c>
      <c r="B100" s="98"/>
      <c r="C100" s="98"/>
      <c r="D100" s="98"/>
      <c r="E100" s="98"/>
      <c r="F100" s="98"/>
      <c r="G100" s="98"/>
      <c r="H100" s="98"/>
      <c r="I100" s="98"/>
      <c r="J100" s="99"/>
    </row>
    <row r="101" spans="1:10">
      <c r="A101" s="106" t="s">
        <v>155</v>
      </c>
      <c r="B101" s="106"/>
      <c r="C101" s="106" t="s">
        <v>156</v>
      </c>
      <c r="D101" s="106"/>
      <c r="E101" s="106"/>
      <c r="F101" s="106" t="s">
        <v>157</v>
      </c>
      <c r="G101" s="106"/>
      <c r="H101" s="106" t="s">
        <v>158</v>
      </c>
      <c r="I101" s="106"/>
      <c r="J101" s="106"/>
    </row>
    <row r="102" spans="1:10">
      <c r="A102" s="104" t="s">
        <v>159</v>
      </c>
      <c r="B102" s="104"/>
      <c r="C102" s="105">
        <f>COUNT(D114:D119)</f>
        <v>6</v>
      </c>
      <c r="D102" s="104"/>
      <c r="E102" s="104"/>
      <c r="F102" s="105">
        <f>SUM(D114:D119)</f>
        <v>444.12263999999999</v>
      </c>
      <c r="G102" s="104"/>
      <c r="H102" s="105">
        <f>SUM(G114:G119)</f>
        <v>872</v>
      </c>
      <c r="I102" s="104"/>
      <c r="J102" s="104"/>
    </row>
    <row r="103" spans="1:10">
      <c r="A103" s="97" t="s">
        <v>160</v>
      </c>
      <c r="B103" s="98"/>
      <c r="C103" s="98"/>
      <c r="D103" s="98"/>
      <c r="E103" s="98"/>
      <c r="F103" s="98"/>
      <c r="G103" s="98"/>
      <c r="H103" s="98"/>
      <c r="I103" s="98"/>
      <c r="J103" s="99"/>
    </row>
    <row r="104" spans="1:10">
      <c r="A104" s="48" t="s">
        <v>161</v>
      </c>
      <c r="B104" s="19" t="s">
        <v>162</v>
      </c>
      <c r="C104" s="105">
        <f>COUNT(D121:D122)*3+COUNT(D124:D125)+COUNT(D127:D128)</f>
        <v>10</v>
      </c>
      <c r="D104" s="105"/>
      <c r="E104" s="105"/>
      <c r="F104" s="105">
        <f>SUM(D121:D122)*3+SUM(D124:D125)+SUM(D127:D128)</f>
        <v>3187.7585999999997</v>
      </c>
      <c r="G104" s="105"/>
      <c r="H104" s="104">
        <f>SUM(G121:G122)*3+SUM(G124:G125)+SUM(G127:G128)</f>
        <v>5931</v>
      </c>
      <c r="I104" s="104"/>
      <c r="J104" s="104"/>
    </row>
    <row r="105" spans="1:10">
      <c r="A105" s="49"/>
      <c r="B105" s="19" t="s">
        <v>163</v>
      </c>
      <c r="C105" s="105">
        <f>COUNT(D145)+COUNT(D147:D150)*2+COUNT(D152:D155)*2</f>
        <v>17</v>
      </c>
      <c r="D105" s="105"/>
      <c r="E105" s="105"/>
      <c r="F105" s="105">
        <f>SUM(D145)+SUM(D147:D150)*2+SUM(D152:D155)*2</f>
        <v>5349.2236199999988</v>
      </c>
      <c r="G105" s="105"/>
      <c r="H105" s="104">
        <f>SUM(G145)+SUM(G147:G150)*2+SUM(G152:G155)*2</f>
        <v>9771</v>
      </c>
      <c r="I105" s="104"/>
      <c r="J105" s="104"/>
    </row>
    <row r="106" spans="1:10">
      <c r="A106" s="104" t="s">
        <v>164</v>
      </c>
      <c r="B106" s="104"/>
      <c r="C106" s="105">
        <f>COUNT(D158:D160)+COUNT(D162:D163)*2+COUNT(D165:D166)*2</f>
        <v>11</v>
      </c>
      <c r="D106" s="105"/>
      <c r="E106" s="105"/>
      <c r="F106" s="105">
        <f>SUM(D158:D160)+SUM(D162:D163)*2+SUM(D165:D166)*2</f>
        <v>2083.9965119999997</v>
      </c>
      <c r="G106" s="105"/>
      <c r="H106" s="105">
        <f>SUM(G158:G160)+SUM(G162:G163)*2+SUM(G165:G166)*2</f>
        <v>4110</v>
      </c>
      <c r="I106" s="104"/>
      <c r="J106" s="104"/>
    </row>
    <row r="107" spans="1:10">
      <c r="A107" s="104" t="s">
        <v>165</v>
      </c>
      <c r="B107" s="104"/>
      <c r="C107" s="105">
        <f>COUNT(D170:D173)*2+COUNT(D175:D177)</f>
        <v>11</v>
      </c>
      <c r="D107" s="105"/>
      <c r="E107" s="105"/>
      <c r="F107" s="105">
        <f>SUM(D170:D173)*2+SUM(D175:D177)</f>
        <v>2495.0144700000001</v>
      </c>
      <c r="G107" s="105"/>
      <c r="H107" s="105">
        <f>SUM(G170:G173)*2+SUM(G175:G177)</f>
        <v>3846</v>
      </c>
      <c r="I107" s="104"/>
      <c r="J107" s="104"/>
    </row>
    <row r="108" spans="1:10">
      <c r="A108" s="106" t="s">
        <v>166</v>
      </c>
      <c r="B108" s="106"/>
      <c r="C108" s="107">
        <f>SUM(C104:E107)</f>
        <v>49</v>
      </c>
      <c r="D108" s="107"/>
      <c r="E108" s="107"/>
      <c r="F108" s="107">
        <f>SUM(F104:F107)</f>
        <v>13115.993201999998</v>
      </c>
      <c r="G108" s="107"/>
      <c r="H108" s="107">
        <f>SUM(H104:H107)</f>
        <v>23658</v>
      </c>
      <c r="I108" s="106"/>
      <c r="J108" s="106"/>
    </row>
    <row r="109" spans="1:10" s="13" customFormat="1" ht="21" customHeight="1">
      <c r="A109" s="94" t="s">
        <v>167</v>
      </c>
      <c r="B109" s="95"/>
      <c r="C109" s="95"/>
      <c r="D109" s="95"/>
      <c r="E109" s="95"/>
      <c r="F109" s="95"/>
      <c r="G109" s="95"/>
      <c r="H109" s="95"/>
      <c r="I109" s="95"/>
      <c r="J109" s="96"/>
    </row>
    <row r="110" spans="1:10">
      <c r="A110" s="97" t="s">
        <v>168</v>
      </c>
      <c r="B110" s="98"/>
      <c r="C110" s="98"/>
      <c r="D110" s="98"/>
      <c r="E110" s="98"/>
      <c r="F110" s="98"/>
      <c r="G110" s="98"/>
      <c r="H110" s="98"/>
      <c r="I110" s="98"/>
      <c r="J110" s="99"/>
    </row>
    <row r="111" spans="1:10" ht="45">
      <c r="A111" s="100" t="s">
        <v>169</v>
      </c>
      <c r="B111" s="101"/>
      <c r="C111" s="32" t="s">
        <v>170</v>
      </c>
      <c r="D111" s="102" t="s">
        <v>171</v>
      </c>
      <c r="E111" s="103"/>
      <c r="F111" s="33" t="s">
        <v>172</v>
      </c>
      <c r="G111" s="32" t="s">
        <v>173</v>
      </c>
      <c r="H111" s="32" t="s">
        <v>174</v>
      </c>
      <c r="I111" s="100" t="s">
        <v>175</v>
      </c>
      <c r="J111" s="101"/>
    </row>
    <row r="112" spans="1:10" ht="15">
      <c r="A112" s="93" t="s">
        <v>159</v>
      </c>
      <c r="B112" s="93"/>
      <c r="C112" s="93"/>
      <c r="D112" s="93"/>
      <c r="E112" s="93"/>
      <c r="F112" s="93"/>
      <c r="G112" s="93"/>
      <c r="H112" s="93"/>
      <c r="I112" s="93"/>
      <c r="J112" s="93"/>
    </row>
    <row r="113" spans="1:10" ht="15">
      <c r="A113" s="93" t="s">
        <v>176</v>
      </c>
      <c r="B113" s="93"/>
      <c r="C113" s="93"/>
      <c r="D113" s="93"/>
      <c r="E113" s="93"/>
      <c r="F113" s="93"/>
      <c r="G113" s="93"/>
      <c r="H113" s="93"/>
      <c r="I113" s="93"/>
      <c r="J113" s="93"/>
    </row>
    <row r="114" spans="1:10" ht="15.75" customHeight="1">
      <c r="A114" s="163">
        <v>1</v>
      </c>
      <c r="B114" s="163"/>
      <c r="C114" s="34" t="s">
        <v>177</v>
      </c>
      <c r="D114" s="163">
        <f>6.9*10.764</f>
        <v>74.271599999999992</v>
      </c>
      <c r="E114" s="163"/>
      <c r="F114" s="34">
        <v>0</v>
      </c>
      <c r="G114" s="34">
        <v>148</v>
      </c>
      <c r="H114" s="34" t="s">
        <v>178</v>
      </c>
      <c r="I114" s="163" t="s">
        <v>179</v>
      </c>
      <c r="J114" s="163"/>
    </row>
    <row r="115" spans="1:10" ht="15.75" customHeight="1">
      <c r="A115" s="163">
        <v>2</v>
      </c>
      <c r="B115" s="163"/>
      <c r="C115" s="34" t="s">
        <v>177</v>
      </c>
      <c r="D115" s="163">
        <f>8.105*10.764</f>
        <v>87.242220000000003</v>
      </c>
      <c r="E115" s="163"/>
      <c r="F115" s="34">
        <v>0</v>
      </c>
      <c r="G115" s="34">
        <v>174</v>
      </c>
      <c r="H115" s="34" t="s">
        <v>178</v>
      </c>
      <c r="I115" s="163"/>
      <c r="J115" s="163"/>
    </row>
    <row r="116" spans="1:10" ht="15.75" customHeight="1">
      <c r="A116" s="163">
        <v>3</v>
      </c>
      <c r="B116" s="163"/>
      <c r="C116" s="34" t="s">
        <v>177</v>
      </c>
      <c r="D116" s="163">
        <f>5.625*10.764</f>
        <v>60.547499999999999</v>
      </c>
      <c r="E116" s="163"/>
      <c r="F116" s="34">
        <v>0</v>
      </c>
      <c r="G116" s="34">
        <v>114</v>
      </c>
      <c r="H116" s="34" t="s">
        <v>178</v>
      </c>
      <c r="I116" s="163"/>
      <c r="J116" s="163"/>
    </row>
    <row r="117" spans="1:10" ht="15.75" customHeight="1">
      <c r="A117" s="163">
        <v>4</v>
      </c>
      <c r="B117" s="163"/>
      <c r="C117" s="34" t="s">
        <v>177</v>
      </c>
      <c r="D117" s="163">
        <f>5.625*10.764</f>
        <v>60.547499999999999</v>
      </c>
      <c r="E117" s="163"/>
      <c r="F117" s="34">
        <v>0</v>
      </c>
      <c r="G117" s="34">
        <v>114</v>
      </c>
      <c r="H117" s="34" t="s">
        <v>178</v>
      </c>
      <c r="I117" s="163"/>
      <c r="J117" s="163"/>
    </row>
    <row r="118" spans="1:10" ht="15.75" customHeight="1">
      <c r="A118" s="163">
        <v>5</v>
      </c>
      <c r="B118" s="163"/>
      <c r="C118" s="34" t="s">
        <v>177</v>
      </c>
      <c r="D118" s="163">
        <f>8.105*10.764</f>
        <v>87.242220000000003</v>
      </c>
      <c r="E118" s="163"/>
      <c r="F118" s="34">
        <v>0</v>
      </c>
      <c r="G118" s="34">
        <v>174</v>
      </c>
      <c r="H118" s="34" t="s">
        <v>178</v>
      </c>
      <c r="I118" s="163"/>
      <c r="J118" s="163"/>
    </row>
    <row r="119" spans="1:10" ht="15.75" customHeight="1">
      <c r="A119" s="163">
        <v>6</v>
      </c>
      <c r="B119" s="163"/>
      <c r="C119" s="34" t="s">
        <v>177</v>
      </c>
      <c r="D119" s="163">
        <f>6.9*10.764</f>
        <v>74.271599999999992</v>
      </c>
      <c r="E119" s="163"/>
      <c r="F119" s="34">
        <v>0</v>
      </c>
      <c r="G119" s="34">
        <v>148</v>
      </c>
      <c r="H119" s="34" t="s">
        <v>178</v>
      </c>
      <c r="I119" s="163"/>
      <c r="J119" s="163"/>
    </row>
    <row r="120" spans="1:10" ht="15">
      <c r="A120" s="93" t="s">
        <v>180</v>
      </c>
      <c r="B120" s="93"/>
      <c r="C120" s="93"/>
      <c r="D120" s="93"/>
      <c r="E120" s="93"/>
      <c r="F120" s="93"/>
      <c r="G120" s="93"/>
      <c r="H120" s="93"/>
      <c r="I120" s="93"/>
      <c r="J120" s="93"/>
    </row>
    <row r="121" spans="1:10" ht="15.5">
      <c r="A121" s="163">
        <v>1</v>
      </c>
      <c r="B121" s="163"/>
      <c r="C121" s="34" t="s">
        <v>181</v>
      </c>
      <c r="D121" s="163">
        <f>(24.615+(2.5*2))*10.764</f>
        <v>318.77585999999997</v>
      </c>
      <c r="E121" s="163"/>
      <c r="F121" s="34">
        <f>(2.625*2)*10.764</f>
        <v>56.510999999999996</v>
      </c>
      <c r="G121" s="34">
        <v>602</v>
      </c>
      <c r="H121" s="34" t="s">
        <v>178</v>
      </c>
      <c r="I121" s="163" t="str">
        <f>A120</f>
        <v xml:space="preserve">1st &amp; 3rd Floor </v>
      </c>
      <c r="J121" s="163"/>
    </row>
    <row r="122" spans="1:10" ht="15.5">
      <c r="A122" s="163">
        <v>2</v>
      </c>
      <c r="B122" s="163"/>
      <c r="C122" s="34" t="s">
        <v>181</v>
      </c>
      <c r="D122" s="163">
        <f>(24.615+(2.5*2))*10.764</f>
        <v>318.77585999999997</v>
      </c>
      <c r="E122" s="163"/>
      <c r="F122" s="34">
        <f>(2.625*2)*10.764</f>
        <v>56.510999999999996</v>
      </c>
      <c r="G122" s="34">
        <v>602</v>
      </c>
      <c r="H122" s="34" t="s">
        <v>178</v>
      </c>
      <c r="I122" s="163"/>
      <c r="J122" s="163"/>
    </row>
    <row r="123" spans="1:10" ht="15">
      <c r="A123" s="93" t="s">
        <v>182</v>
      </c>
      <c r="B123" s="93"/>
      <c r="C123" s="93"/>
      <c r="D123" s="93"/>
      <c r="E123" s="93"/>
      <c r="F123" s="93"/>
      <c r="G123" s="93"/>
      <c r="H123" s="93"/>
      <c r="I123" s="93"/>
      <c r="J123" s="93"/>
    </row>
    <row r="124" spans="1:10" ht="15.5">
      <c r="A124" s="163">
        <v>1</v>
      </c>
      <c r="B124" s="163"/>
      <c r="C124" s="34" t="s">
        <v>181</v>
      </c>
      <c r="D124" s="163">
        <f>(24.615+(2.5*2))*10.764</f>
        <v>318.77585999999997</v>
      </c>
      <c r="E124" s="163"/>
      <c r="F124" s="34">
        <f>(2.7*1.45)*10.764</f>
        <v>42.141059999999996</v>
      </c>
      <c r="G124" s="34">
        <v>556</v>
      </c>
      <c r="H124" s="34" t="s">
        <v>178</v>
      </c>
      <c r="I124" s="163" t="str">
        <f>A123</f>
        <v xml:space="preserve">2nd Floor </v>
      </c>
      <c r="J124" s="163"/>
    </row>
    <row r="125" spans="1:10" ht="15.5">
      <c r="A125" s="163">
        <v>2</v>
      </c>
      <c r="B125" s="163"/>
      <c r="C125" s="34" t="s">
        <v>181</v>
      </c>
      <c r="D125" s="163">
        <f>(24.615+(2.5*2))*10.764</f>
        <v>318.77585999999997</v>
      </c>
      <c r="E125" s="163"/>
      <c r="F125" s="34">
        <f>(2.7*2.55)*10.764</f>
        <v>74.110139999999987</v>
      </c>
      <c r="G125" s="34">
        <v>602</v>
      </c>
      <c r="H125" s="34" t="s">
        <v>178</v>
      </c>
      <c r="I125" s="163"/>
      <c r="J125" s="163"/>
    </row>
    <row r="126" spans="1:10" ht="15">
      <c r="A126" s="90" t="s">
        <v>183</v>
      </c>
      <c r="B126" s="91"/>
      <c r="C126" s="91"/>
      <c r="D126" s="91"/>
      <c r="E126" s="91"/>
      <c r="F126" s="91"/>
      <c r="G126" s="91"/>
      <c r="H126" s="91"/>
      <c r="I126" s="91"/>
      <c r="J126" s="92"/>
    </row>
    <row r="127" spans="1:10" ht="15.5">
      <c r="A127" s="78">
        <v>1</v>
      </c>
      <c r="B127" s="79"/>
      <c r="C127" s="34" t="s">
        <v>181</v>
      </c>
      <c r="D127" s="78">
        <f>(24.615+(2.5*2))*10.764</f>
        <v>318.77585999999997</v>
      </c>
      <c r="E127" s="79"/>
      <c r="F127" s="34">
        <f>(2.7*1.45)*10.764</f>
        <v>42.141059999999996</v>
      </c>
      <c r="G127" s="34">
        <v>556</v>
      </c>
      <c r="H127" s="34" t="s">
        <v>178</v>
      </c>
      <c r="I127" s="63" t="str">
        <f>A126</f>
        <v xml:space="preserve"> 4th Floor </v>
      </c>
      <c r="J127" s="64"/>
    </row>
    <row r="128" spans="1:10" ht="15.5">
      <c r="A128" s="78">
        <v>2</v>
      </c>
      <c r="B128" s="79"/>
      <c r="C128" s="34" t="s">
        <v>181</v>
      </c>
      <c r="D128" s="78">
        <f>(24.615+(2.5*2))*10.764</f>
        <v>318.77585999999997</v>
      </c>
      <c r="E128" s="79"/>
      <c r="F128" s="34">
        <f>(2.7*2.55)*10.764</f>
        <v>74.110139999999987</v>
      </c>
      <c r="G128" s="34">
        <v>605</v>
      </c>
      <c r="H128" s="34" t="s">
        <v>178</v>
      </c>
      <c r="I128" s="67"/>
      <c r="J128" s="68"/>
    </row>
    <row r="129" spans="1:10" ht="15">
      <c r="A129" s="90" t="s">
        <v>161</v>
      </c>
      <c r="B129" s="91"/>
      <c r="C129" s="91"/>
      <c r="D129" s="91"/>
      <c r="E129" s="91"/>
      <c r="F129" s="91"/>
      <c r="G129" s="91"/>
      <c r="H129" s="91"/>
      <c r="I129" s="91"/>
      <c r="J129" s="92"/>
    </row>
    <row r="130" spans="1:10" ht="15">
      <c r="A130" s="90" t="s">
        <v>162</v>
      </c>
      <c r="B130" s="91"/>
      <c r="C130" s="91"/>
      <c r="D130" s="91"/>
      <c r="E130" s="91"/>
      <c r="F130" s="91"/>
      <c r="G130" s="91"/>
      <c r="H130" s="91"/>
      <c r="I130" s="91"/>
      <c r="J130" s="92"/>
    </row>
    <row r="131" spans="1:10" ht="15">
      <c r="A131" s="90" t="s">
        <v>184</v>
      </c>
      <c r="B131" s="91"/>
      <c r="C131" s="91"/>
      <c r="D131" s="91"/>
      <c r="E131" s="91"/>
      <c r="F131" s="91"/>
      <c r="G131" s="91"/>
      <c r="H131" s="91"/>
      <c r="I131" s="91"/>
      <c r="J131" s="92"/>
    </row>
    <row r="132" spans="1:10" ht="15.5">
      <c r="A132" s="78">
        <v>1</v>
      </c>
      <c r="B132" s="79"/>
      <c r="C132" s="34" t="s">
        <v>181</v>
      </c>
      <c r="D132" s="78">
        <f>(24.615+(2.5*2))*10.764</f>
        <v>318.77585999999997</v>
      </c>
      <c r="E132" s="79"/>
      <c r="F132" s="34">
        <v>0</v>
      </c>
      <c r="G132" s="34">
        <v>491</v>
      </c>
      <c r="H132" s="34" t="s">
        <v>178</v>
      </c>
      <c r="I132" s="78" t="s">
        <v>179</v>
      </c>
      <c r="J132" s="79"/>
    </row>
    <row r="133" spans="1:10" ht="15">
      <c r="A133" s="87" t="s">
        <v>185</v>
      </c>
      <c r="B133" s="88"/>
      <c r="C133" s="88"/>
      <c r="D133" s="88"/>
      <c r="E133" s="88"/>
      <c r="F133" s="88"/>
      <c r="G133" s="88"/>
      <c r="H133" s="88"/>
      <c r="I133" s="88"/>
      <c r="J133" s="89"/>
    </row>
    <row r="134" spans="1:10" ht="15.5">
      <c r="A134" s="78">
        <v>1</v>
      </c>
      <c r="B134" s="79"/>
      <c r="C134" s="34" t="s">
        <v>181</v>
      </c>
      <c r="D134" s="78">
        <f>(24.615+(2.5*2))*10.764</f>
        <v>318.77585999999997</v>
      </c>
      <c r="E134" s="79"/>
      <c r="F134" s="34">
        <f>(2.7*2.55)*10.764</f>
        <v>74.110139999999987</v>
      </c>
      <c r="G134" s="34">
        <v>605</v>
      </c>
      <c r="H134" s="34" t="s">
        <v>178</v>
      </c>
      <c r="I134" s="63" t="str">
        <f>A133</f>
        <v xml:space="preserve">1st &amp; 3rd  Floor </v>
      </c>
      <c r="J134" s="64"/>
    </row>
    <row r="135" spans="1:10" ht="15.5">
      <c r="A135" s="78">
        <v>2</v>
      </c>
      <c r="B135" s="79"/>
      <c r="C135" s="34" t="s">
        <v>181</v>
      </c>
      <c r="D135" s="78">
        <f>(24.615+(2.5*2))*10.764</f>
        <v>318.77585999999997</v>
      </c>
      <c r="E135" s="79"/>
      <c r="F135" s="34">
        <f>(2.7*1.65)*10.764</f>
        <v>47.953620000000001</v>
      </c>
      <c r="G135" s="34">
        <v>561</v>
      </c>
      <c r="H135" s="34" t="s">
        <v>178</v>
      </c>
      <c r="I135" s="65"/>
      <c r="J135" s="66"/>
    </row>
    <row r="136" spans="1:10" ht="15.5">
      <c r="A136" s="78">
        <v>3</v>
      </c>
      <c r="B136" s="79"/>
      <c r="C136" s="34" t="s">
        <v>181</v>
      </c>
      <c r="D136" s="78">
        <f>(24.615+(2.5*2))*10.764</f>
        <v>318.77585999999997</v>
      </c>
      <c r="E136" s="79"/>
      <c r="F136" s="34">
        <f>(2.7*2.55)*10.764</f>
        <v>74.110139999999987</v>
      </c>
      <c r="G136" s="34">
        <v>605</v>
      </c>
      <c r="H136" s="34" t="s">
        <v>178</v>
      </c>
      <c r="I136" s="65"/>
      <c r="J136" s="66"/>
    </row>
    <row r="137" spans="1:10" ht="15.5">
      <c r="A137" s="78">
        <v>4</v>
      </c>
      <c r="B137" s="79"/>
      <c r="C137" s="34" t="s">
        <v>181</v>
      </c>
      <c r="D137" s="78">
        <f>(24.615+(2.5*2))*10.764</f>
        <v>318.77585999999997</v>
      </c>
      <c r="E137" s="79"/>
      <c r="F137" s="34">
        <f>(2.7*2.55)*10.764</f>
        <v>74.110139999999987</v>
      </c>
      <c r="G137" s="34">
        <v>605</v>
      </c>
      <c r="H137" s="34" t="s">
        <v>178</v>
      </c>
      <c r="I137" s="67"/>
      <c r="J137" s="68"/>
    </row>
    <row r="138" spans="1:10" ht="15">
      <c r="A138" s="87" t="s">
        <v>186</v>
      </c>
      <c r="B138" s="88"/>
      <c r="C138" s="88"/>
      <c r="D138" s="88"/>
      <c r="E138" s="88"/>
      <c r="F138" s="88"/>
      <c r="G138" s="88"/>
      <c r="H138" s="88"/>
      <c r="I138" s="88"/>
      <c r="J138" s="89"/>
    </row>
    <row r="139" spans="1:10" ht="15.5">
      <c r="A139" s="78">
        <v>1</v>
      </c>
      <c r="B139" s="79"/>
      <c r="C139" s="34" t="s">
        <v>181</v>
      </c>
      <c r="D139" s="78">
        <f>(24.615+(2.5*2))*10.764</f>
        <v>318.77585999999997</v>
      </c>
      <c r="E139" s="79"/>
      <c r="F139" s="34">
        <f>(2.7*2.6)*10.764</f>
        <v>75.563280000000006</v>
      </c>
      <c r="G139" s="34">
        <v>605</v>
      </c>
      <c r="H139" s="34" t="s">
        <v>178</v>
      </c>
      <c r="I139" s="63" t="str">
        <f>A138</f>
        <v xml:space="preserve">2nd &amp; 4th  Floor </v>
      </c>
      <c r="J139" s="64"/>
    </row>
    <row r="140" spans="1:10" ht="15.5">
      <c r="A140" s="78">
        <v>2</v>
      </c>
      <c r="B140" s="79"/>
      <c r="C140" s="34" t="s">
        <v>181</v>
      </c>
      <c r="D140" s="78">
        <f>(24.615+(2.5*2))*10.764</f>
        <v>318.77585999999997</v>
      </c>
      <c r="E140" s="79"/>
      <c r="F140" s="34">
        <f>(2.7*1.65)*10.764</f>
        <v>47.953620000000001</v>
      </c>
      <c r="G140" s="34">
        <v>561</v>
      </c>
      <c r="H140" s="34" t="s">
        <v>178</v>
      </c>
      <c r="I140" s="65"/>
      <c r="J140" s="66"/>
    </row>
    <row r="141" spans="1:10" ht="15.5">
      <c r="A141" s="78">
        <v>3</v>
      </c>
      <c r="B141" s="79"/>
      <c r="C141" s="34" t="s">
        <v>181</v>
      </c>
      <c r="D141" s="78">
        <f>(24.615+(2.5*2))*10.764</f>
        <v>318.77585999999997</v>
      </c>
      <c r="E141" s="79"/>
      <c r="F141" s="34">
        <f>(2.625*2.55)*10.764</f>
        <v>72.051524999999998</v>
      </c>
      <c r="G141" s="34">
        <v>602</v>
      </c>
      <c r="H141" s="34" t="s">
        <v>178</v>
      </c>
      <c r="I141" s="65"/>
      <c r="J141" s="66"/>
    </row>
    <row r="142" spans="1:10" ht="15.5">
      <c r="A142" s="78">
        <v>4</v>
      </c>
      <c r="B142" s="79"/>
      <c r="C142" s="34" t="s">
        <v>181</v>
      </c>
      <c r="D142" s="78">
        <f>(24.615+(2.5*2))*10.764</f>
        <v>318.77585999999997</v>
      </c>
      <c r="E142" s="79"/>
      <c r="F142" s="34">
        <f>(2.625*2.55)*10.764</f>
        <v>72.051524999999998</v>
      </c>
      <c r="G142" s="34">
        <v>602</v>
      </c>
      <c r="H142" s="34" t="s">
        <v>178</v>
      </c>
      <c r="I142" s="67"/>
      <c r="J142" s="68"/>
    </row>
    <row r="143" spans="1:10" ht="15">
      <c r="A143" s="93" t="s">
        <v>163</v>
      </c>
      <c r="B143" s="93"/>
      <c r="C143" s="93"/>
      <c r="D143" s="93"/>
      <c r="E143" s="93"/>
      <c r="F143" s="93"/>
      <c r="G143" s="93"/>
      <c r="H143" s="93"/>
      <c r="I143" s="93"/>
      <c r="J143" s="93"/>
    </row>
    <row r="144" spans="1:10" ht="15">
      <c r="A144" s="90" t="s">
        <v>187</v>
      </c>
      <c r="B144" s="91"/>
      <c r="C144" s="91"/>
      <c r="D144" s="91"/>
      <c r="E144" s="91"/>
      <c r="F144" s="91"/>
      <c r="G144" s="91"/>
      <c r="H144" s="91"/>
      <c r="I144" s="91"/>
      <c r="J144" s="92"/>
    </row>
    <row r="145" spans="1:10" ht="15.5">
      <c r="A145" s="78">
        <v>1</v>
      </c>
      <c r="B145" s="79"/>
      <c r="C145" s="34" t="s">
        <v>181</v>
      </c>
      <c r="D145" s="78">
        <f>(24.615+(2.5*2))*10.764</f>
        <v>318.77585999999997</v>
      </c>
      <c r="E145" s="79"/>
      <c r="F145" s="34">
        <v>0</v>
      </c>
      <c r="G145" s="34">
        <v>491</v>
      </c>
      <c r="H145" s="34" t="s">
        <v>178</v>
      </c>
      <c r="I145" s="78" t="s">
        <v>179</v>
      </c>
      <c r="J145" s="79"/>
    </row>
    <row r="146" spans="1:10" ht="15">
      <c r="A146" s="87" t="s">
        <v>185</v>
      </c>
      <c r="B146" s="88"/>
      <c r="C146" s="88"/>
      <c r="D146" s="88"/>
      <c r="E146" s="88"/>
      <c r="F146" s="88"/>
      <c r="G146" s="88"/>
      <c r="H146" s="88"/>
      <c r="I146" s="88"/>
      <c r="J146" s="89"/>
    </row>
    <row r="147" spans="1:10" ht="15.5">
      <c r="A147" s="78">
        <v>1</v>
      </c>
      <c r="B147" s="79"/>
      <c r="C147" s="34" t="s">
        <v>181</v>
      </c>
      <c r="D147" s="78">
        <f>(24.615+(2.5*2))*10.764</f>
        <v>318.77585999999997</v>
      </c>
      <c r="E147" s="79"/>
      <c r="F147" s="34">
        <f>(2.7*2.55)*10.764</f>
        <v>74.110139999999987</v>
      </c>
      <c r="G147" s="34">
        <v>605</v>
      </c>
      <c r="H147" s="34" t="s">
        <v>178</v>
      </c>
      <c r="I147" s="63" t="str">
        <f>A146</f>
        <v xml:space="preserve">1st &amp; 3rd  Floor </v>
      </c>
      <c r="J147" s="64"/>
    </row>
    <row r="148" spans="1:10" ht="15.5">
      <c r="A148" s="78">
        <v>2</v>
      </c>
      <c r="B148" s="79"/>
      <c r="C148" s="34" t="s">
        <v>181</v>
      </c>
      <c r="D148" s="78">
        <f>(24.615+(2.5*2))*10.764</f>
        <v>318.77585999999997</v>
      </c>
      <c r="E148" s="79"/>
      <c r="F148" s="34">
        <f>(2.75*1.65)*10.764</f>
        <v>48.841649999999994</v>
      </c>
      <c r="G148" s="34">
        <v>605</v>
      </c>
      <c r="H148" s="34" t="s">
        <v>178</v>
      </c>
      <c r="I148" s="65"/>
      <c r="J148" s="66"/>
    </row>
    <row r="149" spans="1:10" ht="15.5">
      <c r="A149" s="78">
        <v>3</v>
      </c>
      <c r="B149" s="79"/>
      <c r="C149" s="34" t="s">
        <v>181</v>
      </c>
      <c r="D149" s="78">
        <f>(24.615+(2.5*2))*10.764</f>
        <v>318.77585999999997</v>
      </c>
      <c r="E149" s="79"/>
      <c r="F149" s="34">
        <f>(2.7*2.55)*10.764</f>
        <v>74.110139999999987</v>
      </c>
      <c r="G149" s="34">
        <v>605</v>
      </c>
      <c r="H149" s="34" t="s">
        <v>178</v>
      </c>
      <c r="I149" s="65"/>
      <c r="J149" s="66"/>
    </row>
    <row r="150" spans="1:10" ht="15.5">
      <c r="A150" s="78">
        <v>4</v>
      </c>
      <c r="B150" s="79"/>
      <c r="C150" s="34" t="s">
        <v>181</v>
      </c>
      <c r="D150" s="78">
        <f>(24.615+(2.5*1.35))*10.764</f>
        <v>301.28435999999999</v>
      </c>
      <c r="E150" s="79"/>
      <c r="F150" s="34">
        <f>(2.75*1.9)*10.764</f>
        <v>56.241899999999994</v>
      </c>
      <c r="G150" s="34">
        <v>508</v>
      </c>
      <c r="H150" s="34" t="s">
        <v>178</v>
      </c>
      <c r="I150" s="67"/>
      <c r="J150" s="68"/>
    </row>
    <row r="151" spans="1:10" ht="15">
      <c r="A151" s="87" t="s">
        <v>186</v>
      </c>
      <c r="B151" s="88"/>
      <c r="C151" s="88"/>
      <c r="D151" s="88"/>
      <c r="E151" s="88"/>
      <c r="F151" s="88"/>
      <c r="G151" s="88"/>
      <c r="H151" s="88"/>
      <c r="I151" s="88"/>
      <c r="J151" s="89"/>
    </row>
    <row r="152" spans="1:10" ht="15.5">
      <c r="A152" s="78">
        <v>1</v>
      </c>
      <c r="B152" s="79"/>
      <c r="C152" s="34" t="s">
        <v>181</v>
      </c>
      <c r="D152" s="78">
        <f>(24.615+(2.5*2))*10.764</f>
        <v>318.77585999999997</v>
      </c>
      <c r="E152" s="79"/>
      <c r="F152" s="34">
        <f>(2.625*2.55)*10.764</f>
        <v>72.051524999999998</v>
      </c>
      <c r="G152" s="34">
        <v>602</v>
      </c>
      <c r="H152" s="34" t="s">
        <v>178</v>
      </c>
      <c r="I152" s="63" t="str">
        <f>A151</f>
        <v xml:space="preserve">2nd &amp; 4th  Floor </v>
      </c>
      <c r="J152" s="64"/>
    </row>
    <row r="153" spans="1:10" ht="15.5">
      <c r="A153" s="78">
        <v>2</v>
      </c>
      <c r="B153" s="79"/>
      <c r="C153" s="34" t="s">
        <v>181</v>
      </c>
      <c r="D153" s="78">
        <f>(24.615+(2.5*2))*10.764</f>
        <v>318.77585999999997</v>
      </c>
      <c r="E153" s="79"/>
      <c r="F153" s="34">
        <f>(2.625*2.55)*10.764</f>
        <v>72.051524999999998</v>
      </c>
      <c r="G153" s="34">
        <v>602</v>
      </c>
      <c r="H153" s="34" t="s">
        <v>178</v>
      </c>
      <c r="I153" s="65"/>
      <c r="J153" s="66"/>
    </row>
    <row r="154" spans="1:10" ht="15.5">
      <c r="A154" s="78">
        <v>3</v>
      </c>
      <c r="B154" s="79"/>
      <c r="C154" s="34" t="s">
        <v>181</v>
      </c>
      <c r="D154" s="78">
        <f>(24.615+(2.5*2))*10.764</f>
        <v>318.77585999999997</v>
      </c>
      <c r="E154" s="79"/>
      <c r="F154" s="34">
        <f>(2.7*2.55)*10.764</f>
        <v>74.110139999999987</v>
      </c>
      <c r="G154" s="34">
        <v>605</v>
      </c>
      <c r="H154" s="34" t="s">
        <v>178</v>
      </c>
      <c r="I154" s="65"/>
      <c r="J154" s="66"/>
    </row>
    <row r="155" spans="1:10" ht="15.5">
      <c r="A155" s="78">
        <v>4</v>
      </c>
      <c r="B155" s="79"/>
      <c r="C155" s="34" t="s">
        <v>181</v>
      </c>
      <c r="D155" s="78">
        <f>(24.615+(2.5*1.35))*10.764</f>
        <v>301.28435999999999</v>
      </c>
      <c r="E155" s="79"/>
      <c r="F155" s="34">
        <v>0</v>
      </c>
      <c r="G155" s="34">
        <v>508</v>
      </c>
      <c r="H155" s="34" t="s">
        <v>178</v>
      </c>
      <c r="I155" s="67"/>
      <c r="J155" s="68"/>
    </row>
    <row r="156" spans="1:10" ht="15">
      <c r="A156" s="87" t="s">
        <v>164</v>
      </c>
      <c r="B156" s="88"/>
      <c r="C156" s="88"/>
      <c r="D156" s="88"/>
      <c r="E156" s="88"/>
      <c r="F156" s="88"/>
      <c r="G156" s="88"/>
      <c r="H156" s="88"/>
      <c r="I156" s="88"/>
      <c r="J156" s="89"/>
    </row>
    <row r="157" spans="1:10" ht="15">
      <c r="A157" s="90" t="s">
        <v>188</v>
      </c>
      <c r="B157" s="91"/>
      <c r="C157" s="91"/>
      <c r="D157" s="91"/>
      <c r="E157" s="91"/>
      <c r="F157" s="91"/>
      <c r="G157" s="91"/>
      <c r="H157" s="91"/>
      <c r="I157" s="91"/>
      <c r="J157" s="92"/>
    </row>
    <row r="158" spans="1:10" ht="15.75" customHeight="1">
      <c r="A158" s="78">
        <v>1</v>
      </c>
      <c r="B158" s="79"/>
      <c r="C158" s="34" t="s">
        <v>177</v>
      </c>
      <c r="D158" s="78">
        <f>7.37*10.764</f>
        <v>79.330680000000001</v>
      </c>
      <c r="E158" s="79"/>
      <c r="F158" s="34">
        <v>0</v>
      </c>
      <c r="G158" s="34">
        <v>158</v>
      </c>
      <c r="H158" s="34" t="s">
        <v>178</v>
      </c>
      <c r="I158" s="63" t="s">
        <v>179</v>
      </c>
      <c r="J158" s="64"/>
    </row>
    <row r="159" spans="1:10" ht="15.75" customHeight="1">
      <c r="A159" s="78">
        <v>2</v>
      </c>
      <c r="B159" s="79"/>
      <c r="C159" s="34" t="s">
        <v>177</v>
      </c>
      <c r="D159" s="78">
        <f>4.958*10.764</f>
        <v>53.367911999999997</v>
      </c>
      <c r="E159" s="79"/>
      <c r="F159" s="34">
        <v>0</v>
      </c>
      <c r="G159" s="34">
        <v>106</v>
      </c>
      <c r="H159" s="34" t="s">
        <v>178</v>
      </c>
      <c r="I159" s="65"/>
      <c r="J159" s="66"/>
    </row>
    <row r="160" spans="1:10" ht="15.75" customHeight="1">
      <c r="A160" s="78">
        <v>3</v>
      </c>
      <c r="B160" s="79"/>
      <c r="C160" s="34" t="s">
        <v>177</v>
      </c>
      <c r="D160" s="78">
        <f>4.958*10.764</f>
        <v>53.367911999999997</v>
      </c>
      <c r="E160" s="79"/>
      <c r="F160" s="34">
        <v>0</v>
      </c>
      <c r="G160" s="34">
        <v>106</v>
      </c>
      <c r="H160" s="34" t="s">
        <v>178</v>
      </c>
      <c r="I160" s="67"/>
      <c r="J160" s="68"/>
    </row>
    <row r="161" spans="1:10" ht="15">
      <c r="A161" s="87" t="s">
        <v>185</v>
      </c>
      <c r="B161" s="88"/>
      <c r="C161" s="88"/>
      <c r="D161" s="88"/>
      <c r="E161" s="88"/>
      <c r="F161" s="88"/>
      <c r="G161" s="88"/>
      <c r="H161" s="88"/>
      <c r="I161" s="88"/>
      <c r="J161" s="89"/>
    </row>
    <row r="162" spans="1:10" ht="15.5">
      <c r="A162" s="78">
        <v>1</v>
      </c>
      <c r="B162" s="79"/>
      <c r="C162" s="34" t="s">
        <v>189</v>
      </c>
      <c r="D162" s="78">
        <f>(18.27+(1.233*3.5))*10.764</f>
        <v>243.11032199999997</v>
      </c>
      <c r="E162" s="79"/>
      <c r="F162" s="34">
        <f>(2.1*2.386)*10.764</f>
        <v>53.934098399999996</v>
      </c>
      <c r="G162" s="34">
        <v>471</v>
      </c>
      <c r="H162" s="34" t="s">
        <v>178</v>
      </c>
      <c r="I162" s="63" t="str">
        <f>A161</f>
        <v xml:space="preserve">1st &amp; 3rd  Floor </v>
      </c>
      <c r="J162" s="64"/>
    </row>
    <row r="163" spans="1:10" ht="15.5">
      <c r="A163" s="78">
        <v>2</v>
      </c>
      <c r="B163" s="79"/>
      <c r="C163" s="34" t="s">
        <v>189</v>
      </c>
      <c r="D163" s="78">
        <f>(17.9+(1.438*2.5))*10.764</f>
        <v>231.37217999999996</v>
      </c>
      <c r="E163" s="79"/>
      <c r="F163" s="34">
        <f>(1.798*2.7)*10.764</f>
        <v>52.254914400000004</v>
      </c>
      <c r="G163" s="34">
        <v>464</v>
      </c>
      <c r="H163" s="34" t="s">
        <v>178</v>
      </c>
      <c r="I163" s="65"/>
      <c r="J163" s="66"/>
    </row>
    <row r="164" spans="1:10" ht="15">
      <c r="A164" s="87" t="s">
        <v>190</v>
      </c>
      <c r="B164" s="88"/>
      <c r="C164" s="88"/>
      <c r="D164" s="88"/>
      <c r="E164" s="88"/>
      <c r="F164" s="88"/>
      <c r="G164" s="88"/>
      <c r="H164" s="88"/>
      <c r="I164" s="88"/>
      <c r="J164" s="89"/>
    </row>
    <row r="165" spans="1:10" ht="15.5">
      <c r="A165" s="78">
        <v>1</v>
      </c>
      <c r="B165" s="79"/>
      <c r="C165" s="34" t="s">
        <v>189</v>
      </c>
      <c r="D165" s="78">
        <f>(18.27+(1.233*3.5))*10.764</f>
        <v>243.11032199999997</v>
      </c>
      <c r="E165" s="79"/>
      <c r="F165" s="34">
        <f>(2.1*2.388)*10.764</f>
        <v>53.979307200000001</v>
      </c>
      <c r="G165" s="34">
        <v>471</v>
      </c>
      <c r="H165" s="34" t="s">
        <v>178</v>
      </c>
      <c r="I165" s="63" t="str">
        <f>A164</f>
        <v xml:space="preserve">2nd   Floor </v>
      </c>
      <c r="J165" s="64"/>
    </row>
    <row r="166" spans="1:10" ht="15.5">
      <c r="A166" s="78">
        <v>2</v>
      </c>
      <c r="B166" s="79"/>
      <c r="C166" s="34" t="s">
        <v>189</v>
      </c>
      <c r="D166" s="78">
        <f>(17.9+(1.438*2.5))*10.764</f>
        <v>231.37217999999996</v>
      </c>
      <c r="E166" s="79"/>
      <c r="F166" s="34">
        <f>(2.3*1.95)*10.764</f>
        <v>48.27653999999999</v>
      </c>
      <c r="G166" s="34">
        <v>464</v>
      </c>
      <c r="H166" s="34" t="s">
        <v>178</v>
      </c>
      <c r="I166" s="65"/>
      <c r="J166" s="66"/>
    </row>
    <row r="167" spans="1:10" ht="15">
      <c r="A167" s="90" t="s">
        <v>165</v>
      </c>
      <c r="B167" s="91"/>
      <c r="C167" s="91"/>
      <c r="D167" s="91"/>
      <c r="E167" s="91"/>
      <c r="F167" s="91"/>
      <c r="G167" s="91"/>
      <c r="H167" s="91"/>
      <c r="I167" s="91"/>
      <c r="J167" s="92"/>
    </row>
    <row r="168" spans="1:10" ht="15">
      <c r="A168" s="90" t="s">
        <v>191</v>
      </c>
      <c r="B168" s="91"/>
      <c r="C168" s="91"/>
      <c r="D168" s="91"/>
      <c r="E168" s="91"/>
      <c r="F168" s="91"/>
      <c r="G168" s="91"/>
      <c r="H168" s="91"/>
      <c r="I168" s="91"/>
      <c r="J168" s="92"/>
    </row>
    <row r="169" spans="1:10" ht="15">
      <c r="A169" s="87" t="s">
        <v>192</v>
      </c>
      <c r="B169" s="88"/>
      <c r="C169" s="88"/>
      <c r="D169" s="88"/>
      <c r="E169" s="88"/>
      <c r="F169" s="88"/>
      <c r="G169" s="88"/>
      <c r="H169" s="88"/>
      <c r="I169" s="88"/>
      <c r="J169" s="89"/>
    </row>
    <row r="170" spans="1:10" ht="15.5">
      <c r="A170" s="78">
        <v>1</v>
      </c>
      <c r="B170" s="79"/>
      <c r="C170" s="34" t="s">
        <v>189</v>
      </c>
      <c r="D170" s="78">
        <f>(17.95+(1.3*2.775))*10.764</f>
        <v>232.04492999999997</v>
      </c>
      <c r="E170" s="79"/>
      <c r="F170" s="34">
        <v>0</v>
      </c>
      <c r="G170" s="34">
        <v>357</v>
      </c>
      <c r="H170" s="34" t="s">
        <v>178</v>
      </c>
      <c r="I170" s="63" t="str">
        <f>A169</f>
        <v xml:space="preserve">1st &amp; 2nd Floor </v>
      </c>
      <c r="J170" s="64"/>
    </row>
    <row r="171" spans="1:10" ht="15.5">
      <c r="A171" s="78">
        <v>2</v>
      </c>
      <c r="B171" s="79"/>
      <c r="C171" s="34" t="s">
        <v>189</v>
      </c>
      <c r="D171" s="78">
        <f>(17.47+(1.3*2.775))*10.764</f>
        <v>226.87821</v>
      </c>
      <c r="E171" s="79"/>
      <c r="F171" s="34">
        <v>0</v>
      </c>
      <c r="G171" s="34">
        <v>350</v>
      </c>
      <c r="H171" s="34" t="s">
        <v>178</v>
      </c>
      <c r="I171" s="65"/>
      <c r="J171" s="66"/>
    </row>
    <row r="172" spans="1:10" ht="15.5">
      <c r="A172" s="78">
        <v>3</v>
      </c>
      <c r="B172" s="79"/>
      <c r="C172" s="34" t="s">
        <v>189</v>
      </c>
      <c r="D172" s="78">
        <f>(17.17+(1.3*2.775))*10.764</f>
        <v>223.64901000000003</v>
      </c>
      <c r="E172" s="79"/>
      <c r="F172" s="34">
        <v>0</v>
      </c>
      <c r="G172" s="34">
        <v>345</v>
      </c>
      <c r="H172" s="34" t="s">
        <v>178</v>
      </c>
      <c r="I172" s="65"/>
      <c r="J172" s="66"/>
    </row>
    <row r="173" spans="1:10" ht="15.5">
      <c r="A173" s="78">
        <v>4</v>
      </c>
      <c r="B173" s="79"/>
      <c r="C173" s="34" t="s">
        <v>189</v>
      </c>
      <c r="D173" s="78">
        <f>(17.17+(1.3*2.775))*10.764</f>
        <v>223.64901000000003</v>
      </c>
      <c r="E173" s="79"/>
      <c r="F173" s="34">
        <v>0</v>
      </c>
      <c r="G173" s="34">
        <v>345</v>
      </c>
      <c r="H173" s="34" t="s">
        <v>178</v>
      </c>
      <c r="I173" s="67"/>
      <c r="J173" s="68"/>
    </row>
    <row r="174" spans="1:10" ht="15">
      <c r="A174" s="87" t="s">
        <v>193</v>
      </c>
      <c r="B174" s="88"/>
      <c r="C174" s="88"/>
      <c r="D174" s="88"/>
      <c r="E174" s="88"/>
      <c r="F174" s="88"/>
      <c r="G174" s="88"/>
      <c r="H174" s="88"/>
      <c r="I174" s="88"/>
      <c r="J174" s="89"/>
    </row>
    <row r="175" spans="1:10" ht="15.5">
      <c r="A175" s="78">
        <v>1</v>
      </c>
      <c r="B175" s="79"/>
      <c r="C175" s="34" t="s">
        <v>189</v>
      </c>
      <c r="D175" s="78">
        <f>(17.95+(1.3*2.775))*10.764</f>
        <v>232.04492999999997</v>
      </c>
      <c r="E175" s="79"/>
      <c r="F175" s="34">
        <v>0</v>
      </c>
      <c r="G175" s="34">
        <v>357</v>
      </c>
      <c r="H175" s="34" t="s">
        <v>178</v>
      </c>
      <c r="I175" s="63" t="str">
        <f>A174</f>
        <v xml:space="preserve">3rd  Floor </v>
      </c>
      <c r="J175" s="64"/>
    </row>
    <row r="176" spans="1:10" ht="15.5">
      <c r="A176" s="78">
        <v>2</v>
      </c>
      <c r="B176" s="79"/>
      <c r="C176" s="34" t="s">
        <v>189</v>
      </c>
      <c r="D176" s="78">
        <f>(17.47+(1.3*2.775))*10.764</f>
        <v>226.87821</v>
      </c>
      <c r="E176" s="79"/>
      <c r="F176" s="34">
        <v>0</v>
      </c>
      <c r="G176" s="34">
        <v>350</v>
      </c>
      <c r="H176" s="34" t="s">
        <v>178</v>
      </c>
      <c r="I176" s="65"/>
      <c r="J176" s="66"/>
    </row>
    <row r="177" spans="1:10" ht="15.5">
      <c r="A177" s="78">
        <v>3</v>
      </c>
      <c r="B177" s="79"/>
      <c r="C177" s="34" t="s">
        <v>189</v>
      </c>
      <c r="D177" s="78">
        <f>(17.17+(1.3*2.775))*10.764</f>
        <v>223.64901000000003</v>
      </c>
      <c r="E177" s="79"/>
      <c r="F177" s="34">
        <v>0</v>
      </c>
      <c r="G177" s="34">
        <v>345</v>
      </c>
      <c r="H177" s="34" t="s">
        <v>178</v>
      </c>
      <c r="I177" s="65"/>
      <c r="J177" s="66"/>
    </row>
    <row r="178" spans="1:10" ht="15.5">
      <c r="A178" s="78">
        <v>4</v>
      </c>
      <c r="B178" s="79"/>
      <c r="C178" s="78" t="s">
        <v>194</v>
      </c>
      <c r="D178" s="80"/>
      <c r="E178" s="80"/>
      <c r="F178" s="80"/>
      <c r="G178" s="80"/>
      <c r="H178" s="79"/>
      <c r="I178" s="67"/>
      <c r="J178" s="68"/>
    </row>
    <row r="179" spans="1:10" ht="170.4" customHeight="1">
      <c r="A179" s="81" t="s">
        <v>260</v>
      </c>
      <c r="B179" s="82"/>
      <c r="C179" s="82"/>
      <c r="D179" s="82"/>
      <c r="E179" s="82"/>
      <c r="F179" s="82"/>
      <c r="G179" s="82"/>
      <c r="H179" s="82"/>
      <c r="I179" s="82"/>
      <c r="J179" s="83"/>
    </row>
    <row r="180" spans="1:10">
      <c r="A180" s="84" t="s">
        <v>195</v>
      </c>
      <c r="B180" s="85"/>
      <c r="C180" s="85"/>
      <c r="D180" s="85"/>
      <c r="E180" s="85"/>
      <c r="F180" s="85"/>
      <c r="G180" s="85"/>
      <c r="H180" s="85"/>
      <c r="I180" s="85"/>
      <c r="J180" s="86"/>
    </row>
    <row r="181" spans="1:10">
      <c r="A181" s="41" t="s">
        <v>196</v>
      </c>
      <c r="B181" s="42"/>
      <c r="C181" s="42"/>
      <c r="D181" s="42"/>
      <c r="E181" s="42"/>
      <c r="F181" s="42"/>
      <c r="G181" s="42"/>
      <c r="H181" s="42"/>
      <c r="I181" s="42"/>
      <c r="J181" s="43"/>
    </row>
    <row r="182" spans="1:10">
      <c r="A182" s="84" t="s">
        <v>197</v>
      </c>
      <c r="B182" s="85"/>
      <c r="C182" s="85"/>
      <c r="D182" s="85"/>
      <c r="E182" s="85"/>
      <c r="F182" s="85"/>
      <c r="G182" s="85"/>
      <c r="H182" s="85"/>
      <c r="I182" s="85"/>
      <c r="J182" s="86"/>
    </row>
    <row r="183" spans="1:10">
      <c r="A183" s="41" t="s">
        <v>198</v>
      </c>
      <c r="B183" s="42"/>
      <c r="C183" s="42"/>
      <c r="D183" s="42"/>
      <c r="E183" s="42"/>
      <c r="F183" s="42"/>
      <c r="G183" s="42"/>
      <c r="H183" s="42"/>
      <c r="I183" s="42"/>
      <c r="J183" s="43"/>
    </row>
    <row r="184" spans="1:10">
      <c r="A184" s="41" t="s">
        <v>199</v>
      </c>
      <c r="B184" s="42"/>
      <c r="C184" s="42"/>
      <c r="D184" s="42"/>
      <c r="E184" s="42"/>
      <c r="F184" s="42"/>
      <c r="G184" s="42"/>
      <c r="H184" s="42"/>
      <c r="I184" s="42"/>
      <c r="J184" s="43"/>
    </row>
    <row r="185" spans="1:10">
      <c r="A185" s="41" t="s">
        <v>200</v>
      </c>
      <c r="B185" s="42"/>
      <c r="C185" s="42"/>
      <c r="D185" s="42"/>
      <c r="E185" s="42"/>
      <c r="F185" s="42"/>
      <c r="G185" s="42"/>
      <c r="H185" s="42"/>
      <c r="I185" s="42"/>
      <c r="J185" s="43"/>
    </row>
    <row r="186" spans="1:10" ht="30.75" customHeight="1">
      <c r="A186" s="44" t="s">
        <v>201</v>
      </c>
      <c r="B186" s="45"/>
      <c r="C186" s="45"/>
      <c r="D186" s="45"/>
      <c r="E186" s="45"/>
      <c r="F186" s="45"/>
      <c r="G186" s="45"/>
      <c r="H186" s="45"/>
      <c r="I186" s="45"/>
      <c r="J186" s="46"/>
    </row>
    <row r="187" spans="1:10" ht="15" customHeight="1">
      <c r="A187" s="69" t="s">
        <v>202</v>
      </c>
      <c r="B187" s="70"/>
      <c r="C187" s="70"/>
      <c r="D187" s="70"/>
      <c r="E187" s="70"/>
      <c r="F187" s="70"/>
      <c r="G187" s="70"/>
      <c r="H187" s="70"/>
      <c r="I187" s="70"/>
      <c r="J187" s="71"/>
    </row>
    <row r="188" spans="1:10">
      <c r="A188" s="72"/>
      <c r="B188" s="73"/>
      <c r="C188" s="73"/>
      <c r="D188" s="73"/>
      <c r="E188" s="73"/>
      <c r="F188" s="73"/>
      <c r="G188" s="73"/>
      <c r="H188" s="73"/>
      <c r="I188" s="73"/>
      <c r="J188" s="74"/>
    </row>
    <row r="189" spans="1:10">
      <c r="A189" s="72"/>
      <c r="B189" s="73"/>
      <c r="C189" s="73"/>
      <c r="D189" s="73"/>
      <c r="E189" s="73"/>
      <c r="F189" s="73"/>
      <c r="G189" s="73"/>
      <c r="H189" s="73"/>
      <c r="I189" s="73"/>
      <c r="J189" s="74"/>
    </row>
    <row r="190" spans="1:10">
      <c r="A190" s="75"/>
      <c r="B190" s="76"/>
      <c r="C190" s="76"/>
      <c r="D190" s="76"/>
      <c r="E190" s="76"/>
      <c r="F190" s="76"/>
      <c r="G190" s="76"/>
      <c r="H190" s="76"/>
      <c r="I190" s="76"/>
      <c r="J190" s="77"/>
    </row>
    <row r="191" spans="1:10">
      <c r="A191" s="36" t="s">
        <v>203</v>
      </c>
      <c r="B191" s="37"/>
      <c r="C191" s="37"/>
      <c r="D191" s="47" t="str">
        <f>F9</f>
        <v>Priyanshi Residency</v>
      </c>
      <c r="E191" s="47"/>
      <c r="F191" s="47"/>
    </row>
    <row r="196" spans="7:10">
      <c r="G196" s="37"/>
      <c r="H196" s="37"/>
      <c r="I196" s="37"/>
      <c r="J196" s="37"/>
    </row>
    <row r="238" spans="1:1">
      <c r="A238" s="38" t="s">
        <v>204</v>
      </c>
    </row>
  </sheetData>
  <mergeCells count="378">
    <mergeCell ref="A1:J1"/>
    <mergeCell ref="A2:J2"/>
    <mergeCell ref="A3:E3"/>
    <mergeCell ref="F3:J3"/>
    <mergeCell ref="A4:E4"/>
    <mergeCell ref="A6:E6"/>
    <mergeCell ref="F6:J6"/>
    <mergeCell ref="A7:E7"/>
    <mergeCell ref="F7:J7"/>
    <mergeCell ref="F4:J4"/>
    <mergeCell ref="A5:E5"/>
    <mergeCell ref="F5:J5"/>
    <mergeCell ref="A8:E8"/>
    <mergeCell ref="F8:J8"/>
    <mergeCell ref="A9:E9"/>
    <mergeCell ref="F9:J9"/>
    <mergeCell ref="A10:E10"/>
    <mergeCell ref="F10:J10"/>
    <mergeCell ref="A11:E11"/>
    <mergeCell ref="F11:J11"/>
    <mergeCell ref="A12:E12"/>
    <mergeCell ref="F12:J12"/>
    <mergeCell ref="A13:E13"/>
    <mergeCell ref="F13:J13"/>
    <mergeCell ref="A14:B14"/>
    <mergeCell ref="C14:J14"/>
    <mergeCell ref="A15:B15"/>
    <mergeCell ref="C15:E15"/>
    <mergeCell ref="I15:J15"/>
    <mergeCell ref="B16:E16"/>
    <mergeCell ref="G16:J16"/>
    <mergeCell ref="B17:E17"/>
    <mergeCell ref="G17:J17"/>
    <mergeCell ref="A18:B18"/>
    <mergeCell ref="C18:E18"/>
    <mergeCell ref="F18:G18"/>
    <mergeCell ref="H18:J18"/>
    <mergeCell ref="A23:E23"/>
    <mergeCell ref="F23:I23"/>
    <mergeCell ref="A24:E24"/>
    <mergeCell ref="F24:J24"/>
    <mergeCell ref="A25:E25"/>
    <mergeCell ref="F25:I25"/>
    <mergeCell ref="A26:E26"/>
    <mergeCell ref="F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J30"/>
    <mergeCell ref="A31:J31"/>
    <mergeCell ref="A32:B32"/>
    <mergeCell ref="C32:J32"/>
    <mergeCell ref="A33:B33"/>
    <mergeCell ref="C33:J33"/>
    <mergeCell ref="A34:J34"/>
    <mergeCell ref="A35:E35"/>
    <mergeCell ref="F35:I35"/>
    <mergeCell ref="A36:E36"/>
    <mergeCell ref="F36:J36"/>
    <mergeCell ref="A37:J37"/>
    <mergeCell ref="A38:E38"/>
    <mergeCell ref="F38:J38"/>
    <mergeCell ref="A39:E39"/>
    <mergeCell ref="F39:J39"/>
    <mergeCell ref="A40:E40"/>
    <mergeCell ref="F40:J40"/>
    <mergeCell ref="A41:E41"/>
    <mergeCell ref="F41:J41"/>
    <mergeCell ref="A42:E42"/>
    <mergeCell ref="F42:J42"/>
    <mergeCell ref="A43:E43"/>
    <mergeCell ref="F43:J43"/>
    <mergeCell ref="A44:J44"/>
    <mergeCell ref="A45:B45"/>
    <mergeCell ref="C45:F45"/>
    <mergeCell ref="H45:J45"/>
    <mergeCell ref="A46:B46"/>
    <mergeCell ref="C46:F46"/>
    <mergeCell ref="H46:J46"/>
    <mergeCell ref="C47:F47"/>
    <mergeCell ref="H47:J47"/>
    <mergeCell ref="C48:J48"/>
    <mergeCell ref="A49:B49"/>
    <mergeCell ref="C49:F49"/>
    <mergeCell ref="H49:J49"/>
    <mergeCell ref="A50:C50"/>
    <mergeCell ref="D50:E50"/>
    <mergeCell ref="F50:G50"/>
    <mergeCell ref="H50:J50"/>
    <mergeCell ref="A51:J51"/>
    <mergeCell ref="A52:C52"/>
    <mergeCell ref="D52:E52"/>
    <mergeCell ref="F52:H52"/>
    <mergeCell ref="I52:J52"/>
    <mergeCell ref="A53:B53"/>
    <mergeCell ref="C53:J53"/>
    <mergeCell ref="A54:C54"/>
    <mergeCell ref="D54:J54"/>
    <mergeCell ref="A55:J55"/>
    <mergeCell ref="A56:J56"/>
    <mergeCell ref="A57:B57"/>
    <mergeCell ref="C57:J57"/>
    <mergeCell ref="E58:F58"/>
    <mergeCell ref="I58:J58"/>
    <mergeCell ref="A59:B59"/>
    <mergeCell ref="C59:J59"/>
    <mergeCell ref="A60:B60"/>
    <mergeCell ref="D60:E60"/>
    <mergeCell ref="F60:G60"/>
    <mergeCell ref="H60:J60"/>
    <mergeCell ref="A61:B61"/>
    <mergeCell ref="D61:E61"/>
    <mergeCell ref="A62:B62"/>
    <mergeCell ref="D62:E62"/>
    <mergeCell ref="A63:B63"/>
    <mergeCell ref="D63:E63"/>
    <mergeCell ref="A64:B64"/>
    <mergeCell ref="D64:E64"/>
    <mergeCell ref="A65:B65"/>
    <mergeCell ref="D65:E65"/>
    <mergeCell ref="A66:B66"/>
    <mergeCell ref="D66:E66"/>
    <mergeCell ref="A67:B67"/>
    <mergeCell ref="D67:E67"/>
    <mergeCell ref="A68:B68"/>
    <mergeCell ref="D68:E68"/>
    <mergeCell ref="A69:B69"/>
    <mergeCell ref="D69:E69"/>
    <mergeCell ref="A70:B70"/>
    <mergeCell ref="D70:E70"/>
    <mergeCell ref="A71:B71"/>
    <mergeCell ref="C71:J71"/>
    <mergeCell ref="E72:F72"/>
    <mergeCell ref="I72:J72"/>
    <mergeCell ref="A73:B73"/>
    <mergeCell ref="C73:J73"/>
    <mergeCell ref="A74:B74"/>
    <mergeCell ref="D74:E74"/>
    <mergeCell ref="F74:G74"/>
    <mergeCell ref="H74:J74"/>
    <mergeCell ref="A75:B75"/>
    <mergeCell ref="D75:E75"/>
    <mergeCell ref="A76:B76"/>
    <mergeCell ref="D76:E76"/>
    <mergeCell ref="A82:B82"/>
    <mergeCell ref="D82:E82"/>
    <mergeCell ref="A83:B83"/>
    <mergeCell ref="D83:E83"/>
    <mergeCell ref="A84:B84"/>
    <mergeCell ref="D84:E84"/>
    <mergeCell ref="A85:J85"/>
    <mergeCell ref="A86:J86"/>
    <mergeCell ref="A87:J87"/>
    <mergeCell ref="F75:G84"/>
    <mergeCell ref="H75:J84"/>
    <mergeCell ref="A77:B77"/>
    <mergeCell ref="D77:E77"/>
    <mergeCell ref="A78:B78"/>
    <mergeCell ref="D78:E78"/>
    <mergeCell ref="A79:B79"/>
    <mergeCell ref="D79:E79"/>
    <mergeCell ref="A80:B80"/>
    <mergeCell ref="D80:E80"/>
    <mergeCell ref="A81:B81"/>
    <mergeCell ref="D81:E81"/>
    <mergeCell ref="A88:J88"/>
    <mergeCell ref="A89:F89"/>
    <mergeCell ref="G89:J89"/>
    <mergeCell ref="A90:F90"/>
    <mergeCell ref="G90:J90"/>
    <mergeCell ref="A91:F91"/>
    <mergeCell ref="G91:J91"/>
    <mergeCell ref="A92:F92"/>
    <mergeCell ref="G92:J92"/>
    <mergeCell ref="A93:F93"/>
    <mergeCell ref="G93:J93"/>
    <mergeCell ref="A94:F94"/>
    <mergeCell ref="G94:J94"/>
    <mergeCell ref="A95:F95"/>
    <mergeCell ref="G95:J95"/>
    <mergeCell ref="A96:F96"/>
    <mergeCell ref="G96:J96"/>
    <mergeCell ref="A97:F97"/>
    <mergeCell ref="G97:J97"/>
    <mergeCell ref="A98:F98"/>
    <mergeCell ref="G98:J98"/>
    <mergeCell ref="A99:F99"/>
    <mergeCell ref="G99:J99"/>
    <mergeCell ref="A100:J100"/>
    <mergeCell ref="A101:B101"/>
    <mergeCell ref="C101:E101"/>
    <mergeCell ref="F101:G101"/>
    <mergeCell ref="H101:J101"/>
    <mergeCell ref="A102:B102"/>
    <mergeCell ref="C102:E102"/>
    <mergeCell ref="F102:G102"/>
    <mergeCell ref="H102:J102"/>
    <mergeCell ref="A103:J103"/>
    <mergeCell ref="C104:E104"/>
    <mergeCell ref="F104:G104"/>
    <mergeCell ref="H104:J104"/>
    <mergeCell ref="C105:E105"/>
    <mergeCell ref="F105:G105"/>
    <mergeCell ref="H105:J105"/>
    <mergeCell ref="A106:B106"/>
    <mergeCell ref="C106:E106"/>
    <mergeCell ref="F106:G106"/>
    <mergeCell ref="H106:J106"/>
    <mergeCell ref="A107:B107"/>
    <mergeCell ref="C107:E107"/>
    <mergeCell ref="F107:G107"/>
    <mergeCell ref="H107:J107"/>
    <mergeCell ref="A108:B108"/>
    <mergeCell ref="C108:E108"/>
    <mergeCell ref="F108:G108"/>
    <mergeCell ref="H108:J108"/>
    <mergeCell ref="A109:J109"/>
    <mergeCell ref="A110:J110"/>
    <mergeCell ref="A111:B111"/>
    <mergeCell ref="D111:E111"/>
    <mergeCell ref="I111:J111"/>
    <mergeCell ref="A112:J112"/>
    <mergeCell ref="A113:J113"/>
    <mergeCell ref="A114:B114"/>
    <mergeCell ref="D114:E114"/>
    <mergeCell ref="A115:B115"/>
    <mergeCell ref="D115:E115"/>
    <mergeCell ref="A116:B116"/>
    <mergeCell ref="D116:E116"/>
    <mergeCell ref="A117:B117"/>
    <mergeCell ref="D117:E117"/>
    <mergeCell ref="A118:B118"/>
    <mergeCell ref="D118:E118"/>
    <mergeCell ref="A119:B119"/>
    <mergeCell ref="D119:E119"/>
    <mergeCell ref="A120:J120"/>
    <mergeCell ref="A121:B121"/>
    <mergeCell ref="D121:E121"/>
    <mergeCell ref="A122:B122"/>
    <mergeCell ref="D122:E122"/>
    <mergeCell ref="A123:J123"/>
    <mergeCell ref="A124:B124"/>
    <mergeCell ref="D124:E124"/>
    <mergeCell ref="A125:B125"/>
    <mergeCell ref="D125:E125"/>
    <mergeCell ref="A126:J126"/>
    <mergeCell ref="A127:B127"/>
    <mergeCell ref="D127:E127"/>
    <mergeCell ref="A128:B128"/>
    <mergeCell ref="D128:E128"/>
    <mergeCell ref="A129:J129"/>
    <mergeCell ref="A130:J130"/>
    <mergeCell ref="A131:J131"/>
    <mergeCell ref="A132:B132"/>
    <mergeCell ref="D132:E132"/>
    <mergeCell ref="I132:J132"/>
    <mergeCell ref="A133:J133"/>
    <mergeCell ref="A134:B134"/>
    <mergeCell ref="D134:E134"/>
    <mergeCell ref="A135:B135"/>
    <mergeCell ref="D135:E135"/>
    <mergeCell ref="A136:B136"/>
    <mergeCell ref="D136:E136"/>
    <mergeCell ref="A137:B137"/>
    <mergeCell ref="D137:E137"/>
    <mergeCell ref="A138:J138"/>
    <mergeCell ref="A139:B139"/>
    <mergeCell ref="D139:E139"/>
    <mergeCell ref="A140:B140"/>
    <mergeCell ref="D140:E140"/>
    <mergeCell ref="A141:B141"/>
    <mergeCell ref="D141:E141"/>
    <mergeCell ref="A142:B142"/>
    <mergeCell ref="D142:E142"/>
    <mergeCell ref="A143:J143"/>
    <mergeCell ref="A144:J144"/>
    <mergeCell ref="A145:B145"/>
    <mergeCell ref="D145:E145"/>
    <mergeCell ref="I145:J145"/>
    <mergeCell ref="A146:J146"/>
    <mergeCell ref="A147:B147"/>
    <mergeCell ref="D147:E147"/>
    <mergeCell ref="A148:B148"/>
    <mergeCell ref="D148:E148"/>
    <mergeCell ref="A149:B149"/>
    <mergeCell ref="D149:E149"/>
    <mergeCell ref="A150:B150"/>
    <mergeCell ref="D150:E150"/>
    <mergeCell ref="A151:J151"/>
    <mergeCell ref="A152:B152"/>
    <mergeCell ref="D152:E152"/>
    <mergeCell ref="A153:B153"/>
    <mergeCell ref="D153:E153"/>
    <mergeCell ref="A154:B154"/>
    <mergeCell ref="D154:E154"/>
    <mergeCell ref="A155:B155"/>
    <mergeCell ref="D155:E155"/>
    <mergeCell ref="A156:J156"/>
    <mergeCell ref="A157:J157"/>
    <mergeCell ref="A158:B158"/>
    <mergeCell ref="D158:E158"/>
    <mergeCell ref="A159:B159"/>
    <mergeCell ref="D159:E159"/>
    <mergeCell ref="A160:B160"/>
    <mergeCell ref="D160:E160"/>
    <mergeCell ref="A161:J161"/>
    <mergeCell ref="A162:B162"/>
    <mergeCell ref="D162:E162"/>
    <mergeCell ref="A163:B163"/>
    <mergeCell ref="D163:E163"/>
    <mergeCell ref="A164:J164"/>
    <mergeCell ref="A165:B165"/>
    <mergeCell ref="D165:E165"/>
    <mergeCell ref="I162:J163"/>
    <mergeCell ref="A166:B166"/>
    <mergeCell ref="D166:E166"/>
    <mergeCell ref="A167:J167"/>
    <mergeCell ref="A168:J168"/>
    <mergeCell ref="A169:J169"/>
    <mergeCell ref="A170:B170"/>
    <mergeCell ref="D170:E170"/>
    <mergeCell ref="A171:B171"/>
    <mergeCell ref="D171:E171"/>
    <mergeCell ref="I165:J166"/>
    <mergeCell ref="A172:B172"/>
    <mergeCell ref="D172:E172"/>
    <mergeCell ref="A173:B173"/>
    <mergeCell ref="D173:E173"/>
    <mergeCell ref="A174:J174"/>
    <mergeCell ref="A175:B175"/>
    <mergeCell ref="D175:E175"/>
    <mergeCell ref="A176:B176"/>
    <mergeCell ref="D176:E176"/>
    <mergeCell ref="A177:B177"/>
    <mergeCell ref="D177:E177"/>
    <mergeCell ref="A178:B178"/>
    <mergeCell ref="C178:H178"/>
    <mergeCell ref="A179:J179"/>
    <mergeCell ref="A180:J180"/>
    <mergeCell ref="A181:J181"/>
    <mergeCell ref="A182:J182"/>
    <mergeCell ref="A183:J183"/>
    <mergeCell ref="A184:J184"/>
    <mergeCell ref="A185:J185"/>
    <mergeCell ref="A186:J186"/>
    <mergeCell ref="D191:F191"/>
    <mergeCell ref="A104:A105"/>
    <mergeCell ref="A19:E20"/>
    <mergeCell ref="F19:J20"/>
    <mergeCell ref="A21:E22"/>
    <mergeCell ref="F21:J22"/>
    <mergeCell ref="A47:B48"/>
    <mergeCell ref="F61:G70"/>
    <mergeCell ref="H61:J70"/>
    <mergeCell ref="I114:J119"/>
    <mergeCell ref="I121:J122"/>
    <mergeCell ref="I124:J125"/>
    <mergeCell ref="I134:J137"/>
    <mergeCell ref="I139:J142"/>
    <mergeCell ref="I147:J150"/>
    <mergeCell ref="I152:J155"/>
    <mergeCell ref="I158:J160"/>
    <mergeCell ref="A187:J190"/>
    <mergeCell ref="I170:J173"/>
    <mergeCell ref="I175:J178"/>
    <mergeCell ref="I127:J128"/>
  </mergeCells>
  <hyperlinks>
    <hyperlink ref="C33" r:id="rId1"/>
  </hyperlinks>
  <pageMargins left="0.39370078740157499" right="0.39370078740157499" top="0.74803149606299202" bottom="0.74803149606299202" header="0.31496062992126" footer="0.31496062992126"/>
  <pageSetup scale="95" fitToHeight="0" orientation="portrait" r:id="rId2"/>
  <headerFooter>
    <oddHeader>&amp;C&amp;"Times New Roman,Bold"&amp;20V S JADON &amp; CO. VALUERS LLP.</oddHeader>
    <oddFooter>&amp;L&amp;"Times New Roman,Bold"Ref No: &amp;F&amp;C&amp;G&amp;R&amp;P</oddFooter>
  </headerFooter>
  <rowBreaks count="3" manualBreakCount="3">
    <brk id="70" max="16383" man="1"/>
    <brk id="190" max="16383" man="1"/>
    <brk id="237" max="16383"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Drop Down 6">
              <controlPr defaultSize="0" print="0" autoPict="0">
                <anchor moveWithCells="1" sizeWithCells="1">
                  <from>
                    <xdr:col>5</xdr:col>
                    <xdr:colOff>0</xdr:colOff>
                    <xdr:row>3</xdr:row>
                    <xdr:rowOff>0</xdr:rowOff>
                  </from>
                  <to>
                    <xdr:col>9</xdr:col>
                    <xdr:colOff>158750</xdr:colOff>
                    <xdr:row>4</xdr:row>
                    <xdr:rowOff>0</xdr:rowOff>
                  </to>
                </anchor>
              </controlPr>
            </control>
          </mc:Choice>
        </mc:AlternateContent>
        <mc:AlternateContent xmlns:mc="http://schemas.openxmlformats.org/markup-compatibility/2006">
          <mc:Choice Requires="x14">
            <control shapeId="2055" r:id="rId7" name="Drop Down 7">
              <controlPr defaultSize="0" print="0" autoPict="0">
                <anchor moveWithCells="1" sizeWithCells="1">
                  <from>
                    <xdr:col>5</xdr:col>
                    <xdr:colOff>0</xdr:colOff>
                    <xdr:row>34</xdr:row>
                    <xdr:rowOff>0</xdr:rowOff>
                  </from>
                  <to>
                    <xdr:col>9</xdr:col>
                    <xdr:colOff>158750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7" workbookViewId="0">
      <selection activeCell="C10" sqref="C10"/>
    </sheetView>
  </sheetViews>
  <sheetFormatPr defaultColWidth="9" defaultRowHeight="14.5"/>
  <cols>
    <col min="1" max="1" width="11.36328125" customWidth="1"/>
    <col min="2" max="2" width="12" customWidth="1"/>
    <col min="3" max="3" width="14.54296875" customWidth="1"/>
    <col min="4" max="4" width="4" customWidth="1"/>
    <col min="5" max="5" width="15.08984375" customWidth="1"/>
    <col min="6" max="7" width="9.08984375" customWidth="1"/>
    <col min="9" max="9" width="12.6328125" customWidth="1"/>
    <col min="10" max="10" width="15.08984375" customWidth="1"/>
    <col min="13" max="13" width="16.54296875" customWidth="1"/>
  </cols>
  <sheetData>
    <row r="2" spans="1:15">
      <c r="A2" t="s">
        <v>205</v>
      </c>
      <c r="B2" s="7" t="s">
        <v>206</v>
      </c>
      <c r="C2" s="7">
        <v>4</v>
      </c>
    </row>
    <row r="3" spans="1:15">
      <c r="B3" t="s">
        <v>207</v>
      </c>
      <c r="C3" t="s">
        <v>208</v>
      </c>
    </row>
    <row r="4" spans="1:15">
      <c r="A4" t="s">
        <v>209</v>
      </c>
      <c r="B4" s="6">
        <v>10</v>
      </c>
      <c r="C4" s="6">
        <v>10</v>
      </c>
      <c r="E4">
        <f>(100/B4)*C4</f>
        <v>100</v>
      </c>
    </row>
    <row r="5" spans="1:15">
      <c r="A5" t="s">
        <v>210</v>
      </c>
      <c r="B5" t="s">
        <v>211</v>
      </c>
      <c r="C5" t="s">
        <v>212</v>
      </c>
      <c r="E5">
        <f>(100/B6)*C6</f>
        <v>100</v>
      </c>
      <c r="I5" s="6" t="s">
        <v>213</v>
      </c>
      <c r="J5" s="6" t="s">
        <v>214</v>
      </c>
      <c r="K5" s="6" t="s">
        <v>215</v>
      </c>
      <c r="L5" s="6" t="s">
        <v>216</v>
      </c>
      <c r="M5" s="6" t="s">
        <v>217</v>
      </c>
      <c r="N5" s="6" t="s">
        <v>218</v>
      </c>
      <c r="O5" s="6" t="s">
        <v>219</v>
      </c>
    </row>
    <row r="6" spans="1:15">
      <c r="B6" s="6">
        <f>C2+1</f>
        <v>5</v>
      </c>
      <c r="C6" s="6">
        <v>5</v>
      </c>
      <c r="E6">
        <f>(100/B8)*C8</f>
        <v>100</v>
      </c>
      <c r="F6" s="8" t="s">
        <v>220</v>
      </c>
      <c r="I6" s="8">
        <f>C4</f>
        <v>10</v>
      </c>
      <c r="J6" s="8">
        <f>40/B6*C6</f>
        <v>40</v>
      </c>
      <c r="K6" s="8">
        <f>15/B8*C8</f>
        <v>15</v>
      </c>
      <c r="L6" s="8">
        <f>10/B10*C10</f>
        <v>10</v>
      </c>
      <c r="M6" s="8">
        <f>10/B12*C12</f>
        <v>0</v>
      </c>
      <c r="N6" s="8">
        <f>5/B14*C14</f>
        <v>0</v>
      </c>
      <c r="O6" s="8">
        <f>5/B16*C16</f>
        <v>0</v>
      </c>
    </row>
    <row r="7" spans="1:15">
      <c r="A7" t="s">
        <v>221</v>
      </c>
      <c r="B7" t="s">
        <v>222</v>
      </c>
      <c r="C7" t="s">
        <v>223</v>
      </c>
      <c r="E7">
        <f>(100/B10)*C10</f>
        <v>100</v>
      </c>
      <c r="F7" s="6" t="s">
        <v>224</v>
      </c>
      <c r="G7" s="6"/>
      <c r="H7" s="6"/>
      <c r="I7" s="6">
        <f>I6+20</f>
        <v>30</v>
      </c>
      <c r="J7" s="6">
        <f>30/B6*C6</f>
        <v>30</v>
      </c>
      <c r="K7" s="6">
        <f>15/B8*C8</f>
        <v>15</v>
      </c>
      <c r="L7" s="6">
        <f>10/B10*C10</f>
        <v>10</v>
      </c>
      <c r="M7" s="6">
        <f>5/B12*C12</f>
        <v>0</v>
      </c>
      <c r="N7" s="6">
        <f>5/B14*C14</f>
        <v>0</v>
      </c>
      <c r="O7" s="6">
        <f>5/B16*C16</f>
        <v>0</v>
      </c>
    </row>
    <row r="8" spans="1:15">
      <c r="B8" s="6">
        <v>4</v>
      </c>
      <c r="C8" s="6">
        <v>4</v>
      </c>
      <c r="E8">
        <f>(100/B12)*C12</f>
        <v>0</v>
      </c>
    </row>
    <row r="9" spans="1:15">
      <c r="A9" t="s">
        <v>225</v>
      </c>
      <c r="B9" t="s">
        <v>222</v>
      </c>
      <c r="C9" t="s">
        <v>223</v>
      </c>
      <c r="E9">
        <f>(100/B14)*C14</f>
        <v>0</v>
      </c>
    </row>
    <row r="10" spans="1:15">
      <c r="B10" s="6">
        <v>4</v>
      </c>
      <c r="C10" s="12">
        <v>4</v>
      </c>
      <c r="E10">
        <f>(100/B16)*C16</f>
        <v>0</v>
      </c>
    </row>
    <row r="11" spans="1:15">
      <c r="A11" t="s">
        <v>217</v>
      </c>
      <c r="B11" t="s">
        <v>222</v>
      </c>
      <c r="C11" t="s">
        <v>223</v>
      </c>
    </row>
    <row r="12" spans="1:15">
      <c r="B12" s="6">
        <v>4</v>
      </c>
      <c r="C12" s="6">
        <v>0</v>
      </c>
      <c r="F12" s="6"/>
      <c r="G12" s="6" t="s">
        <v>220</v>
      </c>
      <c r="H12" s="6" t="s">
        <v>226</v>
      </c>
      <c r="L12" t="s">
        <v>227</v>
      </c>
    </row>
    <row r="13" spans="1:15" ht="31.5" customHeight="1">
      <c r="A13" s="9" t="s">
        <v>218</v>
      </c>
      <c r="B13" t="s">
        <v>222</v>
      </c>
      <c r="C13" t="s">
        <v>223</v>
      </c>
      <c r="F13" s="6" t="s">
        <v>115</v>
      </c>
      <c r="G13" s="6">
        <f>I6</f>
        <v>10</v>
      </c>
      <c r="H13" s="6">
        <f>I7</f>
        <v>30</v>
      </c>
      <c r="L13" t="s">
        <v>227</v>
      </c>
    </row>
    <row r="14" spans="1:15">
      <c r="B14" s="6">
        <v>4</v>
      </c>
      <c r="C14" s="6">
        <v>0</v>
      </c>
      <c r="F14" s="6" t="s">
        <v>228</v>
      </c>
      <c r="G14" s="6">
        <f>J6</f>
        <v>40</v>
      </c>
      <c r="H14" s="6">
        <f>J7</f>
        <v>30</v>
      </c>
    </row>
    <row r="15" spans="1:15">
      <c r="A15" t="s">
        <v>219</v>
      </c>
      <c r="B15" t="s">
        <v>222</v>
      </c>
      <c r="C15" t="s">
        <v>223</v>
      </c>
      <c r="F15" s="6" t="s">
        <v>215</v>
      </c>
      <c r="G15" s="6">
        <f>K6</f>
        <v>15</v>
      </c>
      <c r="H15" s="6">
        <f>K7</f>
        <v>15</v>
      </c>
    </row>
    <row r="16" spans="1:15">
      <c r="B16" s="6">
        <v>4</v>
      </c>
      <c r="C16" s="6">
        <v>0</v>
      </c>
      <c r="F16" s="6" t="s">
        <v>216</v>
      </c>
      <c r="G16" s="6">
        <f>L6</f>
        <v>10</v>
      </c>
      <c r="H16" s="6">
        <f>L7</f>
        <v>10</v>
      </c>
    </row>
    <row r="17" spans="6:8">
      <c r="F17" s="6" t="s">
        <v>217</v>
      </c>
      <c r="G17" s="6">
        <f>M6</f>
        <v>0</v>
      </c>
      <c r="H17" s="6">
        <f>M7</f>
        <v>0</v>
      </c>
    </row>
    <row r="18" spans="6:8" ht="29.25" customHeight="1">
      <c r="F18" s="10" t="s">
        <v>218</v>
      </c>
      <c r="G18" s="6">
        <f>N6</f>
        <v>0</v>
      </c>
      <c r="H18" s="6">
        <f>N7</f>
        <v>0</v>
      </c>
    </row>
    <row r="19" spans="6:8">
      <c r="F19" s="6" t="s">
        <v>219</v>
      </c>
      <c r="G19" s="6">
        <f>O6</f>
        <v>0</v>
      </c>
      <c r="H19" s="6">
        <f>O7</f>
        <v>0</v>
      </c>
    </row>
    <row r="20" spans="6:8">
      <c r="F20" s="6" t="s">
        <v>229</v>
      </c>
      <c r="G20" s="6">
        <f>G13+G14+G15+G16+G17+G18+G19</f>
        <v>75</v>
      </c>
      <c r="H20" s="6">
        <f>H13+H14+H15+H16+H17+H18+H19</f>
        <v>85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13" workbookViewId="0">
      <selection activeCell="H21" sqref="H21"/>
    </sheetView>
  </sheetViews>
  <sheetFormatPr defaultColWidth="9" defaultRowHeight="14.5"/>
  <cols>
    <col min="1" max="1" width="11.36328125" customWidth="1"/>
    <col min="2" max="2" width="12" customWidth="1"/>
    <col min="3" max="3" width="14.54296875" customWidth="1"/>
    <col min="4" max="4" width="4" customWidth="1"/>
    <col min="5" max="5" width="15.08984375" customWidth="1"/>
    <col min="6" max="7" width="9.08984375" customWidth="1"/>
    <col min="9" max="9" width="12.6328125" customWidth="1"/>
    <col min="10" max="10" width="15.08984375" customWidth="1"/>
    <col min="13" max="13" width="16.54296875" customWidth="1"/>
  </cols>
  <sheetData>
    <row r="2" spans="1:15">
      <c r="A2" t="s">
        <v>205</v>
      </c>
      <c r="B2" s="7" t="s">
        <v>206</v>
      </c>
      <c r="C2" s="7">
        <v>4</v>
      </c>
    </row>
    <row r="3" spans="1:15">
      <c r="B3" t="s">
        <v>207</v>
      </c>
      <c r="C3" t="s">
        <v>208</v>
      </c>
    </row>
    <row r="4" spans="1:15">
      <c r="A4" t="s">
        <v>209</v>
      </c>
      <c r="B4" s="6">
        <v>10</v>
      </c>
      <c r="C4" s="6">
        <v>10</v>
      </c>
      <c r="E4">
        <f>(100/B4)*C4</f>
        <v>100</v>
      </c>
    </row>
    <row r="5" spans="1:15">
      <c r="A5" t="s">
        <v>210</v>
      </c>
      <c r="B5" t="s">
        <v>211</v>
      </c>
      <c r="C5" t="s">
        <v>212</v>
      </c>
      <c r="E5">
        <f>(100/B6)*C6</f>
        <v>100</v>
      </c>
      <c r="I5" s="6" t="s">
        <v>213</v>
      </c>
      <c r="J5" s="6" t="s">
        <v>214</v>
      </c>
      <c r="K5" s="6" t="s">
        <v>215</v>
      </c>
      <c r="L5" s="6" t="s">
        <v>216</v>
      </c>
      <c r="M5" s="6" t="s">
        <v>217</v>
      </c>
      <c r="N5" s="6" t="s">
        <v>218</v>
      </c>
      <c r="O5" s="6" t="s">
        <v>219</v>
      </c>
    </row>
    <row r="6" spans="1:15">
      <c r="B6" s="6">
        <f>C2+1</f>
        <v>5</v>
      </c>
      <c r="C6" s="6">
        <v>5</v>
      </c>
      <c r="E6">
        <f>(100/B8)*C8</f>
        <v>100</v>
      </c>
      <c r="F6" s="8" t="s">
        <v>220</v>
      </c>
      <c r="I6" s="8">
        <f>C4</f>
        <v>10</v>
      </c>
      <c r="J6" s="8">
        <f>40/B6*C6</f>
        <v>40</v>
      </c>
      <c r="K6" s="8">
        <f>15/B8*C8</f>
        <v>15</v>
      </c>
      <c r="L6" s="8">
        <f>10/B10*C10</f>
        <v>7.5</v>
      </c>
      <c r="M6" s="8">
        <f>10/B12*C12</f>
        <v>0</v>
      </c>
      <c r="N6" s="8">
        <f>5/B14*C14</f>
        <v>0</v>
      </c>
      <c r="O6" s="8">
        <f>5/B16*C16</f>
        <v>0</v>
      </c>
    </row>
    <row r="7" spans="1:15">
      <c r="A7" t="s">
        <v>221</v>
      </c>
      <c r="B7" t="s">
        <v>222</v>
      </c>
      <c r="C7" t="s">
        <v>223</v>
      </c>
      <c r="E7">
        <f>(100/B10)*C10</f>
        <v>75</v>
      </c>
      <c r="F7" s="6" t="s">
        <v>224</v>
      </c>
      <c r="G7" s="6"/>
      <c r="H7" s="6"/>
      <c r="I7" s="6">
        <f>I6+20</f>
        <v>30</v>
      </c>
      <c r="J7" s="6">
        <f>30/B6*C6</f>
        <v>30</v>
      </c>
      <c r="K7" s="6">
        <f>15/B8*C8</f>
        <v>15</v>
      </c>
      <c r="L7" s="6">
        <f>10/B10*C10</f>
        <v>7.5</v>
      </c>
      <c r="M7" s="6">
        <f>5/B12*C12</f>
        <v>0</v>
      </c>
      <c r="N7" s="6">
        <f>5/B14*C14</f>
        <v>0</v>
      </c>
      <c r="O7" s="6">
        <f>5/B16*C16</f>
        <v>0</v>
      </c>
    </row>
    <row r="8" spans="1:15">
      <c r="B8" s="6">
        <v>4</v>
      </c>
      <c r="C8" s="6">
        <v>4</v>
      </c>
      <c r="E8">
        <f>(100/B12)*C12</f>
        <v>0</v>
      </c>
    </row>
    <row r="9" spans="1:15">
      <c r="A9" t="s">
        <v>225</v>
      </c>
      <c r="B9" t="s">
        <v>222</v>
      </c>
      <c r="C9" t="s">
        <v>223</v>
      </c>
      <c r="E9">
        <f>(100/B14)*C14</f>
        <v>0</v>
      </c>
    </row>
    <row r="10" spans="1:15">
      <c r="B10" s="6">
        <v>4</v>
      </c>
      <c r="C10" s="6">
        <v>3</v>
      </c>
      <c r="E10">
        <f>(100/B16)*C16</f>
        <v>0</v>
      </c>
    </row>
    <row r="11" spans="1:15">
      <c r="A11" t="s">
        <v>217</v>
      </c>
      <c r="B11" t="s">
        <v>222</v>
      </c>
      <c r="C11" t="s">
        <v>223</v>
      </c>
    </row>
    <row r="12" spans="1:15">
      <c r="B12" s="6">
        <v>4</v>
      </c>
      <c r="C12" s="6">
        <v>0</v>
      </c>
      <c r="F12" s="6"/>
      <c r="G12" s="6" t="s">
        <v>220</v>
      </c>
      <c r="H12" s="6" t="s">
        <v>226</v>
      </c>
      <c r="L12" t="s">
        <v>227</v>
      </c>
    </row>
    <row r="13" spans="1:15" ht="31.5" customHeight="1">
      <c r="A13" s="9" t="s">
        <v>218</v>
      </c>
      <c r="B13" t="s">
        <v>222</v>
      </c>
      <c r="C13" t="s">
        <v>223</v>
      </c>
      <c r="F13" s="6" t="s">
        <v>115</v>
      </c>
      <c r="G13" s="6">
        <f>I6</f>
        <v>10</v>
      </c>
      <c r="H13" s="6">
        <f>I7</f>
        <v>30</v>
      </c>
      <c r="L13" t="s">
        <v>227</v>
      </c>
    </row>
    <row r="14" spans="1:15">
      <c r="B14" s="6">
        <v>4</v>
      </c>
      <c r="C14" s="6">
        <v>0</v>
      </c>
      <c r="F14" s="6" t="s">
        <v>228</v>
      </c>
      <c r="G14" s="6">
        <f>J6</f>
        <v>40</v>
      </c>
      <c r="H14" s="6">
        <f>J7</f>
        <v>30</v>
      </c>
    </row>
    <row r="15" spans="1:15">
      <c r="A15" t="s">
        <v>219</v>
      </c>
      <c r="B15" t="s">
        <v>222</v>
      </c>
      <c r="C15" t="s">
        <v>223</v>
      </c>
      <c r="F15" s="6" t="s">
        <v>215</v>
      </c>
      <c r="G15" s="6">
        <f>K6</f>
        <v>15</v>
      </c>
      <c r="H15" s="6">
        <f>K7</f>
        <v>15</v>
      </c>
    </row>
    <row r="16" spans="1:15">
      <c r="B16" s="6">
        <v>4</v>
      </c>
      <c r="C16" s="6">
        <v>0</v>
      </c>
      <c r="F16" s="6" t="s">
        <v>216</v>
      </c>
      <c r="G16" s="6">
        <f>L6</f>
        <v>7.5</v>
      </c>
      <c r="H16" s="6">
        <f>L7</f>
        <v>7.5</v>
      </c>
    </row>
    <row r="17" spans="6:8">
      <c r="F17" s="6" t="s">
        <v>217</v>
      </c>
      <c r="G17" s="6">
        <f>M6</f>
        <v>0</v>
      </c>
      <c r="H17" s="6">
        <f>M7</f>
        <v>0</v>
      </c>
    </row>
    <row r="18" spans="6:8" ht="29.25" customHeight="1">
      <c r="F18" s="10" t="s">
        <v>218</v>
      </c>
      <c r="G18" s="6">
        <f>N6</f>
        <v>0</v>
      </c>
      <c r="H18" s="6">
        <f>N7</f>
        <v>0</v>
      </c>
    </row>
    <row r="19" spans="6:8">
      <c r="F19" s="6" t="s">
        <v>219</v>
      </c>
      <c r="G19" s="6">
        <f>O6</f>
        <v>0</v>
      </c>
      <c r="H19" s="6">
        <f>O7</f>
        <v>0</v>
      </c>
    </row>
    <row r="20" spans="6:8">
      <c r="F20" s="6" t="s">
        <v>229</v>
      </c>
      <c r="G20" s="6">
        <f>G13+G14+G15+G16+G17+G18+G19</f>
        <v>72.5</v>
      </c>
      <c r="H20" s="6">
        <f>H13+H14+H15+H16+H17+H18+H19</f>
        <v>82.5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16" workbookViewId="0">
      <selection activeCell="H24" sqref="H24"/>
    </sheetView>
  </sheetViews>
  <sheetFormatPr defaultColWidth="9" defaultRowHeight="14.5"/>
  <cols>
    <col min="1" max="1" width="11.36328125" customWidth="1"/>
    <col min="2" max="2" width="12" customWidth="1"/>
    <col min="3" max="3" width="14.54296875" customWidth="1"/>
    <col min="4" max="4" width="4" customWidth="1"/>
    <col min="5" max="5" width="15.08984375" customWidth="1"/>
    <col min="6" max="7" width="9.08984375" customWidth="1"/>
    <col min="9" max="9" width="12.6328125" customWidth="1"/>
    <col min="10" max="10" width="15.08984375" customWidth="1"/>
    <col min="13" max="13" width="16.54296875" customWidth="1"/>
  </cols>
  <sheetData>
    <row r="2" spans="1:15">
      <c r="A2" t="s">
        <v>205</v>
      </c>
      <c r="B2" s="7" t="s">
        <v>206</v>
      </c>
      <c r="C2" s="7">
        <v>3</v>
      </c>
    </row>
    <row r="3" spans="1:15">
      <c r="B3" t="s">
        <v>207</v>
      </c>
      <c r="C3" t="s">
        <v>208</v>
      </c>
    </row>
    <row r="4" spans="1:15">
      <c r="A4" t="s">
        <v>209</v>
      </c>
      <c r="B4" s="6">
        <v>10</v>
      </c>
      <c r="C4" s="6">
        <v>10</v>
      </c>
      <c r="E4">
        <f>(100/B4)*C4</f>
        <v>100</v>
      </c>
    </row>
    <row r="5" spans="1:15">
      <c r="A5" t="s">
        <v>210</v>
      </c>
      <c r="B5" t="s">
        <v>211</v>
      </c>
      <c r="C5" t="s">
        <v>212</v>
      </c>
      <c r="E5">
        <f>(100/B6)*C6</f>
        <v>100</v>
      </c>
      <c r="I5" s="6" t="s">
        <v>213</v>
      </c>
      <c r="J5" s="6" t="s">
        <v>214</v>
      </c>
      <c r="K5" s="6" t="s">
        <v>215</v>
      </c>
      <c r="L5" s="6" t="s">
        <v>216</v>
      </c>
      <c r="M5" s="6" t="s">
        <v>217</v>
      </c>
      <c r="N5" s="6" t="s">
        <v>218</v>
      </c>
      <c r="O5" s="6" t="s">
        <v>219</v>
      </c>
    </row>
    <row r="6" spans="1:15">
      <c r="B6" s="6">
        <f>C2+1</f>
        <v>4</v>
      </c>
      <c r="C6" s="6">
        <v>4</v>
      </c>
      <c r="E6">
        <f>(100/B8)*C8</f>
        <v>100</v>
      </c>
      <c r="F6" s="8" t="s">
        <v>220</v>
      </c>
      <c r="I6" s="8">
        <f>C4</f>
        <v>10</v>
      </c>
      <c r="J6" s="8">
        <f>40/B6*C6</f>
        <v>40</v>
      </c>
      <c r="K6" s="8">
        <f>15/B8*C8</f>
        <v>15</v>
      </c>
      <c r="L6" s="8">
        <f>10/B10*C10</f>
        <v>0</v>
      </c>
      <c r="M6" s="8">
        <f>10/B12*C12</f>
        <v>0</v>
      </c>
      <c r="N6" s="8">
        <f>5/B14*C14</f>
        <v>0</v>
      </c>
      <c r="O6" s="8">
        <f>5/B16*C16</f>
        <v>0</v>
      </c>
    </row>
    <row r="7" spans="1:15">
      <c r="A7" t="s">
        <v>221</v>
      </c>
      <c r="B7" t="s">
        <v>222</v>
      </c>
      <c r="C7" t="s">
        <v>223</v>
      </c>
      <c r="E7">
        <f>(100/B10)*C10</f>
        <v>0</v>
      </c>
      <c r="F7" s="6" t="s">
        <v>224</v>
      </c>
      <c r="G7" s="6"/>
      <c r="H7" s="6"/>
      <c r="I7" s="6">
        <f>I6+20</f>
        <v>30</v>
      </c>
      <c r="J7" s="6">
        <f>30/B6*C6</f>
        <v>30</v>
      </c>
      <c r="K7" s="6">
        <f>15/B8*C8</f>
        <v>15</v>
      </c>
      <c r="L7" s="6">
        <f>10/B10*C10</f>
        <v>0</v>
      </c>
      <c r="M7" s="6">
        <f>5/B12*C12</f>
        <v>0</v>
      </c>
      <c r="N7" s="6">
        <f>5/B14*C14</f>
        <v>0</v>
      </c>
      <c r="O7" s="6">
        <f>5/B16*C16</f>
        <v>0</v>
      </c>
    </row>
    <row r="8" spans="1:15">
      <c r="B8" s="6">
        <f>C2</f>
        <v>3</v>
      </c>
      <c r="C8" s="6">
        <v>3</v>
      </c>
      <c r="E8">
        <f>(100/B12)*C12</f>
        <v>0</v>
      </c>
    </row>
    <row r="9" spans="1:15">
      <c r="A9" t="s">
        <v>225</v>
      </c>
      <c r="B9" t="s">
        <v>222</v>
      </c>
      <c r="C9" t="s">
        <v>223</v>
      </c>
      <c r="E9">
        <f>(100/B14)*C14</f>
        <v>0</v>
      </c>
    </row>
    <row r="10" spans="1:15">
      <c r="B10" s="6">
        <f>C2</f>
        <v>3</v>
      </c>
      <c r="C10" s="6">
        <v>0</v>
      </c>
      <c r="E10">
        <f>(100/B16)*C16</f>
        <v>0</v>
      </c>
    </row>
    <row r="11" spans="1:15">
      <c r="A11" t="s">
        <v>217</v>
      </c>
      <c r="B11" t="s">
        <v>222</v>
      </c>
      <c r="C11" t="s">
        <v>223</v>
      </c>
    </row>
    <row r="12" spans="1:15">
      <c r="B12" s="6">
        <f>C2</f>
        <v>3</v>
      </c>
      <c r="C12" s="6">
        <v>0</v>
      </c>
      <c r="F12" s="6"/>
      <c r="G12" s="6" t="s">
        <v>220</v>
      </c>
      <c r="H12" s="6" t="s">
        <v>226</v>
      </c>
      <c r="L12" t="s">
        <v>227</v>
      </c>
    </row>
    <row r="13" spans="1:15" ht="31.5" customHeight="1">
      <c r="A13" s="9" t="s">
        <v>218</v>
      </c>
      <c r="B13" t="s">
        <v>222</v>
      </c>
      <c r="C13" t="s">
        <v>223</v>
      </c>
      <c r="F13" s="6" t="s">
        <v>115</v>
      </c>
      <c r="G13" s="6">
        <f>I6</f>
        <v>10</v>
      </c>
      <c r="H13" s="6">
        <f>I7</f>
        <v>30</v>
      </c>
      <c r="L13" t="s">
        <v>227</v>
      </c>
    </row>
    <row r="14" spans="1:15">
      <c r="B14" s="6">
        <f>C2</f>
        <v>3</v>
      </c>
      <c r="C14" s="6">
        <v>0</v>
      </c>
      <c r="F14" s="6" t="s">
        <v>228</v>
      </c>
      <c r="G14" s="6">
        <f>J6</f>
        <v>40</v>
      </c>
      <c r="H14" s="6">
        <f>J7</f>
        <v>30</v>
      </c>
    </row>
    <row r="15" spans="1:15">
      <c r="A15" t="s">
        <v>219</v>
      </c>
      <c r="B15" t="s">
        <v>222</v>
      </c>
      <c r="C15" t="s">
        <v>223</v>
      </c>
      <c r="F15" s="6" t="s">
        <v>215</v>
      </c>
      <c r="G15" s="6">
        <f>K6</f>
        <v>15</v>
      </c>
      <c r="H15" s="6">
        <f>K7</f>
        <v>15</v>
      </c>
    </row>
    <row r="16" spans="1:15">
      <c r="B16" s="6">
        <f>C2</f>
        <v>3</v>
      </c>
      <c r="C16" s="6">
        <v>0</v>
      </c>
      <c r="F16" s="6" t="s">
        <v>216</v>
      </c>
      <c r="G16" s="6">
        <f>L6</f>
        <v>0</v>
      </c>
      <c r="H16" s="6">
        <f>L7</f>
        <v>0</v>
      </c>
    </row>
    <row r="17" spans="6:8">
      <c r="F17" s="6" t="s">
        <v>217</v>
      </c>
      <c r="G17" s="6">
        <f>M6</f>
        <v>0</v>
      </c>
      <c r="H17" s="6">
        <f>M7</f>
        <v>0</v>
      </c>
    </row>
    <row r="18" spans="6:8" ht="29.25" customHeight="1">
      <c r="F18" s="10" t="s">
        <v>218</v>
      </c>
      <c r="G18" s="6">
        <f>N6</f>
        <v>0</v>
      </c>
      <c r="H18" s="6">
        <f>N7</f>
        <v>0</v>
      </c>
    </row>
    <row r="19" spans="6:8">
      <c r="F19" s="6" t="s">
        <v>219</v>
      </c>
      <c r="G19" s="6">
        <f>O6</f>
        <v>0</v>
      </c>
      <c r="H19" s="6">
        <f>O7</f>
        <v>0</v>
      </c>
    </row>
    <row r="20" spans="6:8">
      <c r="F20" s="6" t="s">
        <v>229</v>
      </c>
      <c r="G20" s="6">
        <f>G13+G14+G15+G16+G17+G18+G19</f>
        <v>65</v>
      </c>
      <c r="H20" s="6">
        <f>H13+H14+H15+H16+H17+H18+H19</f>
        <v>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10" sqref="C10"/>
    </sheetView>
  </sheetViews>
  <sheetFormatPr defaultColWidth="9" defaultRowHeight="14.5"/>
  <cols>
    <col min="2" max="2" width="11.6328125" customWidth="1"/>
  </cols>
  <sheetData>
    <row r="2" spans="1:15">
      <c r="A2" t="s">
        <v>205</v>
      </c>
      <c r="B2" s="7" t="s">
        <v>206</v>
      </c>
      <c r="C2" s="7">
        <v>3</v>
      </c>
    </row>
    <row r="3" spans="1:15">
      <c r="B3" t="s">
        <v>207</v>
      </c>
      <c r="C3" t="s">
        <v>208</v>
      </c>
    </row>
    <row r="4" spans="1:15">
      <c r="A4" t="s">
        <v>209</v>
      </c>
      <c r="B4" s="6">
        <v>10</v>
      </c>
      <c r="C4" s="6">
        <v>10</v>
      </c>
      <c r="E4">
        <f>(100/B4)*C4</f>
        <v>100</v>
      </c>
    </row>
    <row r="5" spans="1:15">
      <c r="A5" t="s">
        <v>210</v>
      </c>
      <c r="B5" t="s">
        <v>211</v>
      </c>
      <c r="C5" t="s">
        <v>212</v>
      </c>
      <c r="E5">
        <f>(100/B6)*C6</f>
        <v>100</v>
      </c>
      <c r="I5" s="6" t="s">
        <v>213</v>
      </c>
      <c r="J5" s="6" t="s">
        <v>214</v>
      </c>
      <c r="K5" s="6" t="s">
        <v>215</v>
      </c>
      <c r="L5" s="6" t="s">
        <v>216</v>
      </c>
      <c r="M5" s="6" t="s">
        <v>217</v>
      </c>
      <c r="N5" s="6" t="s">
        <v>218</v>
      </c>
      <c r="O5" s="6" t="s">
        <v>219</v>
      </c>
    </row>
    <row r="6" spans="1:15">
      <c r="B6" s="6">
        <f>C2+1</f>
        <v>4</v>
      </c>
      <c r="C6" s="6">
        <v>4</v>
      </c>
      <c r="E6">
        <f>(100/B8)*C8</f>
        <v>100</v>
      </c>
      <c r="F6" s="8" t="s">
        <v>220</v>
      </c>
      <c r="I6" s="8">
        <f>C4</f>
        <v>10</v>
      </c>
      <c r="J6" s="8">
        <f>40/B6*C6</f>
        <v>40</v>
      </c>
      <c r="K6" s="8">
        <f>15/B8*C8</f>
        <v>15</v>
      </c>
      <c r="L6" s="8">
        <f>10/B10*C10</f>
        <v>5</v>
      </c>
      <c r="M6" s="8">
        <f>10/B12*C12</f>
        <v>0</v>
      </c>
      <c r="N6" s="8">
        <f>5/B14*C14</f>
        <v>0</v>
      </c>
      <c r="O6" s="8">
        <f>5/B16*C16</f>
        <v>0</v>
      </c>
    </row>
    <row r="7" spans="1:15">
      <c r="A7" t="s">
        <v>221</v>
      </c>
      <c r="B7" t="s">
        <v>222</v>
      </c>
      <c r="C7" t="s">
        <v>223</v>
      </c>
      <c r="E7">
        <f>(100/B10)*C10</f>
        <v>50</v>
      </c>
      <c r="F7" s="6" t="s">
        <v>224</v>
      </c>
      <c r="G7" s="6"/>
      <c r="H7" s="6"/>
      <c r="I7" s="6">
        <f>I6+20</f>
        <v>30</v>
      </c>
      <c r="J7" s="6">
        <f>30/B6*C6</f>
        <v>30</v>
      </c>
      <c r="K7" s="6">
        <f>15/B8*C8</f>
        <v>15</v>
      </c>
      <c r="L7" s="6">
        <f>10/B10*C10</f>
        <v>5</v>
      </c>
      <c r="M7" s="6">
        <f>5/B12*C12</f>
        <v>0</v>
      </c>
      <c r="N7" s="6">
        <f>5/B14*C14</f>
        <v>0</v>
      </c>
      <c r="O7" s="6">
        <f>5/B16*C16</f>
        <v>0</v>
      </c>
    </row>
    <row r="8" spans="1:15">
      <c r="B8" s="6">
        <f>C2</f>
        <v>3</v>
      </c>
      <c r="C8" s="6">
        <v>3</v>
      </c>
      <c r="E8">
        <f>(100/B12)*C12</f>
        <v>0</v>
      </c>
    </row>
    <row r="9" spans="1:15">
      <c r="A9" t="s">
        <v>225</v>
      </c>
      <c r="B9" t="s">
        <v>222</v>
      </c>
      <c r="C9" t="s">
        <v>223</v>
      </c>
      <c r="E9">
        <f>(100/B14)*C14</f>
        <v>0</v>
      </c>
    </row>
    <row r="10" spans="1:15">
      <c r="B10" s="6">
        <f>C2</f>
        <v>3</v>
      </c>
      <c r="C10" s="6">
        <v>1.5</v>
      </c>
      <c r="E10">
        <f>(100/B16)*C16</f>
        <v>0</v>
      </c>
    </row>
    <row r="11" spans="1:15">
      <c r="A11" t="s">
        <v>217</v>
      </c>
      <c r="B11" t="s">
        <v>222</v>
      </c>
      <c r="C11" t="s">
        <v>223</v>
      </c>
    </row>
    <row r="12" spans="1:15">
      <c r="B12" s="6">
        <f>C2</f>
        <v>3</v>
      </c>
      <c r="C12" s="6">
        <v>0</v>
      </c>
      <c r="F12" s="6"/>
      <c r="G12" s="6" t="s">
        <v>220</v>
      </c>
      <c r="H12" s="6" t="s">
        <v>226</v>
      </c>
      <c r="L12" t="s">
        <v>227</v>
      </c>
    </row>
    <row r="13" spans="1:15" ht="29">
      <c r="A13" s="9" t="s">
        <v>218</v>
      </c>
      <c r="B13" t="s">
        <v>222</v>
      </c>
      <c r="C13" t="s">
        <v>223</v>
      </c>
      <c r="F13" s="6" t="s">
        <v>115</v>
      </c>
      <c r="G13" s="6">
        <f>I6</f>
        <v>10</v>
      </c>
      <c r="H13" s="6">
        <f>I7</f>
        <v>30</v>
      </c>
      <c r="L13" t="s">
        <v>227</v>
      </c>
    </row>
    <row r="14" spans="1:15">
      <c r="B14" s="6">
        <f>C2</f>
        <v>3</v>
      </c>
      <c r="C14" s="6">
        <v>0</v>
      </c>
      <c r="F14" s="6" t="s">
        <v>228</v>
      </c>
      <c r="G14" s="6">
        <f>J6</f>
        <v>40</v>
      </c>
      <c r="H14" s="6">
        <f>J7</f>
        <v>30</v>
      </c>
    </row>
    <row r="15" spans="1:15">
      <c r="A15" t="s">
        <v>219</v>
      </c>
      <c r="B15" t="s">
        <v>222</v>
      </c>
      <c r="C15" t="s">
        <v>223</v>
      </c>
      <c r="F15" s="6" t="s">
        <v>215</v>
      </c>
      <c r="G15" s="6">
        <f>K6</f>
        <v>15</v>
      </c>
      <c r="H15" s="6">
        <f>K7</f>
        <v>15</v>
      </c>
    </row>
    <row r="16" spans="1:15">
      <c r="B16" s="6">
        <f>C2</f>
        <v>3</v>
      </c>
      <c r="C16" s="6">
        <v>0</v>
      </c>
      <c r="F16" s="6" t="s">
        <v>216</v>
      </c>
      <c r="G16" s="6">
        <f>L6</f>
        <v>5</v>
      </c>
      <c r="H16" s="6">
        <f>L7</f>
        <v>5</v>
      </c>
    </row>
    <row r="17" spans="5:8">
      <c r="F17" s="6" t="s">
        <v>217</v>
      </c>
      <c r="G17" s="6">
        <f>M6</f>
        <v>0</v>
      </c>
      <c r="H17" s="6">
        <f>M7</f>
        <v>0</v>
      </c>
    </row>
    <row r="18" spans="5:8" ht="29">
      <c r="F18" s="10" t="s">
        <v>218</v>
      </c>
      <c r="G18" s="6">
        <f>N6</f>
        <v>0</v>
      </c>
      <c r="H18" s="6">
        <f>N7</f>
        <v>0</v>
      </c>
    </row>
    <row r="19" spans="5:8">
      <c r="F19" s="6" t="s">
        <v>219</v>
      </c>
      <c r="G19" s="6">
        <f>O6</f>
        <v>0</v>
      </c>
      <c r="H19" s="6">
        <f>O7</f>
        <v>0</v>
      </c>
    </row>
    <row r="20" spans="5:8">
      <c r="F20" s="6" t="s">
        <v>229</v>
      </c>
      <c r="G20" s="6">
        <f>G13+G14+G15+G16+G17+G18+G19</f>
        <v>70</v>
      </c>
      <c r="H20" s="6">
        <f>H13+H14+H15+H16+H17+H18+H19</f>
        <v>80</v>
      </c>
    </row>
    <row r="21" spans="5:8">
      <c r="E21"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D12" sqref="D12"/>
    </sheetView>
  </sheetViews>
  <sheetFormatPr defaultColWidth="9" defaultRowHeight="14.5"/>
  <cols>
    <col min="1" max="1" width="11.36328125" customWidth="1"/>
    <col min="2" max="2" width="12" customWidth="1"/>
    <col min="3" max="3" width="14.54296875" customWidth="1"/>
    <col min="4" max="4" width="4" customWidth="1"/>
    <col min="5" max="5" width="15.08984375" customWidth="1"/>
    <col min="6" max="7" width="9.08984375" customWidth="1"/>
    <col min="9" max="9" width="12.6328125" customWidth="1"/>
    <col min="10" max="10" width="15.08984375" customWidth="1"/>
    <col min="13" max="13" width="16.54296875" customWidth="1"/>
  </cols>
  <sheetData>
    <row r="2" spans="1:15">
      <c r="A2" t="s">
        <v>205</v>
      </c>
      <c r="B2" s="7" t="s">
        <v>206</v>
      </c>
      <c r="C2" s="7">
        <v>4</v>
      </c>
    </row>
    <row r="3" spans="1:15">
      <c r="B3" t="s">
        <v>207</v>
      </c>
      <c r="C3" t="s">
        <v>208</v>
      </c>
    </row>
    <row r="4" spans="1:15">
      <c r="A4" t="s">
        <v>209</v>
      </c>
      <c r="B4" s="6">
        <v>10</v>
      </c>
      <c r="C4" s="6">
        <v>10</v>
      </c>
      <c r="E4">
        <f>(100/B4)*C4</f>
        <v>100</v>
      </c>
    </row>
    <row r="5" spans="1:15">
      <c r="A5" t="s">
        <v>210</v>
      </c>
      <c r="B5" t="s">
        <v>211</v>
      </c>
      <c r="C5" t="s">
        <v>212</v>
      </c>
      <c r="E5">
        <f>(100/B6)*C6</f>
        <v>100</v>
      </c>
      <c r="I5" s="6" t="s">
        <v>213</v>
      </c>
      <c r="J5" s="6" t="s">
        <v>214</v>
      </c>
      <c r="K5" s="6" t="s">
        <v>215</v>
      </c>
      <c r="L5" s="6" t="s">
        <v>216</v>
      </c>
      <c r="M5" s="6" t="s">
        <v>217</v>
      </c>
      <c r="N5" s="6" t="s">
        <v>218</v>
      </c>
      <c r="O5" s="6" t="s">
        <v>219</v>
      </c>
    </row>
    <row r="6" spans="1:15">
      <c r="B6" s="6">
        <f>C2+1</f>
        <v>5</v>
      </c>
      <c r="C6" s="6">
        <v>5</v>
      </c>
      <c r="E6">
        <f>(100/B8)*C8</f>
        <v>100</v>
      </c>
      <c r="F6" s="8" t="s">
        <v>220</v>
      </c>
      <c r="I6" s="8">
        <f>C4</f>
        <v>10</v>
      </c>
      <c r="J6" s="8">
        <f>40/B6*C6</f>
        <v>40</v>
      </c>
      <c r="K6" s="8">
        <f>15/B8*C8</f>
        <v>15</v>
      </c>
      <c r="L6" s="8">
        <f>10/B10*C10</f>
        <v>0</v>
      </c>
      <c r="M6" s="8">
        <f>10/B12*C12</f>
        <v>0</v>
      </c>
      <c r="N6" s="8">
        <f>5/B14*C14</f>
        <v>0</v>
      </c>
      <c r="O6" s="8">
        <f>5/B16*C16</f>
        <v>0</v>
      </c>
    </row>
    <row r="7" spans="1:15">
      <c r="A7" t="s">
        <v>221</v>
      </c>
      <c r="B7" t="s">
        <v>222</v>
      </c>
      <c r="C7" t="s">
        <v>223</v>
      </c>
      <c r="E7">
        <f>(100/B10)*C10</f>
        <v>0</v>
      </c>
      <c r="F7" s="6" t="s">
        <v>224</v>
      </c>
      <c r="G7" s="6"/>
      <c r="H7" s="6"/>
      <c r="I7" s="6">
        <f>I6+20</f>
        <v>30</v>
      </c>
      <c r="J7" s="6">
        <f>30/B6*C6</f>
        <v>30</v>
      </c>
      <c r="K7" s="6">
        <f>15/B8*C8</f>
        <v>15</v>
      </c>
      <c r="L7" s="6">
        <f>10/B10*C10</f>
        <v>0</v>
      </c>
      <c r="M7" s="6">
        <f>5/B12*C12</f>
        <v>0</v>
      </c>
      <c r="N7" s="6">
        <f>5/B14*C14</f>
        <v>0</v>
      </c>
      <c r="O7" s="6">
        <f>5/B16*C16</f>
        <v>0</v>
      </c>
    </row>
    <row r="8" spans="1:15">
      <c r="B8" s="6">
        <f>C2+1</f>
        <v>5</v>
      </c>
      <c r="C8" s="6">
        <v>5</v>
      </c>
      <c r="E8">
        <f>(100/B12)*C12</f>
        <v>0</v>
      </c>
    </row>
    <row r="9" spans="1:15">
      <c r="A9" t="s">
        <v>225</v>
      </c>
      <c r="B9" t="s">
        <v>222</v>
      </c>
      <c r="C9" t="s">
        <v>223</v>
      </c>
      <c r="E9">
        <f>(100/B14)*C14</f>
        <v>0</v>
      </c>
    </row>
    <row r="10" spans="1:15">
      <c r="B10" s="6">
        <f>C2+1</f>
        <v>5</v>
      </c>
      <c r="C10" s="6">
        <v>0</v>
      </c>
      <c r="E10">
        <f>(100/B16)*C16</f>
        <v>0</v>
      </c>
    </row>
    <row r="11" spans="1:15">
      <c r="A11" t="s">
        <v>217</v>
      </c>
      <c r="B11" t="s">
        <v>222</v>
      </c>
      <c r="C11" t="s">
        <v>223</v>
      </c>
    </row>
    <row r="12" spans="1:15">
      <c r="B12" s="6">
        <f>C2+1</f>
        <v>5</v>
      </c>
      <c r="C12" s="6">
        <v>0</v>
      </c>
      <c r="F12" s="6"/>
      <c r="G12" s="6" t="s">
        <v>220</v>
      </c>
      <c r="H12" s="6" t="s">
        <v>226</v>
      </c>
      <c r="L12" t="s">
        <v>227</v>
      </c>
    </row>
    <row r="13" spans="1:15" ht="31.5" customHeight="1">
      <c r="A13" s="9" t="s">
        <v>218</v>
      </c>
      <c r="B13" t="s">
        <v>222</v>
      </c>
      <c r="C13" t="s">
        <v>223</v>
      </c>
      <c r="F13" s="6" t="s">
        <v>115</v>
      </c>
      <c r="G13" s="6">
        <f>I6</f>
        <v>10</v>
      </c>
      <c r="H13" s="6">
        <f>I7</f>
        <v>30</v>
      </c>
      <c r="L13" t="s">
        <v>227</v>
      </c>
    </row>
    <row r="14" spans="1:15">
      <c r="B14" s="6">
        <f>C2+1</f>
        <v>5</v>
      </c>
      <c r="C14" s="6">
        <v>0</v>
      </c>
      <c r="F14" s="6" t="s">
        <v>228</v>
      </c>
      <c r="G14" s="6">
        <f>J6</f>
        <v>40</v>
      </c>
      <c r="H14" s="6">
        <f>J7</f>
        <v>30</v>
      </c>
    </row>
    <row r="15" spans="1:15">
      <c r="A15" t="s">
        <v>219</v>
      </c>
      <c r="B15" t="s">
        <v>222</v>
      </c>
      <c r="C15" t="s">
        <v>223</v>
      </c>
      <c r="F15" s="6" t="s">
        <v>215</v>
      </c>
      <c r="G15" s="6">
        <f>K6</f>
        <v>15</v>
      </c>
      <c r="H15" s="6">
        <f>K7</f>
        <v>15</v>
      </c>
    </row>
    <row r="16" spans="1:15">
      <c r="B16" s="6">
        <f>C2+1</f>
        <v>5</v>
      </c>
      <c r="C16" s="6">
        <v>0</v>
      </c>
      <c r="F16" s="6" t="s">
        <v>216</v>
      </c>
      <c r="G16" s="6">
        <f>L6</f>
        <v>0</v>
      </c>
      <c r="H16" s="6">
        <f>L7</f>
        <v>0</v>
      </c>
    </row>
    <row r="17" spans="6:8">
      <c r="F17" s="6" t="s">
        <v>217</v>
      </c>
      <c r="G17" s="6">
        <f>M6</f>
        <v>0</v>
      </c>
      <c r="H17" s="6">
        <f>M7</f>
        <v>0</v>
      </c>
    </row>
    <row r="18" spans="6:8" ht="29.25" customHeight="1">
      <c r="F18" s="10" t="s">
        <v>218</v>
      </c>
      <c r="G18" s="6">
        <f>N6</f>
        <v>0</v>
      </c>
      <c r="H18" s="6">
        <f>N7</f>
        <v>0</v>
      </c>
    </row>
    <row r="19" spans="6:8">
      <c r="F19" s="6" t="s">
        <v>219</v>
      </c>
      <c r="G19" s="6">
        <f>O6</f>
        <v>0</v>
      </c>
      <c r="H19" s="6">
        <f>O7</f>
        <v>0</v>
      </c>
    </row>
    <row r="20" spans="6:8">
      <c r="F20" s="6" t="s">
        <v>229</v>
      </c>
      <c r="G20" s="6">
        <f>G13+G14+G15+G16+G17+G18+G19</f>
        <v>65</v>
      </c>
      <c r="H20" s="6">
        <f>H13+H14+H15+H16+H17+H18+H19</f>
        <v>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5"/>
  <sheetViews>
    <sheetView topLeftCell="A20" workbookViewId="0">
      <selection activeCell="R29" sqref="R29"/>
    </sheetView>
  </sheetViews>
  <sheetFormatPr defaultColWidth="9" defaultRowHeight="14.5"/>
  <sheetData>
    <row r="3" spans="2:16">
      <c r="C3" s="2" t="s">
        <v>230</v>
      </c>
      <c r="D3" s="159"/>
      <c r="E3" s="159"/>
    </row>
    <row r="4" spans="2:16">
      <c r="E4" s="3"/>
      <c r="F4" s="3"/>
      <c r="G4" s="3"/>
      <c r="H4" s="3"/>
      <c r="I4" s="3"/>
      <c r="J4" s="3"/>
    </row>
    <row r="5" spans="2:16">
      <c r="B5" s="2" t="s">
        <v>231</v>
      </c>
      <c r="C5" s="4" t="s">
        <v>232</v>
      </c>
      <c r="D5" s="160" t="s">
        <v>233</v>
      </c>
      <c r="E5" s="160"/>
      <c r="F5" s="160"/>
      <c r="G5" s="5"/>
      <c r="H5" s="160" t="s">
        <v>234</v>
      </c>
      <c r="I5" s="160"/>
      <c r="J5" s="160"/>
      <c r="K5" s="160" t="s">
        <v>235</v>
      </c>
      <c r="L5" s="160"/>
      <c r="M5" s="160"/>
    </row>
    <row r="6" spans="2:16">
      <c r="B6" s="2">
        <v>1</v>
      </c>
      <c r="C6" s="4"/>
      <c r="D6" s="4" t="s">
        <v>236</v>
      </c>
      <c r="E6" s="4" t="s">
        <v>237</v>
      </c>
      <c r="F6" s="4" t="s">
        <v>238</v>
      </c>
      <c r="G6" s="4"/>
      <c r="H6" s="4" t="s">
        <v>236</v>
      </c>
      <c r="I6" s="4" t="s">
        <v>237</v>
      </c>
      <c r="J6" s="4" t="s">
        <v>238</v>
      </c>
      <c r="K6" s="4" t="s">
        <v>236</v>
      </c>
      <c r="L6" s="4" t="s">
        <v>237</v>
      </c>
      <c r="M6" s="4" t="s">
        <v>238</v>
      </c>
    </row>
    <row r="7" spans="2:16">
      <c r="C7" s="6" t="s">
        <v>239</v>
      </c>
      <c r="D7" s="6">
        <v>2.6</v>
      </c>
      <c r="E7" s="6">
        <v>3.65</v>
      </c>
      <c r="F7" s="6">
        <f>D7*E7</f>
        <v>9.49</v>
      </c>
      <c r="G7" s="6" t="s">
        <v>240</v>
      </c>
      <c r="H7" s="6"/>
      <c r="I7" s="6"/>
      <c r="J7" s="6">
        <f>H7*I7</f>
        <v>0</v>
      </c>
      <c r="K7" s="6">
        <v>2.625</v>
      </c>
      <c r="L7" s="6">
        <v>2.5</v>
      </c>
      <c r="M7" s="6">
        <f>K7*L7</f>
        <v>6.5625</v>
      </c>
    </row>
    <row r="8" spans="2:16">
      <c r="C8" s="6"/>
      <c r="D8" s="6"/>
      <c r="E8" s="6"/>
      <c r="F8" s="6">
        <f t="shared" ref="F8:F34" si="0">D8*E8</f>
        <v>0</v>
      </c>
      <c r="G8" s="6" t="s">
        <v>241</v>
      </c>
      <c r="H8" s="6"/>
      <c r="I8" s="6"/>
      <c r="J8" s="6">
        <f t="shared" ref="J8:J34" si="1">H8*I8</f>
        <v>0</v>
      </c>
      <c r="K8" s="6"/>
      <c r="L8" s="6"/>
      <c r="M8" s="6">
        <f t="shared" ref="M8:M34" si="2">K8*L8</f>
        <v>0</v>
      </c>
    </row>
    <row r="9" spans="2:16">
      <c r="C9" s="6"/>
      <c r="D9" s="6"/>
      <c r="E9" s="6"/>
      <c r="F9" s="6">
        <f t="shared" si="0"/>
        <v>0</v>
      </c>
      <c r="G9" s="6"/>
      <c r="H9" s="6"/>
      <c r="I9" s="6"/>
      <c r="J9" s="6">
        <f t="shared" si="1"/>
        <v>0</v>
      </c>
      <c r="K9" s="6"/>
      <c r="L9" s="6"/>
      <c r="M9" s="6">
        <f t="shared" si="2"/>
        <v>0</v>
      </c>
    </row>
    <row r="10" spans="2:16">
      <c r="C10" s="6" t="s">
        <v>242</v>
      </c>
      <c r="D10" s="6">
        <v>2.2000000000000002</v>
      </c>
      <c r="E10" s="6">
        <v>2.2000000000000002</v>
      </c>
      <c r="F10" s="6">
        <f t="shared" si="0"/>
        <v>4.84</v>
      </c>
      <c r="G10" s="6" t="s">
        <v>240</v>
      </c>
      <c r="H10" s="6">
        <v>2.2999999999999998</v>
      </c>
      <c r="I10" s="6">
        <v>2</v>
      </c>
      <c r="J10" s="6">
        <f t="shared" si="1"/>
        <v>4.5999999999999996</v>
      </c>
      <c r="K10" s="6"/>
      <c r="L10" s="6"/>
      <c r="M10" s="6">
        <f t="shared" si="2"/>
        <v>0</v>
      </c>
    </row>
    <row r="11" spans="2:16">
      <c r="C11" s="6"/>
      <c r="D11" s="6"/>
      <c r="E11" s="6"/>
      <c r="F11" s="6">
        <f t="shared" si="0"/>
        <v>0</v>
      </c>
      <c r="G11" s="6" t="s">
        <v>241</v>
      </c>
      <c r="H11" s="6">
        <v>2.35</v>
      </c>
      <c r="I11" s="6"/>
      <c r="J11" s="6">
        <f t="shared" si="1"/>
        <v>0</v>
      </c>
      <c r="K11" s="6"/>
      <c r="L11" s="6"/>
      <c r="M11" s="6">
        <f t="shared" si="2"/>
        <v>0</v>
      </c>
    </row>
    <row r="12" spans="2:16">
      <c r="C12" s="6"/>
      <c r="D12" s="6"/>
      <c r="E12" s="6"/>
      <c r="F12" s="6">
        <f t="shared" si="0"/>
        <v>0</v>
      </c>
      <c r="G12" s="6"/>
      <c r="H12" s="6"/>
      <c r="I12" s="6"/>
      <c r="J12" s="6">
        <f t="shared" si="1"/>
        <v>0</v>
      </c>
      <c r="K12" s="6"/>
      <c r="L12" s="6"/>
      <c r="M12" s="6">
        <f t="shared" si="2"/>
        <v>0</v>
      </c>
      <c r="P12">
        <f>2.6*2.55</f>
        <v>6.63</v>
      </c>
    </row>
    <row r="13" spans="2:16">
      <c r="C13" s="6"/>
      <c r="D13" s="6"/>
      <c r="E13" s="6"/>
      <c r="F13" s="6">
        <f t="shared" si="0"/>
        <v>0</v>
      </c>
      <c r="G13" s="6"/>
      <c r="H13" s="6"/>
      <c r="I13" s="6"/>
      <c r="J13" s="6">
        <f t="shared" si="1"/>
        <v>0</v>
      </c>
      <c r="K13" s="6"/>
      <c r="L13" s="6"/>
      <c r="M13" s="6">
        <f t="shared" si="2"/>
        <v>0</v>
      </c>
      <c r="P13">
        <f>P12*10.764</f>
        <v>71.365319999999997</v>
      </c>
    </row>
    <row r="14" spans="2:16">
      <c r="C14" s="6" t="s">
        <v>243</v>
      </c>
      <c r="D14" s="6">
        <v>2.6</v>
      </c>
      <c r="E14" s="6">
        <v>2.6</v>
      </c>
      <c r="F14" s="6">
        <f t="shared" si="0"/>
        <v>6.76</v>
      </c>
      <c r="G14" s="6" t="s">
        <v>240</v>
      </c>
      <c r="H14" s="6"/>
      <c r="I14" s="6"/>
      <c r="J14" s="6">
        <f t="shared" si="1"/>
        <v>0</v>
      </c>
      <c r="K14" s="6"/>
      <c r="L14" s="6"/>
      <c r="M14" s="6">
        <f t="shared" si="2"/>
        <v>0</v>
      </c>
    </row>
    <row r="15" spans="2:16">
      <c r="C15" s="6"/>
      <c r="D15" s="6"/>
      <c r="E15" s="6"/>
      <c r="F15" s="6">
        <f t="shared" si="0"/>
        <v>0</v>
      </c>
      <c r="G15" s="6" t="s">
        <v>241</v>
      </c>
      <c r="H15" s="6"/>
      <c r="I15" s="6"/>
      <c r="J15" s="6">
        <f t="shared" si="1"/>
        <v>0</v>
      </c>
      <c r="K15" s="6"/>
      <c r="L15" s="6"/>
      <c r="M15" s="6">
        <f t="shared" si="2"/>
        <v>0</v>
      </c>
    </row>
    <row r="16" spans="2:16">
      <c r="C16" s="6"/>
      <c r="D16" s="6"/>
      <c r="E16" s="6"/>
      <c r="F16" s="6">
        <f t="shared" si="0"/>
        <v>0</v>
      </c>
      <c r="G16" s="6"/>
      <c r="H16" s="6"/>
      <c r="I16" s="6"/>
      <c r="J16" s="6">
        <f t="shared" si="1"/>
        <v>0</v>
      </c>
      <c r="K16" s="6"/>
      <c r="L16" s="6"/>
      <c r="M16" s="6">
        <f t="shared" si="2"/>
        <v>0</v>
      </c>
    </row>
    <row r="17" spans="3:13">
      <c r="C17" s="6"/>
      <c r="D17" s="6"/>
      <c r="E17" s="6"/>
      <c r="F17" s="6">
        <f t="shared" si="0"/>
        <v>0</v>
      </c>
      <c r="G17" s="6"/>
      <c r="H17" s="6"/>
      <c r="I17" s="6"/>
      <c r="J17" s="6">
        <f t="shared" si="1"/>
        <v>0</v>
      </c>
      <c r="K17" s="6"/>
      <c r="L17" s="6"/>
      <c r="M17" s="6">
        <f t="shared" si="2"/>
        <v>0</v>
      </c>
    </row>
    <row r="18" spans="3:13">
      <c r="C18" s="6" t="s">
        <v>244</v>
      </c>
      <c r="D18" s="6"/>
      <c r="E18" s="6"/>
      <c r="F18" s="6">
        <f t="shared" si="0"/>
        <v>0</v>
      </c>
      <c r="G18" s="6" t="s">
        <v>240</v>
      </c>
      <c r="H18" s="6"/>
      <c r="I18" s="6"/>
      <c r="J18" s="6">
        <f t="shared" si="1"/>
        <v>0</v>
      </c>
      <c r="K18" s="6"/>
      <c r="L18" s="6"/>
      <c r="M18" s="6">
        <f t="shared" si="2"/>
        <v>0</v>
      </c>
    </row>
    <row r="19" spans="3:13">
      <c r="C19" s="6"/>
      <c r="D19" s="6"/>
      <c r="E19" s="6"/>
      <c r="F19" s="6">
        <f t="shared" si="0"/>
        <v>0</v>
      </c>
      <c r="G19" s="6" t="s">
        <v>241</v>
      </c>
      <c r="H19" s="6"/>
      <c r="I19" s="6"/>
      <c r="J19" s="6">
        <f t="shared" si="1"/>
        <v>0</v>
      </c>
      <c r="K19" s="6"/>
      <c r="L19" s="6"/>
      <c r="M19" s="6">
        <f t="shared" si="2"/>
        <v>0</v>
      </c>
    </row>
    <row r="20" spans="3:13">
      <c r="C20" s="6"/>
      <c r="D20" s="6"/>
      <c r="E20" s="6"/>
      <c r="F20" s="6">
        <f t="shared" si="0"/>
        <v>0</v>
      </c>
      <c r="G20" s="6"/>
      <c r="H20" s="6"/>
      <c r="I20" s="6"/>
      <c r="J20" s="6">
        <f t="shared" si="1"/>
        <v>0</v>
      </c>
      <c r="K20" s="6"/>
      <c r="L20" s="6"/>
      <c r="M20" s="6">
        <f t="shared" si="2"/>
        <v>0</v>
      </c>
    </row>
    <row r="21" spans="3:13">
      <c r="C21" s="6" t="s">
        <v>244</v>
      </c>
      <c r="D21" s="6"/>
      <c r="E21" s="6"/>
      <c r="F21" s="6">
        <f t="shared" si="0"/>
        <v>0</v>
      </c>
      <c r="G21" s="6" t="s">
        <v>240</v>
      </c>
      <c r="H21" s="6"/>
      <c r="I21" s="6"/>
      <c r="J21" s="6">
        <f t="shared" si="1"/>
        <v>0</v>
      </c>
      <c r="K21" s="6"/>
      <c r="L21" s="6"/>
      <c r="M21" s="6">
        <f t="shared" si="2"/>
        <v>0</v>
      </c>
    </row>
    <row r="22" spans="3:13">
      <c r="C22" s="6"/>
      <c r="D22" s="6"/>
      <c r="E22" s="6"/>
      <c r="F22" s="6">
        <f t="shared" si="0"/>
        <v>0</v>
      </c>
      <c r="G22" s="6" t="s">
        <v>241</v>
      </c>
      <c r="H22" s="6"/>
      <c r="I22" s="6"/>
      <c r="J22" s="6">
        <f t="shared" si="1"/>
        <v>0</v>
      </c>
      <c r="K22" s="6"/>
      <c r="L22" s="6"/>
      <c r="M22" s="6">
        <f t="shared" si="2"/>
        <v>0</v>
      </c>
    </row>
    <row r="23" spans="3:13">
      <c r="C23" s="6"/>
      <c r="D23" s="6"/>
      <c r="E23" s="6"/>
      <c r="F23" s="6">
        <f t="shared" si="0"/>
        <v>0</v>
      </c>
      <c r="G23" s="6"/>
      <c r="H23" s="6"/>
      <c r="I23" s="6"/>
      <c r="J23" s="6">
        <f t="shared" si="1"/>
        <v>0</v>
      </c>
      <c r="K23" s="6"/>
      <c r="L23" s="6"/>
      <c r="M23" s="6">
        <f t="shared" si="2"/>
        <v>0</v>
      </c>
    </row>
    <row r="24" spans="3:13">
      <c r="C24" s="6" t="s">
        <v>245</v>
      </c>
      <c r="D24" s="6">
        <v>1.2</v>
      </c>
      <c r="E24" s="6">
        <v>1</v>
      </c>
      <c r="F24" s="6">
        <f t="shared" si="0"/>
        <v>1.2</v>
      </c>
      <c r="G24" s="6" t="s">
        <v>246</v>
      </c>
      <c r="H24" s="6"/>
      <c r="I24" s="6"/>
      <c r="J24" s="6">
        <f t="shared" si="1"/>
        <v>0</v>
      </c>
      <c r="K24" s="6"/>
      <c r="L24" s="6"/>
      <c r="M24" s="6">
        <f t="shared" si="2"/>
        <v>0</v>
      </c>
    </row>
    <row r="25" spans="3:13">
      <c r="C25" s="6" t="s">
        <v>247</v>
      </c>
      <c r="D25" s="6">
        <v>0.9</v>
      </c>
      <c r="E25" s="6">
        <v>1.2</v>
      </c>
      <c r="F25" s="6">
        <f t="shared" si="0"/>
        <v>1.08</v>
      </c>
      <c r="G25" s="6" t="s">
        <v>246</v>
      </c>
      <c r="H25" s="6"/>
      <c r="I25" s="6"/>
      <c r="J25" s="6">
        <f t="shared" si="1"/>
        <v>0</v>
      </c>
      <c r="K25" s="6"/>
      <c r="L25" s="6"/>
      <c r="M25" s="6">
        <f t="shared" si="2"/>
        <v>0</v>
      </c>
    </row>
    <row r="26" spans="3:13">
      <c r="C26" s="6" t="s">
        <v>248</v>
      </c>
      <c r="D26" s="6"/>
      <c r="E26" s="6"/>
      <c r="F26" s="6">
        <f t="shared" si="0"/>
        <v>0</v>
      </c>
      <c r="G26" s="6" t="s">
        <v>246</v>
      </c>
      <c r="H26" s="6"/>
      <c r="I26" s="6"/>
      <c r="J26" s="6">
        <f t="shared" si="1"/>
        <v>0</v>
      </c>
      <c r="K26" s="6"/>
      <c r="L26" s="6"/>
      <c r="M26" s="6">
        <f t="shared" si="2"/>
        <v>0</v>
      </c>
    </row>
    <row r="27" spans="3:13">
      <c r="C27" s="6"/>
      <c r="D27" s="6"/>
      <c r="E27" s="6"/>
      <c r="F27" s="6">
        <f t="shared" si="0"/>
        <v>0</v>
      </c>
      <c r="G27" s="6"/>
      <c r="H27" s="6"/>
      <c r="I27" s="6"/>
      <c r="J27" s="6">
        <f t="shared" si="1"/>
        <v>0</v>
      </c>
      <c r="K27" s="6"/>
      <c r="L27" s="6"/>
      <c r="M27" s="6">
        <f t="shared" si="2"/>
        <v>0</v>
      </c>
    </row>
    <row r="28" spans="3:13">
      <c r="C28" s="6" t="s">
        <v>249</v>
      </c>
      <c r="D28" s="6">
        <v>2.4</v>
      </c>
      <c r="E28" s="6">
        <v>0.9</v>
      </c>
      <c r="F28" s="6">
        <f t="shared" si="0"/>
        <v>2.16</v>
      </c>
      <c r="G28" s="6"/>
      <c r="H28" s="6"/>
      <c r="I28" s="6"/>
      <c r="J28" s="6">
        <f t="shared" si="1"/>
        <v>0</v>
      </c>
      <c r="K28" s="6"/>
      <c r="L28" s="6"/>
      <c r="M28" s="6">
        <f t="shared" si="2"/>
        <v>0</v>
      </c>
    </row>
    <row r="29" spans="3:13">
      <c r="C29" s="6" t="s">
        <v>250</v>
      </c>
      <c r="D29" s="6"/>
      <c r="E29" s="6"/>
      <c r="F29" s="6">
        <f t="shared" si="0"/>
        <v>0</v>
      </c>
      <c r="G29" s="6"/>
      <c r="H29" s="6"/>
      <c r="I29" s="6"/>
      <c r="J29" s="6">
        <f t="shared" si="1"/>
        <v>0</v>
      </c>
      <c r="K29" s="6"/>
      <c r="L29" s="6"/>
      <c r="M29" s="6">
        <f t="shared" si="2"/>
        <v>0</v>
      </c>
    </row>
    <row r="30" spans="3:13">
      <c r="C30" s="6" t="s">
        <v>251</v>
      </c>
      <c r="D30" s="6"/>
      <c r="E30" s="6"/>
      <c r="F30" s="6">
        <f t="shared" si="0"/>
        <v>0</v>
      </c>
      <c r="G30" s="6"/>
      <c r="H30" s="6"/>
      <c r="I30" s="6"/>
      <c r="J30" s="6">
        <f t="shared" si="1"/>
        <v>0</v>
      </c>
      <c r="K30" s="6"/>
      <c r="L30" s="6"/>
      <c r="M30" s="6">
        <f t="shared" si="2"/>
        <v>0</v>
      </c>
    </row>
    <row r="31" spans="3:13">
      <c r="C31" s="6" t="s">
        <v>252</v>
      </c>
      <c r="D31" s="6"/>
      <c r="E31" s="6"/>
      <c r="F31" s="6">
        <f t="shared" si="0"/>
        <v>0</v>
      </c>
      <c r="G31" s="6"/>
      <c r="H31" s="6"/>
      <c r="I31" s="6"/>
      <c r="J31" s="6">
        <f t="shared" si="1"/>
        <v>0</v>
      </c>
      <c r="K31" s="6"/>
      <c r="L31" s="6"/>
      <c r="M31" s="6">
        <f t="shared" si="2"/>
        <v>0</v>
      </c>
    </row>
    <row r="32" spans="3:13">
      <c r="C32" s="6"/>
      <c r="D32" s="6"/>
      <c r="E32" s="6"/>
      <c r="F32" s="6">
        <f t="shared" si="0"/>
        <v>0</v>
      </c>
      <c r="G32" s="6"/>
      <c r="H32" s="6"/>
      <c r="I32" s="6"/>
      <c r="J32" s="6">
        <f t="shared" si="1"/>
        <v>0</v>
      </c>
      <c r="K32" s="6"/>
      <c r="L32" s="6"/>
      <c r="M32" s="6">
        <f t="shared" si="2"/>
        <v>0</v>
      </c>
    </row>
    <row r="33" spans="3:13">
      <c r="C33" s="6"/>
      <c r="D33" s="6"/>
      <c r="E33" s="6"/>
      <c r="F33" s="6">
        <f t="shared" si="0"/>
        <v>0</v>
      </c>
      <c r="G33" s="6"/>
      <c r="H33" s="6"/>
      <c r="I33" s="6"/>
      <c r="J33" s="6">
        <f t="shared" si="1"/>
        <v>0</v>
      </c>
      <c r="K33" s="6"/>
      <c r="L33" s="6"/>
      <c r="M33" s="6">
        <f t="shared" si="2"/>
        <v>0</v>
      </c>
    </row>
    <row r="34" spans="3:13">
      <c r="C34" s="6"/>
      <c r="D34" s="6"/>
      <c r="E34" s="6"/>
      <c r="F34" s="6">
        <f t="shared" si="0"/>
        <v>0</v>
      </c>
      <c r="G34" s="6"/>
      <c r="H34" s="6"/>
      <c r="I34" s="6"/>
      <c r="J34" s="6">
        <f t="shared" si="1"/>
        <v>0</v>
      </c>
      <c r="K34" s="6"/>
      <c r="L34" s="6"/>
      <c r="M34" s="6">
        <f t="shared" si="2"/>
        <v>0</v>
      </c>
    </row>
    <row r="35" spans="3:13">
      <c r="C35" s="6" t="s">
        <v>166</v>
      </c>
      <c r="D35" s="6"/>
      <c r="E35" s="6">
        <f>F35*10.764</f>
        <v>274.80491999999998</v>
      </c>
      <c r="F35" s="6">
        <f>SUM(F7:F34)</f>
        <v>25.53</v>
      </c>
      <c r="G35" s="6"/>
      <c r="H35" s="6"/>
      <c r="I35" s="6">
        <f>J35*10.764</f>
        <v>49.514400000000002</v>
      </c>
      <c r="J35" s="6">
        <f>SUM(J7:J34)</f>
        <v>4.5999999999999996</v>
      </c>
      <c r="K35" s="6"/>
      <c r="L35" s="6">
        <f>M35*10.764</f>
        <v>70.638750000000002</v>
      </c>
      <c r="M35" s="6">
        <f>SUM(M7:M34)</f>
        <v>6.5625</v>
      </c>
    </row>
  </sheetData>
  <mergeCells count="4">
    <mergeCell ref="D3:E3"/>
    <mergeCell ref="D5:F5"/>
    <mergeCell ref="H5:J5"/>
    <mergeCell ref="K5:M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ColWidth="9" defaultRowHeight="14.5"/>
  <sheetData>
    <row r="3" spans="3:14">
      <c r="D3" s="2" t="s">
        <v>230</v>
      </c>
      <c r="E3" s="159"/>
      <c r="F3" s="159"/>
    </row>
    <row r="4" spans="3:14">
      <c r="F4" s="3"/>
      <c r="G4" s="3"/>
      <c r="H4" s="3"/>
      <c r="I4" s="3"/>
      <c r="J4" s="3"/>
      <c r="K4" s="3"/>
    </row>
    <row r="5" spans="3:14">
      <c r="C5" s="2" t="s">
        <v>231</v>
      </c>
      <c r="D5" s="4" t="s">
        <v>232</v>
      </c>
      <c r="E5" s="160" t="s">
        <v>233</v>
      </c>
      <c r="F5" s="160"/>
      <c r="G5" s="160"/>
      <c r="H5" s="5"/>
      <c r="I5" s="160" t="s">
        <v>234</v>
      </c>
      <c r="J5" s="160"/>
      <c r="K5" s="160"/>
      <c r="L5" s="160" t="s">
        <v>235</v>
      </c>
      <c r="M5" s="160"/>
      <c r="N5" s="160"/>
    </row>
    <row r="6" spans="3:14">
      <c r="C6" s="2">
        <v>1</v>
      </c>
      <c r="D6" s="4"/>
      <c r="E6" s="4" t="s">
        <v>236</v>
      </c>
      <c r="F6" s="4" t="s">
        <v>237</v>
      </c>
      <c r="G6" s="4" t="s">
        <v>238</v>
      </c>
      <c r="H6" s="4"/>
      <c r="I6" s="4" t="s">
        <v>236</v>
      </c>
      <c r="J6" s="4" t="s">
        <v>237</v>
      </c>
      <c r="K6" s="4" t="s">
        <v>238</v>
      </c>
      <c r="L6" s="4" t="s">
        <v>236</v>
      </c>
      <c r="M6" s="4" t="s">
        <v>237</v>
      </c>
      <c r="N6" s="4" t="s">
        <v>238</v>
      </c>
    </row>
    <row r="7" spans="3:14">
      <c r="D7" s="6" t="s">
        <v>239</v>
      </c>
      <c r="E7" s="6"/>
      <c r="F7" s="6"/>
      <c r="G7" s="6">
        <f>E7*F7</f>
        <v>0</v>
      </c>
      <c r="H7" s="6" t="s">
        <v>240</v>
      </c>
      <c r="I7" s="6"/>
      <c r="J7" s="6"/>
      <c r="K7" s="6">
        <f>I7*J7</f>
        <v>0</v>
      </c>
      <c r="L7" s="6"/>
      <c r="M7" s="6"/>
      <c r="N7" s="6">
        <f>L7*M7</f>
        <v>0</v>
      </c>
    </row>
    <row r="8" spans="3:14">
      <c r="D8" s="6"/>
      <c r="E8" s="6"/>
      <c r="F8" s="6"/>
      <c r="G8" s="6">
        <f t="shared" ref="G8:G34" si="0">E8*F8</f>
        <v>0</v>
      </c>
      <c r="H8" s="6" t="s">
        <v>241</v>
      </c>
      <c r="I8" s="6"/>
      <c r="J8" s="6"/>
      <c r="K8" s="6">
        <f t="shared" ref="K8:K34" si="1">I8*J8</f>
        <v>0</v>
      </c>
      <c r="L8" s="6"/>
      <c r="M8" s="6"/>
      <c r="N8" s="6">
        <f t="shared" ref="N8:N34" si="2">L8*M8</f>
        <v>0</v>
      </c>
    </row>
    <row r="9" spans="3:14">
      <c r="D9" s="6"/>
      <c r="E9" s="6"/>
      <c r="F9" s="6"/>
      <c r="G9" s="6">
        <f t="shared" si="0"/>
        <v>0</v>
      </c>
      <c r="H9" s="6"/>
      <c r="I9" s="6"/>
      <c r="J9" s="6"/>
      <c r="K9" s="6">
        <f t="shared" si="1"/>
        <v>0</v>
      </c>
      <c r="L9" s="6"/>
      <c r="M9" s="6"/>
      <c r="N9" s="6">
        <f t="shared" si="2"/>
        <v>0</v>
      </c>
    </row>
    <row r="10" spans="3:14">
      <c r="D10" s="6" t="s">
        <v>242</v>
      </c>
      <c r="E10" s="6"/>
      <c r="F10" s="6"/>
      <c r="G10" s="6">
        <f t="shared" si="0"/>
        <v>0</v>
      </c>
      <c r="H10" s="6" t="s">
        <v>240</v>
      </c>
      <c r="I10" s="6"/>
      <c r="J10" s="6"/>
      <c r="K10" s="6">
        <f t="shared" si="1"/>
        <v>0</v>
      </c>
      <c r="L10" s="6"/>
      <c r="M10" s="6"/>
      <c r="N10" s="6">
        <f t="shared" si="2"/>
        <v>0</v>
      </c>
    </row>
    <row r="11" spans="3:14">
      <c r="D11" s="6"/>
      <c r="E11" s="6"/>
      <c r="F11" s="6"/>
      <c r="G11" s="6">
        <f t="shared" si="0"/>
        <v>0</v>
      </c>
      <c r="H11" s="6" t="s">
        <v>241</v>
      </c>
      <c r="I11" s="6"/>
      <c r="J11" s="6"/>
      <c r="K11" s="6">
        <f t="shared" si="1"/>
        <v>0</v>
      </c>
      <c r="L11" s="6"/>
      <c r="M11" s="6"/>
      <c r="N11" s="6">
        <f t="shared" si="2"/>
        <v>0</v>
      </c>
    </row>
    <row r="12" spans="3:14">
      <c r="D12" s="6"/>
      <c r="E12" s="6"/>
      <c r="F12" s="6"/>
      <c r="G12" s="6">
        <f t="shared" si="0"/>
        <v>0</v>
      </c>
      <c r="H12" s="6"/>
      <c r="I12" s="6"/>
      <c r="J12" s="6"/>
      <c r="K12" s="6">
        <f t="shared" si="1"/>
        <v>0</v>
      </c>
      <c r="L12" s="6"/>
      <c r="M12" s="6"/>
      <c r="N12" s="6">
        <f t="shared" si="2"/>
        <v>0</v>
      </c>
    </row>
    <row r="13" spans="3:14">
      <c r="D13" s="6"/>
      <c r="E13" s="6"/>
      <c r="F13" s="6"/>
      <c r="G13" s="6">
        <f t="shared" si="0"/>
        <v>0</v>
      </c>
      <c r="H13" s="6"/>
      <c r="I13" s="6"/>
      <c r="J13" s="6"/>
      <c r="K13" s="6">
        <f t="shared" si="1"/>
        <v>0</v>
      </c>
      <c r="L13" s="6"/>
      <c r="M13" s="6"/>
      <c r="N13" s="6">
        <f t="shared" si="2"/>
        <v>0</v>
      </c>
    </row>
    <row r="14" spans="3:14">
      <c r="D14" s="6" t="s">
        <v>243</v>
      </c>
      <c r="E14" s="6"/>
      <c r="F14" s="6"/>
      <c r="G14" s="6">
        <f t="shared" si="0"/>
        <v>0</v>
      </c>
      <c r="H14" s="6" t="s">
        <v>240</v>
      </c>
      <c r="I14" s="6"/>
      <c r="J14" s="6"/>
      <c r="K14" s="6">
        <f t="shared" si="1"/>
        <v>0</v>
      </c>
      <c r="L14" s="6"/>
      <c r="M14" s="6"/>
      <c r="N14" s="6">
        <f t="shared" si="2"/>
        <v>0</v>
      </c>
    </row>
    <row r="15" spans="3:14">
      <c r="D15" s="6"/>
      <c r="E15" s="6"/>
      <c r="F15" s="6"/>
      <c r="G15" s="6">
        <f t="shared" si="0"/>
        <v>0</v>
      </c>
      <c r="H15" s="6" t="s">
        <v>241</v>
      </c>
      <c r="I15" s="6"/>
      <c r="J15" s="6"/>
      <c r="K15" s="6">
        <f t="shared" si="1"/>
        <v>0</v>
      </c>
      <c r="L15" s="6"/>
      <c r="M15" s="6"/>
      <c r="N15" s="6">
        <f t="shared" si="2"/>
        <v>0</v>
      </c>
    </row>
    <row r="16" spans="3:14">
      <c r="D16" s="6"/>
      <c r="E16" s="6"/>
      <c r="F16" s="6"/>
      <c r="G16" s="6">
        <f t="shared" si="0"/>
        <v>0</v>
      </c>
      <c r="H16" s="6"/>
      <c r="I16" s="6"/>
      <c r="J16" s="6"/>
      <c r="K16" s="6">
        <f t="shared" si="1"/>
        <v>0</v>
      </c>
      <c r="L16" s="6"/>
      <c r="M16" s="6"/>
      <c r="N16" s="6">
        <f t="shared" si="2"/>
        <v>0</v>
      </c>
    </row>
    <row r="17" spans="4:14">
      <c r="D17" s="6"/>
      <c r="E17" s="6"/>
      <c r="F17" s="6"/>
      <c r="G17" s="6">
        <f t="shared" si="0"/>
        <v>0</v>
      </c>
      <c r="H17" s="6"/>
      <c r="I17" s="6"/>
      <c r="J17" s="6"/>
      <c r="K17" s="6">
        <f t="shared" si="1"/>
        <v>0</v>
      </c>
      <c r="L17" s="6"/>
      <c r="M17" s="6"/>
      <c r="N17" s="6">
        <f t="shared" si="2"/>
        <v>0</v>
      </c>
    </row>
    <row r="18" spans="4:14">
      <c r="D18" s="6" t="s">
        <v>244</v>
      </c>
      <c r="E18" s="6"/>
      <c r="F18" s="6"/>
      <c r="G18" s="6">
        <f t="shared" si="0"/>
        <v>0</v>
      </c>
      <c r="H18" s="6" t="s">
        <v>240</v>
      </c>
      <c r="I18" s="6"/>
      <c r="J18" s="6"/>
      <c r="K18" s="6">
        <f t="shared" si="1"/>
        <v>0</v>
      </c>
      <c r="L18" s="6"/>
      <c r="M18" s="6"/>
      <c r="N18" s="6">
        <f t="shared" si="2"/>
        <v>0</v>
      </c>
    </row>
    <row r="19" spans="4:14">
      <c r="D19" s="6"/>
      <c r="E19" s="6"/>
      <c r="F19" s="6"/>
      <c r="G19" s="6">
        <f t="shared" si="0"/>
        <v>0</v>
      </c>
      <c r="H19" s="6" t="s">
        <v>241</v>
      </c>
      <c r="I19" s="6"/>
      <c r="J19" s="6"/>
      <c r="K19" s="6">
        <f t="shared" si="1"/>
        <v>0</v>
      </c>
      <c r="L19" s="6"/>
      <c r="M19" s="6"/>
      <c r="N19" s="6">
        <f t="shared" si="2"/>
        <v>0</v>
      </c>
    </row>
    <row r="20" spans="4:14">
      <c r="D20" s="6"/>
      <c r="E20" s="6"/>
      <c r="F20" s="6"/>
      <c r="G20" s="6">
        <f t="shared" si="0"/>
        <v>0</v>
      </c>
      <c r="H20" s="6"/>
      <c r="I20" s="6"/>
      <c r="J20" s="6"/>
      <c r="K20" s="6">
        <f t="shared" si="1"/>
        <v>0</v>
      </c>
      <c r="L20" s="6"/>
      <c r="M20" s="6"/>
      <c r="N20" s="6">
        <f t="shared" si="2"/>
        <v>0</v>
      </c>
    </row>
    <row r="21" spans="4:14">
      <c r="D21" s="6" t="s">
        <v>244</v>
      </c>
      <c r="E21" s="6"/>
      <c r="F21" s="6"/>
      <c r="G21" s="6">
        <f t="shared" si="0"/>
        <v>0</v>
      </c>
      <c r="H21" s="6" t="s">
        <v>240</v>
      </c>
      <c r="I21" s="6"/>
      <c r="J21" s="6"/>
      <c r="K21" s="6">
        <f t="shared" si="1"/>
        <v>0</v>
      </c>
      <c r="L21" s="6"/>
      <c r="M21" s="6"/>
      <c r="N21" s="6">
        <f t="shared" si="2"/>
        <v>0</v>
      </c>
    </row>
    <row r="22" spans="4:14">
      <c r="D22" s="6"/>
      <c r="E22" s="6"/>
      <c r="F22" s="6"/>
      <c r="G22" s="6">
        <f t="shared" si="0"/>
        <v>0</v>
      </c>
      <c r="H22" s="6" t="s">
        <v>241</v>
      </c>
      <c r="I22" s="6"/>
      <c r="J22" s="6"/>
      <c r="K22" s="6">
        <f t="shared" si="1"/>
        <v>0</v>
      </c>
      <c r="L22" s="6"/>
      <c r="M22" s="6"/>
      <c r="N22" s="6">
        <f t="shared" si="2"/>
        <v>0</v>
      </c>
    </row>
    <row r="23" spans="4:14">
      <c r="D23" s="6"/>
      <c r="E23" s="6"/>
      <c r="F23" s="6"/>
      <c r="G23" s="6">
        <f t="shared" si="0"/>
        <v>0</v>
      </c>
      <c r="H23" s="6"/>
      <c r="I23" s="6"/>
      <c r="J23" s="6"/>
      <c r="K23" s="6">
        <f t="shared" si="1"/>
        <v>0</v>
      </c>
      <c r="L23" s="6"/>
      <c r="M23" s="6"/>
      <c r="N23" s="6">
        <f t="shared" si="2"/>
        <v>0</v>
      </c>
    </row>
    <row r="24" spans="4:14">
      <c r="D24" s="6" t="s">
        <v>245</v>
      </c>
      <c r="E24" s="6"/>
      <c r="F24" s="6"/>
      <c r="G24" s="6">
        <f t="shared" si="0"/>
        <v>0</v>
      </c>
      <c r="H24" s="6" t="s">
        <v>246</v>
      </c>
      <c r="I24" s="6"/>
      <c r="J24" s="6"/>
      <c r="K24" s="6">
        <f t="shared" si="1"/>
        <v>0</v>
      </c>
      <c r="L24" s="6"/>
      <c r="M24" s="6"/>
      <c r="N24" s="6">
        <f t="shared" si="2"/>
        <v>0</v>
      </c>
    </row>
    <row r="25" spans="4:14">
      <c r="D25" s="6" t="s">
        <v>247</v>
      </c>
      <c r="E25" s="6"/>
      <c r="F25" s="6"/>
      <c r="G25" s="6">
        <f t="shared" si="0"/>
        <v>0</v>
      </c>
      <c r="H25" s="6" t="s">
        <v>246</v>
      </c>
      <c r="I25" s="6"/>
      <c r="J25" s="6"/>
      <c r="K25" s="6">
        <f t="shared" si="1"/>
        <v>0</v>
      </c>
      <c r="L25" s="6"/>
      <c r="M25" s="6"/>
      <c r="N25" s="6">
        <f t="shared" si="2"/>
        <v>0</v>
      </c>
    </row>
    <row r="26" spans="4:14">
      <c r="D26" s="6" t="s">
        <v>248</v>
      </c>
      <c r="E26" s="6"/>
      <c r="F26" s="6"/>
      <c r="G26" s="6">
        <f t="shared" si="0"/>
        <v>0</v>
      </c>
      <c r="H26" s="6" t="s">
        <v>246</v>
      </c>
      <c r="I26" s="6"/>
      <c r="J26" s="6"/>
      <c r="K26" s="6">
        <f t="shared" si="1"/>
        <v>0</v>
      </c>
      <c r="L26" s="6"/>
      <c r="M26" s="6"/>
      <c r="N26" s="6">
        <f t="shared" si="2"/>
        <v>0</v>
      </c>
    </row>
    <row r="27" spans="4:14">
      <c r="D27" s="6"/>
      <c r="E27" s="6"/>
      <c r="F27" s="6"/>
      <c r="G27" s="6">
        <f t="shared" si="0"/>
        <v>0</v>
      </c>
      <c r="H27" s="6"/>
      <c r="I27" s="6"/>
      <c r="J27" s="6"/>
      <c r="K27" s="6">
        <f t="shared" si="1"/>
        <v>0</v>
      </c>
      <c r="L27" s="6"/>
      <c r="M27" s="6"/>
      <c r="N27" s="6">
        <f t="shared" si="2"/>
        <v>0</v>
      </c>
    </row>
    <row r="28" spans="4:14">
      <c r="D28" s="6" t="s">
        <v>249</v>
      </c>
      <c r="E28" s="6"/>
      <c r="F28" s="6"/>
      <c r="G28" s="6">
        <f t="shared" si="0"/>
        <v>0</v>
      </c>
      <c r="H28" s="6"/>
      <c r="I28" s="6"/>
      <c r="J28" s="6"/>
      <c r="K28" s="6">
        <f t="shared" si="1"/>
        <v>0</v>
      </c>
      <c r="L28" s="6"/>
      <c r="M28" s="6"/>
      <c r="N28" s="6">
        <f t="shared" si="2"/>
        <v>0</v>
      </c>
    </row>
    <row r="29" spans="4:14">
      <c r="D29" s="6" t="s">
        <v>250</v>
      </c>
      <c r="E29" s="6"/>
      <c r="F29" s="6"/>
      <c r="G29" s="6">
        <f t="shared" si="0"/>
        <v>0</v>
      </c>
      <c r="H29" s="6"/>
      <c r="I29" s="6"/>
      <c r="J29" s="6"/>
      <c r="K29" s="6">
        <f t="shared" si="1"/>
        <v>0</v>
      </c>
      <c r="L29" s="6"/>
      <c r="M29" s="6"/>
      <c r="N29" s="6">
        <f t="shared" si="2"/>
        <v>0</v>
      </c>
    </row>
    <row r="30" spans="4:14">
      <c r="D30" s="6" t="s">
        <v>251</v>
      </c>
      <c r="E30" s="6"/>
      <c r="F30" s="6"/>
      <c r="G30" s="6">
        <f t="shared" si="0"/>
        <v>0</v>
      </c>
      <c r="H30" s="6"/>
      <c r="I30" s="6"/>
      <c r="J30" s="6"/>
      <c r="K30" s="6">
        <f t="shared" si="1"/>
        <v>0</v>
      </c>
      <c r="L30" s="6"/>
      <c r="M30" s="6"/>
      <c r="N30" s="6">
        <f t="shared" si="2"/>
        <v>0</v>
      </c>
    </row>
    <row r="31" spans="4:14">
      <c r="D31" s="6" t="s">
        <v>252</v>
      </c>
      <c r="E31" s="6"/>
      <c r="F31" s="6"/>
      <c r="G31" s="6">
        <f t="shared" si="0"/>
        <v>0</v>
      </c>
      <c r="H31" s="6"/>
      <c r="I31" s="6"/>
      <c r="J31" s="6"/>
      <c r="K31" s="6">
        <f t="shared" si="1"/>
        <v>0</v>
      </c>
      <c r="L31" s="6"/>
      <c r="M31" s="6"/>
      <c r="N31" s="6">
        <f t="shared" si="2"/>
        <v>0</v>
      </c>
    </row>
    <row r="32" spans="4:14">
      <c r="D32" s="6"/>
      <c r="E32" s="6"/>
      <c r="F32" s="6"/>
      <c r="G32" s="6">
        <f t="shared" si="0"/>
        <v>0</v>
      </c>
      <c r="H32" s="6"/>
      <c r="I32" s="6"/>
      <c r="J32" s="6"/>
      <c r="K32" s="6">
        <f t="shared" si="1"/>
        <v>0</v>
      </c>
      <c r="L32" s="6"/>
      <c r="M32" s="6"/>
      <c r="N32" s="6">
        <f t="shared" si="2"/>
        <v>0</v>
      </c>
    </row>
    <row r="33" spans="4:14">
      <c r="D33" s="6"/>
      <c r="E33" s="6"/>
      <c r="F33" s="6"/>
      <c r="G33" s="6">
        <f t="shared" si="0"/>
        <v>0</v>
      </c>
      <c r="H33" s="6"/>
      <c r="I33" s="6"/>
      <c r="J33" s="6"/>
      <c r="K33" s="6">
        <f t="shared" si="1"/>
        <v>0</v>
      </c>
      <c r="L33" s="6"/>
      <c r="M33" s="6"/>
      <c r="N33" s="6">
        <f t="shared" si="2"/>
        <v>0</v>
      </c>
    </row>
    <row r="34" spans="4:14">
      <c r="D34" s="6"/>
      <c r="E34" s="6"/>
      <c r="F34" s="6"/>
      <c r="G34" s="6">
        <f t="shared" si="0"/>
        <v>0</v>
      </c>
      <c r="H34" s="6"/>
      <c r="I34" s="6"/>
      <c r="J34" s="6"/>
      <c r="K34" s="6">
        <f t="shared" si="1"/>
        <v>0</v>
      </c>
      <c r="L34" s="6"/>
      <c r="M34" s="6"/>
      <c r="N34" s="6">
        <f t="shared" si="2"/>
        <v>0</v>
      </c>
    </row>
    <row r="35" spans="4:14">
      <c r="D35" s="6" t="s">
        <v>166</v>
      </c>
      <c r="E35" s="6"/>
      <c r="F35" s="6">
        <f>G35*10.764</f>
        <v>0</v>
      </c>
      <c r="G35" s="6">
        <f>SUM(G7:G34)</f>
        <v>0</v>
      </c>
      <c r="H35" s="6"/>
      <c r="I35" s="6"/>
      <c r="J35" s="6">
        <f>K35*10.764</f>
        <v>0</v>
      </c>
      <c r="K35" s="6">
        <f>SUM(K7:K34)</f>
        <v>0</v>
      </c>
      <c r="L35" s="6"/>
      <c r="M35" s="6">
        <f>N35*10.764</f>
        <v>0</v>
      </c>
      <c r="N35" s="6">
        <f>SUM(N7:N34)</f>
        <v>0</v>
      </c>
    </row>
  </sheetData>
  <mergeCells count="4">
    <mergeCell ref="E3:F3"/>
    <mergeCell ref="E5:G5"/>
    <mergeCell ref="I5:K5"/>
    <mergeCell ref="L5:N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4"/>
  <sheetViews>
    <sheetView workbookViewId="0">
      <selection activeCell="B15" sqref="B15"/>
    </sheetView>
  </sheetViews>
  <sheetFormatPr defaultColWidth="9.08984375" defaultRowHeight="14"/>
  <cols>
    <col min="1" max="16384" width="9.08984375" style="1"/>
  </cols>
  <sheetData>
    <row r="2" spans="2:2">
      <c r="B2" s="1" t="s">
        <v>4</v>
      </c>
    </row>
    <row r="3" spans="2:2">
      <c r="B3" s="1" t="s">
        <v>253</v>
      </c>
    </row>
    <row r="4" spans="2:2">
      <c r="B4" s="1" t="s">
        <v>254</v>
      </c>
    </row>
    <row r="6" spans="2:2">
      <c r="B6" s="1" t="s">
        <v>40</v>
      </c>
    </row>
    <row r="7" spans="2:2">
      <c r="B7" s="1" t="s">
        <v>255</v>
      </c>
    </row>
    <row r="9" spans="2:2">
      <c r="B9" s="1" t="s">
        <v>44</v>
      </c>
    </row>
    <row r="10" spans="2:2">
      <c r="B10" s="1" t="s">
        <v>256</v>
      </c>
    </row>
    <row r="12" spans="2:2">
      <c r="B12" s="1" t="s">
        <v>257</v>
      </c>
    </row>
    <row r="13" spans="2:2">
      <c r="B13" s="1" t="s">
        <v>258</v>
      </c>
    </row>
    <row r="14" spans="2:2">
      <c r="B14" s="1"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Report</vt:lpstr>
      <vt:lpstr>1</vt:lpstr>
      <vt:lpstr>2</vt:lpstr>
      <vt:lpstr>3</vt:lpstr>
      <vt:lpstr>4</vt:lpstr>
      <vt:lpstr>Wing A</vt:lpstr>
      <vt:lpstr>Wing B</vt:lpstr>
      <vt:lpstr>Wing C</vt:lpstr>
      <vt:lpstr>Sheet3</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2025-06-10T11:48:09Z</cp:lastPrinted>
  <dcterms:created xsi:type="dcterms:W3CDTF">2013-11-23T05:32:00Z</dcterms:created>
  <dcterms:modified xsi:type="dcterms:W3CDTF">2025-09-13T09:05:57Z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2DA1801CFD3E40C8AFBE78F3CD3D003C_12</vt:lpwstr>
  </property>
  <property fmtid="{D5CDD505-2E9C-101B-9397-08002B2CF9AE}" pid="3" name="KSOProductBuildVer">
    <vt:lpwstr>1033-12.2.0.20326</vt:lpwstr>
  </property>
</Properties>
</file>