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Sept 2025\19-09-2025\"/>
    </mc:Choice>
  </mc:AlternateContent>
  <bookViews>
    <workbookView xWindow="0" yWindow="0" windowWidth="19200" windowHeight="6640" tabRatio="725"/>
  </bookViews>
  <sheets>
    <sheet name="Report (2)" sheetId="9" r:id="rId1"/>
    <sheet name="Report" sheetId="1" r:id="rId2"/>
    <sheet name="Flat detail" sheetId="3" r:id="rId3"/>
    <sheet name="valuation" sheetId="5" r:id="rId4"/>
    <sheet name="Note" sheetId="4" r:id="rId5"/>
  </sheets>
  <definedNames>
    <definedName name="_xlnm.Print_Area" localSheetId="1">Report!$A$1:$H$314</definedName>
    <definedName name="_xlnm.Print_Area" localSheetId="0">'Report (2)'!$A$1:$H$310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60" i="9" l="1"/>
  <c r="I117" i="9" l="1"/>
  <c r="I109" i="9"/>
  <c r="E104" i="9" l="1"/>
  <c r="E103" i="9"/>
  <c r="E102" i="9"/>
  <c r="E101" i="9"/>
  <c r="D225" i="9"/>
  <c r="A206" i="9"/>
  <c r="A207" i="9" s="1"/>
  <c r="E200" i="9"/>
  <c r="D200" i="9"/>
  <c r="E199" i="9"/>
  <c r="D199" i="9"/>
  <c r="E198" i="9"/>
  <c r="D198" i="9"/>
  <c r="G197" i="9"/>
  <c r="E197" i="9"/>
  <c r="D197" i="9"/>
  <c r="E195" i="9"/>
  <c r="D195" i="9"/>
  <c r="E194" i="9"/>
  <c r="D194" i="9"/>
  <c r="E193" i="9"/>
  <c r="D193" i="9"/>
  <c r="E192" i="9"/>
  <c r="D192" i="9"/>
  <c r="E191" i="9"/>
  <c r="D191" i="9"/>
  <c r="E190" i="9"/>
  <c r="D190" i="9"/>
  <c r="G189" i="9"/>
  <c r="E189" i="9"/>
  <c r="D189" i="9"/>
  <c r="E187" i="9"/>
  <c r="D187" i="9"/>
  <c r="E186" i="9"/>
  <c r="D186" i="9"/>
  <c r="E185" i="9"/>
  <c r="D185" i="9"/>
  <c r="E184" i="9"/>
  <c r="D184" i="9"/>
  <c r="E183" i="9"/>
  <c r="D183" i="9"/>
  <c r="E182" i="9"/>
  <c r="D182" i="9"/>
  <c r="G181" i="9"/>
  <c r="E181" i="9"/>
  <c r="D181" i="9"/>
  <c r="E179" i="9"/>
  <c r="D179" i="9"/>
  <c r="E178" i="9"/>
  <c r="D178" i="9"/>
  <c r="E177" i="9"/>
  <c r="D177" i="9"/>
  <c r="E176" i="9"/>
  <c r="D176" i="9"/>
  <c r="E175" i="9"/>
  <c r="D175" i="9"/>
  <c r="E174" i="9"/>
  <c r="D174" i="9"/>
  <c r="G173" i="9"/>
  <c r="E173" i="9"/>
  <c r="D173" i="9"/>
  <c r="E171" i="9"/>
  <c r="D171" i="9"/>
  <c r="E170" i="9"/>
  <c r="D170" i="9"/>
  <c r="E169" i="9"/>
  <c r="D169" i="9"/>
  <c r="E168" i="9"/>
  <c r="D168" i="9"/>
  <c r="E167" i="9"/>
  <c r="D167" i="9"/>
  <c r="E166" i="9"/>
  <c r="D166" i="9"/>
  <c r="G165" i="9"/>
  <c r="E165" i="9"/>
  <c r="D165" i="9"/>
  <c r="E163" i="9"/>
  <c r="D163" i="9"/>
  <c r="E162" i="9"/>
  <c r="D162" i="9"/>
  <c r="E161" i="9"/>
  <c r="D161" i="9"/>
  <c r="E160" i="9"/>
  <c r="D160" i="9"/>
  <c r="E159" i="9"/>
  <c r="D159" i="9"/>
  <c r="E158" i="9"/>
  <c r="D158" i="9"/>
  <c r="G157" i="9"/>
  <c r="E157" i="9"/>
  <c r="D157" i="9"/>
  <c r="E155" i="9"/>
  <c r="D155" i="9"/>
  <c r="E154" i="9"/>
  <c r="D154" i="9"/>
  <c r="E153" i="9"/>
  <c r="D153" i="9"/>
  <c r="E152" i="9"/>
  <c r="D152" i="9"/>
  <c r="E151" i="9"/>
  <c r="D151" i="9"/>
  <c r="E150" i="9"/>
  <c r="D150" i="9"/>
  <c r="G149" i="9"/>
  <c r="E149" i="9"/>
  <c r="D149" i="9"/>
  <c r="E147" i="9"/>
  <c r="D147" i="9"/>
  <c r="E146" i="9"/>
  <c r="D146" i="9"/>
  <c r="E145" i="9"/>
  <c r="D145" i="9"/>
  <c r="E144" i="9"/>
  <c r="D144" i="9"/>
  <c r="E143" i="9"/>
  <c r="D143" i="9"/>
  <c r="E142" i="9"/>
  <c r="D142" i="9"/>
  <c r="G141" i="9"/>
  <c r="E141" i="9"/>
  <c r="D141" i="9"/>
  <c r="E139" i="9"/>
  <c r="D139" i="9"/>
  <c r="E138" i="9"/>
  <c r="D138" i="9"/>
  <c r="E137" i="9"/>
  <c r="D137" i="9"/>
  <c r="E136" i="9"/>
  <c r="D136" i="9"/>
  <c r="E135" i="9"/>
  <c r="D135" i="9"/>
  <c r="E134" i="9"/>
  <c r="D134" i="9"/>
  <c r="G133" i="9"/>
  <c r="E133" i="9"/>
  <c r="D133" i="9"/>
  <c r="A133" i="9"/>
  <c r="A134" i="9" s="1"/>
  <c r="A135" i="9" s="1"/>
  <c r="A136" i="9" s="1"/>
  <c r="A137" i="9" s="1"/>
  <c r="A138" i="9" s="1"/>
  <c r="A139" i="9" s="1"/>
  <c r="E131" i="9"/>
  <c r="D131" i="9"/>
  <c r="E130" i="9"/>
  <c r="D130" i="9"/>
  <c r="E129" i="9"/>
  <c r="D129" i="9"/>
  <c r="E128" i="9"/>
  <c r="D128" i="9"/>
  <c r="E127" i="9"/>
  <c r="D127" i="9"/>
  <c r="E126" i="9"/>
  <c r="D126" i="9"/>
  <c r="G125" i="9"/>
  <c r="E125" i="9"/>
  <c r="D125" i="9"/>
  <c r="I125" i="9" s="1"/>
  <c r="E123" i="9"/>
  <c r="D123" i="9"/>
  <c r="E122" i="9"/>
  <c r="D122" i="9"/>
  <c r="I122" i="9" s="1"/>
  <c r="E121" i="9"/>
  <c r="D121" i="9"/>
  <c r="I121" i="9" s="1"/>
  <c r="E120" i="9"/>
  <c r="D120" i="9"/>
  <c r="I120" i="9" s="1"/>
  <c r="E119" i="9"/>
  <c r="D119" i="9"/>
  <c r="E118" i="9"/>
  <c r="D118" i="9"/>
  <c r="I118" i="9" s="1"/>
  <c r="G117" i="9"/>
  <c r="E117" i="9"/>
  <c r="D117" i="9"/>
  <c r="E115" i="9"/>
  <c r="D115" i="9"/>
  <c r="E114" i="9"/>
  <c r="D114" i="9"/>
  <c r="E113" i="9"/>
  <c r="D113" i="9"/>
  <c r="E112" i="9"/>
  <c r="D112" i="9"/>
  <c r="E111" i="9"/>
  <c r="D111" i="9"/>
  <c r="E110" i="9"/>
  <c r="D110" i="9"/>
  <c r="G109" i="9"/>
  <c r="E109" i="9"/>
  <c r="D109" i="9"/>
  <c r="E107" i="9"/>
  <c r="D107" i="9"/>
  <c r="E106" i="9"/>
  <c r="D106" i="9"/>
  <c r="E105" i="9"/>
  <c r="D105" i="9"/>
  <c r="D104" i="9"/>
  <c r="D103" i="9"/>
  <c r="D102" i="9"/>
  <c r="G101" i="9"/>
  <c r="D101" i="9"/>
  <c r="A101" i="9"/>
  <c r="A102" i="9" s="1"/>
  <c r="A103" i="9" s="1"/>
  <c r="A104" i="9" s="1"/>
  <c r="A105" i="9" s="1"/>
  <c r="A106" i="9" s="1"/>
  <c r="A107" i="9" s="1"/>
  <c r="F90" i="9"/>
  <c r="J71" i="9"/>
  <c r="J70" i="9"/>
  <c r="J69" i="9"/>
  <c r="J68" i="9"/>
  <c r="D57" i="9"/>
  <c r="D52" i="9"/>
  <c r="G47" i="9"/>
  <c r="G48" i="9" s="1"/>
  <c r="C47" i="9"/>
  <c r="E41" i="9"/>
  <c r="E42" i="9" s="1"/>
  <c r="E25" i="9"/>
  <c r="E23" i="9"/>
  <c r="C14" i="9"/>
  <c r="E7" i="9"/>
  <c r="E3" i="9"/>
  <c r="P117" i="9"/>
  <c r="O181" i="9"/>
  <c r="H61" i="9"/>
  <c r="P141" i="9"/>
  <c r="P189" i="9"/>
  <c r="O149" i="9"/>
  <c r="O165" i="9"/>
  <c r="P165" i="9"/>
  <c r="P149" i="9"/>
  <c r="P197" i="9"/>
  <c r="O189" i="9"/>
  <c r="O109" i="9"/>
  <c r="O125" i="9"/>
  <c r="P173" i="9"/>
  <c r="P125" i="9"/>
  <c r="P181" i="9"/>
  <c r="P157" i="9"/>
  <c r="O157" i="9"/>
  <c r="O173" i="9"/>
  <c r="O117" i="9"/>
  <c r="O141" i="9"/>
  <c r="P109" i="9"/>
  <c r="O197" i="9"/>
  <c r="F149" i="9" l="1"/>
  <c r="A208" i="9"/>
  <c r="A211" i="9" s="1"/>
  <c r="A212" i="9" s="1"/>
  <c r="F115" i="9"/>
  <c r="I115" i="9" s="1"/>
  <c r="C93" i="9"/>
  <c r="I113" i="9"/>
  <c r="I111" i="9"/>
  <c r="I128" i="9"/>
  <c r="I112" i="9"/>
  <c r="I126" i="9"/>
  <c r="I130" i="9"/>
  <c r="E93" i="9"/>
  <c r="I110" i="9"/>
  <c r="I114" i="9"/>
  <c r="I127" i="9"/>
  <c r="I131" i="9"/>
  <c r="I119" i="9"/>
  <c r="I123" i="9"/>
  <c r="N117" i="9"/>
  <c r="A117" i="9" s="1"/>
  <c r="O118" i="9"/>
  <c r="O142" i="9"/>
  <c r="N141" i="9"/>
  <c r="O158" i="9"/>
  <c r="N157" i="9"/>
  <c r="N149" i="9"/>
  <c r="A149" i="9" s="1"/>
  <c r="O150" i="9"/>
  <c r="P158" i="9"/>
  <c r="P159" i="9" s="1"/>
  <c r="P160" i="9" s="1"/>
  <c r="P161" i="9" s="1"/>
  <c r="P162" i="9" s="1"/>
  <c r="P163" i="9" s="1"/>
  <c r="O166" i="9"/>
  <c r="N165" i="9"/>
  <c r="P150" i="9"/>
  <c r="P151" i="9" s="1"/>
  <c r="P152" i="9" s="1"/>
  <c r="P153" i="9" s="1"/>
  <c r="P154" i="9" s="1"/>
  <c r="P155" i="9" s="1"/>
  <c r="P166" i="9"/>
  <c r="P167" i="9" s="1"/>
  <c r="P168" i="9" s="1"/>
  <c r="P169" i="9" s="1"/>
  <c r="P170" i="9" s="1"/>
  <c r="P171" i="9" s="1"/>
  <c r="O174" i="9"/>
  <c r="N173" i="9"/>
  <c r="P174" i="9"/>
  <c r="P175" i="9" s="1"/>
  <c r="P176" i="9" s="1"/>
  <c r="P177" i="9" s="1"/>
  <c r="P178" i="9" s="1"/>
  <c r="P179" i="9" s="1"/>
  <c r="O182" i="9"/>
  <c r="N181" i="9"/>
  <c r="P182" i="9"/>
  <c r="P183" i="9" s="1"/>
  <c r="P184" i="9" s="1"/>
  <c r="P185" i="9" s="1"/>
  <c r="P186" i="9" s="1"/>
  <c r="P187" i="9" s="1"/>
  <c r="O190" i="9"/>
  <c r="N189" i="9"/>
  <c r="O126" i="9"/>
  <c r="N125" i="9"/>
  <c r="A125" i="9" s="1"/>
  <c r="P190" i="9"/>
  <c r="P191" i="9" s="1"/>
  <c r="P192" i="9" s="1"/>
  <c r="P193" i="9" s="1"/>
  <c r="P194" i="9" s="1"/>
  <c r="P195" i="9" s="1"/>
  <c r="O198" i="9"/>
  <c r="N197" i="9"/>
  <c r="J66" i="9"/>
  <c r="D70" i="9"/>
  <c r="D66" i="9"/>
  <c r="J65" i="9"/>
  <c r="C64" i="9" s="1"/>
  <c r="J63" i="9"/>
  <c r="D73" i="9"/>
  <c r="D69" i="9"/>
  <c r="D72" i="9"/>
  <c r="D68" i="9"/>
  <c r="J64" i="9"/>
  <c r="D71" i="9"/>
  <c r="D67" i="9"/>
  <c r="P142" i="9"/>
  <c r="P143" i="9" s="1"/>
  <c r="P144" i="9" s="1"/>
  <c r="P145" i="9" s="1"/>
  <c r="P146" i="9" s="1"/>
  <c r="P147" i="9" s="1"/>
  <c r="O110" i="9"/>
  <c r="N109" i="9"/>
  <c r="A109" i="9" s="1"/>
  <c r="P110" i="9"/>
  <c r="P111" i="9" s="1"/>
  <c r="P112" i="9" s="1"/>
  <c r="P113" i="9" s="1"/>
  <c r="P114" i="9" s="1"/>
  <c r="P115" i="9" s="1"/>
  <c r="P118" i="9"/>
  <c r="P119" i="9" s="1"/>
  <c r="P120" i="9" s="1"/>
  <c r="P121" i="9" s="1"/>
  <c r="P122" i="9" s="1"/>
  <c r="P123" i="9" s="1"/>
  <c r="P126" i="9"/>
  <c r="P127" i="9" s="1"/>
  <c r="P128" i="9" s="1"/>
  <c r="P129" i="9" s="1"/>
  <c r="P130" i="9" s="1"/>
  <c r="P131" i="9" s="1"/>
  <c r="P198" i="9"/>
  <c r="P199" i="9" s="1"/>
  <c r="P200" i="9" s="1"/>
  <c r="P201" i="9" s="1"/>
  <c r="P202" i="9" s="1"/>
  <c r="P203" i="9" s="1"/>
  <c r="E201" i="1"/>
  <c r="D201" i="1"/>
  <c r="E200" i="1"/>
  <c r="D200" i="1"/>
  <c r="E199" i="1"/>
  <c r="D199" i="1"/>
  <c r="E198" i="1"/>
  <c r="D198" i="1"/>
  <c r="G198" i="1"/>
  <c r="G199" i="1" s="1"/>
  <c r="G200" i="1" s="1"/>
  <c r="G201" i="1" s="1"/>
  <c r="G202" i="1" s="1"/>
  <c r="G203" i="1" s="1"/>
  <c r="G204" i="1" s="1"/>
  <c r="E196" i="1"/>
  <c r="D196" i="1"/>
  <c r="E195" i="1"/>
  <c r="D195" i="1"/>
  <c r="E194" i="1"/>
  <c r="D194" i="1"/>
  <c r="E193" i="1"/>
  <c r="D193" i="1"/>
  <c r="E192" i="1"/>
  <c r="D192" i="1"/>
  <c r="E191" i="1"/>
  <c r="D191" i="1"/>
  <c r="E190" i="1"/>
  <c r="D190" i="1"/>
  <c r="G190" i="1"/>
  <c r="G191" i="1" s="1"/>
  <c r="G192" i="1" s="1"/>
  <c r="G193" i="1" s="1"/>
  <c r="G194" i="1" s="1"/>
  <c r="G195" i="1" s="1"/>
  <c r="G196" i="1" s="1"/>
  <c r="D188" i="1"/>
  <c r="E188" i="1"/>
  <c r="E187" i="1"/>
  <c r="D187" i="1"/>
  <c r="E186" i="1"/>
  <c r="D186" i="1"/>
  <c r="E185" i="1"/>
  <c r="D185" i="1"/>
  <c r="E184" i="1"/>
  <c r="D184" i="1"/>
  <c r="E183" i="1"/>
  <c r="D183" i="1"/>
  <c r="E182" i="1"/>
  <c r="D182" i="1"/>
  <c r="G182" i="1"/>
  <c r="G183" i="1" s="1"/>
  <c r="G184" i="1" s="1"/>
  <c r="G185" i="1" s="1"/>
  <c r="G186" i="1" s="1"/>
  <c r="G187" i="1" s="1"/>
  <c r="G188" i="1" s="1"/>
  <c r="E180" i="1"/>
  <c r="D180" i="1"/>
  <c r="E179" i="1"/>
  <c r="D179" i="1"/>
  <c r="E178" i="1"/>
  <c r="D178" i="1"/>
  <c r="E177" i="1"/>
  <c r="D177" i="1"/>
  <c r="E176" i="1"/>
  <c r="D176" i="1"/>
  <c r="E175" i="1"/>
  <c r="D175" i="1"/>
  <c r="E174" i="1"/>
  <c r="D174" i="1"/>
  <c r="G174" i="1"/>
  <c r="G175" i="1" s="1"/>
  <c r="G176" i="1" s="1"/>
  <c r="G177" i="1" s="1"/>
  <c r="G178" i="1" s="1"/>
  <c r="G179" i="1" s="1"/>
  <c r="G180" i="1" s="1"/>
  <c r="E172" i="1"/>
  <c r="D172" i="1"/>
  <c r="E171" i="1"/>
  <c r="D171" i="1"/>
  <c r="E170" i="1"/>
  <c r="D170" i="1"/>
  <c r="E169" i="1"/>
  <c r="D169" i="1"/>
  <c r="E168" i="1"/>
  <c r="D168" i="1"/>
  <c r="E167" i="1"/>
  <c r="D167" i="1"/>
  <c r="E166" i="1"/>
  <c r="D166" i="1"/>
  <c r="G166" i="1"/>
  <c r="G167" i="1" s="1"/>
  <c r="G168" i="1" s="1"/>
  <c r="G169" i="1" s="1"/>
  <c r="G170" i="1" s="1"/>
  <c r="G171" i="1" s="1"/>
  <c r="G172" i="1" s="1"/>
  <c r="E164" i="1"/>
  <c r="D164" i="1"/>
  <c r="E163" i="1"/>
  <c r="D163" i="1"/>
  <c r="E162" i="1"/>
  <c r="D162" i="1"/>
  <c r="E161" i="1"/>
  <c r="D161" i="1"/>
  <c r="E160" i="1"/>
  <c r="D160" i="1"/>
  <c r="E159" i="1"/>
  <c r="P174" i="1"/>
  <c r="P166" i="1"/>
  <c r="P198" i="1"/>
  <c r="P190" i="1"/>
  <c r="O166" i="1"/>
  <c r="O198" i="1"/>
  <c r="O182" i="1"/>
  <c r="P182" i="1"/>
  <c r="O190" i="1"/>
  <c r="O174" i="1"/>
  <c r="F184" i="1" l="1"/>
  <c r="F175" i="1"/>
  <c r="F179" i="1"/>
  <c r="G93" i="9"/>
  <c r="F177" i="1"/>
  <c r="F190" i="1"/>
  <c r="F194" i="1"/>
  <c r="F166" i="1"/>
  <c r="F200" i="1"/>
  <c r="J67" i="9"/>
  <c r="J72" i="9" s="1"/>
  <c r="O167" i="9"/>
  <c r="N166" i="9"/>
  <c r="N118" i="9"/>
  <c r="A118" i="9" s="1"/>
  <c r="O119" i="9"/>
  <c r="O199" i="9"/>
  <c r="N198" i="9"/>
  <c r="O183" i="9"/>
  <c r="N182" i="9"/>
  <c r="N150" i="9"/>
  <c r="A150" i="9" s="1"/>
  <c r="O151" i="9"/>
  <c r="O143" i="9"/>
  <c r="N142" i="9"/>
  <c r="D64" i="9"/>
  <c r="O127" i="9"/>
  <c r="N126" i="9"/>
  <c r="A126" i="9" s="1"/>
  <c r="O175" i="9"/>
  <c r="N174" i="9"/>
  <c r="O111" i="9"/>
  <c r="N110" i="9"/>
  <c r="A110" i="9" s="1"/>
  <c r="O159" i="9"/>
  <c r="N158" i="9"/>
  <c r="O191" i="9"/>
  <c r="N190" i="9"/>
  <c r="F167" i="1"/>
  <c r="F171" i="1"/>
  <c r="F201" i="1"/>
  <c r="F191" i="1"/>
  <c r="F193" i="1"/>
  <c r="F195" i="1"/>
  <c r="F185" i="1"/>
  <c r="F187" i="1"/>
  <c r="F176" i="1"/>
  <c r="F170" i="1"/>
  <c r="F186" i="1"/>
  <c r="F188" i="1"/>
  <c r="F192" i="1"/>
  <c r="F196" i="1"/>
  <c r="F198" i="1"/>
  <c r="F174" i="1"/>
  <c r="F178" i="1"/>
  <c r="F199" i="1"/>
  <c r="F183" i="1"/>
  <c r="O199" i="1"/>
  <c r="N198" i="1"/>
  <c r="P199" i="1"/>
  <c r="P200" i="1" s="1"/>
  <c r="P201" i="1" s="1"/>
  <c r="P202" i="1" s="1"/>
  <c r="P203" i="1" s="1"/>
  <c r="P204" i="1" s="1"/>
  <c r="O191" i="1"/>
  <c r="N190" i="1"/>
  <c r="P191" i="1"/>
  <c r="P192" i="1" s="1"/>
  <c r="P193" i="1" s="1"/>
  <c r="P194" i="1" s="1"/>
  <c r="P195" i="1" s="1"/>
  <c r="P196" i="1" s="1"/>
  <c r="F182" i="1"/>
  <c r="O183" i="1"/>
  <c r="N182" i="1"/>
  <c r="P183" i="1"/>
  <c r="P184" i="1" s="1"/>
  <c r="P185" i="1" s="1"/>
  <c r="P186" i="1" s="1"/>
  <c r="P187" i="1" s="1"/>
  <c r="P188" i="1" s="1"/>
  <c r="F172" i="1"/>
  <c r="F180" i="1"/>
  <c r="O175" i="1"/>
  <c r="N174" i="1"/>
  <c r="P175" i="1"/>
  <c r="P176" i="1" s="1"/>
  <c r="P177" i="1" s="1"/>
  <c r="P178" i="1" s="1"/>
  <c r="P179" i="1" s="1"/>
  <c r="P180" i="1" s="1"/>
  <c r="F169" i="1"/>
  <c r="F168" i="1"/>
  <c r="O167" i="1"/>
  <c r="N166" i="1"/>
  <c r="P167" i="1"/>
  <c r="P168" i="1" s="1"/>
  <c r="P169" i="1" s="1"/>
  <c r="P170" i="1" s="1"/>
  <c r="P171" i="1" s="1"/>
  <c r="P172" i="1" s="1"/>
  <c r="D159" i="1"/>
  <c r="F159" i="1" s="1"/>
  <c r="E158" i="1"/>
  <c r="D158" i="1"/>
  <c r="F163" i="1"/>
  <c r="F162" i="1"/>
  <c r="F161" i="1"/>
  <c r="F160" i="1"/>
  <c r="F164" i="1"/>
  <c r="G158" i="1"/>
  <c r="G159" i="1" s="1"/>
  <c r="G160" i="1" s="1"/>
  <c r="G161" i="1" s="1"/>
  <c r="G162" i="1" s="1"/>
  <c r="G163" i="1" s="1"/>
  <c r="G164" i="1" s="1"/>
  <c r="E156" i="1"/>
  <c r="D156" i="1"/>
  <c r="E155" i="1"/>
  <c r="D155" i="1"/>
  <c r="E154" i="1"/>
  <c r="D154" i="1"/>
  <c r="E153" i="1"/>
  <c r="O158" i="1"/>
  <c r="P158" i="1"/>
  <c r="J73" i="9" l="1"/>
  <c r="O160" i="9"/>
  <c r="N159" i="9"/>
  <c r="O200" i="9"/>
  <c r="N199" i="9"/>
  <c r="O120" i="9"/>
  <c r="N119" i="9"/>
  <c r="A119" i="9" s="1"/>
  <c r="N151" i="9"/>
  <c r="A151" i="9" s="1"/>
  <c r="O152" i="9"/>
  <c r="O168" i="9"/>
  <c r="N167" i="9"/>
  <c r="O192" i="9"/>
  <c r="N191" i="9"/>
  <c r="O112" i="9"/>
  <c r="N111" i="9"/>
  <c r="A111" i="9" s="1"/>
  <c r="O144" i="9"/>
  <c r="N143" i="9"/>
  <c r="O176" i="9"/>
  <c r="N175" i="9"/>
  <c r="O128" i="9"/>
  <c r="N127" i="9"/>
  <c r="A127" i="9" s="1"/>
  <c r="O184" i="9"/>
  <c r="N183" i="9"/>
  <c r="F158" i="1"/>
  <c r="O200" i="1"/>
  <c r="N199" i="1"/>
  <c r="O192" i="1"/>
  <c r="N191" i="1"/>
  <c r="O184" i="1"/>
  <c r="N183" i="1"/>
  <c r="O176" i="1"/>
  <c r="N175" i="1"/>
  <c r="O168" i="1"/>
  <c r="N167" i="1"/>
  <c r="O159" i="1"/>
  <c r="N158" i="1"/>
  <c r="P159" i="1"/>
  <c r="P160" i="1" s="1"/>
  <c r="P161" i="1" s="1"/>
  <c r="P162" i="1" s="1"/>
  <c r="P163" i="1" s="1"/>
  <c r="P164" i="1" s="1"/>
  <c r="D153" i="1"/>
  <c r="F153" i="1" s="1"/>
  <c r="E152" i="1"/>
  <c r="F152" i="1" s="1"/>
  <c r="D152" i="1"/>
  <c r="E151" i="1"/>
  <c r="D151" i="1"/>
  <c r="E150" i="1"/>
  <c r="D150" i="1"/>
  <c r="F156" i="1"/>
  <c r="F155" i="1"/>
  <c r="F154" i="1"/>
  <c r="G150" i="1"/>
  <c r="G151" i="1" s="1"/>
  <c r="G152" i="1" s="1"/>
  <c r="G153" i="1" s="1"/>
  <c r="G154" i="1" s="1"/>
  <c r="G155" i="1" s="1"/>
  <c r="G156" i="1" s="1"/>
  <c r="O150" i="1"/>
  <c r="P150" i="1"/>
  <c r="F150" i="1" l="1"/>
  <c r="G64" i="9"/>
  <c r="D59" i="9" s="1"/>
  <c r="F74" i="9" s="1"/>
  <c r="D65" i="9"/>
  <c r="E64" i="9"/>
  <c r="I60" i="9" s="1"/>
  <c r="C62" i="9" s="1"/>
  <c r="O129" i="9"/>
  <c r="N128" i="9"/>
  <c r="A128" i="9" s="1"/>
  <c r="O193" i="9"/>
  <c r="N192" i="9"/>
  <c r="O177" i="9"/>
  <c r="N176" i="9"/>
  <c r="O169" i="9"/>
  <c r="N168" i="9"/>
  <c r="O161" i="9"/>
  <c r="N160" i="9"/>
  <c r="N152" i="9"/>
  <c r="A152" i="9" s="1"/>
  <c r="O153" i="9"/>
  <c r="O145" i="9"/>
  <c r="N144" i="9"/>
  <c r="O185" i="9"/>
  <c r="N184" i="9"/>
  <c r="O113" i="9"/>
  <c r="N112" i="9"/>
  <c r="A112" i="9" s="1"/>
  <c r="N120" i="9"/>
  <c r="A120" i="9" s="1"/>
  <c r="O121" i="9"/>
  <c r="O201" i="9"/>
  <c r="N200" i="9"/>
  <c r="O201" i="1"/>
  <c r="N200" i="1"/>
  <c r="O193" i="1"/>
  <c r="N192" i="1"/>
  <c r="N184" i="1"/>
  <c r="O185" i="1"/>
  <c r="O177" i="1"/>
  <c r="N176" i="1"/>
  <c r="O169" i="1"/>
  <c r="N168" i="1"/>
  <c r="O160" i="1"/>
  <c r="N159" i="1"/>
  <c r="F151" i="1"/>
  <c r="P151" i="1"/>
  <c r="P152" i="1" s="1"/>
  <c r="P153" i="1" s="1"/>
  <c r="P154" i="1" s="1"/>
  <c r="P155" i="1" s="1"/>
  <c r="P156" i="1" s="1"/>
  <c r="O151" i="1"/>
  <c r="N150" i="1"/>
  <c r="A150" i="1" s="1"/>
  <c r="E132" i="1"/>
  <c r="D132" i="1"/>
  <c r="E131" i="1"/>
  <c r="D131" i="1"/>
  <c r="E130" i="1"/>
  <c r="D130" i="1"/>
  <c r="E129" i="1"/>
  <c r="D129" i="1"/>
  <c r="E128" i="1"/>
  <c r="D128" i="1"/>
  <c r="E127" i="1"/>
  <c r="D127" i="1"/>
  <c r="E126" i="1"/>
  <c r="D126" i="1"/>
  <c r="G126" i="1"/>
  <c r="G127" i="1" s="1"/>
  <c r="G128" i="1" s="1"/>
  <c r="G129" i="1" s="1"/>
  <c r="G130" i="1" s="1"/>
  <c r="G131" i="1" s="1"/>
  <c r="G132" i="1" s="1"/>
  <c r="E148" i="1"/>
  <c r="D148" i="1"/>
  <c r="E147" i="1"/>
  <c r="D147" i="1"/>
  <c r="E146" i="1"/>
  <c r="D146" i="1"/>
  <c r="E145" i="1"/>
  <c r="D145" i="1"/>
  <c r="E144" i="1"/>
  <c r="D144" i="1"/>
  <c r="E143" i="1"/>
  <c r="D143" i="1"/>
  <c r="G142" i="1"/>
  <c r="G143" i="1" s="1"/>
  <c r="G144" i="1" s="1"/>
  <c r="G145" i="1" s="1"/>
  <c r="G146" i="1" s="1"/>
  <c r="G147" i="1" s="1"/>
  <c r="G148" i="1" s="1"/>
  <c r="E142" i="1"/>
  <c r="D142" i="1"/>
  <c r="E124" i="1"/>
  <c r="D124" i="1"/>
  <c r="E123" i="1"/>
  <c r="D123" i="1"/>
  <c r="F123" i="1" s="1"/>
  <c r="E122" i="1"/>
  <c r="D122" i="1"/>
  <c r="E121" i="1"/>
  <c r="D121" i="1"/>
  <c r="E120" i="1"/>
  <c r="D120" i="1"/>
  <c r="E119" i="1"/>
  <c r="D119" i="1"/>
  <c r="E118" i="1"/>
  <c r="D118" i="1"/>
  <c r="E134" i="1"/>
  <c r="E140" i="1"/>
  <c r="E139" i="1"/>
  <c r="E138" i="1"/>
  <c r="E137" i="1"/>
  <c r="E136" i="1"/>
  <c r="E135" i="1"/>
  <c r="D140" i="1"/>
  <c r="D139" i="1"/>
  <c r="D138" i="1"/>
  <c r="D137" i="1"/>
  <c r="D136" i="1"/>
  <c r="D135" i="1"/>
  <c r="D134" i="1"/>
  <c r="G134" i="1"/>
  <c r="G135" i="1" s="1"/>
  <c r="G136" i="1" s="1"/>
  <c r="G137" i="1" s="1"/>
  <c r="G138" i="1" s="1"/>
  <c r="G139" i="1" s="1"/>
  <c r="G140" i="1" s="1"/>
  <c r="A134" i="1"/>
  <c r="A135" i="1" s="1"/>
  <c r="A136" i="1" s="1"/>
  <c r="A137" i="1" s="1"/>
  <c r="A138" i="1" s="1"/>
  <c r="A139" i="1" s="1"/>
  <c r="A140" i="1" s="1"/>
  <c r="G118" i="1"/>
  <c r="G119" i="1" s="1"/>
  <c r="G120" i="1" s="1"/>
  <c r="G121" i="1" s="1"/>
  <c r="G122" i="1" s="1"/>
  <c r="G123" i="1" s="1"/>
  <c r="G124" i="1" s="1"/>
  <c r="E108" i="1"/>
  <c r="D108" i="1"/>
  <c r="E107" i="1"/>
  <c r="D107" i="1"/>
  <c r="E106" i="1"/>
  <c r="D106" i="1"/>
  <c r="D105" i="1"/>
  <c r="D104" i="1"/>
  <c r="D103" i="1"/>
  <c r="D102" i="1"/>
  <c r="E116" i="1"/>
  <c r="D116" i="1"/>
  <c r="E115" i="1"/>
  <c r="D115" i="1"/>
  <c r="E114" i="1"/>
  <c r="D114" i="1"/>
  <c r="E113" i="1"/>
  <c r="D113" i="1"/>
  <c r="E112" i="1"/>
  <c r="D112" i="1"/>
  <c r="E111" i="1"/>
  <c r="D111" i="1"/>
  <c r="E110" i="1"/>
  <c r="D110" i="1"/>
  <c r="O126" i="1"/>
  <c r="O118" i="1"/>
  <c r="P142" i="1"/>
  <c r="P126" i="1"/>
  <c r="P118" i="1"/>
  <c r="O142" i="1"/>
  <c r="E92" i="1" l="1"/>
  <c r="C92" i="1"/>
  <c r="O114" i="9"/>
  <c r="N113" i="9"/>
  <c r="A113" i="9" s="1"/>
  <c r="O162" i="9"/>
  <c r="N161" i="9"/>
  <c r="O130" i="9"/>
  <c r="N129" i="9"/>
  <c r="A129" i="9" s="1"/>
  <c r="O186" i="9"/>
  <c r="N185" i="9"/>
  <c r="O170" i="9"/>
  <c r="N169" i="9"/>
  <c r="N201" i="9"/>
  <c r="O202" i="9"/>
  <c r="O146" i="9"/>
  <c r="N145" i="9"/>
  <c r="O178" i="9"/>
  <c r="N177" i="9"/>
  <c r="N121" i="9"/>
  <c r="A121" i="9" s="1"/>
  <c r="O122" i="9"/>
  <c r="N153" i="9"/>
  <c r="A153" i="9" s="1"/>
  <c r="O154" i="9"/>
  <c r="O194" i="9"/>
  <c r="N193" i="9"/>
  <c r="F127" i="1"/>
  <c r="F129" i="1"/>
  <c r="F131" i="1"/>
  <c r="F137" i="1"/>
  <c r="F139" i="1"/>
  <c r="F134" i="1"/>
  <c r="F142" i="1"/>
  <c r="O202" i="1"/>
  <c r="N201" i="1"/>
  <c r="O194" i="1"/>
  <c r="N193" i="1"/>
  <c r="O186" i="1"/>
  <c r="N185" i="1"/>
  <c r="F138" i="1"/>
  <c r="F140" i="1"/>
  <c r="F136" i="1"/>
  <c r="O178" i="1"/>
  <c r="N177" i="1"/>
  <c r="O170" i="1"/>
  <c r="N169" i="1"/>
  <c r="O161" i="1"/>
  <c r="N160" i="1"/>
  <c r="F119" i="1"/>
  <c r="F144" i="1"/>
  <c r="F126" i="1"/>
  <c r="F128" i="1"/>
  <c r="F132" i="1"/>
  <c r="O152" i="1"/>
  <c r="N151" i="1"/>
  <c r="A151" i="1" s="1"/>
  <c r="F108" i="1"/>
  <c r="F146" i="1"/>
  <c r="F148" i="1"/>
  <c r="F118" i="1"/>
  <c r="F120" i="1"/>
  <c r="F122" i="1"/>
  <c r="F143" i="1"/>
  <c r="F145" i="1"/>
  <c r="F147" i="1"/>
  <c r="F116" i="1"/>
  <c r="F130" i="1"/>
  <c r="O127" i="1"/>
  <c r="N126" i="1"/>
  <c r="A126" i="1" s="1"/>
  <c r="P127" i="1"/>
  <c r="P128" i="1" s="1"/>
  <c r="P129" i="1" s="1"/>
  <c r="P130" i="1" s="1"/>
  <c r="P131" i="1" s="1"/>
  <c r="P132" i="1" s="1"/>
  <c r="O143" i="1"/>
  <c r="N142" i="1"/>
  <c r="P143" i="1"/>
  <c r="P144" i="1" s="1"/>
  <c r="P145" i="1" s="1"/>
  <c r="P146" i="1" s="1"/>
  <c r="P147" i="1" s="1"/>
  <c r="P148" i="1" s="1"/>
  <c r="F124" i="1"/>
  <c r="F121" i="1"/>
  <c r="F135" i="1"/>
  <c r="P119" i="1"/>
  <c r="P120" i="1" s="1"/>
  <c r="P121" i="1" s="1"/>
  <c r="P122" i="1" s="1"/>
  <c r="P123" i="1" s="1"/>
  <c r="P124" i="1" s="1"/>
  <c r="N118" i="1"/>
  <c r="A118" i="1" s="1"/>
  <c r="O119" i="1"/>
  <c r="D56" i="1"/>
  <c r="O179" i="9" l="1"/>
  <c r="N179" i="9" s="1"/>
  <c r="N178" i="9"/>
  <c r="O187" i="9"/>
  <c r="N187" i="9" s="1"/>
  <c r="N186" i="9"/>
  <c r="O195" i="9"/>
  <c r="N195" i="9" s="1"/>
  <c r="N194" i="9"/>
  <c r="O147" i="9"/>
  <c r="N147" i="9" s="1"/>
  <c r="N146" i="9"/>
  <c r="O131" i="9"/>
  <c r="N131" i="9" s="1"/>
  <c r="A131" i="9" s="1"/>
  <c r="N130" i="9"/>
  <c r="A130" i="9" s="1"/>
  <c r="N154" i="9"/>
  <c r="A154" i="9" s="1"/>
  <c r="O155" i="9"/>
  <c r="N155" i="9" s="1"/>
  <c r="A155" i="9" s="1"/>
  <c r="O203" i="9"/>
  <c r="N203" i="9" s="1"/>
  <c r="N202" i="9"/>
  <c r="O163" i="9"/>
  <c r="N163" i="9" s="1"/>
  <c r="N162" i="9"/>
  <c r="N122" i="9"/>
  <c r="A122" i="9" s="1"/>
  <c r="O123" i="9"/>
  <c r="N123" i="9" s="1"/>
  <c r="A123" i="9" s="1"/>
  <c r="O171" i="9"/>
  <c r="N171" i="9" s="1"/>
  <c r="N170" i="9"/>
  <c r="O115" i="9"/>
  <c r="N115" i="9" s="1"/>
  <c r="A115" i="9" s="1"/>
  <c r="N114" i="9"/>
  <c r="A114" i="9" s="1"/>
  <c r="O203" i="1"/>
  <c r="N202" i="1"/>
  <c r="O195" i="1"/>
  <c r="N194" i="1"/>
  <c r="O187" i="1"/>
  <c r="N186" i="1"/>
  <c r="O179" i="1"/>
  <c r="N178" i="1"/>
  <c r="O171" i="1"/>
  <c r="N170" i="1"/>
  <c r="O162" i="1"/>
  <c r="N161" i="1"/>
  <c r="O153" i="1"/>
  <c r="N152" i="1"/>
  <c r="A152" i="1" s="1"/>
  <c r="O128" i="1"/>
  <c r="N127" i="1"/>
  <c r="A127" i="1" s="1"/>
  <c r="O144" i="1"/>
  <c r="N143" i="1"/>
  <c r="O120" i="1"/>
  <c r="N119" i="1"/>
  <c r="A119" i="1" s="1"/>
  <c r="C59" i="1"/>
  <c r="J70" i="1"/>
  <c r="J69" i="1"/>
  <c r="H60" i="1"/>
  <c r="O204" i="1" l="1"/>
  <c r="N204" i="1" s="1"/>
  <c r="N203" i="1"/>
  <c r="O196" i="1"/>
  <c r="N196" i="1" s="1"/>
  <c r="N195" i="1"/>
  <c r="O188" i="1"/>
  <c r="N188" i="1" s="1"/>
  <c r="N187" i="1"/>
  <c r="O180" i="1"/>
  <c r="N180" i="1" s="1"/>
  <c r="N179" i="1"/>
  <c r="O172" i="1"/>
  <c r="N172" i="1" s="1"/>
  <c r="N171" i="1"/>
  <c r="O163" i="1"/>
  <c r="N162" i="1"/>
  <c r="O154" i="1"/>
  <c r="N153" i="1"/>
  <c r="A153" i="1" s="1"/>
  <c r="N128" i="1"/>
  <c r="A128" i="1" s="1"/>
  <c r="O129" i="1"/>
  <c r="O145" i="1"/>
  <c r="N144" i="1"/>
  <c r="N120" i="1"/>
  <c r="A120" i="1" s="1"/>
  <c r="O121" i="1"/>
  <c r="D65" i="1"/>
  <c r="D71" i="1"/>
  <c r="J63" i="1"/>
  <c r="D72" i="1"/>
  <c r="D68" i="1"/>
  <c r="J64" i="1"/>
  <c r="C63" i="1" s="1"/>
  <c r="J62" i="1"/>
  <c r="D67" i="1"/>
  <c r="D70" i="1"/>
  <c r="D66" i="1"/>
  <c r="J65" i="1"/>
  <c r="D69" i="1"/>
  <c r="G46" i="1"/>
  <c r="G47" i="1" s="1"/>
  <c r="A102" i="1"/>
  <c r="O110" i="1"/>
  <c r="O164" i="1" l="1"/>
  <c r="N164" i="1" s="1"/>
  <c r="N163" i="1"/>
  <c r="J66" i="1"/>
  <c r="J71" i="1" s="1"/>
  <c r="C64" i="1"/>
  <c r="D63" i="1"/>
  <c r="O155" i="1"/>
  <c r="N154" i="1"/>
  <c r="A154" i="1" s="1"/>
  <c r="O130" i="1"/>
  <c r="N129" i="1"/>
  <c r="A129" i="1" s="1"/>
  <c r="O146" i="1"/>
  <c r="N145" i="1"/>
  <c r="O122" i="1"/>
  <c r="N121" i="1"/>
  <c r="A121" i="1" s="1"/>
  <c r="J67" i="1"/>
  <c r="J68" i="1" s="1"/>
  <c r="A209" i="1"/>
  <c r="A210" i="1" s="1"/>
  <c r="A211" i="1" s="1"/>
  <c r="A212" i="1" s="1"/>
  <c r="A213" i="1" s="1"/>
  <c r="A214" i="1" s="1"/>
  <c r="O156" i="1" l="1"/>
  <c r="N156" i="1" s="1"/>
  <c r="A156" i="1" s="1"/>
  <c r="N155" i="1"/>
  <c r="A155" i="1" s="1"/>
  <c r="O131" i="1"/>
  <c r="N130" i="1"/>
  <c r="A130" i="1" s="1"/>
  <c r="O147" i="1"/>
  <c r="N146" i="1"/>
  <c r="N122" i="1"/>
  <c r="A122" i="1" s="1"/>
  <c r="O123" i="1"/>
  <c r="J72" i="1"/>
  <c r="A103" i="1"/>
  <c r="A104" i="1" s="1"/>
  <c r="A105" i="1" s="1"/>
  <c r="A106" i="1" s="1"/>
  <c r="A107" i="1" s="1"/>
  <c r="A108" i="1" s="1"/>
  <c r="P110" i="1"/>
  <c r="N131" i="1" l="1"/>
  <c r="A131" i="1" s="1"/>
  <c r="O132" i="1"/>
  <c r="N132" i="1" s="1"/>
  <c r="A132" i="1" s="1"/>
  <c r="O148" i="1"/>
  <c r="N148" i="1" s="1"/>
  <c r="N147" i="1"/>
  <c r="O124" i="1"/>
  <c r="N124" i="1" s="1"/>
  <c r="A124" i="1" s="1"/>
  <c r="N123" i="1"/>
  <c r="A123" i="1" s="1"/>
  <c r="E63" i="1"/>
  <c r="D64" i="1"/>
  <c r="G63" i="1"/>
  <c r="N110" i="1"/>
  <c r="I59" i="1" l="1"/>
  <c r="C61" i="1" s="1"/>
  <c r="D58" i="1"/>
  <c r="F73" i="1" s="1"/>
  <c r="C14" i="1" l="1"/>
  <c r="E40" i="1" l="1"/>
  <c r="E41" i="1" s="1"/>
  <c r="F115" i="1" l="1"/>
  <c r="F114" i="1"/>
  <c r="F113" i="1"/>
  <c r="F112" i="1"/>
  <c r="F111" i="1"/>
  <c r="F110" i="1"/>
  <c r="F103" i="1"/>
  <c r="F104" i="1"/>
  <c r="F105" i="1"/>
  <c r="F106" i="1"/>
  <c r="F107" i="1"/>
  <c r="F102" i="1"/>
  <c r="E3" i="1"/>
  <c r="G92" i="1" l="1"/>
  <c r="O111" i="1"/>
  <c r="A110" i="1" l="1"/>
  <c r="P111" i="1"/>
  <c r="P112" i="1" s="1"/>
  <c r="P113" i="1" s="1"/>
  <c r="P114" i="1" s="1"/>
  <c r="P115" i="1" s="1"/>
  <c r="P116" i="1" s="1"/>
  <c r="O112" i="1"/>
  <c r="G110" i="1"/>
  <c r="G111" i="1" s="1"/>
  <c r="G112" i="1" s="1"/>
  <c r="G113" i="1" s="1"/>
  <c r="G114" i="1" s="1"/>
  <c r="G115" i="1" s="1"/>
  <c r="G116" i="1" s="1"/>
  <c r="G102" i="1"/>
  <c r="G103" i="1" s="1"/>
  <c r="G104" i="1" s="1"/>
  <c r="G105" i="1" s="1"/>
  <c r="G106" i="1" s="1"/>
  <c r="G107" i="1" s="1"/>
  <c r="G108" i="1" s="1"/>
  <c r="E25" i="1"/>
  <c r="E23" i="1"/>
  <c r="N111" i="1" l="1"/>
  <c r="A111" i="1" s="1"/>
  <c r="N112" i="1"/>
  <c r="A112" i="1" s="1"/>
  <c r="O113" i="1"/>
  <c r="N113" i="1" s="1"/>
  <c r="F6" i="5"/>
  <c r="G6" i="5" s="1"/>
  <c r="F7" i="5"/>
  <c r="G7" i="5" s="1"/>
  <c r="F8" i="5"/>
  <c r="G8" i="5" s="1"/>
  <c r="F9" i="5"/>
  <c r="G9" i="5" s="1"/>
  <c r="F10" i="5"/>
  <c r="G10" i="5" s="1"/>
  <c r="F11" i="5"/>
  <c r="G11" i="5" s="1"/>
  <c r="F5" i="5"/>
  <c r="G5" i="5" s="1"/>
  <c r="A113" i="1" l="1"/>
  <c r="O114" i="1"/>
  <c r="N114" i="1" s="1"/>
  <c r="G12" i="5"/>
  <c r="A114" i="1" l="1"/>
  <c r="O115" i="1"/>
  <c r="N115" i="1" l="1"/>
  <c r="A115" i="1" s="1"/>
  <c r="O116" i="1"/>
  <c r="N116" i="1" s="1"/>
  <c r="A116" i="1" s="1"/>
  <c r="E7" i="1" l="1"/>
  <c r="D227" i="1" l="1"/>
  <c r="F89" i="1"/>
  <c r="C46" i="1"/>
  <c r="D51" i="1"/>
  <c r="L33" i="3" l="1"/>
  <c r="I33" i="3"/>
  <c r="E33" i="3"/>
  <c r="L32" i="3"/>
  <c r="I32" i="3"/>
  <c r="E32" i="3"/>
  <c r="L31" i="3"/>
  <c r="I31" i="3"/>
  <c r="E31" i="3"/>
  <c r="L30" i="3"/>
  <c r="I30" i="3"/>
  <c r="E30" i="3"/>
  <c r="L29" i="3"/>
  <c r="I29" i="3"/>
  <c r="E29" i="3"/>
  <c r="L28" i="3"/>
  <c r="I28" i="3"/>
  <c r="E28" i="3"/>
  <c r="L27" i="3"/>
  <c r="I27" i="3"/>
  <c r="E27" i="3"/>
  <c r="L26" i="3"/>
  <c r="I26" i="3"/>
  <c r="E26" i="3"/>
  <c r="L25" i="3"/>
  <c r="I25" i="3"/>
  <c r="E25" i="3"/>
  <c r="L24" i="3"/>
  <c r="I24" i="3"/>
  <c r="E24" i="3"/>
  <c r="L23" i="3"/>
  <c r="I23" i="3"/>
  <c r="E23" i="3"/>
  <c r="L22" i="3"/>
  <c r="I22" i="3"/>
  <c r="E22" i="3"/>
  <c r="L21" i="3"/>
  <c r="I21" i="3"/>
  <c r="E21" i="3"/>
  <c r="L20" i="3"/>
  <c r="I20" i="3"/>
  <c r="E20" i="3"/>
  <c r="L19" i="3"/>
  <c r="I19" i="3"/>
  <c r="E19" i="3"/>
  <c r="L18" i="3"/>
  <c r="I18" i="3"/>
  <c r="E18" i="3"/>
  <c r="L17" i="3"/>
  <c r="I17" i="3"/>
  <c r="E17" i="3"/>
  <c r="L16" i="3"/>
  <c r="I16" i="3"/>
  <c r="E16" i="3"/>
  <c r="L15" i="3"/>
  <c r="I15" i="3"/>
  <c r="E15" i="3"/>
  <c r="L14" i="3"/>
  <c r="I14" i="3"/>
  <c r="E14" i="3"/>
  <c r="L13" i="3"/>
  <c r="I13" i="3"/>
  <c r="E13" i="3"/>
  <c r="L12" i="3"/>
  <c r="I12" i="3"/>
  <c r="E12" i="3"/>
  <c r="L11" i="3"/>
  <c r="I11" i="3"/>
  <c r="E11" i="3"/>
  <c r="L10" i="3"/>
  <c r="I10" i="3"/>
  <c r="E10" i="3"/>
  <c r="L9" i="3"/>
  <c r="I9" i="3"/>
  <c r="E9" i="3"/>
  <c r="L8" i="3"/>
  <c r="I8" i="3"/>
  <c r="E8" i="3"/>
  <c r="L7" i="3"/>
  <c r="I7" i="3"/>
  <c r="E7" i="3"/>
  <c r="L6" i="3"/>
  <c r="I6" i="3"/>
  <c r="E6" i="3"/>
  <c r="L34" i="3" l="1"/>
  <c r="K34" i="3" s="1"/>
  <c r="E34" i="3"/>
  <c r="I34" i="3"/>
  <c r="H34" i="3" s="1"/>
  <c r="D34" i="3" l="1"/>
  <c r="D36" i="3" s="1"/>
  <c r="E36" i="3"/>
</calcChain>
</file>

<file path=xl/sharedStrings.xml><?xml version="1.0" encoding="utf-8"?>
<sst xmlns="http://schemas.openxmlformats.org/spreadsheetml/2006/main" count="877" uniqueCount="270">
  <si>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</si>
  <si>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</si>
  <si>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</si>
  <si>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</si>
  <si>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</si>
  <si>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</si>
  <si>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</si>
  <si>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</si>
  <si>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</si>
  <si>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</si>
  <si>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</si>
  <si>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</si>
  <si>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</si>
  <si>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</si>
  <si>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</si>
  <si>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</si>
  <si>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</si>
  <si>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</si>
  <si>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</si>
  <si>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</si>
  <si>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</si>
  <si>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</si>
  <si>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</si>
  <si>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</si>
  <si>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</si>
  <si>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</si>
  <si>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</si>
  <si>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</si>
  <si>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</si>
  <si>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</si>
  <si>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</si>
  <si>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</si>
  <si>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</si>
  <si>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>Latitude</t>
  </si>
  <si>
    <t>Longitude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</si>
  <si>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</si>
  <si>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</si>
  <si>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</si>
  <si>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</si>
  <si>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</si>
  <si>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</si>
  <si>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</si>
  <si>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</si>
  <si>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</si>
  <si>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</si>
  <si>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</si>
  <si>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</si>
  <si>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Commencement Certificate No.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</si>
  <si>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</si>
  <si>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</si>
  <si>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</si>
  <si>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</si>
  <si>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</si>
  <si>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</si>
  <si>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</si>
  <si>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</si>
  <si>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Violations Observed if any : NA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</si>
  <si>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</si>
  <si>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</si>
  <si>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</si>
  <si>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</si>
  <si>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</si>
  <si>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</si>
  <si>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A</t>
  </si>
  <si>
    <t>Total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</si>
  <si>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</si>
  <si>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</si>
  <si>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</si>
  <si>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</si>
  <si>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</si>
  <si>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</si>
  <si>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</si>
  <si>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</si>
  <si>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</si>
  <si>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</si>
  <si>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</si>
  <si>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</si>
  <si>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</si>
  <si>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</si>
  <si>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</si>
  <si>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</si>
  <si>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</si>
  <si>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</si>
  <si>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</si>
  <si>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</si>
  <si>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</si>
  <si>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</si>
  <si>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Hall</t>
  </si>
  <si>
    <t>CB</t>
  </si>
  <si>
    <t>FB</t>
  </si>
  <si>
    <t>kitch</t>
  </si>
  <si>
    <t>Bed1</t>
  </si>
  <si>
    <t>Bed2</t>
  </si>
  <si>
    <t>toilet1</t>
  </si>
  <si>
    <t>DB</t>
  </si>
  <si>
    <t>toilet2</t>
  </si>
  <si>
    <t>toilet3</t>
  </si>
  <si>
    <t>passage1</t>
  </si>
  <si>
    <t>passage2</t>
  </si>
  <si>
    <t>passage3</t>
  </si>
  <si>
    <t>passage4</t>
  </si>
  <si>
    <t>Residential Area Details :</t>
  </si>
  <si>
    <t>Podium</t>
  </si>
  <si>
    <t>Ground</t>
  </si>
  <si>
    <t>Locality/Village</t>
  </si>
  <si>
    <t>Taluka</t>
  </si>
  <si>
    <t>Recommended rate of the flat Per Sq. Ft. ( on Saleable area)</t>
  </si>
  <si>
    <t>Accessibility to the Project from the City: (Proximity to civic amenities like school, hospital, market, etc.)</t>
  </si>
  <si>
    <t>Inspected By :</t>
  </si>
  <si>
    <t>No. of Units</t>
  </si>
  <si>
    <t>1302-ELLORA FIESTA, PLOT NO. 8, SECTOR 11, OPP. JUINAGAR RAILWAY STATION, SANPADA, NAVI MUMBAI 400 706. TEL: 022-27758396/95. FAX :022-27758394.
E mail : axisbank@vsjadon.com. vsjcvaluer@gmail.com. Web site : www.vsjadon.com</t>
  </si>
  <si>
    <t>Authorized Signatory
Name &amp; Seal of the agency</t>
  </si>
  <si>
    <t>Recommended rate of the shop Per Sq. Ft. ( on Saleable area)</t>
  </si>
  <si>
    <t>Recommended rate of the Office Per Sq. Ft. ( on Saleable area)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</si>
  <si>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</si>
  <si>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</si>
  <si>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</si>
  <si>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</si>
  <si>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</si>
  <si>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</si>
  <si>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</si>
  <si>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</si>
  <si>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</si>
  <si>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</si>
  <si>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</si>
  <si>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</si>
  <si>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</si>
  <si>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</si>
  <si>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</si>
  <si>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Floor Rise Rate Per Sq.ft</t>
  </si>
  <si>
    <t>Development Charges</t>
  </si>
  <si>
    <t>Club Charges</t>
  </si>
  <si>
    <t>Legal Services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</si>
  <si>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</si>
  <si>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</si>
  <si>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</si>
  <si>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</si>
  <si>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</si>
  <si>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</si>
  <si>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</si>
  <si>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</si>
  <si>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</si>
  <si>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</si>
  <si>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</si>
  <si>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</si>
  <si>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</si>
  <si>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</si>
  <si>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</si>
  <si>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</si>
  <si>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</si>
  <si>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</si>
  <si>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</si>
  <si>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</si>
  <si>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</si>
  <si>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</si>
  <si>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</si>
  <si>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</si>
  <si>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Saleable area
Loading :</t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</si>
  <si>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</si>
  <si>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Contact Details ( Name &amp; Contact No.)</t>
  </si>
  <si>
    <t>01 Building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</si>
  <si>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</si>
  <si>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</si>
  <si>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</si>
  <si>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</si>
  <si>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</si>
  <si>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</si>
  <si>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</si>
  <si>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</si>
  <si>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</si>
  <si>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</si>
  <si>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</si>
  <si>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</si>
  <si>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</si>
  <si>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</si>
  <si>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</si>
  <si>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</si>
  <si>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</si>
  <si>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</si>
  <si>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</si>
  <si>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</si>
  <si>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</si>
  <si>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</si>
  <si>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</si>
  <si>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</si>
  <si>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</si>
  <si>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</si>
  <si>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Axis Sanpada</t>
  </si>
  <si>
    <t>M/s.K.T.Homes</t>
  </si>
  <si>
    <t>Radhe Mohan</t>
  </si>
  <si>
    <t>P51700029410</t>
  </si>
  <si>
    <t>Plot No</t>
  </si>
  <si>
    <t>2 &amp; Sector No.23</t>
  </si>
  <si>
    <t>Koparkhairne</t>
  </si>
  <si>
    <t>Thane</t>
  </si>
  <si>
    <t>Navi Mumbai</t>
  </si>
  <si>
    <t>Ground Floor for Parking</t>
  </si>
  <si>
    <t>3rd Floor for Residential</t>
  </si>
  <si>
    <t>Sale/ Rehab Flats</t>
  </si>
  <si>
    <t>Rehab</t>
  </si>
  <si>
    <t>Sale</t>
  </si>
  <si>
    <t>1 BHK</t>
  </si>
  <si>
    <t>2 BHK</t>
  </si>
  <si>
    <t>8th Floor (Part Refuge Area)</t>
  </si>
  <si>
    <t xml:space="preserve">4th, 12th, 16th Floor </t>
  </si>
  <si>
    <t xml:space="preserve">5th, 9th, 17th Floor </t>
  </si>
  <si>
    <t xml:space="preserve">6th, 10th, 14th Floor </t>
  </si>
  <si>
    <t xml:space="preserve">7th, 11th, 15th Floor </t>
  </si>
  <si>
    <t>913601160/9930002500</t>
  </si>
  <si>
    <t>Sai Baba Road</t>
  </si>
  <si>
    <t>1.5 Km from Koparkhairne Railway Station</t>
  </si>
  <si>
    <t>Existing Building Name</t>
  </si>
  <si>
    <t xml:space="preserve">Residential </t>
  </si>
  <si>
    <t>Agriculture Chs Ltd</t>
  </si>
  <si>
    <t>Om Shiv Sai Mandir</t>
  </si>
  <si>
    <t>Tapasya CHS</t>
  </si>
  <si>
    <t>Gyan Vikas Road</t>
  </si>
  <si>
    <t>NRV/A-20201CNMMC16482/119</t>
  </si>
  <si>
    <t>NMMC/TPO/BP/20201CNMMC16482/119/2021</t>
  </si>
  <si>
    <t>As per RERA - 31/12/2024</t>
  </si>
  <si>
    <t>13th Floor (Part Refuge Area)</t>
  </si>
  <si>
    <t>18th Floor (Part Refuge Area)</t>
  </si>
  <si>
    <t xml:space="preserve">19th Floor </t>
  </si>
  <si>
    <t xml:space="preserve">20th Floor </t>
  </si>
  <si>
    <t xml:space="preserve">21th Floor </t>
  </si>
  <si>
    <t xml:space="preserve">22th Floor </t>
  </si>
  <si>
    <t xml:space="preserve">23th Floor </t>
  </si>
  <si>
    <t xml:space="preserve">Open Terrace </t>
  </si>
  <si>
    <t xml:space="preserve">Construction work is in process at the time of Visit (labour found). </t>
  </si>
  <si>
    <t>We considered  Saleable area  as per our calculation.</t>
  </si>
  <si>
    <t>We considered Gross carpet area = Net carpet + Enclose balcony + C.B Area + F.B Area.</t>
  </si>
  <si>
    <t>On Site, we meet Mr.Ashok (9987666006).</t>
  </si>
  <si>
    <t>Vishal</t>
  </si>
  <si>
    <t>Harshad Jadhav</t>
  </si>
  <si>
    <t>24th Floor</t>
  </si>
  <si>
    <t>Part Refuge Area</t>
  </si>
  <si>
    <t>Approved Plans, CC, Sale Plans.</t>
  </si>
  <si>
    <t>Flats</t>
  </si>
  <si>
    <t>Flats - 144</t>
  </si>
  <si>
    <t>5,00,000/-</t>
  </si>
  <si>
    <t>Om Siddhivinayak CHS</t>
  </si>
  <si>
    <t>Valid Up to: G/St + 2P + 3rd to 23rd Floor</t>
  </si>
  <si>
    <t>G/St + 2P + 3rd to 23rd Floor</t>
  </si>
  <si>
    <t xml:space="preserve">1.Vitrified tiles Flooring 2. Granite Kitchen Platform  3. Decorative Enternace  etc.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</si>
  <si>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1st Floor for Podium Parking</t>
  </si>
  <si>
    <t>2nd Floor for Stilt &amp; Amenities</t>
  </si>
  <si>
    <t>Building No.B1 &amp; B2</t>
  </si>
  <si>
    <t xml:space="preserve">Proposed Amenities :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</si>
  <si>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r>
      <t xml:space="preserve">Flat No.
</t>
    </r>
    <r>
      <rPr>
        <b/>
        <sz val="11"/>
        <color rgb="FF000000"/>
        <rFont val="Times New Roman"/>
        <family val="1"/>
      </rPr>
      <t>(Sale Plan)</t>
    </r>
  </si>
  <si>
    <t>Recommended rate of the flat Per Sq. Ft. (on Saleable area)</t>
  </si>
  <si>
    <t>1.5 BHK</t>
  </si>
  <si>
    <t>6,00,000/-</t>
  </si>
  <si>
    <t>Builder Saleable area</t>
  </si>
  <si>
    <t>We considered  Saleable area  as per builder area sheet.</t>
  </si>
  <si>
    <t>Recommended rate should be considered as all inclusive rate if other charges are not mentioned. (Excluding GST &amp; other government Taxes).</t>
  </si>
  <si>
    <t xml:space="preserve">Koparkhairne </t>
  </si>
  <si>
    <t>Village</t>
  </si>
  <si>
    <t>Club Membership</t>
  </si>
  <si>
    <t>Legal Charges</t>
  </si>
  <si>
    <t xml:space="preserve">(Palas said on 9/6/2022 don’t convert it into value. Let it be 400/- per S.ft) </t>
  </si>
  <si>
    <t>Location Link</t>
  </si>
  <si>
    <t>19.098552, 72.998732</t>
  </si>
  <si>
    <t>Latitude &amp; Longitude</t>
  </si>
  <si>
    <t>https://goo.gl/maps/6dNqErgmD6yzdwcR7</t>
  </si>
  <si>
    <t xml:space="preserve">Office No. 1031, Wing J, Akshar Business Park, Plot No. 03 Sector 25, Near APMC Market, Vashi, Navi Mumbai,  Maharashtra 400703 TEL: 022-46090378/79/80                                                                       
E mail : vsjcapf@gmail.com. Web site : www.vsjadon.com
</t>
  </si>
  <si>
    <t>On Site, we meet  Mr. Manish : 8169795030.</t>
  </si>
  <si>
    <t>As per RERA - 31/12/2025</t>
  </si>
  <si>
    <t>Finishing work is in process at the time of Visit.</t>
  </si>
  <si>
    <t>Pooja Kawale</t>
  </si>
  <si>
    <t>Aakash Chaure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</si>
</sst>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dd\/mm\/yyyy"/>
  </numFmts>
  <fonts count="24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u/>
      <sz val="11"/>
      <color theme="10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3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10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0" fontId="23" fillId="0" borderId="0" applyNumberFormat="0" applyFill="0" applyBorder="0" applyAlignment="0" applyProtection="0"/>
  </cellStyleXfs>
  <cellXfs count="184">
    <xf numFmtId="0" fontId="0" fillId="0" borderId="0" xfId="0"/>
    <xf numFmtId="0" fontId="7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0" fillId="3" borderId="1" xfId="0" applyFill="1" applyBorder="1"/>
    <xf numFmtId="0" fontId="0" fillId="0" borderId="2" xfId="0" applyBorder="1"/>
    <xf numFmtId="0" fontId="9" fillId="0" borderId="1" xfId="0" applyFont="1" applyBorder="1"/>
    <xf numFmtId="0" fontId="9" fillId="0" borderId="1" xfId="0" applyFont="1" applyBorder="1" applyAlignment="1">
      <alignment horizontal="center"/>
    </xf>
    <xf numFmtId="0" fontId="0" fillId="0" borderId="1" xfId="0" applyBorder="1"/>
    <xf numFmtId="0" fontId="7" fillId="0" borderId="0" xfId="1" applyFont="1"/>
    <xf numFmtId="0" fontId="6" fillId="0" borderId="0" xfId="2" applyFont="1"/>
    <xf numFmtId="0" fontId="12" fillId="0" borderId="0" xfId="1" applyFont="1"/>
    <xf numFmtId="0" fontId="15" fillId="0" borderId="0" xfId="1" applyFont="1"/>
    <xf numFmtId="0" fontId="16" fillId="0" borderId="0" xfId="1" applyFont="1"/>
    <xf numFmtId="0" fontId="12" fillId="2" borderId="1" xfId="1" applyFont="1" applyFill="1" applyBorder="1" applyAlignment="1" applyProtection="1">
      <alignment vertical="top"/>
      <protection locked="0"/>
    </xf>
    <xf numFmtId="0" fontId="8" fillId="2" borderId="1" xfId="1" applyFont="1" applyFill="1" applyBorder="1" applyAlignment="1" applyProtection="1">
      <alignment horizontal="left" vertical="top"/>
      <protection locked="0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0" fontId="7" fillId="0" borderId="0" xfId="1" applyFont="1" applyProtection="1">
      <protection hidden="1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12" xfId="1" applyFont="1" applyBorder="1" applyProtection="1">
      <protection hidden="1"/>
    </xf>
    <xf numFmtId="0" fontId="7" fillId="0" borderId="13" xfId="1" applyFont="1" applyBorder="1" applyProtection="1">
      <protection hidden="1"/>
    </xf>
    <xf numFmtId="0" fontId="7" fillId="0" borderId="13" xfId="1" applyFont="1" applyBorder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9" xfId="8" applyFont="1" applyFill="1" applyBorder="1" applyAlignment="1" applyProtection="1">
      <alignment horizontal="center" vertical="top" wrapText="1"/>
      <protection locked="0"/>
    </xf>
    <xf numFmtId="1" fontId="7" fillId="0" borderId="0" xfId="1" applyNumberFormat="1" applyFont="1" applyAlignment="1">
      <alignment horizontal="center" vertical="center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14" fontId="7" fillId="0" borderId="0" xfId="1" applyNumberFormat="1" applyFont="1"/>
    <xf numFmtId="1" fontId="7" fillId="0" borderId="0" xfId="1" applyNumberFormat="1" applyFont="1"/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17" fillId="0" borderId="13" xfId="0" applyFont="1" applyBorder="1" applyProtection="1">
      <protection hidden="1"/>
    </xf>
    <xf numFmtId="0" fontId="7" fillId="0" borderId="11" xfId="1" applyFont="1" applyBorder="1" applyProtection="1">
      <protection hidden="1"/>
    </xf>
    <xf numFmtId="0" fontId="17" fillId="0" borderId="14" xfId="0" applyFont="1" applyBorder="1" applyProtection="1">
      <protection hidden="1"/>
    </xf>
    <xf numFmtId="1" fontId="0" fillId="0" borderId="13" xfId="0" applyNumberFormat="1" applyBorder="1"/>
    <xf numFmtId="1" fontId="0" fillId="0" borderId="13" xfId="0" applyNumberFormat="1" applyBorder="1" applyAlignment="1">
      <alignment horizontal="right"/>
    </xf>
    <xf numFmtId="1" fontId="0" fillId="0" borderId="15" xfId="0" applyNumberFormat="1" applyBorder="1"/>
    <xf numFmtId="0" fontId="12" fillId="0" borderId="4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9" fontId="7" fillId="2" borderId="1" xfId="1" applyNumberFormat="1" applyFont="1" applyFill="1" applyBorder="1" applyAlignment="1" applyProtection="1">
      <alignment horizontal="center" vertical="center" wrapText="1"/>
      <protection hidden="1"/>
    </xf>
    <xf numFmtId="9" fontId="7" fillId="2" borderId="7" xfId="1" applyNumberFormat="1" applyFont="1" applyFill="1" applyBorder="1" applyAlignment="1" applyProtection="1">
      <alignment horizontal="center" vertical="center" wrapText="1"/>
      <protection hidden="1"/>
    </xf>
    <xf numFmtId="0" fontId="12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 wrapText="1"/>
      <protection locked="0"/>
    </xf>
    <xf numFmtId="1" fontId="7" fillId="0" borderId="1" xfId="1" applyNumberFormat="1" applyFont="1" applyBorder="1" applyAlignment="1" applyProtection="1">
      <alignment horizontal="center" wrapText="1"/>
      <protection locked="0"/>
    </xf>
    <xf numFmtId="0" fontId="7" fillId="0" borderId="7" xfId="1" applyFont="1" applyBorder="1" applyAlignment="1" applyProtection="1">
      <alignment horizontal="center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vertical="top"/>
      <protection locked="0"/>
    </xf>
    <xf numFmtId="9" fontId="7" fillId="0" borderId="1" xfId="1" applyNumberFormat="1" applyFont="1" applyBorder="1" applyAlignment="1" applyProtection="1">
      <alignment horizontal="center" vertical="center" wrapText="1"/>
      <protection hidden="1"/>
    </xf>
    <xf numFmtId="9" fontId="7" fillId="0" borderId="7" xfId="1" applyNumberFormat="1" applyFont="1" applyBorder="1" applyAlignment="1" applyProtection="1">
      <alignment horizontal="center" vertical="center" wrapText="1"/>
      <protection hidden="1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67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left" vertical="center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0" fontId="23" fillId="0" borderId="1" xfId="9" applyBorder="1" applyAlignment="1" applyProtection="1">
      <alignment horizontal="left"/>
      <protection locked="0"/>
    </xf>
    <xf numFmtId="0" fontId="7" fillId="0" borderId="1" xfId="1" applyFont="1" applyBorder="1" applyAlignment="1" applyProtection="1">
      <alignment horizontal="left"/>
      <protection locked="0"/>
    </xf>
    <xf numFmtId="167" fontId="12" fillId="0" borderId="1" xfId="1" applyNumberFormat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0" fontId="12" fillId="0" borderId="27" xfId="1" applyFont="1" applyBorder="1" applyAlignment="1" applyProtection="1">
      <alignment horizontal="left" vertical="top" wrapText="1"/>
      <protection locked="0"/>
    </xf>
    <xf numFmtId="0" fontId="12" fillId="0" borderId="21" xfId="1" applyFont="1" applyBorder="1" applyAlignment="1" applyProtection="1">
      <alignment horizontal="left" vertical="top" wrapText="1"/>
      <protection locked="0"/>
    </xf>
    <xf numFmtId="0" fontId="12" fillId="0" borderId="9" xfId="1" applyFont="1" applyBorder="1" applyAlignment="1" applyProtection="1">
      <alignment horizontal="left" vertical="top" wrapText="1"/>
      <protection locked="0"/>
    </xf>
    <xf numFmtId="0" fontId="12" fillId="0" borderId="24" xfId="1" applyFont="1" applyBorder="1" applyAlignment="1" applyProtection="1">
      <alignment horizontal="left" vertical="top" wrapText="1"/>
      <protection locked="0"/>
    </xf>
    <xf numFmtId="0" fontId="12" fillId="0" borderId="10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167" fontId="13" fillId="0" borderId="1" xfId="1" applyNumberFormat="1" applyFont="1" applyBorder="1" applyAlignment="1" applyProtection="1">
      <alignment horizontal="left" vertical="top" wrapText="1"/>
      <protection locked="0"/>
    </xf>
    <xf numFmtId="0" fontId="6" fillId="0" borderId="3" xfId="1" applyFont="1" applyBorder="1" applyAlignment="1" applyProtection="1">
      <alignment horizontal="left" vertical="top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0" fontId="8" fillId="0" borderId="25" xfId="1" applyFont="1" applyBorder="1" applyAlignment="1" applyProtection="1">
      <alignment horizontal="left" vertical="top" wrapText="1"/>
      <protection locked="0"/>
    </xf>
    <xf numFmtId="0" fontId="8" fillId="0" borderId="18" xfId="1" applyFont="1" applyBorder="1" applyAlignment="1" applyProtection="1">
      <alignment horizontal="left" vertical="top" wrapText="1"/>
      <protection locked="0"/>
    </xf>
    <xf numFmtId="0" fontId="8" fillId="0" borderId="16" xfId="1" applyFont="1" applyBorder="1" applyAlignment="1" applyProtection="1">
      <alignment horizontal="left" vertical="top" wrapText="1"/>
      <protection locked="0"/>
    </xf>
    <xf numFmtId="0" fontId="8" fillId="0" borderId="17" xfId="1" applyFont="1" applyBorder="1" applyAlignment="1" applyProtection="1">
      <alignment horizontal="left" vertical="top" wrapText="1"/>
      <protection locked="0"/>
    </xf>
    <xf numFmtId="0" fontId="8" fillId="0" borderId="26" xfId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9" fontId="7" fillId="0" borderId="1" xfId="1" applyNumberFormat="1" applyFont="1" applyBorder="1" applyAlignment="1" applyProtection="1">
      <alignment horizontal="center" vertical="center" wrapText="1"/>
      <protection hidden="1"/>
    </xf>
    <xf numFmtId="9" fontId="7" fillId="0" borderId="7" xfId="1" applyNumberFormat="1" applyFont="1" applyBorder="1" applyAlignment="1" applyProtection="1">
      <alignment horizontal="center" vertical="center" wrapText="1"/>
      <protection hidden="1"/>
    </xf>
    <xf numFmtId="9" fontId="7" fillId="0" borderId="5" xfId="1" applyNumberFormat="1" applyFont="1" applyBorder="1" applyAlignment="1" applyProtection="1">
      <alignment horizontal="center" vertical="center" wrapText="1"/>
      <protection hidden="1"/>
    </xf>
    <xf numFmtId="9" fontId="7" fillId="0" borderId="8" xfId="1" applyNumberFormat="1" applyFont="1" applyBorder="1" applyAlignment="1" applyProtection="1">
      <alignment horizontal="center" vertical="center" wrapText="1"/>
      <protection hidden="1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3" fontId="13" fillId="0" borderId="1" xfId="1" applyNumberFormat="1" applyFont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/>
      <protection locked="0"/>
    </xf>
    <xf numFmtId="0" fontId="12" fillId="0" borderId="17" xfId="1" applyFont="1" applyBorder="1" applyAlignment="1" applyProtection="1">
      <alignment horizontal="left" vertical="top"/>
      <protection locked="0"/>
    </xf>
    <xf numFmtId="0" fontId="12" fillId="0" borderId="18" xfId="1" applyFont="1" applyBorder="1" applyAlignment="1" applyProtection="1">
      <alignment horizontal="left" vertical="top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7" fillId="0" borderId="0" xfId="1" applyFont="1" applyAlignment="1">
      <alignment horizontal="center" vertical="center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1" fontId="8" fillId="0" borderId="21" xfId="1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6" fillId="0" borderId="28" xfId="1" applyNumberFormat="1" applyFont="1" applyBorder="1" applyAlignment="1" applyProtection="1">
      <alignment horizontal="center" vertical="center" wrapText="1"/>
      <protection locked="0"/>
    </xf>
    <xf numFmtId="1" fontId="6" fillId="0" borderId="29" xfId="1" applyNumberFormat="1" applyFont="1" applyBorder="1" applyAlignment="1" applyProtection="1">
      <alignment horizontal="center" vertical="center" wrapText="1"/>
      <protection locked="0"/>
    </xf>
    <xf numFmtId="1" fontId="6" fillId="0" borderId="22" xfId="1" applyNumberFormat="1" applyFont="1" applyBorder="1" applyAlignment="1" applyProtection="1">
      <alignment horizontal="center" vertical="center" wrapText="1"/>
      <protection locked="0"/>
    </xf>
    <xf numFmtId="1" fontId="6" fillId="0" borderId="23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1" fontId="8" fillId="0" borderId="24" xfId="1" applyNumberFormat="1" applyFont="1" applyBorder="1" applyAlignment="1" applyProtection="1">
      <alignment horizontal="center" vertical="center" wrapText="1"/>
      <protection locked="0"/>
    </xf>
    <xf numFmtId="1" fontId="8" fillId="0" borderId="10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6" fillId="0" borderId="10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27" xfId="1" applyNumberFormat="1" applyFont="1" applyBorder="1" applyAlignment="1" applyProtection="1">
      <alignment horizontal="center" vertical="center" wrapText="1"/>
      <protection locked="0"/>
    </xf>
    <xf numFmtId="1" fontId="6" fillId="0" borderId="0" xfId="1" applyNumberFormat="1" applyFont="1" applyAlignment="1" applyProtection="1">
      <alignment horizontal="center" vertical="center" wrapText="1"/>
      <protection locked="0"/>
    </xf>
    <xf numFmtId="1" fontId="6" fillId="0" borderId="2" xfId="1" applyNumberFormat="1" applyFont="1" applyBorder="1" applyAlignment="1" applyProtection="1">
      <alignment horizontal="center" vertical="center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9" xfId="0" applyNumberFormat="1" applyFont="1" applyBorder="1" applyAlignment="1" applyProtection="1">
      <alignment vertical="top" wrapText="1"/>
      <protection locked="0"/>
    </xf>
    <xf numFmtId="1" fontId="8" fillId="0" borderId="24" xfId="0" applyNumberFormat="1" applyFont="1" applyBorder="1" applyAlignment="1" applyProtection="1">
      <alignment vertical="top" wrapText="1"/>
      <protection locked="0"/>
    </xf>
    <xf numFmtId="1" fontId="8" fillId="0" borderId="10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1" fontId="13" fillId="0" borderId="24" xfId="0" applyNumberFormat="1" applyFont="1" applyBorder="1" applyAlignment="1" applyProtection="1">
      <alignment vertical="top" wrapText="1"/>
      <protection locked="0"/>
    </xf>
    <xf numFmtId="1" fontId="13" fillId="0" borderId="10" xfId="0" applyNumberFormat="1" applyFont="1" applyBorder="1" applyAlignment="1" applyProtection="1">
      <alignment vertical="top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3" fontId="12" fillId="2" borderId="1" xfId="1" applyNumberFormat="1" applyFont="1" applyFill="1" applyBorder="1" applyAlignment="1" applyProtection="1">
      <alignment horizontal="left" vertical="top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12" fillId="2" borderId="1" xfId="1" applyFont="1" applyFill="1" applyBorder="1" applyAlignment="1" applyProtection="1">
      <alignment horizontal="left" vertical="top" wrapText="1"/>
      <protection locked="0"/>
    </xf>
    <xf numFmtId="0" fontId="13" fillId="2" borderId="1" xfId="1" applyFont="1" applyFill="1" applyBorder="1" applyAlignment="1" applyProtection="1">
      <alignment horizontal="left" vertical="top" wrapText="1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1" fontId="8" fillId="0" borderId="22" xfId="1" applyNumberFormat="1" applyFont="1" applyBorder="1" applyAlignment="1" applyProtection="1">
      <alignment horizontal="center" vertical="top" wrapText="1"/>
      <protection locked="0"/>
    </xf>
    <xf numFmtId="0" fontId="6" fillId="2" borderId="1" xfId="1" applyFont="1" applyFill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center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23" xfId="1" applyNumberFormat="1" applyFont="1" applyBorder="1" applyAlignment="1" applyProtection="1">
      <alignment horizontal="center" vertical="top" wrapText="1"/>
      <protection locked="0"/>
    </xf>
    <xf numFmtId="0" fontId="12" fillId="2" borderId="9" xfId="1" applyFont="1" applyFill="1" applyBorder="1" applyAlignment="1" applyProtection="1">
      <alignment horizontal="left" vertical="top" wrapText="1"/>
      <protection locked="0"/>
    </xf>
    <xf numFmtId="0" fontId="12" fillId="2" borderId="24" xfId="1" applyFont="1" applyFill="1" applyBorder="1" applyAlignment="1" applyProtection="1">
      <alignment horizontal="left" vertical="top" wrapText="1"/>
      <protection locked="0"/>
    </xf>
    <xf numFmtId="0" fontId="12" fillId="2" borderId="10" xfId="1" applyFont="1" applyFill="1" applyBorder="1" applyAlignment="1" applyProtection="1">
      <alignment horizontal="left" vertical="top" wrapText="1"/>
      <protection locked="0"/>
    </xf>
    <xf numFmtId="9" fontId="7" fillId="2" borderId="1" xfId="1" applyNumberFormat="1" applyFont="1" applyFill="1" applyBorder="1" applyAlignment="1" applyProtection="1">
      <alignment horizontal="center" vertical="center" wrapText="1"/>
      <protection hidden="1"/>
    </xf>
    <xf numFmtId="9" fontId="7" fillId="2" borderId="7" xfId="1" applyNumberFormat="1" applyFont="1" applyFill="1" applyBorder="1" applyAlignment="1" applyProtection="1">
      <alignment horizontal="center" vertical="center" wrapText="1"/>
      <protection hidden="1"/>
    </xf>
    <xf numFmtId="9" fontId="7" fillId="2" borderId="5" xfId="1" applyNumberFormat="1" applyFont="1" applyFill="1" applyBorder="1" applyAlignment="1" applyProtection="1">
      <alignment horizontal="center" vertical="center" wrapText="1"/>
      <protection hidden="1"/>
    </xf>
    <xf numFmtId="9" fontId="7" fillId="2" borderId="8" xfId="1" applyNumberFormat="1" applyFont="1" applyFill="1" applyBorder="1" applyAlignment="1" applyProtection="1">
      <alignment horizontal="center" vertical="center" wrapText="1"/>
      <protection hidden="1"/>
    </xf>
    <xf numFmtId="0" fontId="0" fillId="3" borderId="1" xfId="0" applyFill="1" applyBorder="1" applyAlignment="1">
      <alignment horizontal="center" wrapText="1"/>
    </xf>
    <xf numFmtId="0" fontId="9" fillId="0" borderId="1" xfId="0" applyFont="1" applyBorder="1" applyAlignment="1">
      <alignment horizontal="center"/>
    </xf>
    <xf numFmtId="0" fontId="9" fillId="0" borderId="1" xfId="5" applyFont="1" applyBorder="1" applyAlignment="1">
      <alignment horizontal="left"/>
    </xf>
  </cellXfs>
  <cellStyles count="10">
    <cellStyle name="Comma 2" xfId="6"/>
    <cellStyle name="Excel Built-in Normal" xfId="2"/>
    <cellStyle name="Excel Built-in Normal 2" xfId="4"/>
    <cellStyle name="Hyperlink" xfId="9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jpeg"/><Relationship Id="rId7" Type="http://schemas.openxmlformats.org/officeDocument/2006/relationships/image" Target="../media/image2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22.jpeg"/><Relationship Id="rId5" Type="http://schemas.openxmlformats.org/officeDocument/2006/relationships/image" Target="../media/image21.jpeg"/><Relationship Id="rId10" Type="http://schemas.openxmlformats.org/officeDocument/2006/relationships/image" Target="../media/image26.jpeg"/><Relationship Id="rId4" Type="http://schemas.openxmlformats.org/officeDocument/2006/relationships/image" Target="../media/image20.jpeg"/><Relationship Id="rId9" Type="http://schemas.openxmlformats.org/officeDocument/2006/relationships/image" Target="../media/image25.jpe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2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571498</xdr:colOff>
      <xdr:row>269</xdr:row>
      <xdr:rowOff>11208</xdr:rowOff>
    </xdr:from>
    <xdr:to>
      <xdr:col>7</xdr:col>
      <xdr:colOff>290230</xdr:colOff>
      <xdr:row>287</xdr:row>
      <xdr:rowOff>113702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498" y="55713408"/>
          <a:ext cx="5833782" cy="370294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571497</xdr:colOff>
      <xdr:row>288</xdr:row>
      <xdr:rowOff>103096</xdr:rowOff>
    </xdr:from>
    <xdr:to>
      <xdr:col>7</xdr:col>
      <xdr:colOff>290229</xdr:colOff>
      <xdr:row>307</xdr:row>
      <xdr:rowOff>4485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497" y="59605771"/>
          <a:ext cx="5833782" cy="370186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868643</xdr:colOff>
      <xdr:row>227</xdr:row>
      <xdr:rowOff>25586</xdr:rowOff>
    </xdr:from>
    <xdr:to>
      <xdr:col>20</xdr:col>
      <xdr:colOff>470335</xdr:colOff>
      <xdr:row>261</xdr:row>
      <xdr:rowOff>74948</xdr:rowOff>
    </xdr:to>
    <xdr:grpSp>
      <xdr:nvGrpSpPr>
        <xdr:cNvPr id="4" name="Group 3"/>
        <xdr:cNvGrpSpPr/>
      </xdr:nvGrpSpPr>
      <xdr:grpSpPr>
        <a:xfrm>
          <a:off x="7713943" y="45358236"/>
          <a:ext cx="6485092" cy="6735912"/>
          <a:chOff x="196850" y="45243750"/>
          <a:chExt cx="6428690" cy="6735912"/>
        </a:xfrm>
      </xdr:grpSpPr>
      <xdr:pic>
        <xdr:nvPicPr>
          <xdr:cNvPr id="10" name="Picture 9"/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9376" y="452437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" name="Picture 10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35492" y="50179662"/>
            <a:ext cx="2397777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" name="Picture 11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118405" y="48089706"/>
            <a:ext cx="1483454" cy="19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3" name="Picture 12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274134" y="50179662"/>
            <a:ext cx="1351406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4" name="Picture 13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51862" y="48089706"/>
            <a:ext cx="2637555" cy="19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5" name="Picture 14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850" y="50179662"/>
            <a:ext cx="2397777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8" name="Picture 17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4948" y="48089706"/>
            <a:ext cx="1483454" cy="19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9" name="Picture 18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87039" y="452437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4" name="Picture 23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64702" y="452437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247650</xdr:colOff>
      <xdr:row>225</xdr:row>
      <xdr:rowOff>114300</xdr:rowOff>
    </xdr:from>
    <xdr:to>
      <xdr:col>7</xdr:col>
      <xdr:colOff>564934</xdr:colOff>
      <xdr:row>259</xdr:row>
      <xdr:rowOff>176518</xdr:rowOff>
    </xdr:to>
    <xdr:grpSp>
      <xdr:nvGrpSpPr>
        <xdr:cNvPr id="5" name="Group 4"/>
        <xdr:cNvGrpSpPr/>
      </xdr:nvGrpSpPr>
      <xdr:grpSpPr>
        <a:xfrm>
          <a:off x="247650" y="45053250"/>
          <a:ext cx="6292634" cy="6748768"/>
          <a:chOff x="247650" y="45053250"/>
          <a:chExt cx="6292634" cy="6748768"/>
        </a:xfrm>
      </xdr:grpSpPr>
      <xdr:pic>
        <xdr:nvPicPr>
          <xdr:cNvPr id="26" name="Picture 25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47650" y="49138018"/>
            <a:ext cx="1998000" cy="2664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7" name="Picture 26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84602" y="45053250"/>
            <a:ext cx="2970000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8" name="Picture 27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42284" y="49138018"/>
            <a:ext cx="1998000" cy="2664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" name="Picture 28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94967" y="49138018"/>
            <a:ext cx="1998000" cy="2664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0" name="Picture 29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4560" y="45053250"/>
            <a:ext cx="2970000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571498</xdr:colOff>
      <xdr:row>272</xdr:row>
      <xdr:rowOff>11208</xdr:rowOff>
    </xdr:from>
    <xdr:to>
      <xdr:col>7</xdr:col>
      <xdr:colOff>290230</xdr:colOff>
      <xdr:row>290</xdr:row>
      <xdr:rowOff>113703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498" y="55805296"/>
          <a:ext cx="5848350" cy="37332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571497</xdr:colOff>
      <xdr:row>291</xdr:row>
      <xdr:rowOff>103096</xdr:rowOff>
    </xdr:from>
    <xdr:to>
      <xdr:col>7</xdr:col>
      <xdr:colOff>290229</xdr:colOff>
      <xdr:row>310</xdr:row>
      <xdr:rowOff>4484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497" y="59729596"/>
          <a:ext cx="5848350" cy="3733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583014</xdr:colOff>
      <xdr:row>238</xdr:row>
      <xdr:rowOff>83531</xdr:rowOff>
    </xdr:from>
    <xdr:to>
      <xdr:col>3</xdr:col>
      <xdr:colOff>860582</xdr:colOff>
      <xdr:row>249</xdr:row>
      <xdr:rowOff>24767</xdr:rowOff>
    </xdr:to>
    <xdr:pic>
      <xdr:nvPicPr>
        <xdr:cNvPr id="4" name="Picture 3" descr="https://vsjcllp.vsjadon.com/upload/insp-68345-847.jpg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83014" y="50050560"/>
          <a:ext cx="2877333" cy="2160000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582713</xdr:colOff>
      <xdr:row>249</xdr:row>
      <xdr:rowOff>111031</xdr:rowOff>
    </xdr:from>
    <xdr:to>
      <xdr:col>3</xdr:col>
      <xdr:colOff>860281</xdr:colOff>
      <xdr:row>260</xdr:row>
      <xdr:rowOff>52266</xdr:rowOff>
    </xdr:to>
    <xdr:pic>
      <xdr:nvPicPr>
        <xdr:cNvPr id="5" name="Picture 4" descr="https://vsjcllp.vsjadon.com/upload/insp-68345-849.jpg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82713" y="52296825"/>
          <a:ext cx="2877333" cy="2160000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963800</xdr:colOff>
      <xdr:row>227</xdr:row>
      <xdr:rowOff>44824</xdr:rowOff>
    </xdr:from>
    <xdr:to>
      <xdr:col>7</xdr:col>
      <xdr:colOff>311280</xdr:colOff>
      <xdr:row>237</xdr:row>
      <xdr:rowOff>198971</xdr:rowOff>
    </xdr:to>
    <xdr:pic>
      <xdr:nvPicPr>
        <xdr:cNvPr id="6" name="Picture 5" descr="https://vsjcllp.vsjadon.com/upload/insp-68345-861.jp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63565" y="47804295"/>
          <a:ext cx="2877333" cy="2160000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963800</xdr:colOff>
      <xdr:row>238</xdr:row>
      <xdr:rowOff>83531</xdr:rowOff>
    </xdr:from>
    <xdr:to>
      <xdr:col>7</xdr:col>
      <xdr:colOff>311280</xdr:colOff>
      <xdr:row>249</xdr:row>
      <xdr:rowOff>24767</xdr:rowOff>
    </xdr:to>
    <xdr:pic>
      <xdr:nvPicPr>
        <xdr:cNvPr id="7" name="Picture 6" descr="https://vsjcllp.vsjadon.com/upload/insp-68345-862.jpg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63565" y="50050560"/>
          <a:ext cx="2877333" cy="2160000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582714</xdr:colOff>
      <xdr:row>227</xdr:row>
      <xdr:rowOff>44824</xdr:rowOff>
    </xdr:from>
    <xdr:to>
      <xdr:col>3</xdr:col>
      <xdr:colOff>860282</xdr:colOff>
      <xdr:row>237</xdr:row>
      <xdr:rowOff>198971</xdr:rowOff>
    </xdr:to>
    <xdr:pic>
      <xdr:nvPicPr>
        <xdr:cNvPr id="8" name="Picture 7" descr="https://vsjcllp.vsjadon.com/upload/insp-68345-860.jpg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82714" y="47804295"/>
          <a:ext cx="2877333" cy="2160000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963799</xdr:colOff>
      <xdr:row>249</xdr:row>
      <xdr:rowOff>111031</xdr:rowOff>
    </xdr:from>
    <xdr:to>
      <xdr:col>7</xdr:col>
      <xdr:colOff>311279</xdr:colOff>
      <xdr:row>260</xdr:row>
      <xdr:rowOff>52266</xdr:rowOff>
    </xdr:to>
    <xdr:pic>
      <xdr:nvPicPr>
        <xdr:cNvPr id="9" name="Picture 8" descr="https://vsjcllp.vsjadon.com/upload/insp-68345-925.jpg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63564" y="52296825"/>
          <a:ext cx="2877333" cy="2160000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963799</xdr:colOff>
      <xdr:row>260</xdr:row>
      <xdr:rowOff>137325</xdr:rowOff>
    </xdr:from>
    <xdr:to>
      <xdr:col>5</xdr:col>
      <xdr:colOff>733142</xdr:colOff>
      <xdr:row>269</xdr:row>
      <xdr:rowOff>128781</xdr:rowOff>
    </xdr:to>
    <xdr:pic>
      <xdr:nvPicPr>
        <xdr:cNvPr id="10" name="Picture 9" descr="https://vsjcllp.vsjadon.com/upload/insp-68345-1512.jpg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563564" y="54541884"/>
          <a:ext cx="1618313" cy="1806809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582712</xdr:colOff>
      <xdr:row>260</xdr:row>
      <xdr:rowOff>137325</xdr:rowOff>
    </xdr:from>
    <xdr:to>
      <xdr:col>3</xdr:col>
      <xdr:colOff>860280</xdr:colOff>
      <xdr:row>269</xdr:row>
      <xdr:rowOff>139461</xdr:rowOff>
    </xdr:to>
    <xdr:pic>
      <xdr:nvPicPr>
        <xdr:cNvPr id="11" name="Picture 10" descr="https://vsjcllp.vsjadon.com/upload/insp-68345-928.jpg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82712" y="54541884"/>
          <a:ext cx="2877333" cy="1817489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6dNqErgmD6yzdwcR7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268"/>
  <sheetViews>
    <sheetView tabSelected="1" view="pageBreakPreview" zoomScaleNormal="100" zoomScaleSheetLayoutView="100" zoomScalePageLayoutView="85" workbookViewId="0">
      <selection activeCell="E9" sqref="E9:H9"/>
    </sheetView>
  </sheetViews>
  <sheetFormatPr defaultColWidth="9.1796875" defaultRowHeight="15.5" x14ac:dyDescent="0.35"/>
  <cols>
    <col min="1" max="1" width="11.453125" style="17" customWidth="1"/>
    <col min="2" max="2" width="12" style="17" customWidth="1"/>
    <col min="3" max="3" width="12.7265625" style="17" customWidth="1"/>
    <col min="4" max="4" width="14.1796875" style="17" customWidth="1"/>
    <col min="5" max="7" width="11.7265625" style="17" customWidth="1"/>
    <col min="8" max="8" width="12.453125" style="17" customWidth="1"/>
    <col min="9" max="9" width="17.453125" style="8" customWidth="1"/>
    <col min="10" max="10" width="11.453125" style="8" customWidth="1"/>
    <col min="11" max="11" width="10.54296875" style="8" bestFit="1" customWidth="1"/>
    <col min="12" max="12" width="10.54296875" style="8" customWidth="1"/>
    <col min="13" max="13" width="11.81640625" style="8" customWidth="1"/>
    <col min="14" max="14" width="12.54296875" style="8" hidden="1" customWidth="1"/>
    <col min="15" max="15" width="9.81640625" style="8" hidden="1" customWidth="1"/>
    <col min="16" max="16" width="10.453125" style="8" hidden="1" customWidth="1"/>
    <col min="17" max="247" width="9.1796875" style="8"/>
    <col min="248" max="248" width="8.7265625" style="8" customWidth="1"/>
    <col min="249" max="249" width="9.81640625" style="8" customWidth="1"/>
    <col min="250" max="250" width="14.453125" style="8" customWidth="1"/>
    <col min="251" max="251" width="7.26953125" style="8" customWidth="1"/>
    <col min="252" max="252" width="5.54296875" style="8" customWidth="1"/>
    <col min="253" max="253" width="9" style="8" customWidth="1"/>
    <col min="254" max="255" width="9.81640625" style="8" customWidth="1"/>
    <col min="256" max="256" width="11.1796875" style="8" customWidth="1"/>
    <col min="257" max="257" width="2.81640625" style="8" customWidth="1"/>
    <col min="258" max="258" width="3.54296875" style="8" customWidth="1"/>
    <col min="259" max="503" width="9.1796875" style="8"/>
    <col min="504" max="504" width="8.7265625" style="8" customWidth="1"/>
    <col min="505" max="505" width="9.81640625" style="8" customWidth="1"/>
    <col min="506" max="506" width="14.453125" style="8" customWidth="1"/>
    <col min="507" max="507" width="7.26953125" style="8" customWidth="1"/>
    <col min="508" max="508" width="5.54296875" style="8" customWidth="1"/>
    <col min="509" max="509" width="9" style="8" customWidth="1"/>
    <col min="510" max="511" width="9.81640625" style="8" customWidth="1"/>
    <col min="512" max="512" width="11.1796875" style="8" customWidth="1"/>
    <col min="513" max="513" width="2.81640625" style="8" customWidth="1"/>
    <col min="514" max="514" width="3.54296875" style="8" customWidth="1"/>
    <col min="515" max="759" width="9.1796875" style="8"/>
    <col min="760" max="760" width="8.7265625" style="8" customWidth="1"/>
    <col min="761" max="761" width="9.81640625" style="8" customWidth="1"/>
    <col min="762" max="762" width="14.453125" style="8" customWidth="1"/>
    <col min="763" max="763" width="7.26953125" style="8" customWidth="1"/>
    <col min="764" max="764" width="5.54296875" style="8" customWidth="1"/>
    <col min="765" max="765" width="9" style="8" customWidth="1"/>
    <col min="766" max="767" width="9.81640625" style="8" customWidth="1"/>
    <col min="768" max="768" width="11.1796875" style="8" customWidth="1"/>
    <col min="769" max="769" width="2.81640625" style="8" customWidth="1"/>
    <col min="770" max="770" width="3.54296875" style="8" customWidth="1"/>
    <col min="771" max="1015" width="9.1796875" style="8"/>
    <col min="1016" max="1016" width="8.7265625" style="8" customWidth="1"/>
    <col min="1017" max="1017" width="9.81640625" style="8" customWidth="1"/>
    <col min="1018" max="1018" width="14.453125" style="8" customWidth="1"/>
    <col min="1019" max="1019" width="7.26953125" style="8" customWidth="1"/>
    <col min="1020" max="1020" width="5.54296875" style="8" customWidth="1"/>
    <col min="1021" max="1021" width="9" style="8" customWidth="1"/>
    <col min="1022" max="1023" width="9.81640625" style="8" customWidth="1"/>
    <col min="1024" max="1024" width="11.1796875" style="8" customWidth="1"/>
    <col min="1025" max="1025" width="2.81640625" style="8" customWidth="1"/>
    <col min="1026" max="1026" width="3.54296875" style="8" customWidth="1"/>
    <col min="1027" max="1271" width="9.1796875" style="8"/>
    <col min="1272" max="1272" width="8.7265625" style="8" customWidth="1"/>
    <col min="1273" max="1273" width="9.81640625" style="8" customWidth="1"/>
    <col min="1274" max="1274" width="14.453125" style="8" customWidth="1"/>
    <col min="1275" max="1275" width="7.26953125" style="8" customWidth="1"/>
    <col min="1276" max="1276" width="5.54296875" style="8" customWidth="1"/>
    <col min="1277" max="1277" width="9" style="8" customWidth="1"/>
    <col min="1278" max="1279" width="9.81640625" style="8" customWidth="1"/>
    <col min="1280" max="1280" width="11.1796875" style="8" customWidth="1"/>
    <col min="1281" max="1281" width="2.81640625" style="8" customWidth="1"/>
    <col min="1282" max="1282" width="3.54296875" style="8" customWidth="1"/>
    <col min="1283" max="1527" width="9.1796875" style="8"/>
    <col min="1528" max="1528" width="8.7265625" style="8" customWidth="1"/>
    <col min="1529" max="1529" width="9.81640625" style="8" customWidth="1"/>
    <col min="1530" max="1530" width="14.453125" style="8" customWidth="1"/>
    <col min="1531" max="1531" width="7.26953125" style="8" customWidth="1"/>
    <col min="1532" max="1532" width="5.54296875" style="8" customWidth="1"/>
    <col min="1533" max="1533" width="9" style="8" customWidth="1"/>
    <col min="1534" max="1535" width="9.81640625" style="8" customWidth="1"/>
    <col min="1536" max="1536" width="11.1796875" style="8" customWidth="1"/>
    <col min="1537" max="1537" width="2.81640625" style="8" customWidth="1"/>
    <col min="1538" max="1538" width="3.54296875" style="8" customWidth="1"/>
    <col min="1539" max="1783" width="9.1796875" style="8"/>
    <col min="1784" max="1784" width="8.7265625" style="8" customWidth="1"/>
    <col min="1785" max="1785" width="9.81640625" style="8" customWidth="1"/>
    <col min="1786" max="1786" width="14.453125" style="8" customWidth="1"/>
    <col min="1787" max="1787" width="7.26953125" style="8" customWidth="1"/>
    <col min="1788" max="1788" width="5.54296875" style="8" customWidth="1"/>
    <col min="1789" max="1789" width="9" style="8" customWidth="1"/>
    <col min="1790" max="1791" width="9.81640625" style="8" customWidth="1"/>
    <col min="1792" max="1792" width="11.1796875" style="8" customWidth="1"/>
    <col min="1793" max="1793" width="2.81640625" style="8" customWidth="1"/>
    <col min="1794" max="1794" width="3.54296875" style="8" customWidth="1"/>
    <col min="1795" max="2039" width="9.1796875" style="8"/>
    <col min="2040" max="2040" width="8.7265625" style="8" customWidth="1"/>
    <col min="2041" max="2041" width="9.81640625" style="8" customWidth="1"/>
    <col min="2042" max="2042" width="14.453125" style="8" customWidth="1"/>
    <col min="2043" max="2043" width="7.26953125" style="8" customWidth="1"/>
    <col min="2044" max="2044" width="5.54296875" style="8" customWidth="1"/>
    <col min="2045" max="2045" width="9" style="8" customWidth="1"/>
    <col min="2046" max="2047" width="9.81640625" style="8" customWidth="1"/>
    <col min="2048" max="2048" width="11.1796875" style="8" customWidth="1"/>
    <col min="2049" max="2049" width="2.81640625" style="8" customWidth="1"/>
    <col min="2050" max="2050" width="3.54296875" style="8" customWidth="1"/>
    <col min="2051" max="2295" width="9.1796875" style="8"/>
    <col min="2296" max="2296" width="8.7265625" style="8" customWidth="1"/>
    <col min="2297" max="2297" width="9.81640625" style="8" customWidth="1"/>
    <col min="2298" max="2298" width="14.453125" style="8" customWidth="1"/>
    <col min="2299" max="2299" width="7.26953125" style="8" customWidth="1"/>
    <col min="2300" max="2300" width="5.54296875" style="8" customWidth="1"/>
    <col min="2301" max="2301" width="9" style="8" customWidth="1"/>
    <col min="2302" max="2303" width="9.81640625" style="8" customWidth="1"/>
    <col min="2304" max="2304" width="11.1796875" style="8" customWidth="1"/>
    <col min="2305" max="2305" width="2.81640625" style="8" customWidth="1"/>
    <col min="2306" max="2306" width="3.54296875" style="8" customWidth="1"/>
    <col min="2307" max="2551" width="9.1796875" style="8"/>
    <col min="2552" max="2552" width="8.7265625" style="8" customWidth="1"/>
    <col min="2553" max="2553" width="9.81640625" style="8" customWidth="1"/>
    <col min="2554" max="2554" width="14.453125" style="8" customWidth="1"/>
    <col min="2555" max="2555" width="7.26953125" style="8" customWidth="1"/>
    <col min="2556" max="2556" width="5.54296875" style="8" customWidth="1"/>
    <col min="2557" max="2557" width="9" style="8" customWidth="1"/>
    <col min="2558" max="2559" width="9.81640625" style="8" customWidth="1"/>
    <col min="2560" max="2560" width="11.1796875" style="8" customWidth="1"/>
    <col min="2561" max="2561" width="2.81640625" style="8" customWidth="1"/>
    <col min="2562" max="2562" width="3.54296875" style="8" customWidth="1"/>
    <col min="2563" max="2807" width="9.1796875" style="8"/>
    <col min="2808" max="2808" width="8.7265625" style="8" customWidth="1"/>
    <col min="2809" max="2809" width="9.81640625" style="8" customWidth="1"/>
    <col min="2810" max="2810" width="14.453125" style="8" customWidth="1"/>
    <col min="2811" max="2811" width="7.26953125" style="8" customWidth="1"/>
    <col min="2812" max="2812" width="5.54296875" style="8" customWidth="1"/>
    <col min="2813" max="2813" width="9" style="8" customWidth="1"/>
    <col min="2814" max="2815" width="9.81640625" style="8" customWidth="1"/>
    <col min="2816" max="2816" width="11.1796875" style="8" customWidth="1"/>
    <col min="2817" max="2817" width="2.81640625" style="8" customWidth="1"/>
    <col min="2818" max="2818" width="3.54296875" style="8" customWidth="1"/>
    <col min="2819" max="3063" width="9.1796875" style="8"/>
    <col min="3064" max="3064" width="8.7265625" style="8" customWidth="1"/>
    <col min="3065" max="3065" width="9.81640625" style="8" customWidth="1"/>
    <col min="3066" max="3066" width="14.453125" style="8" customWidth="1"/>
    <col min="3067" max="3067" width="7.26953125" style="8" customWidth="1"/>
    <col min="3068" max="3068" width="5.54296875" style="8" customWidth="1"/>
    <col min="3069" max="3069" width="9" style="8" customWidth="1"/>
    <col min="3070" max="3071" width="9.81640625" style="8" customWidth="1"/>
    <col min="3072" max="3072" width="11.1796875" style="8" customWidth="1"/>
    <col min="3073" max="3073" width="2.81640625" style="8" customWidth="1"/>
    <col min="3074" max="3074" width="3.54296875" style="8" customWidth="1"/>
    <col min="3075" max="3319" width="9.1796875" style="8"/>
    <col min="3320" max="3320" width="8.7265625" style="8" customWidth="1"/>
    <col min="3321" max="3321" width="9.81640625" style="8" customWidth="1"/>
    <col min="3322" max="3322" width="14.453125" style="8" customWidth="1"/>
    <col min="3323" max="3323" width="7.26953125" style="8" customWidth="1"/>
    <col min="3324" max="3324" width="5.54296875" style="8" customWidth="1"/>
    <col min="3325" max="3325" width="9" style="8" customWidth="1"/>
    <col min="3326" max="3327" width="9.81640625" style="8" customWidth="1"/>
    <col min="3328" max="3328" width="11.1796875" style="8" customWidth="1"/>
    <col min="3329" max="3329" width="2.81640625" style="8" customWidth="1"/>
    <col min="3330" max="3330" width="3.54296875" style="8" customWidth="1"/>
    <col min="3331" max="3575" width="9.1796875" style="8"/>
    <col min="3576" max="3576" width="8.7265625" style="8" customWidth="1"/>
    <col min="3577" max="3577" width="9.81640625" style="8" customWidth="1"/>
    <col min="3578" max="3578" width="14.453125" style="8" customWidth="1"/>
    <col min="3579" max="3579" width="7.26953125" style="8" customWidth="1"/>
    <col min="3580" max="3580" width="5.54296875" style="8" customWidth="1"/>
    <col min="3581" max="3581" width="9" style="8" customWidth="1"/>
    <col min="3582" max="3583" width="9.81640625" style="8" customWidth="1"/>
    <col min="3584" max="3584" width="11.1796875" style="8" customWidth="1"/>
    <col min="3585" max="3585" width="2.81640625" style="8" customWidth="1"/>
    <col min="3586" max="3586" width="3.54296875" style="8" customWidth="1"/>
    <col min="3587" max="3831" width="9.1796875" style="8"/>
    <col min="3832" max="3832" width="8.7265625" style="8" customWidth="1"/>
    <col min="3833" max="3833" width="9.81640625" style="8" customWidth="1"/>
    <col min="3834" max="3834" width="14.453125" style="8" customWidth="1"/>
    <col min="3835" max="3835" width="7.26953125" style="8" customWidth="1"/>
    <col min="3836" max="3836" width="5.54296875" style="8" customWidth="1"/>
    <col min="3837" max="3837" width="9" style="8" customWidth="1"/>
    <col min="3838" max="3839" width="9.81640625" style="8" customWidth="1"/>
    <col min="3840" max="3840" width="11.1796875" style="8" customWidth="1"/>
    <col min="3841" max="3841" width="2.81640625" style="8" customWidth="1"/>
    <col min="3842" max="3842" width="3.54296875" style="8" customWidth="1"/>
    <col min="3843" max="4087" width="9.1796875" style="8"/>
    <col min="4088" max="4088" width="8.7265625" style="8" customWidth="1"/>
    <col min="4089" max="4089" width="9.81640625" style="8" customWidth="1"/>
    <col min="4090" max="4090" width="14.453125" style="8" customWidth="1"/>
    <col min="4091" max="4091" width="7.26953125" style="8" customWidth="1"/>
    <col min="4092" max="4092" width="5.54296875" style="8" customWidth="1"/>
    <col min="4093" max="4093" width="9" style="8" customWidth="1"/>
    <col min="4094" max="4095" width="9.81640625" style="8" customWidth="1"/>
    <col min="4096" max="4096" width="11.1796875" style="8" customWidth="1"/>
    <col min="4097" max="4097" width="2.81640625" style="8" customWidth="1"/>
    <col min="4098" max="4098" width="3.54296875" style="8" customWidth="1"/>
    <col min="4099" max="4343" width="9.1796875" style="8"/>
    <col min="4344" max="4344" width="8.7265625" style="8" customWidth="1"/>
    <col min="4345" max="4345" width="9.81640625" style="8" customWidth="1"/>
    <col min="4346" max="4346" width="14.453125" style="8" customWidth="1"/>
    <col min="4347" max="4347" width="7.26953125" style="8" customWidth="1"/>
    <col min="4348" max="4348" width="5.54296875" style="8" customWidth="1"/>
    <col min="4349" max="4349" width="9" style="8" customWidth="1"/>
    <col min="4350" max="4351" width="9.81640625" style="8" customWidth="1"/>
    <col min="4352" max="4352" width="11.1796875" style="8" customWidth="1"/>
    <col min="4353" max="4353" width="2.81640625" style="8" customWidth="1"/>
    <col min="4354" max="4354" width="3.54296875" style="8" customWidth="1"/>
    <col min="4355" max="4599" width="9.1796875" style="8"/>
    <col min="4600" max="4600" width="8.7265625" style="8" customWidth="1"/>
    <col min="4601" max="4601" width="9.81640625" style="8" customWidth="1"/>
    <col min="4602" max="4602" width="14.453125" style="8" customWidth="1"/>
    <col min="4603" max="4603" width="7.26953125" style="8" customWidth="1"/>
    <col min="4604" max="4604" width="5.54296875" style="8" customWidth="1"/>
    <col min="4605" max="4605" width="9" style="8" customWidth="1"/>
    <col min="4606" max="4607" width="9.81640625" style="8" customWidth="1"/>
    <col min="4608" max="4608" width="11.1796875" style="8" customWidth="1"/>
    <col min="4609" max="4609" width="2.81640625" style="8" customWidth="1"/>
    <col min="4610" max="4610" width="3.54296875" style="8" customWidth="1"/>
    <col min="4611" max="4855" width="9.1796875" style="8"/>
    <col min="4856" max="4856" width="8.7265625" style="8" customWidth="1"/>
    <col min="4857" max="4857" width="9.81640625" style="8" customWidth="1"/>
    <col min="4858" max="4858" width="14.453125" style="8" customWidth="1"/>
    <col min="4859" max="4859" width="7.26953125" style="8" customWidth="1"/>
    <col min="4860" max="4860" width="5.54296875" style="8" customWidth="1"/>
    <col min="4861" max="4861" width="9" style="8" customWidth="1"/>
    <col min="4862" max="4863" width="9.81640625" style="8" customWidth="1"/>
    <col min="4864" max="4864" width="11.1796875" style="8" customWidth="1"/>
    <col min="4865" max="4865" width="2.81640625" style="8" customWidth="1"/>
    <col min="4866" max="4866" width="3.54296875" style="8" customWidth="1"/>
    <col min="4867" max="5111" width="9.1796875" style="8"/>
    <col min="5112" max="5112" width="8.7265625" style="8" customWidth="1"/>
    <col min="5113" max="5113" width="9.81640625" style="8" customWidth="1"/>
    <col min="5114" max="5114" width="14.453125" style="8" customWidth="1"/>
    <col min="5115" max="5115" width="7.26953125" style="8" customWidth="1"/>
    <col min="5116" max="5116" width="5.54296875" style="8" customWidth="1"/>
    <col min="5117" max="5117" width="9" style="8" customWidth="1"/>
    <col min="5118" max="5119" width="9.81640625" style="8" customWidth="1"/>
    <col min="5120" max="5120" width="11.1796875" style="8" customWidth="1"/>
    <col min="5121" max="5121" width="2.81640625" style="8" customWidth="1"/>
    <col min="5122" max="5122" width="3.54296875" style="8" customWidth="1"/>
    <col min="5123" max="5367" width="9.1796875" style="8"/>
    <col min="5368" max="5368" width="8.7265625" style="8" customWidth="1"/>
    <col min="5369" max="5369" width="9.81640625" style="8" customWidth="1"/>
    <col min="5370" max="5370" width="14.453125" style="8" customWidth="1"/>
    <col min="5371" max="5371" width="7.26953125" style="8" customWidth="1"/>
    <col min="5372" max="5372" width="5.54296875" style="8" customWidth="1"/>
    <col min="5373" max="5373" width="9" style="8" customWidth="1"/>
    <col min="5374" max="5375" width="9.81640625" style="8" customWidth="1"/>
    <col min="5376" max="5376" width="11.1796875" style="8" customWidth="1"/>
    <col min="5377" max="5377" width="2.81640625" style="8" customWidth="1"/>
    <col min="5378" max="5378" width="3.54296875" style="8" customWidth="1"/>
    <col min="5379" max="5623" width="9.1796875" style="8"/>
    <col min="5624" max="5624" width="8.7265625" style="8" customWidth="1"/>
    <col min="5625" max="5625" width="9.81640625" style="8" customWidth="1"/>
    <col min="5626" max="5626" width="14.453125" style="8" customWidth="1"/>
    <col min="5627" max="5627" width="7.26953125" style="8" customWidth="1"/>
    <col min="5628" max="5628" width="5.54296875" style="8" customWidth="1"/>
    <col min="5629" max="5629" width="9" style="8" customWidth="1"/>
    <col min="5630" max="5631" width="9.81640625" style="8" customWidth="1"/>
    <col min="5632" max="5632" width="11.1796875" style="8" customWidth="1"/>
    <col min="5633" max="5633" width="2.81640625" style="8" customWidth="1"/>
    <col min="5634" max="5634" width="3.54296875" style="8" customWidth="1"/>
    <col min="5635" max="5879" width="9.1796875" style="8"/>
    <col min="5880" max="5880" width="8.7265625" style="8" customWidth="1"/>
    <col min="5881" max="5881" width="9.81640625" style="8" customWidth="1"/>
    <col min="5882" max="5882" width="14.453125" style="8" customWidth="1"/>
    <col min="5883" max="5883" width="7.26953125" style="8" customWidth="1"/>
    <col min="5884" max="5884" width="5.54296875" style="8" customWidth="1"/>
    <col min="5885" max="5885" width="9" style="8" customWidth="1"/>
    <col min="5886" max="5887" width="9.81640625" style="8" customWidth="1"/>
    <col min="5888" max="5888" width="11.1796875" style="8" customWidth="1"/>
    <col min="5889" max="5889" width="2.81640625" style="8" customWidth="1"/>
    <col min="5890" max="5890" width="3.54296875" style="8" customWidth="1"/>
    <col min="5891" max="6135" width="9.1796875" style="8"/>
    <col min="6136" max="6136" width="8.7265625" style="8" customWidth="1"/>
    <col min="6137" max="6137" width="9.81640625" style="8" customWidth="1"/>
    <col min="6138" max="6138" width="14.453125" style="8" customWidth="1"/>
    <col min="6139" max="6139" width="7.26953125" style="8" customWidth="1"/>
    <col min="6140" max="6140" width="5.54296875" style="8" customWidth="1"/>
    <col min="6141" max="6141" width="9" style="8" customWidth="1"/>
    <col min="6142" max="6143" width="9.81640625" style="8" customWidth="1"/>
    <col min="6144" max="6144" width="11.1796875" style="8" customWidth="1"/>
    <col min="6145" max="6145" width="2.81640625" style="8" customWidth="1"/>
    <col min="6146" max="6146" width="3.54296875" style="8" customWidth="1"/>
    <col min="6147" max="6391" width="9.1796875" style="8"/>
    <col min="6392" max="6392" width="8.7265625" style="8" customWidth="1"/>
    <col min="6393" max="6393" width="9.81640625" style="8" customWidth="1"/>
    <col min="6394" max="6394" width="14.453125" style="8" customWidth="1"/>
    <col min="6395" max="6395" width="7.26953125" style="8" customWidth="1"/>
    <col min="6396" max="6396" width="5.54296875" style="8" customWidth="1"/>
    <col min="6397" max="6397" width="9" style="8" customWidth="1"/>
    <col min="6398" max="6399" width="9.81640625" style="8" customWidth="1"/>
    <col min="6400" max="6400" width="11.1796875" style="8" customWidth="1"/>
    <col min="6401" max="6401" width="2.81640625" style="8" customWidth="1"/>
    <col min="6402" max="6402" width="3.54296875" style="8" customWidth="1"/>
    <col min="6403" max="6647" width="9.1796875" style="8"/>
    <col min="6648" max="6648" width="8.7265625" style="8" customWidth="1"/>
    <col min="6649" max="6649" width="9.81640625" style="8" customWidth="1"/>
    <col min="6650" max="6650" width="14.453125" style="8" customWidth="1"/>
    <col min="6651" max="6651" width="7.26953125" style="8" customWidth="1"/>
    <col min="6652" max="6652" width="5.54296875" style="8" customWidth="1"/>
    <col min="6653" max="6653" width="9" style="8" customWidth="1"/>
    <col min="6654" max="6655" width="9.81640625" style="8" customWidth="1"/>
    <col min="6656" max="6656" width="11.1796875" style="8" customWidth="1"/>
    <col min="6657" max="6657" width="2.81640625" style="8" customWidth="1"/>
    <col min="6658" max="6658" width="3.54296875" style="8" customWidth="1"/>
    <col min="6659" max="6903" width="9.1796875" style="8"/>
    <col min="6904" max="6904" width="8.7265625" style="8" customWidth="1"/>
    <col min="6905" max="6905" width="9.81640625" style="8" customWidth="1"/>
    <col min="6906" max="6906" width="14.453125" style="8" customWidth="1"/>
    <col min="6907" max="6907" width="7.26953125" style="8" customWidth="1"/>
    <col min="6908" max="6908" width="5.54296875" style="8" customWidth="1"/>
    <col min="6909" max="6909" width="9" style="8" customWidth="1"/>
    <col min="6910" max="6911" width="9.81640625" style="8" customWidth="1"/>
    <col min="6912" max="6912" width="11.1796875" style="8" customWidth="1"/>
    <col min="6913" max="6913" width="2.81640625" style="8" customWidth="1"/>
    <col min="6914" max="6914" width="3.54296875" style="8" customWidth="1"/>
    <col min="6915" max="7159" width="9.1796875" style="8"/>
    <col min="7160" max="7160" width="8.7265625" style="8" customWidth="1"/>
    <col min="7161" max="7161" width="9.81640625" style="8" customWidth="1"/>
    <col min="7162" max="7162" width="14.453125" style="8" customWidth="1"/>
    <col min="7163" max="7163" width="7.26953125" style="8" customWidth="1"/>
    <col min="7164" max="7164" width="5.54296875" style="8" customWidth="1"/>
    <col min="7165" max="7165" width="9" style="8" customWidth="1"/>
    <col min="7166" max="7167" width="9.81640625" style="8" customWidth="1"/>
    <col min="7168" max="7168" width="11.1796875" style="8" customWidth="1"/>
    <col min="7169" max="7169" width="2.81640625" style="8" customWidth="1"/>
    <col min="7170" max="7170" width="3.54296875" style="8" customWidth="1"/>
    <col min="7171" max="7415" width="9.1796875" style="8"/>
    <col min="7416" max="7416" width="8.7265625" style="8" customWidth="1"/>
    <col min="7417" max="7417" width="9.81640625" style="8" customWidth="1"/>
    <col min="7418" max="7418" width="14.453125" style="8" customWidth="1"/>
    <col min="7419" max="7419" width="7.26953125" style="8" customWidth="1"/>
    <col min="7420" max="7420" width="5.54296875" style="8" customWidth="1"/>
    <col min="7421" max="7421" width="9" style="8" customWidth="1"/>
    <col min="7422" max="7423" width="9.81640625" style="8" customWidth="1"/>
    <col min="7424" max="7424" width="11.1796875" style="8" customWidth="1"/>
    <col min="7425" max="7425" width="2.81640625" style="8" customWidth="1"/>
    <col min="7426" max="7426" width="3.54296875" style="8" customWidth="1"/>
    <col min="7427" max="7671" width="9.1796875" style="8"/>
    <col min="7672" max="7672" width="8.7265625" style="8" customWidth="1"/>
    <col min="7673" max="7673" width="9.81640625" style="8" customWidth="1"/>
    <col min="7674" max="7674" width="14.453125" style="8" customWidth="1"/>
    <col min="7675" max="7675" width="7.26953125" style="8" customWidth="1"/>
    <col min="7676" max="7676" width="5.54296875" style="8" customWidth="1"/>
    <col min="7677" max="7677" width="9" style="8" customWidth="1"/>
    <col min="7678" max="7679" width="9.81640625" style="8" customWidth="1"/>
    <col min="7680" max="7680" width="11.1796875" style="8" customWidth="1"/>
    <col min="7681" max="7681" width="2.81640625" style="8" customWidth="1"/>
    <col min="7682" max="7682" width="3.54296875" style="8" customWidth="1"/>
    <col min="7683" max="7927" width="9.1796875" style="8"/>
    <col min="7928" max="7928" width="8.7265625" style="8" customWidth="1"/>
    <col min="7929" max="7929" width="9.81640625" style="8" customWidth="1"/>
    <col min="7930" max="7930" width="14.453125" style="8" customWidth="1"/>
    <col min="7931" max="7931" width="7.26953125" style="8" customWidth="1"/>
    <col min="7932" max="7932" width="5.54296875" style="8" customWidth="1"/>
    <col min="7933" max="7933" width="9" style="8" customWidth="1"/>
    <col min="7934" max="7935" width="9.81640625" style="8" customWidth="1"/>
    <col min="7936" max="7936" width="11.1796875" style="8" customWidth="1"/>
    <col min="7937" max="7937" width="2.81640625" style="8" customWidth="1"/>
    <col min="7938" max="7938" width="3.54296875" style="8" customWidth="1"/>
    <col min="7939" max="8183" width="9.1796875" style="8"/>
    <col min="8184" max="8184" width="8.7265625" style="8" customWidth="1"/>
    <col min="8185" max="8185" width="9.81640625" style="8" customWidth="1"/>
    <col min="8186" max="8186" width="14.453125" style="8" customWidth="1"/>
    <col min="8187" max="8187" width="7.26953125" style="8" customWidth="1"/>
    <col min="8188" max="8188" width="5.54296875" style="8" customWidth="1"/>
    <col min="8189" max="8189" width="9" style="8" customWidth="1"/>
    <col min="8190" max="8191" width="9.81640625" style="8" customWidth="1"/>
    <col min="8192" max="8192" width="11.1796875" style="8" customWidth="1"/>
    <col min="8193" max="8193" width="2.81640625" style="8" customWidth="1"/>
    <col min="8194" max="8194" width="3.54296875" style="8" customWidth="1"/>
    <col min="8195" max="8439" width="9.1796875" style="8"/>
    <col min="8440" max="8440" width="8.7265625" style="8" customWidth="1"/>
    <col min="8441" max="8441" width="9.81640625" style="8" customWidth="1"/>
    <col min="8442" max="8442" width="14.453125" style="8" customWidth="1"/>
    <col min="8443" max="8443" width="7.26953125" style="8" customWidth="1"/>
    <col min="8444" max="8444" width="5.54296875" style="8" customWidth="1"/>
    <col min="8445" max="8445" width="9" style="8" customWidth="1"/>
    <col min="8446" max="8447" width="9.81640625" style="8" customWidth="1"/>
    <col min="8448" max="8448" width="11.1796875" style="8" customWidth="1"/>
    <col min="8449" max="8449" width="2.81640625" style="8" customWidth="1"/>
    <col min="8450" max="8450" width="3.54296875" style="8" customWidth="1"/>
    <col min="8451" max="8695" width="9.1796875" style="8"/>
    <col min="8696" max="8696" width="8.7265625" style="8" customWidth="1"/>
    <col min="8697" max="8697" width="9.81640625" style="8" customWidth="1"/>
    <col min="8698" max="8698" width="14.453125" style="8" customWidth="1"/>
    <col min="8699" max="8699" width="7.26953125" style="8" customWidth="1"/>
    <col min="8700" max="8700" width="5.54296875" style="8" customWidth="1"/>
    <col min="8701" max="8701" width="9" style="8" customWidth="1"/>
    <col min="8702" max="8703" width="9.81640625" style="8" customWidth="1"/>
    <col min="8704" max="8704" width="11.1796875" style="8" customWidth="1"/>
    <col min="8705" max="8705" width="2.81640625" style="8" customWidth="1"/>
    <col min="8706" max="8706" width="3.54296875" style="8" customWidth="1"/>
    <col min="8707" max="8951" width="9.1796875" style="8"/>
    <col min="8952" max="8952" width="8.7265625" style="8" customWidth="1"/>
    <col min="8953" max="8953" width="9.81640625" style="8" customWidth="1"/>
    <col min="8954" max="8954" width="14.453125" style="8" customWidth="1"/>
    <col min="8955" max="8955" width="7.26953125" style="8" customWidth="1"/>
    <col min="8956" max="8956" width="5.54296875" style="8" customWidth="1"/>
    <col min="8957" max="8957" width="9" style="8" customWidth="1"/>
    <col min="8958" max="8959" width="9.81640625" style="8" customWidth="1"/>
    <col min="8960" max="8960" width="11.1796875" style="8" customWidth="1"/>
    <col min="8961" max="8961" width="2.81640625" style="8" customWidth="1"/>
    <col min="8962" max="8962" width="3.54296875" style="8" customWidth="1"/>
    <col min="8963" max="9207" width="9.1796875" style="8"/>
    <col min="9208" max="9208" width="8.7265625" style="8" customWidth="1"/>
    <col min="9209" max="9209" width="9.81640625" style="8" customWidth="1"/>
    <col min="9210" max="9210" width="14.453125" style="8" customWidth="1"/>
    <col min="9211" max="9211" width="7.26953125" style="8" customWidth="1"/>
    <col min="9212" max="9212" width="5.54296875" style="8" customWidth="1"/>
    <col min="9213" max="9213" width="9" style="8" customWidth="1"/>
    <col min="9214" max="9215" width="9.81640625" style="8" customWidth="1"/>
    <col min="9216" max="9216" width="11.1796875" style="8" customWidth="1"/>
    <col min="9217" max="9217" width="2.81640625" style="8" customWidth="1"/>
    <col min="9218" max="9218" width="3.54296875" style="8" customWidth="1"/>
    <col min="9219" max="9463" width="9.1796875" style="8"/>
    <col min="9464" max="9464" width="8.7265625" style="8" customWidth="1"/>
    <col min="9465" max="9465" width="9.81640625" style="8" customWidth="1"/>
    <col min="9466" max="9466" width="14.453125" style="8" customWidth="1"/>
    <col min="9467" max="9467" width="7.26953125" style="8" customWidth="1"/>
    <col min="9468" max="9468" width="5.54296875" style="8" customWidth="1"/>
    <col min="9469" max="9469" width="9" style="8" customWidth="1"/>
    <col min="9470" max="9471" width="9.81640625" style="8" customWidth="1"/>
    <col min="9472" max="9472" width="11.1796875" style="8" customWidth="1"/>
    <col min="9473" max="9473" width="2.81640625" style="8" customWidth="1"/>
    <col min="9474" max="9474" width="3.54296875" style="8" customWidth="1"/>
    <col min="9475" max="9719" width="9.1796875" style="8"/>
    <col min="9720" max="9720" width="8.7265625" style="8" customWidth="1"/>
    <col min="9721" max="9721" width="9.81640625" style="8" customWidth="1"/>
    <col min="9722" max="9722" width="14.453125" style="8" customWidth="1"/>
    <col min="9723" max="9723" width="7.26953125" style="8" customWidth="1"/>
    <col min="9724" max="9724" width="5.54296875" style="8" customWidth="1"/>
    <col min="9725" max="9725" width="9" style="8" customWidth="1"/>
    <col min="9726" max="9727" width="9.81640625" style="8" customWidth="1"/>
    <col min="9728" max="9728" width="11.1796875" style="8" customWidth="1"/>
    <col min="9729" max="9729" width="2.81640625" style="8" customWidth="1"/>
    <col min="9730" max="9730" width="3.54296875" style="8" customWidth="1"/>
    <col min="9731" max="9975" width="9.1796875" style="8"/>
    <col min="9976" max="9976" width="8.7265625" style="8" customWidth="1"/>
    <col min="9977" max="9977" width="9.81640625" style="8" customWidth="1"/>
    <col min="9978" max="9978" width="14.453125" style="8" customWidth="1"/>
    <col min="9979" max="9979" width="7.26953125" style="8" customWidth="1"/>
    <col min="9980" max="9980" width="5.54296875" style="8" customWidth="1"/>
    <col min="9981" max="9981" width="9" style="8" customWidth="1"/>
    <col min="9982" max="9983" width="9.81640625" style="8" customWidth="1"/>
    <col min="9984" max="9984" width="11.1796875" style="8" customWidth="1"/>
    <col min="9985" max="9985" width="2.81640625" style="8" customWidth="1"/>
    <col min="9986" max="9986" width="3.54296875" style="8" customWidth="1"/>
    <col min="9987" max="10231" width="9.1796875" style="8"/>
    <col min="10232" max="10232" width="8.7265625" style="8" customWidth="1"/>
    <col min="10233" max="10233" width="9.81640625" style="8" customWidth="1"/>
    <col min="10234" max="10234" width="14.453125" style="8" customWidth="1"/>
    <col min="10235" max="10235" width="7.26953125" style="8" customWidth="1"/>
    <col min="10236" max="10236" width="5.54296875" style="8" customWidth="1"/>
    <col min="10237" max="10237" width="9" style="8" customWidth="1"/>
    <col min="10238" max="10239" width="9.81640625" style="8" customWidth="1"/>
    <col min="10240" max="10240" width="11.1796875" style="8" customWidth="1"/>
    <col min="10241" max="10241" width="2.81640625" style="8" customWidth="1"/>
    <col min="10242" max="10242" width="3.54296875" style="8" customWidth="1"/>
    <col min="10243" max="10487" width="9.1796875" style="8"/>
    <col min="10488" max="10488" width="8.7265625" style="8" customWidth="1"/>
    <col min="10489" max="10489" width="9.81640625" style="8" customWidth="1"/>
    <col min="10490" max="10490" width="14.453125" style="8" customWidth="1"/>
    <col min="10491" max="10491" width="7.26953125" style="8" customWidth="1"/>
    <col min="10492" max="10492" width="5.54296875" style="8" customWidth="1"/>
    <col min="10493" max="10493" width="9" style="8" customWidth="1"/>
    <col min="10494" max="10495" width="9.81640625" style="8" customWidth="1"/>
    <col min="10496" max="10496" width="11.1796875" style="8" customWidth="1"/>
    <col min="10497" max="10497" width="2.81640625" style="8" customWidth="1"/>
    <col min="10498" max="10498" width="3.54296875" style="8" customWidth="1"/>
    <col min="10499" max="10743" width="9.1796875" style="8"/>
    <col min="10744" max="10744" width="8.7265625" style="8" customWidth="1"/>
    <col min="10745" max="10745" width="9.81640625" style="8" customWidth="1"/>
    <col min="10746" max="10746" width="14.453125" style="8" customWidth="1"/>
    <col min="10747" max="10747" width="7.26953125" style="8" customWidth="1"/>
    <col min="10748" max="10748" width="5.54296875" style="8" customWidth="1"/>
    <col min="10749" max="10749" width="9" style="8" customWidth="1"/>
    <col min="10750" max="10751" width="9.81640625" style="8" customWidth="1"/>
    <col min="10752" max="10752" width="11.1796875" style="8" customWidth="1"/>
    <col min="10753" max="10753" width="2.81640625" style="8" customWidth="1"/>
    <col min="10754" max="10754" width="3.54296875" style="8" customWidth="1"/>
    <col min="10755" max="10999" width="9.1796875" style="8"/>
    <col min="11000" max="11000" width="8.7265625" style="8" customWidth="1"/>
    <col min="11001" max="11001" width="9.81640625" style="8" customWidth="1"/>
    <col min="11002" max="11002" width="14.453125" style="8" customWidth="1"/>
    <col min="11003" max="11003" width="7.26953125" style="8" customWidth="1"/>
    <col min="11004" max="11004" width="5.54296875" style="8" customWidth="1"/>
    <col min="11005" max="11005" width="9" style="8" customWidth="1"/>
    <col min="11006" max="11007" width="9.81640625" style="8" customWidth="1"/>
    <col min="11008" max="11008" width="11.1796875" style="8" customWidth="1"/>
    <col min="11009" max="11009" width="2.81640625" style="8" customWidth="1"/>
    <col min="11010" max="11010" width="3.54296875" style="8" customWidth="1"/>
    <col min="11011" max="11255" width="9.1796875" style="8"/>
    <col min="11256" max="11256" width="8.7265625" style="8" customWidth="1"/>
    <col min="11257" max="11257" width="9.81640625" style="8" customWidth="1"/>
    <col min="11258" max="11258" width="14.453125" style="8" customWidth="1"/>
    <col min="11259" max="11259" width="7.26953125" style="8" customWidth="1"/>
    <col min="11260" max="11260" width="5.54296875" style="8" customWidth="1"/>
    <col min="11261" max="11261" width="9" style="8" customWidth="1"/>
    <col min="11262" max="11263" width="9.81640625" style="8" customWidth="1"/>
    <col min="11264" max="11264" width="11.1796875" style="8" customWidth="1"/>
    <col min="11265" max="11265" width="2.81640625" style="8" customWidth="1"/>
    <col min="11266" max="11266" width="3.54296875" style="8" customWidth="1"/>
    <col min="11267" max="11511" width="9.1796875" style="8"/>
    <col min="11512" max="11512" width="8.7265625" style="8" customWidth="1"/>
    <col min="11513" max="11513" width="9.81640625" style="8" customWidth="1"/>
    <col min="11514" max="11514" width="14.453125" style="8" customWidth="1"/>
    <col min="11515" max="11515" width="7.26953125" style="8" customWidth="1"/>
    <col min="11516" max="11516" width="5.54296875" style="8" customWidth="1"/>
    <col min="11517" max="11517" width="9" style="8" customWidth="1"/>
    <col min="11518" max="11519" width="9.81640625" style="8" customWidth="1"/>
    <col min="11520" max="11520" width="11.1796875" style="8" customWidth="1"/>
    <col min="11521" max="11521" width="2.81640625" style="8" customWidth="1"/>
    <col min="11522" max="11522" width="3.54296875" style="8" customWidth="1"/>
    <col min="11523" max="11767" width="9.1796875" style="8"/>
    <col min="11768" max="11768" width="8.7265625" style="8" customWidth="1"/>
    <col min="11769" max="11769" width="9.81640625" style="8" customWidth="1"/>
    <col min="11770" max="11770" width="14.453125" style="8" customWidth="1"/>
    <col min="11771" max="11771" width="7.26953125" style="8" customWidth="1"/>
    <col min="11772" max="11772" width="5.54296875" style="8" customWidth="1"/>
    <col min="11773" max="11773" width="9" style="8" customWidth="1"/>
    <col min="11774" max="11775" width="9.81640625" style="8" customWidth="1"/>
    <col min="11776" max="11776" width="11.1796875" style="8" customWidth="1"/>
    <col min="11777" max="11777" width="2.81640625" style="8" customWidth="1"/>
    <col min="11778" max="11778" width="3.54296875" style="8" customWidth="1"/>
    <col min="11779" max="12023" width="9.1796875" style="8"/>
    <col min="12024" max="12024" width="8.7265625" style="8" customWidth="1"/>
    <col min="12025" max="12025" width="9.81640625" style="8" customWidth="1"/>
    <col min="12026" max="12026" width="14.453125" style="8" customWidth="1"/>
    <col min="12027" max="12027" width="7.26953125" style="8" customWidth="1"/>
    <col min="12028" max="12028" width="5.54296875" style="8" customWidth="1"/>
    <col min="12029" max="12029" width="9" style="8" customWidth="1"/>
    <col min="12030" max="12031" width="9.81640625" style="8" customWidth="1"/>
    <col min="12032" max="12032" width="11.1796875" style="8" customWidth="1"/>
    <col min="12033" max="12033" width="2.81640625" style="8" customWidth="1"/>
    <col min="12034" max="12034" width="3.54296875" style="8" customWidth="1"/>
    <col min="12035" max="12279" width="9.1796875" style="8"/>
    <col min="12280" max="12280" width="8.7265625" style="8" customWidth="1"/>
    <col min="12281" max="12281" width="9.81640625" style="8" customWidth="1"/>
    <col min="12282" max="12282" width="14.453125" style="8" customWidth="1"/>
    <col min="12283" max="12283" width="7.26953125" style="8" customWidth="1"/>
    <col min="12284" max="12284" width="5.54296875" style="8" customWidth="1"/>
    <col min="12285" max="12285" width="9" style="8" customWidth="1"/>
    <col min="12286" max="12287" width="9.81640625" style="8" customWidth="1"/>
    <col min="12288" max="12288" width="11.1796875" style="8" customWidth="1"/>
    <col min="12289" max="12289" width="2.81640625" style="8" customWidth="1"/>
    <col min="12290" max="12290" width="3.54296875" style="8" customWidth="1"/>
    <col min="12291" max="12535" width="9.1796875" style="8"/>
    <col min="12536" max="12536" width="8.7265625" style="8" customWidth="1"/>
    <col min="12537" max="12537" width="9.81640625" style="8" customWidth="1"/>
    <col min="12538" max="12538" width="14.453125" style="8" customWidth="1"/>
    <col min="12539" max="12539" width="7.26953125" style="8" customWidth="1"/>
    <col min="12540" max="12540" width="5.54296875" style="8" customWidth="1"/>
    <col min="12541" max="12541" width="9" style="8" customWidth="1"/>
    <col min="12542" max="12543" width="9.81640625" style="8" customWidth="1"/>
    <col min="12544" max="12544" width="11.1796875" style="8" customWidth="1"/>
    <col min="12545" max="12545" width="2.81640625" style="8" customWidth="1"/>
    <col min="12546" max="12546" width="3.54296875" style="8" customWidth="1"/>
    <col min="12547" max="12791" width="9.1796875" style="8"/>
    <col min="12792" max="12792" width="8.7265625" style="8" customWidth="1"/>
    <col min="12793" max="12793" width="9.81640625" style="8" customWidth="1"/>
    <col min="12794" max="12794" width="14.453125" style="8" customWidth="1"/>
    <col min="12795" max="12795" width="7.26953125" style="8" customWidth="1"/>
    <col min="12796" max="12796" width="5.54296875" style="8" customWidth="1"/>
    <col min="12797" max="12797" width="9" style="8" customWidth="1"/>
    <col min="12798" max="12799" width="9.81640625" style="8" customWidth="1"/>
    <col min="12800" max="12800" width="11.1796875" style="8" customWidth="1"/>
    <col min="12801" max="12801" width="2.81640625" style="8" customWidth="1"/>
    <col min="12802" max="12802" width="3.54296875" style="8" customWidth="1"/>
    <col min="12803" max="13047" width="9.1796875" style="8"/>
    <col min="13048" max="13048" width="8.7265625" style="8" customWidth="1"/>
    <col min="13049" max="13049" width="9.81640625" style="8" customWidth="1"/>
    <col min="13050" max="13050" width="14.453125" style="8" customWidth="1"/>
    <col min="13051" max="13051" width="7.26953125" style="8" customWidth="1"/>
    <col min="13052" max="13052" width="5.54296875" style="8" customWidth="1"/>
    <col min="13053" max="13053" width="9" style="8" customWidth="1"/>
    <col min="13054" max="13055" width="9.81640625" style="8" customWidth="1"/>
    <col min="13056" max="13056" width="11.1796875" style="8" customWidth="1"/>
    <col min="13057" max="13057" width="2.81640625" style="8" customWidth="1"/>
    <col min="13058" max="13058" width="3.54296875" style="8" customWidth="1"/>
    <col min="13059" max="13303" width="9.1796875" style="8"/>
    <col min="13304" max="13304" width="8.7265625" style="8" customWidth="1"/>
    <col min="13305" max="13305" width="9.81640625" style="8" customWidth="1"/>
    <col min="13306" max="13306" width="14.453125" style="8" customWidth="1"/>
    <col min="13307" max="13307" width="7.26953125" style="8" customWidth="1"/>
    <col min="13308" max="13308" width="5.54296875" style="8" customWidth="1"/>
    <col min="13309" max="13309" width="9" style="8" customWidth="1"/>
    <col min="13310" max="13311" width="9.81640625" style="8" customWidth="1"/>
    <col min="13312" max="13312" width="11.1796875" style="8" customWidth="1"/>
    <col min="13313" max="13313" width="2.81640625" style="8" customWidth="1"/>
    <col min="13314" max="13314" width="3.54296875" style="8" customWidth="1"/>
    <col min="13315" max="13559" width="9.1796875" style="8"/>
    <col min="13560" max="13560" width="8.7265625" style="8" customWidth="1"/>
    <col min="13561" max="13561" width="9.81640625" style="8" customWidth="1"/>
    <col min="13562" max="13562" width="14.453125" style="8" customWidth="1"/>
    <col min="13563" max="13563" width="7.26953125" style="8" customWidth="1"/>
    <col min="13564" max="13564" width="5.54296875" style="8" customWidth="1"/>
    <col min="13565" max="13565" width="9" style="8" customWidth="1"/>
    <col min="13566" max="13567" width="9.81640625" style="8" customWidth="1"/>
    <col min="13568" max="13568" width="11.1796875" style="8" customWidth="1"/>
    <col min="13569" max="13569" width="2.81640625" style="8" customWidth="1"/>
    <col min="13570" max="13570" width="3.54296875" style="8" customWidth="1"/>
    <col min="13571" max="13815" width="9.1796875" style="8"/>
    <col min="13816" max="13816" width="8.7265625" style="8" customWidth="1"/>
    <col min="13817" max="13817" width="9.81640625" style="8" customWidth="1"/>
    <col min="13818" max="13818" width="14.453125" style="8" customWidth="1"/>
    <col min="13819" max="13819" width="7.26953125" style="8" customWidth="1"/>
    <col min="13820" max="13820" width="5.54296875" style="8" customWidth="1"/>
    <col min="13821" max="13821" width="9" style="8" customWidth="1"/>
    <col min="13822" max="13823" width="9.81640625" style="8" customWidth="1"/>
    <col min="13824" max="13824" width="11.1796875" style="8" customWidth="1"/>
    <col min="13825" max="13825" width="2.81640625" style="8" customWidth="1"/>
    <col min="13826" max="13826" width="3.54296875" style="8" customWidth="1"/>
    <col min="13827" max="14071" width="9.1796875" style="8"/>
    <col min="14072" max="14072" width="8.7265625" style="8" customWidth="1"/>
    <col min="14073" max="14073" width="9.81640625" style="8" customWidth="1"/>
    <col min="14074" max="14074" width="14.453125" style="8" customWidth="1"/>
    <col min="14075" max="14075" width="7.26953125" style="8" customWidth="1"/>
    <col min="14076" max="14076" width="5.54296875" style="8" customWidth="1"/>
    <col min="14077" max="14077" width="9" style="8" customWidth="1"/>
    <col min="14078" max="14079" width="9.81640625" style="8" customWidth="1"/>
    <col min="14080" max="14080" width="11.1796875" style="8" customWidth="1"/>
    <col min="14081" max="14081" width="2.81640625" style="8" customWidth="1"/>
    <col min="14082" max="14082" width="3.54296875" style="8" customWidth="1"/>
    <col min="14083" max="14327" width="9.1796875" style="8"/>
    <col min="14328" max="14328" width="8.7265625" style="8" customWidth="1"/>
    <col min="14329" max="14329" width="9.81640625" style="8" customWidth="1"/>
    <col min="14330" max="14330" width="14.453125" style="8" customWidth="1"/>
    <col min="14331" max="14331" width="7.26953125" style="8" customWidth="1"/>
    <col min="14332" max="14332" width="5.54296875" style="8" customWidth="1"/>
    <col min="14333" max="14333" width="9" style="8" customWidth="1"/>
    <col min="14334" max="14335" width="9.81640625" style="8" customWidth="1"/>
    <col min="14336" max="14336" width="11.1796875" style="8" customWidth="1"/>
    <col min="14337" max="14337" width="2.81640625" style="8" customWidth="1"/>
    <col min="14338" max="14338" width="3.54296875" style="8" customWidth="1"/>
    <col min="14339" max="14583" width="9.1796875" style="8"/>
    <col min="14584" max="14584" width="8.7265625" style="8" customWidth="1"/>
    <col min="14585" max="14585" width="9.81640625" style="8" customWidth="1"/>
    <col min="14586" max="14586" width="14.453125" style="8" customWidth="1"/>
    <col min="14587" max="14587" width="7.26953125" style="8" customWidth="1"/>
    <col min="14588" max="14588" width="5.54296875" style="8" customWidth="1"/>
    <col min="14589" max="14589" width="9" style="8" customWidth="1"/>
    <col min="14590" max="14591" width="9.81640625" style="8" customWidth="1"/>
    <col min="14592" max="14592" width="11.1796875" style="8" customWidth="1"/>
    <col min="14593" max="14593" width="2.81640625" style="8" customWidth="1"/>
    <col min="14594" max="14594" width="3.54296875" style="8" customWidth="1"/>
    <col min="14595" max="14839" width="9.1796875" style="8"/>
    <col min="14840" max="14840" width="8.7265625" style="8" customWidth="1"/>
    <col min="14841" max="14841" width="9.81640625" style="8" customWidth="1"/>
    <col min="14842" max="14842" width="14.453125" style="8" customWidth="1"/>
    <col min="14843" max="14843" width="7.26953125" style="8" customWidth="1"/>
    <col min="14844" max="14844" width="5.54296875" style="8" customWidth="1"/>
    <col min="14845" max="14845" width="9" style="8" customWidth="1"/>
    <col min="14846" max="14847" width="9.81640625" style="8" customWidth="1"/>
    <col min="14848" max="14848" width="11.1796875" style="8" customWidth="1"/>
    <col min="14849" max="14849" width="2.81640625" style="8" customWidth="1"/>
    <col min="14850" max="14850" width="3.54296875" style="8" customWidth="1"/>
    <col min="14851" max="15095" width="9.1796875" style="8"/>
    <col min="15096" max="15096" width="8.7265625" style="8" customWidth="1"/>
    <col min="15097" max="15097" width="9.81640625" style="8" customWidth="1"/>
    <col min="15098" max="15098" width="14.453125" style="8" customWidth="1"/>
    <col min="15099" max="15099" width="7.26953125" style="8" customWidth="1"/>
    <col min="15100" max="15100" width="5.54296875" style="8" customWidth="1"/>
    <col min="15101" max="15101" width="9" style="8" customWidth="1"/>
    <col min="15102" max="15103" width="9.81640625" style="8" customWidth="1"/>
    <col min="15104" max="15104" width="11.1796875" style="8" customWidth="1"/>
    <col min="15105" max="15105" width="2.81640625" style="8" customWidth="1"/>
    <col min="15106" max="15106" width="3.54296875" style="8" customWidth="1"/>
    <col min="15107" max="15351" width="9.1796875" style="8"/>
    <col min="15352" max="15352" width="8.7265625" style="8" customWidth="1"/>
    <col min="15353" max="15353" width="9.81640625" style="8" customWidth="1"/>
    <col min="15354" max="15354" width="14.453125" style="8" customWidth="1"/>
    <col min="15355" max="15355" width="7.26953125" style="8" customWidth="1"/>
    <col min="15356" max="15356" width="5.54296875" style="8" customWidth="1"/>
    <col min="15357" max="15357" width="9" style="8" customWidth="1"/>
    <col min="15358" max="15359" width="9.81640625" style="8" customWidth="1"/>
    <col min="15360" max="15360" width="11.1796875" style="8" customWidth="1"/>
    <col min="15361" max="15361" width="2.81640625" style="8" customWidth="1"/>
    <col min="15362" max="15362" width="3.54296875" style="8" customWidth="1"/>
    <col min="15363" max="15607" width="9.1796875" style="8"/>
    <col min="15608" max="15608" width="8.7265625" style="8" customWidth="1"/>
    <col min="15609" max="15609" width="9.81640625" style="8" customWidth="1"/>
    <col min="15610" max="15610" width="14.453125" style="8" customWidth="1"/>
    <col min="15611" max="15611" width="7.26953125" style="8" customWidth="1"/>
    <col min="15612" max="15612" width="5.54296875" style="8" customWidth="1"/>
    <col min="15613" max="15613" width="9" style="8" customWidth="1"/>
    <col min="15614" max="15615" width="9.81640625" style="8" customWidth="1"/>
    <col min="15616" max="15616" width="11.1796875" style="8" customWidth="1"/>
    <col min="15617" max="15617" width="2.81640625" style="8" customWidth="1"/>
    <col min="15618" max="15618" width="3.54296875" style="8" customWidth="1"/>
    <col min="15619" max="15863" width="9.1796875" style="8"/>
    <col min="15864" max="15864" width="8.7265625" style="8" customWidth="1"/>
    <col min="15865" max="15865" width="9.81640625" style="8" customWidth="1"/>
    <col min="15866" max="15866" width="14.453125" style="8" customWidth="1"/>
    <col min="15867" max="15867" width="7.26953125" style="8" customWidth="1"/>
    <col min="15868" max="15868" width="5.54296875" style="8" customWidth="1"/>
    <col min="15869" max="15869" width="9" style="8" customWidth="1"/>
    <col min="15870" max="15871" width="9.81640625" style="8" customWidth="1"/>
    <col min="15872" max="15872" width="11.1796875" style="8" customWidth="1"/>
    <col min="15873" max="15873" width="2.81640625" style="8" customWidth="1"/>
    <col min="15874" max="15874" width="3.54296875" style="8" customWidth="1"/>
    <col min="15875" max="16119" width="9.1796875" style="8"/>
    <col min="16120" max="16120" width="8.7265625" style="8" customWidth="1"/>
    <col min="16121" max="16121" width="9.81640625" style="8" customWidth="1"/>
    <col min="16122" max="16122" width="14.453125" style="8" customWidth="1"/>
    <col min="16123" max="16123" width="7.26953125" style="8" customWidth="1"/>
    <col min="16124" max="16124" width="5.54296875" style="8" customWidth="1"/>
    <col min="16125" max="16125" width="9" style="8" customWidth="1"/>
    <col min="16126" max="16127" width="9.81640625" style="8" customWidth="1"/>
    <col min="16128" max="16128" width="11.1796875" style="8" customWidth="1"/>
    <col min="16129" max="16129" width="2.81640625" style="8" customWidth="1"/>
    <col min="16130" max="16130" width="3.54296875" style="8" customWidth="1"/>
    <col min="16131" max="16384" width="9.1796875" style="8"/>
  </cols>
  <sheetData>
    <row r="1" spans="1:8" ht="46.5" customHeight="1" x14ac:dyDescent="0.35">
      <c r="A1" s="72" t="s">
        <v>264</v>
      </c>
      <c r="B1" s="72"/>
      <c r="C1" s="72"/>
      <c r="D1" s="72"/>
      <c r="E1" s="72"/>
      <c r="F1" s="72"/>
      <c r="G1" s="72"/>
      <c r="H1" s="72"/>
    </row>
    <row r="2" spans="1:8" ht="16.5" customHeight="1" x14ac:dyDescent="0.35">
      <c r="A2" s="73" t="s">
        <v>0</v>
      </c>
      <c r="B2" s="73"/>
      <c r="C2" s="73"/>
      <c r="D2" s="73"/>
      <c r="E2" s="73"/>
      <c r="F2" s="73"/>
      <c r="G2" s="73"/>
      <c r="H2" s="73"/>
    </row>
    <row r="3" spans="1:8" x14ac:dyDescent="0.35">
      <c r="A3" s="69" t="s">
        <v>1</v>
      </c>
      <c r="B3" s="69"/>
      <c r="C3" s="69"/>
      <c r="D3" s="69"/>
      <c r="E3" s="70" t="str">
        <f ca="1">TEXT(TODAY(),"DD/MM/YYYY")</f>
        <v>19/09/2025</v>
      </c>
      <c r="F3" s="70"/>
      <c r="G3" s="70"/>
      <c r="H3" s="70"/>
    </row>
    <row r="4" spans="1:8" ht="15" customHeight="1" x14ac:dyDescent="0.35">
      <c r="A4" s="69" t="s">
        <v>2</v>
      </c>
      <c r="B4" s="69"/>
      <c r="C4" s="69"/>
      <c r="D4" s="69"/>
      <c r="E4" s="74" t="s">
        <v>187</v>
      </c>
      <c r="F4" s="74"/>
      <c r="G4" s="74"/>
      <c r="H4" s="74"/>
    </row>
    <row r="5" spans="1:8" x14ac:dyDescent="0.35">
      <c r="A5" s="69" t="s">
        <v>3</v>
      </c>
      <c r="B5" s="69"/>
      <c r="C5" s="69"/>
      <c r="D5" s="69"/>
      <c r="E5" s="70">
        <v>45905</v>
      </c>
      <c r="F5" s="70"/>
      <c r="G5" s="70"/>
      <c r="H5" s="70"/>
    </row>
    <row r="6" spans="1:8" ht="16.5" customHeight="1" x14ac:dyDescent="0.35">
      <c r="A6" s="69" t="s">
        <v>4</v>
      </c>
      <c r="B6" s="69"/>
      <c r="C6" s="69"/>
      <c r="D6" s="69"/>
      <c r="E6" s="71" t="s">
        <v>188</v>
      </c>
      <c r="F6" s="71"/>
      <c r="G6" s="71"/>
      <c r="H6" s="71"/>
    </row>
    <row r="7" spans="1:8" ht="15" customHeight="1" x14ac:dyDescent="0.35">
      <c r="A7" s="69" t="s">
        <v>5</v>
      </c>
      <c r="B7" s="69"/>
      <c r="C7" s="69"/>
      <c r="D7" s="69"/>
      <c r="E7" s="71" t="str">
        <f>E6</f>
        <v>M/s.K.T.Homes</v>
      </c>
      <c r="F7" s="71"/>
      <c r="G7" s="71"/>
      <c r="H7" s="71"/>
    </row>
    <row r="8" spans="1:8" x14ac:dyDescent="0.35">
      <c r="A8" s="69" t="s">
        <v>6</v>
      </c>
      <c r="B8" s="69"/>
      <c r="C8" s="69"/>
      <c r="D8" s="69"/>
      <c r="E8" s="77" t="s">
        <v>189</v>
      </c>
      <c r="F8" s="77"/>
      <c r="G8" s="77"/>
      <c r="H8" s="77"/>
    </row>
    <row r="9" spans="1:8" x14ac:dyDescent="0.35">
      <c r="A9" s="69" t="s">
        <v>159</v>
      </c>
      <c r="B9" s="69"/>
      <c r="C9" s="69"/>
      <c r="D9" s="69"/>
      <c r="E9" s="69" t="s">
        <v>208</v>
      </c>
      <c r="F9" s="69"/>
      <c r="G9" s="69"/>
      <c r="H9" s="69"/>
    </row>
    <row r="10" spans="1:8" x14ac:dyDescent="0.35">
      <c r="A10" s="76" t="s">
        <v>7</v>
      </c>
      <c r="B10" s="76"/>
      <c r="C10" s="76"/>
      <c r="D10" s="76"/>
      <c r="E10" s="76" t="s">
        <v>160</v>
      </c>
      <c r="F10" s="76"/>
      <c r="G10" s="76"/>
      <c r="H10" s="76"/>
    </row>
    <row r="11" spans="1:8" x14ac:dyDescent="0.35">
      <c r="A11" s="69" t="s">
        <v>8</v>
      </c>
      <c r="B11" s="69"/>
      <c r="C11" s="69"/>
      <c r="D11" s="69"/>
      <c r="E11" s="75" t="s">
        <v>236</v>
      </c>
      <c r="F11" s="75"/>
      <c r="G11" s="75"/>
      <c r="H11" s="75"/>
    </row>
    <row r="12" spans="1:8" x14ac:dyDescent="0.35">
      <c r="A12" s="76" t="s">
        <v>211</v>
      </c>
      <c r="B12" s="76"/>
      <c r="C12" s="76"/>
      <c r="D12" s="76"/>
      <c r="E12" s="76" t="s">
        <v>240</v>
      </c>
      <c r="F12" s="76"/>
      <c r="G12" s="76"/>
      <c r="H12" s="76"/>
    </row>
    <row r="13" spans="1:8" x14ac:dyDescent="0.35">
      <c r="A13" s="69" t="s">
        <v>9</v>
      </c>
      <c r="B13" s="69"/>
      <c r="C13" s="69"/>
      <c r="D13" s="69"/>
      <c r="E13" s="75" t="s">
        <v>190</v>
      </c>
      <c r="F13" s="76"/>
      <c r="G13" s="76"/>
      <c r="H13" s="76"/>
    </row>
    <row r="14" spans="1:8" ht="34.5" customHeight="1" x14ac:dyDescent="0.35">
      <c r="A14" s="71" t="s">
        <v>10</v>
      </c>
      <c r="B14" s="71"/>
      <c r="C14" s="71" t="str">
        <f>CONCATENATE((IF(OR(E8="",E8="NA"),"",E8)),", ",(IF(OR(A15="",A15="NA"),"",A15)),".",(IF(OR(C15="",C15="NA"),"",C15)),", near ",(IF(OR(C19="",C19="NA"),"",C19)),", ",(IF(OR(C16="",C16="NA"),"",C16)),", ",(IF(OR(G16="",G16="NA"),"",G16)),", ",(IF(OR(C17="",C17="NA"),"",C17)),", ",(IF(OR(C18="",C18="NA"),"",C18)),", ",(IF(OR(G17="",G17="NA"),"",G17)),".")</f>
        <v>Radhe Mohan, Plot No.2 &amp; Sector No.23, near Tapasya CHS, Sai Baba Road, Koparkhairne, Koparkhairne , Thane, Thane.</v>
      </c>
      <c r="D14" s="71"/>
      <c r="E14" s="71"/>
      <c r="F14" s="71"/>
      <c r="G14" s="71"/>
      <c r="H14" s="71"/>
    </row>
    <row r="15" spans="1:8" x14ac:dyDescent="0.35">
      <c r="A15" s="71" t="s">
        <v>191</v>
      </c>
      <c r="B15" s="71"/>
      <c r="C15" s="75" t="s">
        <v>192</v>
      </c>
      <c r="D15" s="75"/>
      <c r="E15" s="75"/>
      <c r="F15" s="75"/>
      <c r="G15" s="75"/>
      <c r="H15" s="75"/>
    </row>
    <row r="16" spans="1:8" ht="15.75" customHeight="1" x14ac:dyDescent="0.35">
      <c r="A16" s="71" t="s">
        <v>11</v>
      </c>
      <c r="B16" s="71"/>
      <c r="C16" s="76" t="s">
        <v>209</v>
      </c>
      <c r="D16" s="76"/>
      <c r="E16" s="71" t="s">
        <v>256</v>
      </c>
      <c r="F16" s="71"/>
      <c r="G16" s="75" t="s">
        <v>193</v>
      </c>
      <c r="H16" s="75"/>
    </row>
    <row r="17" spans="1:8" x14ac:dyDescent="0.35">
      <c r="A17" s="69" t="s">
        <v>13</v>
      </c>
      <c r="B17" s="69"/>
      <c r="C17" s="75" t="s">
        <v>255</v>
      </c>
      <c r="D17" s="75"/>
      <c r="E17" s="71" t="s">
        <v>12</v>
      </c>
      <c r="F17" s="71"/>
      <c r="G17" s="78" t="s">
        <v>194</v>
      </c>
      <c r="H17" s="78"/>
    </row>
    <row r="18" spans="1:8" x14ac:dyDescent="0.35">
      <c r="A18" s="69" t="s">
        <v>105</v>
      </c>
      <c r="B18" s="69"/>
      <c r="C18" s="75" t="s">
        <v>194</v>
      </c>
      <c r="D18" s="75"/>
      <c r="E18" s="71" t="s">
        <v>14</v>
      </c>
      <c r="F18" s="71"/>
      <c r="G18" s="75">
        <v>400709</v>
      </c>
      <c r="H18" s="75"/>
    </row>
    <row r="19" spans="1:8" ht="32.25" customHeight="1" x14ac:dyDescent="0.35">
      <c r="A19" s="69" t="s">
        <v>161</v>
      </c>
      <c r="B19" s="69"/>
      <c r="C19" s="71" t="s">
        <v>215</v>
      </c>
      <c r="D19" s="71"/>
      <c r="E19" s="71" t="s">
        <v>15</v>
      </c>
      <c r="F19" s="71"/>
      <c r="G19" s="75" t="s">
        <v>210</v>
      </c>
      <c r="H19" s="75"/>
    </row>
    <row r="20" spans="1:8" ht="15" customHeight="1" x14ac:dyDescent="0.35">
      <c r="A20" s="71" t="s">
        <v>107</v>
      </c>
      <c r="B20" s="71"/>
      <c r="C20" s="71"/>
      <c r="D20" s="71"/>
      <c r="E20" s="76" t="s">
        <v>16</v>
      </c>
      <c r="F20" s="76"/>
      <c r="G20" s="76"/>
      <c r="H20" s="76"/>
    </row>
    <row r="21" spans="1:8" ht="18.75" customHeight="1" x14ac:dyDescent="0.35">
      <c r="A21" s="71"/>
      <c r="B21" s="71"/>
      <c r="C21" s="71"/>
      <c r="D21" s="71"/>
      <c r="E21" s="76"/>
      <c r="F21" s="76"/>
      <c r="G21" s="76"/>
      <c r="H21" s="76"/>
    </row>
    <row r="22" spans="1:8" ht="15" customHeight="1" x14ac:dyDescent="0.35">
      <c r="A22" s="71" t="s">
        <v>17</v>
      </c>
      <c r="B22" s="71"/>
      <c r="C22" s="71"/>
      <c r="D22" s="71"/>
      <c r="E22" s="75" t="s">
        <v>18</v>
      </c>
      <c r="F22" s="75"/>
      <c r="G22" s="75"/>
      <c r="H22" s="75"/>
    </row>
    <row r="23" spans="1:8" ht="15" customHeight="1" x14ac:dyDescent="0.35">
      <c r="A23" s="69" t="s">
        <v>19</v>
      </c>
      <c r="B23" s="69"/>
      <c r="C23" s="69"/>
      <c r="D23" s="69"/>
      <c r="E23" s="75" t="str">
        <f>IF(AND(G17="Mumbai"),"Upper Class","Middle Class")</f>
        <v>Middle Class</v>
      </c>
      <c r="F23" s="75"/>
      <c r="G23" s="75"/>
      <c r="H23" s="75"/>
    </row>
    <row r="24" spans="1:8" x14ac:dyDescent="0.35">
      <c r="A24" s="69" t="s">
        <v>20</v>
      </c>
      <c r="B24" s="69"/>
      <c r="C24" s="69"/>
      <c r="D24" s="69"/>
      <c r="E24" s="75" t="s">
        <v>21</v>
      </c>
      <c r="F24" s="75"/>
      <c r="G24" s="75"/>
      <c r="H24" s="75"/>
    </row>
    <row r="25" spans="1:8" ht="15.75" customHeight="1" x14ac:dyDescent="0.35">
      <c r="A25" s="69" t="s">
        <v>22</v>
      </c>
      <c r="B25" s="69"/>
      <c r="C25" s="69"/>
      <c r="D25" s="69"/>
      <c r="E25" s="75" t="str">
        <f>IF(AND(G17="Mumbai"),"Developed","Developing")</f>
        <v>Developing</v>
      </c>
      <c r="F25" s="75"/>
      <c r="G25" s="75"/>
      <c r="H25" s="75"/>
    </row>
    <row r="26" spans="1:8" x14ac:dyDescent="0.35">
      <c r="A26" s="69" t="s">
        <v>23</v>
      </c>
      <c r="B26" s="69"/>
      <c r="C26" s="69"/>
      <c r="D26" s="69"/>
      <c r="E26" s="75" t="s">
        <v>24</v>
      </c>
      <c r="F26" s="75"/>
      <c r="G26" s="75"/>
      <c r="H26" s="75"/>
    </row>
    <row r="27" spans="1:8" x14ac:dyDescent="0.35">
      <c r="A27" s="69" t="s">
        <v>115</v>
      </c>
      <c r="B27" s="69"/>
      <c r="C27" s="69"/>
      <c r="D27" s="69"/>
      <c r="E27" s="75" t="s">
        <v>116</v>
      </c>
      <c r="F27" s="75"/>
      <c r="G27" s="75"/>
      <c r="H27" s="75"/>
    </row>
    <row r="28" spans="1:8" ht="15" customHeight="1" x14ac:dyDescent="0.35">
      <c r="A28" s="71" t="s">
        <v>35</v>
      </c>
      <c r="B28" s="71"/>
      <c r="C28" s="71"/>
      <c r="D28" s="71"/>
      <c r="E28" s="74" t="s">
        <v>212</v>
      </c>
      <c r="F28" s="74"/>
      <c r="G28" s="74"/>
      <c r="H28" s="74"/>
    </row>
    <row r="29" spans="1:8" x14ac:dyDescent="0.35">
      <c r="A29" s="71" t="s">
        <v>127</v>
      </c>
      <c r="B29" s="71"/>
      <c r="C29" s="71"/>
      <c r="D29" s="71"/>
      <c r="E29" s="71" t="s">
        <v>36</v>
      </c>
      <c r="F29" s="71"/>
      <c r="G29" s="71"/>
      <c r="H29" s="71"/>
    </row>
    <row r="30" spans="1:8" s="11" customFormat="1" x14ac:dyDescent="0.35">
      <c r="A30" s="79" t="s">
        <v>128</v>
      </c>
      <c r="B30" s="79"/>
      <c r="C30" s="80" t="s">
        <v>29</v>
      </c>
      <c r="D30" s="80"/>
      <c r="E30" s="80"/>
      <c r="F30" s="80" t="s">
        <v>31</v>
      </c>
      <c r="G30" s="80"/>
      <c r="H30" s="80"/>
    </row>
    <row r="31" spans="1:8" s="11" customFormat="1" x14ac:dyDescent="0.35">
      <c r="A31" s="81" t="s">
        <v>25</v>
      </c>
      <c r="B31" s="81" t="s">
        <v>30</v>
      </c>
      <c r="C31" s="82" t="s">
        <v>30</v>
      </c>
      <c r="D31" s="82"/>
      <c r="E31" s="82"/>
      <c r="F31" s="82" t="s">
        <v>213</v>
      </c>
      <c r="G31" s="82"/>
      <c r="H31" s="82"/>
    </row>
    <row r="32" spans="1:8" x14ac:dyDescent="0.35">
      <c r="A32" s="81" t="s">
        <v>26</v>
      </c>
      <c r="B32" s="81" t="s">
        <v>30</v>
      </c>
      <c r="C32" s="82" t="s">
        <v>30</v>
      </c>
      <c r="D32" s="82"/>
      <c r="E32" s="82"/>
      <c r="F32" s="82" t="s">
        <v>214</v>
      </c>
      <c r="G32" s="82"/>
      <c r="H32" s="82"/>
    </row>
    <row r="33" spans="1:8" s="11" customFormat="1" x14ac:dyDescent="0.35">
      <c r="A33" s="81" t="s">
        <v>28</v>
      </c>
      <c r="B33" s="81" t="s">
        <v>30</v>
      </c>
      <c r="C33" s="82" t="s">
        <v>30</v>
      </c>
      <c r="D33" s="82"/>
      <c r="E33" s="82"/>
      <c r="F33" s="82" t="s">
        <v>215</v>
      </c>
      <c r="G33" s="82"/>
      <c r="H33" s="82"/>
    </row>
    <row r="34" spans="1:8" x14ac:dyDescent="0.35">
      <c r="A34" s="81" t="s">
        <v>27</v>
      </c>
      <c r="B34" s="81" t="s">
        <v>30</v>
      </c>
      <c r="C34" s="82" t="s">
        <v>30</v>
      </c>
      <c r="D34" s="82"/>
      <c r="E34" s="82"/>
      <c r="F34" s="82" t="s">
        <v>216</v>
      </c>
      <c r="G34" s="82"/>
      <c r="H34" s="82"/>
    </row>
    <row r="35" spans="1:8" x14ac:dyDescent="0.35">
      <c r="A35" s="69" t="s">
        <v>32</v>
      </c>
      <c r="B35" s="69"/>
      <c r="C35" s="69"/>
      <c r="D35" s="69"/>
      <c r="E35" s="69"/>
      <c r="F35" s="69"/>
      <c r="G35" s="69"/>
      <c r="H35" s="69"/>
    </row>
    <row r="36" spans="1:8" ht="15.75" customHeight="1" x14ac:dyDescent="0.35">
      <c r="A36" s="73" t="s">
        <v>262</v>
      </c>
      <c r="B36" s="73"/>
      <c r="C36" s="86" t="s">
        <v>261</v>
      </c>
      <c r="D36" s="86"/>
      <c r="E36" s="86"/>
      <c r="F36" s="86"/>
      <c r="G36" s="86"/>
      <c r="H36" s="86"/>
    </row>
    <row r="37" spans="1:8" ht="15.75" customHeight="1" x14ac:dyDescent="0.35">
      <c r="A37" s="73" t="s">
        <v>260</v>
      </c>
      <c r="B37" s="73"/>
      <c r="C37" s="85" t="s">
        <v>263</v>
      </c>
      <c r="D37" s="86"/>
      <c r="E37" s="86"/>
      <c r="F37" s="86"/>
      <c r="G37" s="86"/>
      <c r="H37" s="86"/>
    </row>
    <row r="38" spans="1:8" x14ac:dyDescent="0.35">
      <c r="A38" s="77" t="s">
        <v>37</v>
      </c>
      <c r="B38" s="77"/>
      <c r="C38" s="77"/>
      <c r="D38" s="77"/>
      <c r="E38" s="77"/>
      <c r="F38" s="77"/>
      <c r="G38" s="77"/>
      <c r="H38" s="77"/>
    </row>
    <row r="39" spans="1:8" x14ac:dyDescent="0.35">
      <c r="A39" s="69" t="s">
        <v>38</v>
      </c>
      <c r="B39" s="69"/>
      <c r="C39" s="69"/>
      <c r="D39" s="69"/>
      <c r="E39" s="83">
        <v>1879.866</v>
      </c>
      <c r="F39" s="83"/>
      <c r="G39" s="83"/>
      <c r="H39" s="83"/>
    </row>
    <row r="40" spans="1:8" x14ac:dyDescent="0.35">
      <c r="A40" s="69" t="s">
        <v>39</v>
      </c>
      <c r="B40" s="69"/>
      <c r="C40" s="69"/>
      <c r="D40" s="69"/>
      <c r="E40" s="84">
        <v>2.5</v>
      </c>
      <c r="F40" s="84"/>
      <c r="G40" s="84"/>
      <c r="H40" s="84"/>
    </row>
    <row r="41" spans="1:8" x14ac:dyDescent="0.35">
      <c r="A41" s="69" t="s">
        <v>40</v>
      </c>
      <c r="B41" s="69"/>
      <c r="C41" s="69"/>
      <c r="D41" s="69"/>
      <c r="E41" s="84">
        <f>E43/E39-E40</f>
        <v>0</v>
      </c>
      <c r="F41" s="84"/>
      <c r="G41" s="84"/>
      <c r="H41" s="84"/>
    </row>
    <row r="42" spans="1:8" x14ac:dyDescent="0.35">
      <c r="A42" s="69" t="s">
        <v>41</v>
      </c>
      <c r="B42" s="69"/>
      <c r="C42" s="69"/>
      <c r="D42" s="69"/>
      <c r="E42" s="84">
        <f>E40+E41</f>
        <v>2.5</v>
      </c>
      <c r="F42" s="84"/>
      <c r="G42" s="84"/>
      <c r="H42" s="84"/>
    </row>
    <row r="43" spans="1:8" x14ac:dyDescent="0.35">
      <c r="A43" s="69" t="s">
        <v>126</v>
      </c>
      <c r="B43" s="69"/>
      <c r="C43" s="69"/>
      <c r="D43" s="69"/>
      <c r="E43" s="88">
        <v>4699.665</v>
      </c>
      <c r="F43" s="88"/>
      <c r="G43" s="88"/>
      <c r="H43" s="88"/>
    </row>
    <row r="44" spans="1:8" x14ac:dyDescent="0.35">
      <c r="A44" s="76" t="s">
        <v>42</v>
      </c>
      <c r="B44" s="76"/>
      <c r="C44" s="76"/>
      <c r="D44" s="76"/>
      <c r="E44" s="76" t="s">
        <v>160</v>
      </c>
      <c r="F44" s="76"/>
      <c r="G44" s="76"/>
      <c r="H44" s="76"/>
    </row>
    <row r="45" spans="1:8" x14ac:dyDescent="0.35">
      <c r="A45" s="77" t="s">
        <v>43</v>
      </c>
      <c r="B45" s="77"/>
      <c r="C45" s="77"/>
      <c r="D45" s="77"/>
      <c r="E45" s="77"/>
      <c r="F45" s="77"/>
      <c r="G45" s="77"/>
      <c r="H45" s="77"/>
    </row>
    <row r="46" spans="1:8" x14ac:dyDescent="0.35">
      <c r="A46" s="71" t="s">
        <v>44</v>
      </c>
      <c r="B46" s="71"/>
      <c r="C46" s="75" t="s">
        <v>217</v>
      </c>
      <c r="D46" s="75"/>
      <c r="E46" s="75"/>
      <c r="F46" s="61" t="s">
        <v>45</v>
      </c>
      <c r="G46" s="87">
        <v>44208</v>
      </c>
      <c r="H46" s="87"/>
    </row>
    <row r="47" spans="1:8" x14ac:dyDescent="0.35">
      <c r="A47" s="69" t="s">
        <v>46</v>
      </c>
      <c r="B47" s="69"/>
      <c r="C47" s="75" t="str">
        <f>C46</f>
        <v>NRV/A-20201CNMMC16482/119</v>
      </c>
      <c r="D47" s="75"/>
      <c r="E47" s="75"/>
      <c r="F47" s="61" t="s">
        <v>45</v>
      </c>
      <c r="G47" s="87">
        <f>G46</f>
        <v>44208</v>
      </c>
      <c r="H47" s="87"/>
    </row>
    <row r="48" spans="1:8" s="10" customFormat="1" ht="33" customHeight="1" x14ac:dyDescent="0.35">
      <c r="A48" s="75" t="s">
        <v>47</v>
      </c>
      <c r="B48" s="75"/>
      <c r="C48" s="75" t="s">
        <v>218</v>
      </c>
      <c r="D48" s="76"/>
      <c r="E48" s="76"/>
      <c r="F48" s="65" t="s">
        <v>45</v>
      </c>
      <c r="G48" s="87">
        <f>G47</f>
        <v>44208</v>
      </c>
      <c r="H48" s="87"/>
    </row>
    <row r="49" spans="1:14" s="10" customFormat="1" x14ac:dyDescent="0.35">
      <c r="A49" s="75"/>
      <c r="B49" s="75"/>
      <c r="C49" s="93" t="s">
        <v>241</v>
      </c>
      <c r="D49" s="94"/>
      <c r="E49" s="94"/>
      <c r="F49" s="94"/>
      <c r="G49" s="94"/>
      <c r="H49" s="95"/>
    </row>
    <row r="50" spans="1:14" x14ac:dyDescent="0.35">
      <c r="A50" s="96" t="s">
        <v>48</v>
      </c>
      <c r="B50" s="96"/>
      <c r="C50" s="97" t="s">
        <v>143</v>
      </c>
      <c r="D50" s="98"/>
      <c r="E50" s="98" t="s">
        <v>49</v>
      </c>
      <c r="F50" s="62" t="s">
        <v>45</v>
      </c>
      <c r="G50" s="99" t="s">
        <v>30</v>
      </c>
      <c r="H50" s="99"/>
    </row>
    <row r="51" spans="1:14" x14ac:dyDescent="0.35">
      <c r="A51" s="89" t="s">
        <v>51</v>
      </c>
      <c r="B51" s="89"/>
      <c r="C51" s="89"/>
      <c r="D51" s="89"/>
      <c r="E51" s="89"/>
      <c r="F51" s="89"/>
      <c r="G51" s="89"/>
      <c r="H51" s="89"/>
    </row>
    <row r="52" spans="1:14" x14ac:dyDescent="0.35">
      <c r="A52" s="71" t="s">
        <v>125</v>
      </c>
      <c r="B52" s="71"/>
      <c r="C52" s="71"/>
      <c r="D52" s="69">
        <f>E43</f>
        <v>4699.665</v>
      </c>
      <c r="E52" s="69"/>
      <c r="F52" s="69"/>
      <c r="G52" s="69"/>
      <c r="H52" s="69"/>
    </row>
    <row r="53" spans="1:14" x14ac:dyDescent="0.35">
      <c r="A53" s="75" t="s">
        <v>52</v>
      </c>
      <c r="B53" s="76"/>
      <c r="C53" s="76"/>
      <c r="D53" s="76" t="s">
        <v>238</v>
      </c>
      <c r="E53" s="76"/>
      <c r="F53" s="76"/>
      <c r="G53" s="76"/>
      <c r="H53" s="76"/>
      <c r="I53" s="41"/>
    </row>
    <row r="54" spans="1:14" ht="15.75" customHeight="1" x14ac:dyDescent="0.35">
      <c r="A54" s="90" t="s">
        <v>53</v>
      </c>
      <c r="B54" s="91"/>
      <c r="C54" s="92"/>
      <c r="D54" s="76" t="s">
        <v>242</v>
      </c>
      <c r="E54" s="76"/>
      <c r="F54" s="76"/>
      <c r="G54" s="76"/>
      <c r="H54" s="76"/>
    </row>
    <row r="55" spans="1:14" ht="15.75" customHeight="1" x14ac:dyDescent="0.35">
      <c r="A55" s="90" t="s">
        <v>123</v>
      </c>
      <c r="B55" s="91"/>
      <c r="C55" s="91"/>
      <c r="D55" s="76" t="s">
        <v>242</v>
      </c>
      <c r="E55" s="76"/>
      <c r="F55" s="76"/>
      <c r="G55" s="76"/>
      <c r="H55" s="76"/>
    </row>
    <row r="56" spans="1:14" ht="15.75" customHeight="1" x14ac:dyDescent="0.35">
      <c r="A56" s="69" t="s">
        <v>50</v>
      </c>
      <c r="B56" s="69"/>
      <c r="C56" s="69"/>
      <c r="D56" s="71" t="s">
        <v>266</v>
      </c>
      <c r="E56" s="71"/>
      <c r="F56" s="71"/>
      <c r="G56" s="71"/>
      <c r="H56" s="71"/>
      <c r="J56" s="40"/>
      <c r="K56" s="41"/>
      <c r="N56" s="41"/>
    </row>
    <row r="57" spans="1:14" ht="15.75" customHeight="1" x14ac:dyDescent="0.35">
      <c r="A57" s="69" t="s">
        <v>121</v>
      </c>
      <c r="B57" s="69"/>
      <c r="C57" s="69"/>
      <c r="D57" s="107" t="str">
        <f>(IF(G50="NA","60 Years After Completion",IF(G50&lt;&gt;"NA",""&amp;60-ROUNDDOWN((E3-G50)/360,0)&amp;" Years"," ")))</f>
        <v>60 Years After Completion</v>
      </c>
      <c r="E57" s="107"/>
      <c r="F57" s="107"/>
      <c r="G57" s="107"/>
      <c r="H57" s="107"/>
      <c r="N57" s="41"/>
    </row>
    <row r="58" spans="1:14" ht="15.75" customHeight="1" x14ac:dyDescent="0.35">
      <c r="A58" s="69" t="s">
        <v>122</v>
      </c>
      <c r="B58" s="69"/>
      <c r="C58" s="69"/>
      <c r="D58" s="71" t="s">
        <v>24</v>
      </c>
      <c r="E58" s="71"/>
      <c r="F58" s="71"/>
      <c r="G58" s="71"/>
      <c r="H58" s="71"/>
      <c r="J58" s="19"/>
      <c r="K58" s="19"/>
    </row>
    <row r="59" spans="1:14" ht="15.75" customHeight="1" thickBot="1" x14ac:dyDescent="0.4">
      <c r="A59" s="100" t="s">
        <v>120</v>
      </c>
      <c r="B59" s="100"/>
      <c r="C59" s="100"/>
      <c r="D59" s="101" t="str">
        <f ca="1">(IF(G64&gt;95%,"Nothing",IF(G64&gt;0%,"Cement, Aggregate, Steel, etc",IF(G64=0%,"Work not yet Started"))))</f>
        <v>Cement, Aggregate, Steel, etc</v>
      </c>
      <c r="E59" s="101"/>
      <c r="F59" s="101"/>
      <c r="G59" s="101"/>
      <c r="H59" s="101"/>
      <c r="J59" s="19"/>
    </row>
    <row r="60" spans="1:14" ht="15.75" customHeight="1" x14ac:dyDescent="0.35">
      <c r="A60" s="102" t="s">
        <v>179</v>
      </c>
      <c r="B60" s="103"/>
      <c r="C60" s="104" t="str">
        <f>D55</f>
        <v>G/St + 2P + 3rd to 23rd Floor</v>
      </c>
      <c r="D60" s="105"/>
      <c r="E60" s="105"/>
      <c r="F60" s="105"/>
      <c r="G60" s="105"/>
      <c r="H60" s="106"/>
      <c r="I60" s="44" t="str">
        <f ca="1">(IF(E64&gt;99%,"All work completed. Please provide OC.",IF(E64&gt;89.8%,"Plinth, RCC, Brick, Plaster, Flooring, Painting work Completed. Finishing work is in process.",IF(E64&lt;94%,(IF(C64=0,"Work not yet Started.",IF(D64=25%,"Piling work in process",IF(D64=50%,"Excavation work in process",IF(D64=100%,"Excavation work Completed. ","0")))&amp;(IF(C65=0%,"",IF(C65=J66,"Footing work is process",IF(C65=J67,"Footing work Completed",IF(C65=J68,"1st Basement Completed",IF(C65=J69,"1st &amp; 2nd Basement Completed",IF(C65=J70,"1st to 3rd Basement Completed",IF(C65=J71,"1st to 4th Basement Completed",IF(C65=J72,"Plinth work is process",IF(C65=J73,"Plinth work completed","0")))))))))))&amp;(IF(C66=(D61+F61+H61),", RCC Slab",IF(C66&gt;0,", RCC upto "&amp;C66&amp;" Slab",""))&amp;(IF(C67=H61,", Brickwork",IF(C67&gt;0,", Brickwork upto "&amp;C67&amp;" Floor",""))&amp;(IF(C68=H61,", Internal Plaster",IF(C68&gt;0,", Internal Plaster upto "&amp;C68&amp;" Floor",""))&amp;(IF(C69=H61,", External Plaster",IF(C69&gt;0,", External Plaster upto "&amp;C69&amp;" Floor",""))&amp;(IF(C70=H61,", Flooring",IF(C70&gt;0,", Flooring upto "&amp;C70&amp;" Floor",""))&amp;(IF(C71=H61,", Painting",IF(C71&gt;0,", Painting upto "&amp;C71&amp;" Floor",""))&amp;(IF(C72&gt;0,", Finishing upto "&amp;C72&amp;" Floor","")&amp;(IF(C66&gt;0.5," Completed",""))))))))))))))</f>
        <v>Plinth, RCC, Brick, Plaster, Flooring, Painting work Completed. Finishing work is in process.</v>
      </c>
      <c r="J60" s="21"/>
    </row>
    <row r="61" spans="1:14" x14ac:dyDescent="0.35">
      <c r="A61" s="49" t="s">
        <v>181</v>
      </c>
      <c r="B61" s="56">
        <v>0</v>
      </c>
      <c r="C61" s="53" t="s">
        <v>103</v>
      </c>
      <c r="D61" s="53">
        <v>1</v>
      </c>
      <c r="E61" s="53" t="s">
        <v>102</v>
      </c>
      <c r="F61" s="56">
        <v>0</v>
      </c>
      <c r="G61" s="54" t="s">
        <v>114</v>
      </c>
      <c r="H61" s="55">
        <f ca="1">--TRIM(RIGHT(SUBSTITUTE(LEFT(C60,_xlfn.AGGREGATE(16,6,FIND({0,1,2,3,4,5,6,7,8,9},C60,ROW(INDIRECT("1:"&amp;LEN(C60)))),1))," ",REPT(" ",LEN(C60))),LEN(C60)))</f>
        <v>23</v>
      </c>
      <c r="I61" s="19"/>
      <c r="J61" s="22"/>
    </row>
    <row r="62" spans="1:14" ht="34.5" customHeight="1" x14ac:dyDescent="0.35">
      <c r="A62" s="110" t="s">
        <v>124</v>
      </c>
      <c r="B62" s="98"/>
      <c r="C62" s="97" t="str">
        <f ca="1">I60</f>
        <v>Plinth, RCC, Brick, Plaster, Flooring, Painting work Completed. Finishing work is in process.</v>
      </c>
      <c r="D62" s="97"/>
      <c r="E62" s="97"/>
      <c r="F62" s="97"/>
      <c r="G62" s="97"/>
      <c r="H62" s="111"/>
      <c r="I62" s="19" t="s">
        <v>142</v>
      </c>
      <c r="J62" s="22"/>
    </row>
    <row r="63" spans="1:14" ht="15.75" customHeight="1" x14ac:dyDescent="0.35">
      <c r="A63" s="108" t="s">
        <v>54</v>
      </c>
      <c r="B63" s="109"/>
      <c r="C63" s="50" t="s">
        <v>178</v>
      </c>
      <c r="D63" s="50" t="s">
        <v>117</v>
      </c>
      <c r="E63" s="109" t="s">
        <v>119</v>
      </c>
      <c r="F63" s="109"/>
      <c r="G63" s="109" t="s">
        <v>118</v>
      </c>
      <c r="H63" s="112"/>
      <c r="I63" s="39" t="s">
        <v>180</v>
      </c>
      <c r="J63" s="23">
        <f ca="1">H61*25%</f>
        <v>5.75</v>
      </c>
    </row>
    <row r="64" spans="1:14" x14ac:dyDescent="0.35">
      <c r="A64" s="108" t="s">
        <v>167</v>
      </c>
      <c r="B64" s="109"/>
      <c r="C64" s="57">
        <f ca="1">J65</f>
        <v>23</v>
      </c>
      <c r="D64" s="66">
        <f ca="1">((100/H61)*C64)/100</f>
        <v>1</v>
      </c>
      <c r="E64" s="113">
        <f ca="1">(((C65/H61*10)+(40/(D61+F61+H61)*C66)+(7.5/(H61)*C67)+(7.5/(H61)*C68)+(10/H61*C69)+(10/H61*C70)+(5/H61*C71)+(5/H61*C72)+(5/H61*C73))/100)</f>
        <v>0.93695652173913047</v>
      </c>
      <c r="F64" s="113"/>
      <c r="G64" s="113">
        <f ca="1">((((C64/H61)*20)+((C65/H61)*25)+(30/(H61+F61+D61)*C66)+(5/H61*C67)+(5/H61*C68)+(5/H61*C69)+(5/H61*C70)+(0/H61*C71)+(0/H61*C72)+(5/H61*C73))/100)</f>
        <v>0.95</v>
      </c>
      <c r="H64" s="115"/>
      <c r="I64" s="39" t="s">
        <v>137</v>
      </c>
      <c r="J64" s="43">
        <f ca="1">H61*50%</f>
        <v>11.5</v>
      </c>
    </row>
    <row r="65" spans="1:10" x14ac:dyDescent="0.35">
      <c r="A65" s="108" t="s">
        <v>55</v>
      </c>
      <c r="B65" s="109"/>
      <c r="C65" s="58">
        <v>23</v>
      </c>
      <c r="D65" s="66">
        <f ca="1">((100/H61)*C65)/100</f>
        <v>1</v>
      </c>
      <c r="E65" s="113"/>
      <c r="F65" s="113"/>
      <c r="G65" s="113"/>
      <c r="H65" s="115"/>
      <c r="I65" s="39" t="s">
        <v>138</v>
      </c>
      <c r="J65" s="43">
        <f ca="1">H61</f>
        <v>23</v>
      </c>
    </row>
    <row r="66" spans="1:10" ht="15.75" customHeight="1" x14ac:dyDescent="0.35">
      <c r="A66" s="108" t="s">
        <v>168</v>
      </c>
      <c r="B66" s="109"/>
      <c r="C66" s="58">
        <v>24</v>
      </c>
      <c r="D66" s="66">
        <f ca="1">((100/(D61+F61+H61))*C66)/100</f>
        <v>1</v>
      </c>
      <c r="E66" s="113"/>
      <c r="F66" s="113"/>
      <c r="G66" s="113"/>
      <c r="H66" s="115"/>
      <c r="I66" s="39" t="s">
        <v>139</v>
      </c>
      <c r="J66" s="46">
        <f ca="1">(IF(B61&gt;1,(H61/(B61+2)),H61/4))</f>
        <v>5.75</v>
      </c>
    </row>
    <row r="67" spans="1:10" ht="15.75" customHeight="1" x14ac:dyDescent="0.35">
      <c r="A67" s="108" t="s">
        <v>175</v>
      </c>
      <c r="B67" s="109" t="s">
        <v>169</v>
      </c>
      <c r="C67" s="57">
        <v>23</v>
      </c>
      <c r="D67" s="66">
        <f ca="1">((100/H61)*C67)/100</f>
        <v>1</v>
      </c>
      <c r="E67" s="113"/>
      <c r="F67" s="113"/>
      <c r="G67" s="113"/>
      <c r="H67" s="115"/>
      <c r="I67" s="39" t="s">
        <v>140</v>
      </c>
      <c r="J67" s="46">
        <f ca="1">(IF(B61&gt;1,(H61/(B61+2)+J66),H61/4+J66))</f>
        <v>11.5</v>
      </c>
    </row>
    <row r="68" spans="1:10" ht="15.75" customHeight="1" x14ac:dyDescent="0.35">
      <c r="A68" s="108" t="s">
        <v>176</v>
      </c>
      <c r="B68" s="109" t="s">
        <v>169</v>
      </c>
      <c r="C68" s="57">
        <v>23</v>
      </c>
      <c r="D68" s="66">
        <f ca="1">((100/H61)*C68)/100</f>
        <v>1</v>
      </c>
      <c r="E68" s="113"/>
      <c r="F68" s="113"/>
      <c r="G68" s="113"/>
      <c r="H68" s="115"/>
      <c r="I68" s="39" t="s">
        <v>185</v>
      </c>
      <c r="J68" s="46">
        <f>(IF(B61&gt;1,(H61/(B61+2)+J67),0))</f>
        <v>0</v>
      </c>
    </row>
    <row r="69" spans="1:10" ht="15.75" customHeight="1" x14ac:dyDescent="0.35">
      <c r="A69" s="108" t="s">
        <v>174</v>
      </c>
      <c r="B69" s="109" t="s">
        <v>171</v>
      </c>
      <c r="C69" s="57">
        <v>23</v>
      </c>
      <c r="D69" s="66">
        <f ca="1">((100/(H61))*C69)/100</f>
        <v>1</v>
      </c>
      <c r="E69" s="113"/>
      <c r="F69" s="113"/>
      <c r="G69" s="113"/>
      <c r="H69" s="115"/>
      <c r="I69" s="39" t="s">
        <v>182</v>
      </c>
      <c r="J69" s="46">
        <f>(IF(B61&gt;2,(H61/(B61+2)+J68),0))</f>
        <v>0</v>
      </c>
    </row>
    <row r="70" spans="1:10" ht="15.75" customHeight="1" x14ac:dyDescent="0.35">
      <c r="A70" s="108" t="s">
        <v>170</v>
      </c>
      <c r="B70" s="109" t="s">
        <v>170</v>
      </c>
      <c r="C70" s="57">
        <v>23</v>
      </c>
      <c r="D70" s="66">
        <f ca="1">((100/H61)*C70)/100</f>
        <v>1</v>
      </c>
      <c r="E70" s="113"/>
      <c r="F70" s="113"/>
      <c r="G70" s="113"/>
      <c r="H70" s="115"/>
      <c r="I70" s="39" t="s">
        <v>183</v>
      </c>
      <c r="J70" s="47">
        <f>(IF(B61&gt;3,(H61/(B61+2)+J69),0))</f>
        <v>0</v>
      </c>
    </row>
    <row r="71" spans="1:10" ht="15.75" customHeight="1" x14ac:dyDescent="0.35">
      <c r="A71" s="108" t="s">
        <v>177</v>
      </c>
      <c r="B71" s="109"/>
      <c r="C71" s="57">
        <v>23</v>
      </c>
      <c r="D71" s="66">
        <f ca="1">((100/H61)*C71)/100</f>
        <v>1</v>
      </c>
      <c r="E71" s="113"/>
      <c r="F71" s="113"/>
      <c r="G71" s="113"/>
      <c r="H71" s="115"/>
      <c r="I71" s="39" t="s">
        <v>184</v>
      </c>
      <c r="J71" s="46">
        <f>(IF(B61&gt;4,(H61/(B61+2)+J70),0))</f>
        <v>0</v>
      </c>
    </row>
    <row r="72" spans="1:10" ht="15.75" customHeight="1" x14ac:dyDescent="0.35">
      <c r="A72" s="108" t="s">
        <v>172</v>
      </c>
      <c r="B72" s="109" t="s">
        <v>172</v>
      </c>
      <c r="C72" s="57">
        <v>17</v>
      </c>
      <c r="D72" s="66">
        <f ca="1">((100/(H61))*C72)/100</f>
        <v>0.73913043478260865</v>
      </c>
      <c r="E72" s="113"/>
      <c r="F72" s="113"/>
      <c r="G72" s="113"/>
      <c r="H72" s="115"/>
      <c r="I72" s="39" t="s">
        <v>186</v>
      </c>
      <c r="J72" s="46">
        <f ca="1">(IF(B61=1,(H61/(B61+3)+J67),IF(B61=0,(H61/4+J67),IF(B61&gt;1,0))))</f>
        <v>17.25</v>
      </c>
    </row>
    <row r="73" spans="1:10" ht="16" thickBot="1" x14ac:dyDescent="0.4">
      <c r="A73" s="117" t="s">
        <v>173</v>
      </c>
      <c r="B73" s="118"/>
      <c r="C73" s="59">
        <v>0</v>
      </c>
      <c r="D73" s="67">
        <f ca="1">((100/(H61))*C73)/100</f>
        <v>0</v>
      </c>
      <c r="E73" s="114"/>
      <c r="F73" s="114"/>
      <c r="G73" s="114"/>
      <c r="H73" s="116"/>
      <c r="I73" s="45" t="s">
        <v>141</v>
      </c>
      <c r="J73" s="48">
        <f ca="1">(IF(B61&gt;1.5,(H61/(B61+2)+J67+MAX(0,J68-J67)+MAX(0,J69-J68)+MAX(0,J70-J69)+MAX(0,J71-J70)+MAX(0,J72-J71)),IF(B61=1,(H61/(B61+3)+J72),IF(B61=0,H61/4+J72))))</f>
        <v>23</v>
      </c>
    </row>
    <row r="74" spans="1:10" x14ac:dyDescent="0.35">
      <c r="A74" s="120" t="s">
        <v>156</v>
      </c>
      <c r="B74" s="121"/>
      <c r="C74" s="121"/>
      <c r="D74" s="121"/>
      <c r="E74" s="122"/>
      <c r="F74" s="120" t="str">
        <f ca="1">(IF(D59="Nothing","Yes",IF(D59="Cement, Aggregate, Steel, etc","Under Construction",IF(D59="Work not yet Started","Work not yet Started"))))</f>
        <v>Under Construction</v>
      </c>
      <c r="G74" s="121"/>
      <c r="H74" s="122"/>
    </row>
    <row r="75" spans="1:10" x14ac:dyDescent="0.35">
      <c r="A75" s="69" t="s">
        <v>56</v>
      </c>
      <c r="B75" s="69"/>
      <c r="C75" s="69"/>
      <c r="D75" s="69"/>
      <c r="E75" s="69"/>
      <c r="F75" s="69"/>
      <c r="G75" s="69"/>
      <c r="H75" s="69"/>
    </row>
    <row r="76" spans="1:10" ht="15" customHeight="1" x14ac:dyDescent="0.35">
      <c r="A76" s="76" t="s">
        <v>247</v>
      </c>
      <c r="B76" s="76"/>
      <c r="C76" s="75" t="s">
        <v>243</v>
      </c>
      <c r="D76" s="75"/>
      <c r="E76" s="75"/>
      <c r="F76" s="75"/>
      <c r="G76" s="75"/>
      <c r="H76" s="75"/>
    </row>
    <row r="77" spans="1:10" x14ac:dyDescent="0.35">
      <c r="A77" s="77" t="s">
        <v>57</v>
      </c>
      <c r="B77" s="77"/>
      <c r="C77" s="77"/>
      <c r="D77" s="77"/>
      <c r="E77" s="77"/>
      <c r="F77" s="77"/>
      <c r="G77" s="77"/>
      <c r="H77" s="77"/>
    </row>
    <row r="78" spans="1:10" x14ac:dyDescent="0.35">
      <c r="A78" s="69" t="s">
        <v>249</v>
      </c>
      <c r="B78" s="69"/>
      <c r="C78" s="69"/>
      <c r="D78" s="69"/>
      <c r="E78" s="69"/>
      <c r="F78" s="119">
        <v>12000</v>
      </c>
      <c r="G78" s="98"/>
      <c r="H78" s="98"/>
    </row>
    <row r="79" spans="1:10" hidden="1" x14ac:dyDescent="0.35">
      <c r="A79" s="69" t="s">
        <v>112</v>
      </c>
      <c r="B79" s="69"/>
      <c r="C79" s="69"/>
      <c r="D79" s="69"/>
      <c r="E79" s="69"/>
      <c r="F79" s="76"/>
      <c r="G79" s="76"/>
      <c r="H79" s="76"/>
    </row>
    <row r="80" spans="1:10" hidden="1" x14ac:dyDescent="0.35">
      <c r="A80" s="69" t="s">
        <v>113</v>
      </c>
      <c r="B80" s="69"/>
      <c r="C80" s="69"/>
      <c r="D80" s="69"/>
      <c r="E80" s="69"/>
      <c r="F80" s="76"/>
      <c r="G80" s="76"/>
      <c r="H80" s="76"/>
    </row>
    <row r="81" spans="1:9" s="12" customFormat="1" hidden="1" x14ac:dyDescent="0.3">
      <c r="A81" s="69" t="s">
        <v>129</v>
      </c>
      <c r="B81" s="69"/>
      <c r="C81" s="69"/>
      <c r="D81" s="69"/>
      <c r="E81" s="69"/>
      <c r="F81" s="76" t="s">
        <v>30</v>
      </c>
      <c r="G81" s="76"/>
      <c r="H81" s="76"/>
    </row>
    <row r="82" spans="1:9" s="12" customFormat="1" x14ac:dyDescent="0.3">
      <c r="A82" s="69" t="s">
        <v>130</v>
      </c>
      <c r="B82" s="69"/>
      <c r="C82" s="69"/>
      <c r="D82" s="69"/>
      <c r="E82" s="69"/>
      <c r="F82" s="76">
        <v>300000</v>
      </c>
      <c r="G82" s="76"/>
      <c r="H82" s="76"/>
      <c r="I82" s="12" t="s">
        <v>259</v>
      </c>
    </row>
    <row r="83" spans="1:9" s="12" customFormat="1" hidden="1" x14ac:dyDescent="0.3">
      <c r="A83" s="69" t="s">
        <v>131</v>
      </c>
      <c r="B83" s="69"/>
      <c r="C83" s="69"/>
      <c r="D83" s="69"/>
      <c r="E83" s="69"/>
      <c r="F83" s="76" t="s">
        <v>30</v>
      </c>
      <c r="G83" s="76"/>
      <c r="H83" s="76"/>
    </row>
    <row r="84" spans="1:9" s="12" customFormat="1" hidden="1" x14ac:dyDescent="0.3">
      <c r="A84" s="69" t="s">
        <v>258</v>
      </c>
      <c r="B84" s="69"/>
      <c r="C84" s="69"/>
      <c r="D84" s="69"/>
      <c r="E84" s="69"/>
      <c r="F84" s="76">
        <v>15000</v>
      </c>
      <c r="G84" s="76"/>
      <c r="H84" s="76"/>
    </row>
    <row r="85" spans="1:9" s="12" customFormat="1" hidden="1" x14ac:dyDescent="0.3">
      <c r="A85" s="69" t="s">
        <v>133</v>
      </c>
      <c r="B85" s="69"/>
      <c r="C85" s="69"/>
      <c r="D85" s="69"/>
      <c r="E85" s="69"/>
      <c r="F85" s="76" t="s">
        <v>30</v>
      </c>
      <c r="G85" s="76"/>
      <c r="H85" s="76"/>
    </row>
    <row r="86" spans="1:9" s="12" customFormat="1" x14ac:dyDescent="0.3">
      <c r="A86" s="69" t="s">
        <v>257</v>
      </c>
      <c r="B86" s="69"/>
      <c r="C86" s="69"/>
      <c r="D86" s="69"/>
      <c r="E86" s="69"/>
      <c r="F86" s="76">
        <v>250000</v>
      </c>
      <c r="G86" s="76"/>
      <c r="H86" s="76"/>
    </row>
    <row r="87" spans="1:9" s="12" customFormat="1" x14ac:dyDescent="0.3">
      <c r="A87" s="69" t="s">
        <v>135</v>
      </c>
      <c r="B87" s="69"/>
      <c r="C87" s="69"/>
      <c r="D87" s="69"/>
      <c r="E87" s="69"/>
      <c r="F87" s="76">
        <v>250000</v>
      </c>
      <c r="G87" s="76"/>
      <c r="H87" s="76"/>
    </row>
    <row r="88" spans="1:9" s="12" customFormat="1" hidden="1" x14ac:dyDescent="0.3">
      <c r="A88" s="69" t="s">
        <v>136</v>
      </c>
      <c r="B88" s="69"/>
      <c r="C88" s="69"/>
      <c r="D88" s="69"/>
      <c r="E88" s="69"/>
      <c r="F88" s="76" t="s">
        <v>30</v>
      </c>
      <c r="G88" s="76"/>
      <c r="H88" s="76"/>
    </row>
    <row r="89" spans="1:9" x14ac:dyDescent="0.35">
      <c r="A89" s="69" t="s">
        <v>58</v>
      </c>
      <c r="B89" s="69"/>
      <c r="C89" s="69"/>
      <c r="D89" s="69"/>
      <c r="E89" s="69"/>
      <c r="F89" s="75" t="s">
        <v>251</v>
      </c>
      <c r="G89" s="75"/>
      <c r="H89" s="75"/>
    </row>
    <row r="90" spans="1:9" s="9" customFormat="1" x14ac:dyDescent="0.35">
      <c r="A90" s="77" t="s">
        <v>59</v>
      </c>
      <c r="B90" s="77"/>
      <c r="C90" s="77"/>
      <c r="D90" s="77"/>
      <c r="E90" s="77"/>
      <c r="F90" s="76">
        <f>F78*0.8</f>
        <v>9600</v>
      </c>
      <c r="G90" s="76"/>
      <c r="H90" s="76"/>
    </row>
    <row r="91" spans="1:9" s="1" customFormat="1" x14ac:dyDescent="0.35">
      <c r="A91" s="123" t="s">
        <v>101</v>
      </c>
      <c r="B91" s="123"/>
      <c r="C91" s="123"/>
      <c r="D91" s="123"/>
      <c r="E91" s="123"/>
      <c r="F91" s="123"/>
      <c r="G91" s="123"/>
      <c r="H91" s="123"/>
    </row>
    <row r="92" spans="1:9" s="1" customFormat="1" ht="15.75" customHeight="1" x14ac:dyDescent="0.35">
      <c r="A92" s="124" t="s">
        <v>60</v>
      </c>
      <c r="B92" s="124"/>
      <c r="C92" s="125" t="s">
        <v>109</v>
      </c>
      <c r="D92" s="125"/>
      <c r="E92" s="126" t="s">
        <v>61</v>
      </c>
      <c r="F92" s="126"/>
      <c r="G92" s="124" t="s">
        <v>62</v>
      </c>
      <c r="H92" s="124"/>
    </row>
    <row r="93" spans="1:9" s="1" customFormat="1" x14ac:dyDescent="0.35">
      <c r="A93" s="130" t="s">
        <v>237</v>
      </c>
      <c r="B93" s="130"/>
      <c r="C93" s="131">
        <f>COUNT(D101:D107)+COUNT(D109:D115)*3+COUNT(D117:D123)*3+COUNT(D125:D131)*3+COUNT(D133:D139)+COUNT(D141:D147)+COUNT(D149:D155)*3+COUNT(D157:D163)+COUNT(D165:D171)+COUNT(D173:D179)+COUNT(D181:D187)+COUNT(D189:D195)+COUNT(D197:D200)</f>
        <v>144</v>
      </c>
      <c r="D93" s="131"/>
      <c r="E93" s="132">
        <f>SUM(D101:D107)+SUM(D109:D115)*3+SUM(D117:D123)*3+SUM(D125:D131)*3+SUM(D133:D139)+SUM(D141:D147)+SUM(D149:D155)*3+SUM(D157:D163)+SUM(D165:D171)+SUM(D173:D179)+SUM(D181:D187)+SUM(D189:D195)+SUM(D197:D200)</f>
        <v>57858.676480800001</v>
      </c>
      <c r="F93" s="132"/>
      <c r="G93" s="132">
        <f>SUM(F101:F107)+SUM(F109:F115)*3+SUM(F117:F123)*3+SUM(F125:F131)*3+SUM(F133:F139)+SUM(F141:F147)+SUM(F149:F155)*3+SUM(F157:F163)+SUM(F165:F171)+SUM(F173:F179)+SUM(F181:F187)+SUM(F189:F195)+SUM(F197:F200)</f>
        <v>125857.597152256</v>
      </c>
      <c r="H93" s="132"/>
    </row>
    <row r="94" spans="1:9" s="9" customFormat="1" x14ac:dyDescent="0.35">
      <c r="A94" s="73" t="s">
        <v>65</v>
      </c>
      <c r="B94" s="73"/>
      <c r="C94" s="73"/>
      <c r="D94" s="73"/>
      <c r="E94" s="73"/>
      <c r="F94" s="73"/>
      <c r="G94" s="73"/>
      <c r="H94" s="73"/>
    </row>
    <row r="95" spans="1:9" x14ac:dyDescent="0.35">
      <c r="A95" s="73" t="s">
        <v>66</v>
      </c>
      <c r="B95" s="73"/>
      <c r="C95" s="73"/>
      <c r="D95" s="73"/>
      <c r="E95" s="73"/>
      <c r="F95" s="73"/>
      <c r="G95" s="73"/>
      <c r="H95" s="73"/>
    </row>
    <row r="96" spans="1:9" ht="47.25" customHeight="1" x14ac:dyDescent="0.35">
      <c r="A96" s="63" t="s">
        <v>158</v>
      </c>
      <c r="B96" s="63" t="s">
        <v>248</v>
      </c>
      <c r="C96" s="38" t="s">
        <v>67</v>
      </c>
      <c r="D96" s="38" t="s">
        <v>68</v>
      </c>
      <c r="E96" s="64" t="s">
        <v>69</v>
      </c>
      <c r="F96" s="38" t="s">
        <v>252</v>
      </c>
      <c r="G96" s="128" t="s">
        <v>70</v>
      </c>
      <c r="H96" s="129"/>
      <c r="I96" s="37"/>
    </row>
    <row r="97" spans="1:16" x14ac:dyDescent="0.35">
      <c r="A97" s="73" t="s">
        <v>196</v>
      </c>
      <c r="B97" s="73"/>
      <c r="C97" s="73"/>
      <c r="D97" s="73"/>
      <c r="E97" s="73"/>
      <c r="F97" s="73"/>
      <c r="G97" s="73"/>
      <c r="H97" s="73"/>
    </row>
    <row r="98" spans="1:16" x14ac:dyDescent="0.35">
      <c r="A98" s="73" t="s">
        <v>244</v>
      </c>
      <c r="B98" s="73"/>
      <c r="C98" s="73"/>
      <c r="D98" s="73"/>
      <c r="E98" s="73"/>
      <c r="F98" s="73"/>
      <c r="G98" s="73"/>
      <c r="H98" s="73"/>
    </row>
    <row r="99" spans="1:16" x14ac:dyDescent="0.35">
      <c r="A99" s="73" t="s">
        <v>245</v>
      </c>
      <c r="B99" s="73"/>
      <c r="C99" s="73"/>
      <c r="D99" s="73"/>
      <c r="E99" s="73"/>
      <c r="F99" s="73"/>
      <c r="G99" s="73"/>
      <c r="H99" s="73"/>
    </row>
    <row r="100" spans="1:16" s="2" customFormat="1" x14ac:dyDescent="0.35">
      <c r="A100" s="139" t="s">
        <v>197</v>
      </c>
      <c r="B100" s="139"/>
      <c r="C100" s="139"/>
      <c r="D100" s="139"/>
      <c r="E100" s="139"/>
      <c r="F100" s="139"/>
      <c r="G100" s="139"/>
      <c r="H100" s="139"/>
      <c r="I100" s="37"/>
      <c r="L100" s="127"/>
      <c r="M100" s="127"/>
    </row>
    <row r="101" spans="1:16" s="2" customFormat="1" ht="15.75" customHeight="1" x14ac:dyDescent="0.35">
      <c r="A101" s="143">
        <f>LEFT(A100,SUM(LEN(A100)-LEN(SUBSTITUTE(A100,{"0","1","2","3","4","5","6","7","8","9"},""))))*100+1</f>
        <v>301</v>
      </c>
      <c r="B101" s="144"/>
      <c r="C101" s="20" t="s">
        <v>202</v>
      </c>
      <c r="D101" s="20">
        <f>(34.737+2.65*0.6+2.8*0.6+2.45*0.6+1.806*0.6)*10.764</f>
        <v>436.5942983999999</v>
      </c>
      <c r="E101" s="20">
        <f>88.82*10.764</f>
        <v>956.05847999999992</v>
      </c>
      <c r="F101" s="20">
        <v>1873</v>
      </c>
      <c r="G101" s="133" t="str">
        <f>A100</f>
        <v>3rd Floor for Residential</v>
      </c>
      <c r="H101" s="134"/>
      <c r="I101" s="37"/>
      <c r="N101" s="37"/>
    </row>
    <row r="102" spans="1:16" s="2" customFormat="1" ht="15.75" customHeight="1" x14ac:dyDescent="0.35">
      <c r="A102" s="143">
        <f>A101+1</f>
        <v>302</v>
      </c>
      <c r="B102" s="144" t="s">
        <v>200</v>
      </c>
      <c r="C102" s="20" t="s">
        <v>250</v>
      </c>
      <c r="D102" s="20">
        <f>(29.514+3*0.6+2.45*0.55+2.2*0.6+1.8*0.6)*10.764</f>
        <v>377.40198600000002</v>
      </c>
      <c r="E102" s="20">
        <f>80.705*10.764</f>
        <v>868.70861999999988</v>
      </c>
      <c r="F102" s="20">
        <v>1695</v>
      </c>
      <c r="G102" s="135"/>
      <c r="H102" s="136"/>
      <c r="I102" s="37"/>
      <c r="N102" s="37"/>
    </row>
    <row r="103" spans="1:16" s="2" customFormat="1" ht="15.75" customHeight="1" x14ac:dyDescent="0.35">
      <c r="A103" s="143">
        <f>A102+1</f>
        <v>303</v>
      </c>
      <c r="B103" s="144" t="s">
        <v>200</v>
      </c>
      <c r="C103" s="20" t="s">
        <v>250</v>
      </c>
      <c r="D103" s="20">
        <f>(29.514+3*0.6+2.45*0.55+2.2*0.6+1.8*0.6)*10.764</f>
        <v>377.40198600000002</v>
      </c>
      <c r="E103" s="20">
        <f>80.705*10.764</f>
        <v>868.70861999999988</v>
      </c>
      <c r="F103" s="20">
        <v>1695</v>
      </c>
      <c r="G103" s="135"/>
      <c r="H103" s="136"/>
      <c r="I103" s="37"/>
      <c r="N103" s="37"/>
    </row>
    <row r="104" spans="1:16" s="2" customFormat="1" ht="15.75" customHeight="1" x14ac:dyDescent="0.35">
      <c r="A104" s="143">
        <f t="shared" ref="A104:A107" si="0">A103+1</f>
        <v>304</v>
      </c>
      <c r="B104" s="144" t="s">
        <v>200</v>
      </c>
      <c r="C104" s="20" t="s">
        <v>202</v>
      </c>
      <c r="D104" s="20">
        <f>(34.737+2.65*0.6+2.8*0.6+2.45*0.6+1.805*0.6)*10.764</f>
        <v>436.58783999999991</v>
      </c>
      <c r="E104" s="20">
        <f>88.82*10.764</f>
        <v>956.05847999999992</v>
      </c>
      <c r="F104" s="20">
        <v>1873</v>
      </c>
      <c r="G104" s="135"/>
      <c r="H104" s="136"/>
      <c r="I104" s="37"/>
      <c r="N104" s="37"/>
    </row>
    <row r="105" spans="1:16" s="2" customFormat="1" ht="15.75" customHeight="1" x14ac:dyDescent="0.35">
      <c r="A105" s="143">
        <f t="shared" si="0"/>
        <v>305</v>
      </c>
      <c r="B105" s="144" t="s">
        <v>199</v>
      </c>
      <c r="C105" s="20" t="s">
        <v>201</v>
      </c>
      <c r="D105" s="20">
        <f>(27.883+3*0.6+2.75*0.6+2.7*0.6+2.7*0.6+2.4*0.6)*10.764</f>
        <v>387.64393199999989</v>
      </c>
      <c r="E105" s="20">
        <f>(2.65*1.5)*10.764</f>
        <v>42.786899999999996</v>
      </c>
      <c r="F105" s="20">
        <v>774</v>
      </c>
      <c r="G105" s="135"/>
      <c r="H105" s="136"/>
      <c r="I105" s="37"/>
      <c r="N105" s="37"/>
    </row>
    <row r="106" spans="1:16" s="2" customFormat="1" ht="15.75" customHeight="1" x14ac:dyDescent="0.35">
      <c r="A106" s="143">
        <f t="shared" si="0"/>
        <v>306</v>
      </c>
      <c r="B106" s="144" t="s">
        <v>200</v>
      </c>
      <c r="C106" s="20" t="s">
        <v>201</v>
      </c>
      <c r="D106" s="20">
        <f>(27.924+3*0.6+3*0.6+2.2*0.6+3*0.6+2.45*0.6)*10.764</f>
        <v>388.73109599999992</v>
      </c>
      <c r="E106" s="20">
        <f>(3*1.5)*10.764</f>
        <v>48.437999999999995</v>
      </c>
      <c r="F106" s="20">
        <v>773</v>
      </c>
      <c r="G106" s="135"/>
      <c r="H106" s="136"/>
      <c r="I106" s="37"/>
      <c r="N106" s="37"/>
    </row>
    <row r="107" spans="1:16" s="2" customFormat="1" ht="15.75" customHeight="1" x14ac:dyDescent="0.35">
      <c r="A107" s="143">
        <f t="shared" si="0"/>
        <v>307</v>
      </c>
      <c r="B107" s="144" t="s">
        <v>200</v>
      </c>
      <c r="C107" s="20" t="s">
        <v>201</v>
      </c>
      <c r="D107" s="20">
        <f>(27.883+3*0.6+2.75*0.6+2.7*0.6+2.7*0.6+2.4*0.6)*10.764</f>
        <v>387.64393199999989</v>
      </c>
      <c r="E107" s="20">
        <f>(2.65*1.5)*10.764</f>
        <v>42.786899999999996</v>
      </c>
      <c r="F107" s="20">
        <v>773</v>
      </c>
      <c r="G107" s="137"/>
      <c r="H107" s="138"/>
      <c r="I107" s="37"/>
      <c r="N107" s="37"/>
    </row>
    <row r="108" spans="1:16" s="2" customFormat="1" ht="15.75" customHeight="1" x14ac:dyDescent="0.35">
      <c r="A108" s="140" t="s">
        <v>204</v>
      </c>
      <c r="B108" s="141"/>
      <c r="C108" s="141"/>
      <c r="D108" s="141"/>
      <c r="E108" s="141"/>
      <c r="F108" s="141"/>
      <c r="G108" s="141"/>
      <c r="H108" s="142"/>
      <c r="I108" s="37"/>
    </row>
    <row r="109" spans="1:16" s="2" customFormat="1" ht="15.75" customHeight="1" x14ac:dyDescent="0.35">
      <c r="A109" s="143" t="str">
        <f t="shared" ref="A109:A115" ca="1" si="1">N109</f>
        <v>401,..,1601</v>
      </c>
      <c r="B109" s="144" t="s">
        <v>200</v>
      </c>
      <c r="C109" s="20" t="s">
        <v>202</v>
      </c>
      <c r="D109" s="20">
        <f>(33.283+2.65*0.6+2.8*0.6+2.45*0.6+1.805*0.6+3*0.6+1.95*0.6)*10.764</f>
        <v>452.90606399999996</v>
      </c>
      <c r="E109" s="20">
        <f>(2.5*1.5)*10.764</f>
        <v>40.364999999999995</v>
      </c>
      <c r="F109" s="20">
        <v>957</v>
      </c>
      <c r="G109" s="133" t="str">
        <f>A108</f>
        <v xml:space="preserve">4th, 12th, 16th Floor </v>
      </c>
      <c r="H109" s="134"/>
      <c r="I109" s="37">
        <f>11500000/F109</f>
        <v>12016.718913270637</v>
      </c>
      <c r="N109" s="2" t="str">
        <f t="shared" ref="N109:N115" ca="1" si="2">O109&amp;""&amp;",..,"&amp;""&amp;P109</f>
        <v>401,..,1601</v>
      </c>
      <c r="O109" s="2">
        <f ca="1">(SUMPRODUCT(MID(0&amp;(LEFT(A108,SUM(LEN(A108)-LEN(SUBSTITUTE(A108,{"0","1","2"},""))))), LARGE(INDEX(ISNUMBER(--MID((LEFT(A108,SUM(LEN(A108)-LEN(SUBSTITUTE(A108,{"0","1","2"},""))))), ROW(INDIRECT("1:"&amp;LEN((LEFT(A108,SUM(LEN(A108)-LEN(SUBSTITUTE(A108,{"0","1","2"},"")))))))), 1)) * ROW(INDIRECT("1:"&amp;LEN((LEFT(A108,SUM(LEN(A108)-LEN(SUBSTITUTE(A108,{"0","1","2"},"")))))))), 0), ROW(INDIRECT("1:"&amp;LEN((LEFT(A108,SUM(LEN(A108)-LEN(SUBSTITUTE(A108,{"0","1","2"},"")))))))))+1, 1) * 10^ROW(INDIRECT("1:"&amp;LEN((LEFT(A108,SUM(LEN(A108)-LEN(SUBSTITUTE(A108,{"0","1","2"},""))))))))/10))*100+1</f>
        <v>401</v>
      </c>
      <c r="P109" s="2">
        <f ca="1">(SUMPRODUCT(MID(0&amp;(--TRIM(RIGHT(SUBSTITUTE(LEFT(A108,_xlfn.AGGREGATE(16,6,FIND({0,1,2,3,4,5,6,7,8,9},A108,ROW(INDIRECT("1:"&amp;LEN(A108)))),1))," ",REPT(" ",LEN(A108))),LEN(A108)))), LARGE(INDEX(ISNUMBER(--MID((--TRIM(RIGHT(SUBSTITUTE(LEFT(A108,_xlfn.AGGREGATE(16,6,FIND({0,1,2,3,4,5,6,7,8,9},A108,ROW(INDIRECT("1:"&amp;LEN(A108)))),1))," ",REPT(" ",LEN(A108))),LEN(A108)))), ROW(INDIRECT("1:"&amp;LEN((--TRIM(RIGHT(SUBSTITUTE(LEFT(A108,_xlfn.AGGREGATE(16,6,FIND({0,1,2,3,4,5,6,7,8,9},A108,ROW(INDIRECT("1:"&amp;LEN(A108)))),1))," ",REPT(" ",LEN(A108))),LEN(A108))))))), 1)) * ROW(INDIRECT("1:"&amp;LEN((--TRIM(RIGHT(SUBSTITUTE(LEFT(A108,_xlfn.AGGREGATE(16,6,FIND({0,1,2,3,4,5,6,7,8,9},A108,ROW(INDIRECT("1:"&amp;LEN(A108)))),1))," ",REPT(" ",LEN(A108))),LEN(A108))))))), 0), ROW(INDIRECT("1:"&amp;LEN((--TRIM(RIGHT(SUBSTITUTE(LEFT(A108,_xlfn.AGGREGATE(16,6,FIND({0,1,2,3,4,5,6,7,8,9},A108,ROW(INDIRECT("1:"&amp;LEN(A108)))),1))," ",REPT(" ",LEN(A108))),LEN(A108))))))))+1, 1) * 10^ROW(INDIRECT("1:"&amp;LEN((--TRIM(RIGHT(SUBSTITUTE(LEFT(A108,_xlfn.AGGREGATE(16,6,FIND({0,1,2,3,4,5,6,7,8,9},A108,ROW(INDIRECT("1:"&amp;LEN(A108)))),1))," ",REPT(" ",LEN(A108))),LEN(A108)))))))/10))*100+1</f>
        <v>1601</v>
      </c>
    </row>
    <row r="110" spans="1:16" s="2" customFormat="1" ht="15.75" customHeight="1" x14ac:dyDescent="0.35">
      <c r="A110" s="143" t="str">
        <f t="shared" ca="1" si="1"/>
        <v>402,..,1602</v>
      </c>
      <c r="B110" s="144" t="s">
        <v>200</v>
      </c>
      <c r="C110" s="20" t="s">
        <v>201</v>
      </c>
      <c r="D110" s="20">
        <f>(26.484+3*0.6+2.45*0.55+1.8*0.6+2.2*0.6+1.85*0.6)*10.764</f>
        <v>356.73510599999997</v>
      </c>
      <c r="E110" s="20">
        <f>(2.4*1.5+2.55*2.5)*10.764</f>
        <v>107.37089999999999</v>
      </c>
      <c r="F110" s="20">
        <v>818</v>
      </c>
      <c r="G110" s="135"/>
      <c r="H110" s="136"/>
      <c r="I110" s="37">
        <f>9200000/F110</f>
        <v>11246.943765281174</v>
      </c>
      <c r="N110" s="2" t="str">
        <f t="shared" ca="1" si="2"/>
        <v>402,..,1602</v>
      </c>
      <c r="O110" s="2">
        <f t="shared" ref="O110:P115" ca="1" si="3">O109+1</f>
        <v>402</v>
      </c>
      <c r="P110" s="2">
        <f t="shared" ca="1" si="3"/>
        <v>1602</v>
      </c>
    </row>
    <row r="111" spans="1:16" s="2" customFormat="1" ht="15.75" customHeight="1" x14ac:dyDescent="0.35">
      <c r="A111" s="143" t="str">
        <f t="shared" ca="1" si="1"/>
        <v>403,..,1603</v>
      </c>
      <c r="B111" s="144" t="s">
        <v>200</v>
      </c>
      <c r="C111" s="20" t="s">
        <v>201</v>
      </c>
      <c r="D111" s="20">
        <f>(26.484+3*0.6+2.45*0.55+1.8*0.6+2.2*0.6+1.85*0.6)*10.764</f>
        <v>356.73510599999997</v>
      </c>
      <c r="E111" s="20">
        <f>(2.4*1.5+2.55*2.5)*10.764</f>
        <v>107.37089999999999</v>
      </c>
      <c r="F111" s="20">
        <v>818</v>
      </c>
      <c r="G111" s="135"/>
      <c r="H111" s="136"/>
      <c r="I111" s="37">
        <f>9200000/F111</f>
        <v>11246.943765281174</v>
      </c>
      <c r="N111" s="2" t="str">
        <f t="shared" ca="1" si="2"/>
        <v>403,..,1603</v>
      </c>
      <c r="O111" s="2">
        <f t="shared" ca="1" si="3"/>
        <v>403</v>
      </c>
      <c r="P111" s="2">
        <f t="shared" ca="1" si="3"/>
        <v>1603</v>
      </c>
    </row>
    <row r="112" spans="1:16" s="2" customFormat="1" ht="15.75" customHeight="1" x14ac:dyDescent="0.35">
      <c r="A112" s="143" t="str">
        <f t="shared" ca="1" si="1"/>
        <v>404,..,1604</v>
      </c>
      <c r="B112" s="144" t="s">
        <v>200</v>
      </c>
      <c r="C112" s="20" t="s">
        <v>202</v>
      </c>
      <c r="D112" s="20">
        <f>(33.283+2.65*0.6+2.8*0.6+2.45*0.6+1.805*0.6+1.95*0.6+2.4*0.6)*10.764</f>
        <v>449.031024</v>
      </c>
      <c r="E112" s="20">
        <f>(2.5*1.5)*10.764</f>
        <v>40.364999999999995</v>
      </c>
      <c r="F112" s="20">
        <v>957</v>
      </c>
      <c r="G112" s="135"/>
      <c r="H112" s="136"/>
      <c r="I112" s="37">
        <f>11500000/F112</f>
        <v>12016.718913270637</v>
      </c>
      <c r="N112" s="2" t="str">
        <f t="shared" ca="1" si="2"/>
        <v>404,..,1604</v>
      </c>
      <c r="O112" s="2">
        <f t="shared" ca="1" si="3"/>
        <v>404</v>
      </c>
      <c r="P112" s="2">
        <f t="shared" ca="1" si="3"/>
        <v>1604</v>
      </c>
    </row>
    <row r="113" spans="1:16" s="2" customFormat="1" ht="15.75" customHeight="1" x14ac:dyDescent="0.35">
      <c r="A113" s="143" t="str">
        <f t="shared" ca="1" si="1"/>
        <v>405,..,1605</v>
      </c>
      <c r="B113" s="144" t="s">
        <v>199</v>
      </c>
      <c r="C113" s="20" t="s">
        <v>201</v>
      </c>
      <c r="D113" s="20">
        <f>(27.883+3*0.6+2.75*0.6+2.7*0.6+2.65*0.6+2.4*0.6)*10.764</f>
        <v>387.32101199999988</v>
      </c>
      <c r="E113" s="20">
        <f>(2.7*1.5)*10.764</f>
        <v>43.594200000000008</v>
      </c>
      <c r="F113" s="20">
        <v>773</v>
      </c>
      <c r="G113" s="135"/>
      <c r="H113" s="136"/>
      <c r="I113" s="37">
        <f t="shared" ref="I113:I115" si="4">9200000/F113</f>
        <v>11901.681759379042</v>
      </c>
      <c r="N113" s="2" t="str">
        <f t="shared" ca="1" si="2"/>
        <v>405,..,1605</v>
      </c>
      <c r="O113" s="2">
        <f t="shared" ca="1" si="3"/>
        <v>405</v>
      </c>
      <c r="P113" s="2">
        <f t="shared" ca="1" si="3"/>
        <v>1605</v>
      </c>
    </row>
    <row r="114" spans="1:16" s="2" customFormat="1" ht="15.75" customHeight="1" x14ac:dyDescent="0.35">
      <c r="A114" s="143" t="str">
        <f t="shared" ca="1" si="1"/>
        <v>406,..,1606</v>
      </c>
      <c r="B114" s="144" t="s">
        <v>199</v>
      </c>
      <c r="C114" s="20" t="s">
        <v>201</v>
      </c>
      <c r="D114" s="20">
        <f>(27.924+3*0.6+3*0.6+2.2*0.6+3*0.6+2.45*0.6)*10.764</f>
        <v>388.73109599999992</v>
      </c>
      <c r="E114" s="20">
        <f>(3*1.5)*10.764</f>
        <v>48.437999999999995</v>
      </c>
      <c r="F114" s="20">
        <v>773</v>
      </c>
      <c r="G114" s="135"/>
      <c r="H114" s="136"/>
      <c r="I114" s="37">
        <f t="shared" si="4"/>
        <v>11901.681759379042</v>
      </c>
      <c r="N114" s="2" t="str">
        <f t="shared" ca="1" si="2"/>
        <v>406,..,1606</v>
      </c>
      <c r="O114" s="2">
        <f t="shared" ca="1" si="3"/>
        <v>406</v>
      </c>
      <c r="P114" s="2">
        <f t="shared" ca="1" si="3"/>
        <v>1606</v>
      </c>
    </row>
    <row r="115" spans="1:16" s="2" customFormat="1" ht="15.75" customHeight="1" x14ac:dyDescent="0.35">
      <c r="A115" s="143" t="str">
        <f t="shared" ca="1" si="1"/>
        <v>407,..,1607</v>
      </c>
      <c r="B115" s="144" t="s">
        <v>199</v>
      </c>
      <c r="C115" s="20" t="s">
        <v>201</v>
      </c>
      <c r="D115" s="20">
        <f>(27.883+3*0.6+2.75*0.6+2.7*0.8+2.65*0.6+2.4+0.6)*10.764</f>
        <v>409.92541199999994</v>
      </c>
      <c r="E115" s="20">
        <f>(2.7*1.5)*10.764</f>
        <v>43.594200000000008</v>
      </c>
      <c r="F115" s="20">
        <f>D115*1.88+E115</f>
        <v>814.25397455999985</v>
      </c>
      <c r="G115" s="137"/>
      <c r="H115" s="138"/>
      <c r="I115" s="37">
        <f t="shared" si="4"/>
        <v>11298.686021116966</v>
      </c>
      <c r="N115" s="2" t="str">
        <f t="shared" ca="1" si="2"/>
        <v>407,..,1607</v>
      </c>
      <c r="O115" s="2">
        <f t="shared" ca="1" si="3"/>
        <v>407</v>
      </c>
      <c r="P115" s="2">
        <f t="shared" ca="1" si="3"/>
        <v>1607</v>
      </c>
    </row>
    <row r="116" spans="1:16" s="2" customFormat="1" ht="15.75" customHeight="1" x14ac:dyDescent="0.35">
      <c r="A116" s="140" t="s">
        <v>205</v>
      </c>
      <c r="B116" s="141"/>
      <c r="C116" s="141"/>
      <c r="D116" s="141"/>
      <c r="E116" s="141"/>
      <c r="F116" s="141"/>
      <c r="G116" s="141"/>
      <c r="H116" s="142"/>
      <c r="I116" s="37"/>
    </row>
    <row r="117" spans="1:16" s="2" customFormat="1" ht="15.75" customHeight="1" x14ac:dyDescent="0.35">
      <c r="A117" s="143" t="str">
        <f t="shared" ref="A117:A123" ca="1" si="5">N117</f>
        <v>501,..,1701</v>
      </c>
      <c r="B117" s="144" t="s">
        <v>200</v>
      </c>
      <c r="C117" s="20" t="s">
        <v>202</v>
      </c>
      <c r="D117" s="20">
        <f>(31.693+2.65*0.6+2.8*0.6+2.45*0.6+1.806*0.6+2.4*0.6+1.95*0.6)*10.764</f>
        <v>431.92272239999994</v>
      </c>
      <c r="E117" s="20">
        <f>(2.2*2.5+3*1.5)*10.764</f>
        <v>107.63999999999999</v>
      </c>
      <c r="F117" s="20">
        <v>1016</v>
      </c>
      <c r="G117" s="133" t="str">
        <f>A116</f>
        <v xml:space="preserve">5th, 9th, 17th Floor </v>
      </c>
      <c r="H117" s="134"/>
      <c r="I117" s="37">
        <f>12500000/F117</f>
        <v>12303.149606299212</v>
      </c>
      <c r="N117" s="2" t="str">
        <f t="shared" ref="N117:N123" ca="1" si="6">O117&amp;""&amp;",..,"&amp;""&amp;P117</f>
        <v>501,..,1701</v>
      </c>
      <c r="O117" s="2">
        <f ca="1">(SUMPRODUCT(MID(0&amp;(LEFT(A116,SUM(LEN(A116)-LEN(SUBSTITUTE(A116,{"0","1","2"},""))))), LARGE(INDEX(ISNUMBER(--MID((LEFT(A116,SUM(LEN(A116)-LEN(SUBSTITUTE(A116,{"0","1","2"},""))))), ROW(INDIRECT("1:"&amp;LEN((LEFT(A116,SUM(LEN(A116)-LEN(SUBSTITUTE(A116,{"0","1","2"},"")))))))), 1)) * ROW(INDIRECT("1:"&amp;LEN((LEFT(A116,SUM(LEN(A116)-LEN(SUBSTITUTE(A116,{"0","1","2"},"")))))))), 0), ROW(INDIRECT("1:"&amp;LEN((LEFT(A116,SUM(LEN(A116)-LEN(SUBSTITUTE(A116,{"0","1","2"},"")))))))))+1, 1) * 10^ROW(INDIRECT("1:"&amp;LEN((LEFT(A116,SUM(LEN(A116)-LEN(SUBSTITUTE(A116,{"0","1","2"},""))))))))/10))*100+1</f>
        <v>501</v>
      </c>
      <c r="P117" s="2">
        <f ca="1">(SUMPRODUCT(MID(0&amp;(--TRIM(RIGHT(SUBSTITUTE(LEFT(A116,_xlfn.AGGREGATE(16,6,FIND({0,1,2,3,4,5,6,7,8,9},A116,ROW(INDIRECT("1:"&amp;LEN(A116)))),1))," ",REPT(" ",LEN(A116))),LEN(A116)))), LARGE(INDEX(ISNUMBER(--MID((--TRIM(RIGHT(SUBSTITUTE(LEFT(A116,_xlfn.AGGREGATE(16,6,FIND({0,1,2,3,4,5,6,7,8,9},A116,ROW(INDIRECT("1:"&amp;LEN(A116)))),1))," ",REPT(" ",LEN(A116))),LEN(A116)))), ROW(INDIRECT("1:"&amp;LEN((--TRIM(RIGHT(SUBSTITUTE(LEFT(A116,_xlfn.AGGREGATE(16,6,FIND({0,1,2,3,4,5,6,7,8,9},A116,ROW(INDIRECT("1:"&amp;LEN(A116)))),1))," ",REPT(" ",LEN(A116))),LEN(A116))))))), 1)) * ROW(INDIRECT("1:"&amp;LEN((--TRIM(RIGHT(SUBSTITUTE(LEFT(A116,_xlfn.AGGREGATE(16,6,FIND({0,1,2,3,4,5,6,7,8,9},A116,ROW(INDIRECT("1:"&amp;LEN(A116)))),1))," ",REPT(" ",LEN(A116))),LEN(A116))))))), 0), ROW(INDIRECT("1:"&amp;LEN((--TRIM(RIGHT(SUBSTITUTE(LEFT(A116,_xlfn.AGGREGATE(16,6,FIND({0,1,2,3,4,5,6,7,8,9},A116,ROW(INDIRECT("1:"&amp;LEN(A116)))),1))," ",REPT(" ",LEN(A116))),LEN(A116))))))))+1, 1) * 10^ROW(INDIRECT("1:"&amp;LEN((--TRIM(RIGHT(SUBSTITUTE(LEFT(A116,_xlfn.AGGREGATE(16,6,FIND({0,1,2,3,4,5,6,7,8,9},A116,ROW(INDIRECT("1:"&amp;LEN(A116)))),1))," ",REPT(" ",LEN(A116))),LEN(A116)))))))/10))*100+1</f>
        <v>1701</v>
      </c>
    </row>
    <row r="118" spans="1:16" s="2" customFormat="1" ht="15.75" customHeight="1" x14ac:dyDescent="0.35">
      <c r="A118" s="143" t="str">
        <f t="shared" ca="1" si="5"/>
        <v>502,..,1702</v>
      </c>
      <c r="B118" s="144" t="s">
        <v>199</v>
      </c>
      <c r="C118" s="20" t="s">
        <v>201</v>
      </c>
      <c r="D118" s="20">
        <f>(27.88+3*0.6+2.45*0.55+1.8*0.6+3*0.6)*10.764</f>
        <v>364.98032999999998</v>
      </c>
      <c r="E118" s="20">
        <f>(2.35*1.5+2.2*2.5)*10.764</f>
        <v>97.145099999999999</v>
      </c>
      <c r="F118" s="20">
        <v>818</v>
      </c>
      <c r="G118" s="135"/>
      <c r="H118" s="136"/>
      <c r="I118" s="37">
        <f>9200000/F118</f>
        <v>11246.943765281174</v>
      </c>
      <c r="N118" s="2" t="str">
        <f t="shared" ca="1" si="6"/>
        <v>502,..,1702</v>
      </c>
      <c r="O118" s="2">
        <f t="shared" ref="O118:P123" ca="1" si="7">O117+1</f>
        <v>502</v>
      </c>
      <c r="P118" s="2">
        <f t="shared" ca="1" si="7"/>
        <v>1702</v>
      </c>
    </row>
    <row r="119" spans="1:16" s="2" customFormat="1" ht="15.75" customHeight="1" x14ac:dyDescent="0.35">
      <c r="A119" s="143" t="str">
        <f t="shared" ca="1" si="5"/>
        <v>503,..,1703</v>
      </c>
      <c r="B119" s="144" t="s">
        <v>199</v>
      </c>
      <c r="C119" s="20" t="s">
        <v>201</v>
      </c>
      <c r="D119" s="20">
        <f>(27.88+3*0.6+2.45*0.55+1.8*0.6+3*0.6)*10.764</f>
        <v>364.98032999999998</v>
      </c>
      <c r="E119" s="20">
        <f>(2.35*1.5+2.2*2.5)*10.764</f>
        <v>97.145099999999999</v>
      </c>
      <c r="F119" s="20">
        <v>818</v>
      </c>
      <c r="G119" s="135"/>
      <c r="H119" s="136"/>
      <c r="I119" s="37">
        <f>9200000/F119</f>
        <v>11246.943765281174</v>
      </c>
      <c r="N119" s="2" t="str">
        <f t="shared" ca="1" si="6"/>
        <v>503,..,1703</v>
      </c>
      <c r="O119" s="2">
        <f t="shared" ca="1" si="7"/>
        <v>503</v>
      </c>
      <c r="P119" s="2">
        <f t="shared" ca="1" si="7"/>
        <v>1703</v>
      </c>
    </row>
    <row r="120" spans="1:16" s="2" customFormat="1" ht="15.75" customHeight="1" x14ac:dyDescent="0.35">
      <c r="A120" s="143" t="str">
        <f t="shared" ca="1" si="5"/>
        <v>504,..,1704</v>
      </c>
      <c r="B120" s="144" t="s">
        <v>200</v>
      </c>
      <c r="C120" s="20" t="s">
        <v>202</v>
      </c>
      <c r="D120" s="20">
        <f>(31.693+2.65*0.6+2.8*0.6+2.45*0.55+1.805*0.6+2.4*0.6+1.95*0.6)*10.764</f>
        <v>430.59767399999998</v>
      </c>
      <c r="E120" s="20">
        <f>(2.2*2.5)*10.764</f>
        <v>59.201999999999998</v>
      </c>
      <c r="F120" s="20">
        <v>1016</v>
      </c>
      <c r="G120" s="135"/>
      <c r="H120" s="136"/>
      <c r="I120" s="37">
        <f>11500000/F120</f>
        <v>11318.897637795275</v>
      </c>
      <c r="N120" s="2" t="str">
        <f t="shared" ca="1" si="6"/>
        <v>504,..,1704</v>
      </c>
      <c r="O120" s="2">
        <f t="shared" ca="1" si="7"/>
        <v>504</v>
      </c>
      <c r="P120" s="2">
        <f t="shared" ca="1" si="7"/>
        <v>1704</v>
      </c>
    </row>
    <row r="121" spans="1:16" s="2" customFormat="1" ht="15.75" customHeight="1" x14ac:dyDescent="0.35">
      <c r="A121" s="143" t="str">
        <f t="shared" ca="1" si="5"/>
        <v>505,..,1705</v>
      </c>
      <c r="B121" s="144" t="s">
        <v>199</v>
      </c>
      <c r="C121" s="20" t="s">
        <v>201</v>
      </c>
      <c r="D121" s="20">
        <f>(27.883+3*0.6+2.75*0.6+2.7*0.6+2.7*0.6+2.4*0.6)*10.764</f>
        <v>387.64393199999989</v>
      </c>
      <c r="E121" s="20">
        <f>(2.65*1.5)*10.764</f>
        <v>42.786899999999996</v>
      </c>
      <c r="F121" s="20">
        <v>773</v>
      </c>
      <c r="G121" s="135"/>
      <c r="H121" s="136"/>
      <c r="I121" s="37">
        <f t="shared" ref="I121:I123" si="8">9200000/F121</f>
        <v>11901.681759379042</v>
      </c>
      <c r="N121" s="2" t="str">
        <f t="shared" ca="1" si="6"/>
        <v>505,..,1705</v>
      </c>
      <c r="O121" s="2">
        <f t="shared" ca="1" si="7"/>
        <v>505</v>
      </c>
      <c r="P121" s="2">
        <f t="shared" ca="1" si="7"/>
        <v>1705</v>
      </c>
    </row>
    <row r="122" spans="1:16" s="2" customFormat="1" ht="15.75" customHeight="1" x14ac:dyDescent="0.35">
      <c r="A122" s="143" t="str">
        <f t="shared" ca="1" si="5"/>
        <v>506,..,1706</v>
      </c>
      <c r="B122" s="144" t="s">
        <v>199</v>
      </c>
      <c r="C122" s="20" t="s">
        <v>201</v>
      </c>
      <c r="D122" s="20">
        <f>(27.924+3*0.6+3*0.6+2.2*0.6+3*0.6+2.45*0.6)*10.764</f>
        <v>388.73109599999992</v>
      </c>
      <c r="E122" s="20">
        <f>(3*1.5)*10.764</f>
        <v>48.437999999999995</v>
      </c>
      <c r="F122" s="20">
        <v>773</v>
      </c>
      <c r="G122" s="135"/>
      <c r="H122" s="136"/>
      <c r="I122" s="37">
        <f t="shared" si="8"/>
        <v>11901.681759379042</v>
      </c>
      <c r="N122" s="2" t="str">
        <f t="shared" ca="1" si="6"/>
        <v>506,..,1706</v>
      </c>
      <c r="O122" s="2">
        <f t="shared" ca="1" si="7"/>
        <v>506</v>
      </c>
      <c r="P122" s="2">
        <f t="shared" ca="1" si="7"/>
        <v>1706</v>
      </c>
    </row>
    <row r="123" spans="1:16" s="2" customFormat="1" ht="15.75" customHeight="1" x14ac:dyDescent="0.35">
      <c r="A123" s="143" t="str">
        <f t="shared" ca="1" si="5"/>
        <v>507,..,1707</v>
      </c>
      <c r="B123" s="144" t="s">
        <v>199</v>
      </c>
      <c r="C123" s="20" t="s">
        <v>201</v>
      </c>
      <c r="D123" s="20">
        <f>(27.932+2.7*0.6+2.75*0.6+3*0.6+2.7*0.6+2.4*0.6)*10.764</f>
        <v>388.17136799999986</v>
      </c>
      <c r="E123" s="20">
        <f>(2.65*1.5)*10.764</f>
        <v>42.786899999999996</v>
      </c>
      <c r="F123" s="20">
        <v>773</v>
      </c>
      <c r="G123" s="137"/>
      <c r="H123" s="138"/>
      <c r="I123" s="37">
        <f t="shared" si="8"/>
        <v>11901.681759379042</v>
      </c>
      <c r="N123" s="2" t="str">
        <f t="shared" ca="1" si="6"/>
        <v>507,..,1707</v>
      </c>
      <c r="O123" s="2">
        <f t="shared" ca="1" si="7"/>
        <v>507</v>
      </c>
      <c r="P123" s="2">
        <f t="shared" ca="1" si="7"/>
        <v>1707</v>
      </c>
    </row>
    <row r="124" spans="1:16" s="2" customFormat="1" ht="15.75" customHeight="1" x14ac:dyDescent="0.35">
      <c r="A124" s="139" t="s">
        <v>206</v>
      </c>
      <c r="B124" s="139"/>
      <c r="C124" s="139"/>
      <c r="D124" s="139"/>
      <c r="E124" s="139"/>
      <c r="F124" s="139"/>
      <c r="G124" s="139"/>
      <c r="H124" s="139"/>
      <c r="I124" s="37"/>
    </row>
    <row r="125" spans="1:16" s="2" customFormat="1" ht="15.75" customHeight="1" x14ac:dyDescent="0.35">
      <c r="A125" s="145" t="str">
        <f t="shared" ref="A125:A131" ca="1" si="9">N125</f>
        <v>601,..,1401</v>
      </c>
      <c r="B125" s="145" t="s">
        <v>200</v>
      </c>
      <c r="C125" s="68" t="s">
        <v>202</v>
      </c>
      <c r="D125" s="68">
        <f>(31.693+2.65*0.6+2.8*0.6+2.45*0.6+1.806*0.6+1.95*0.6+3*0.6)*10.764</f>
        <v>435.79776239999995</v>
      </c>
      <c r="E125" s="68">
        <f>(2.5*1.5)*10.764</f>
        <v>40.364999999999995</v>
      </c>
      <c r="F125" s="68">
        <v>956</v>
      </c>
      <c r="G125" s="145" t="str">
        <f>A124</f>
        <v xml:space="preserve">6th, 10th, 14th Floor </v>
      </c>
      <c r="H125" s="145"/>
      <c r="I125" s="37">
        <f>11500000/F125</f>
        <v>12029.28870292887</v>
      </c>
      <c r="N125" s="2" t="str">
        <f t="shared" ref="N125:N131" ca="1" si="10">O125&amp;""&amp;",..,"&amp;""&amp;P125</f>
        <v>601,..,1401</v>
      </c>
      <c r="O125" s="2">
        <f ca="1">(SUMPRODUCT(MID(0&amp;(LEFT(A124,SUM(LEN(A124)-LEN(SUBSTITUTE(A124,{"0","1","2"},""))))), LARGE(INDEX(ISNUMBER(--MID((LEFT(A124,SUM(LEN(A124)-LEN(SUBSTITUTE(A124,{"0","1","2"},""))))), ROW(INDIRECT("1:"&amp;LEN((LEFT(A124,SUM(LEN(A124)-LEN(SUBSTITUTE(A124,{"0","1","2"},"")))))))), 1)) * ROW(INDIRECT("1:"&amp;LEN((LEFT(A124,SUM(LEN(A124)-LEN(SUBSTITUTE(A124,{"0","1","2"},"")))))))), 0), ROW(INDIRECT("1:"&amp;LEN((LEFT(A124,SUM(LEN(A124)-LEN(SUBSTITUTE(A124,{"0","1","2"},"")))))))))+1, 1) * 10^ROW(INDIRECT("1:"&amp;LEN((LEFT(A124,SUM(LEN(A124)-LEN(SUBSTITUTE(A124,{"0","1","2"},""))))))))/10))*100+1</f>
        <v>601</v>
      </c>
      <c r="P125" s="2">
        <f ca="1">(SUMPRODUCT(MID(0&amp;(--TRIM(RIGHT(SUBSTITUTE(LEFT(A124,_xlfn.AGGREGATE(16,6,FIND({0,1,2,3,4,5,6,7,8,9},A124,ROW(INDIRECT("1:"&amp;LEN(A124)))),1))," ",REPT(" ",LEN(A124))),LEN(A124)))), LARGE(INDEX(ISNUMBER(--MID((--TRIM(RIGHT(SUBSTITUTE(LEFT(A124,_xlfn.AGGREGATE(16,6,FIND({0,1,2,3,4,5,6,7,8,9},A124,ROW(INDIRECT("1:"&amp;LEN(A124)))),1))," ",REPT(" ",LEN(A124))),LEN(A124)))), ROW(INDIRECT("1:"&amp;LEN((--TRIM(RIGHT(SUBSTITUTE(LEFT(A124,_xlfn.AGGREGATE(16,6,FIND({0,1,2,3,4,5,6,7,8,9},A124,ROW(INDIRECT("1:"&amp;LEN(A124)))),1))," ",REPT(" ",LEN(A124))),LEN(A124))))))), 1)) * ROW(INDIRECT("1:"&amp;LEN((--TRIM(RIGHT(SUBSTITUTE(LEFT(A124,_xlfn.AGGREGATE(16,6,FIND({0,1,2,3,4,5,6,7,8,9},A124,ROW(INDIRECT("1:"&amp;LEN(A124)))),1))," ",REPT(" ",LEN(A124))),LEN(A124))))))), 0), ROW(INDIRECT("1:"&amp;LEN((--TRIM(RIGHT(SUBSTITUTE(LEFT(A124,_xlfn.AGGREGATE(16,6,FIND({0,1,2,3,4,5,6,7,8,9},A124,ROW(INDIRECT("1:"&amp;LEN(A124)))),1))," ",REPT(" ",LEN(A124))),LEN(A124))))))))+1, 1) * 10^ROW(INDIRECT("1:"&amp;LEN((--TRIM(RIGHT(SUBSTITUTE(LEFT(A124,_xlfn.AGGREGATE(16,6,FIND({0,1,2,3,4,5,6,7,8,9},A124,ROW(INDIRECT("1:"&amp;LEN(A124)))),1))," ",REPT(" ",LEN(A124))),LEN(A124)))))))/10))*100+1</f>
        <v>1401</v>
      </c>
    </row>
    <row r="126" spans="1:16" s="2" customFormat="1" ht="15.75" customHeight="1" x14ac:dyDescent="0.35">
      <c r="A126" s="145" t="str">
        <f t="shared" ca="1" si="9"/>
        <v>602,..,1402</v>
      </c>
      <c r="B126" s="145" t="s">
        <v>200</v>
      </c>
      <c r="C126" s="68" t="s">
        <v>201</v>
      </c>
      <c r="D126" s="68">
        <f>(27.88+2.45*0.55+3*0.6+1.8*0.6+2.25*0.6+2.2*0.6)*10.764</f>
        <v>374.34501</v>
      </c>
      <c r="E126" s="68">
        <f>(2.05*1.5)*10.764</f>
        <v>33.099299999999992</v>
      </c>
      <c r="F126" s="68">
        <v>755</v>
      </c>
      <c r="G126" s="145"/>
      <c r="H126" s="145"/>
      <c r="I126" s="37">
        <f>9200000/F126</f>
        <v>12185.430463576158</v>
      </c>
      <c r="N126" s="2" t="str">
        <f t="shared" ca="1" si="10"/>
        <v>602,..,1402</v>
      </c>
      <c r="O126" s="2">
        <f t="shared" ref="O126:P131" ca="1" si="11">O125+1</f>
        <v>602</v>
      </c>
      <c r="P126" s="2">
        <f t="shared" ca="1" si="11"/>
        <v>1402</v>
      </c>
    </row>
    <row r="127" spans="1:16" s="2" customFormat="1" ht="15.75" customHeight="1" x14ac:dyDescent="0.35">
      <c r="A127" s="145" t="str">
        <f t="shared" ca="1" si="9"/>
        <v>603,..,1403</v>
      </c>
      <c r="B127" s="145" t="s">
        <v>200</v>
      </c>
      <c r="C127" s="68" t="s">
        <v>201</v>
      </c>
      <c r="D127" s="68">
        <f>(27.88+2.45*0.55+3*0.6+1.8*0.6+2.25*0.6+2.2*0.6)*10.764</f>
        <v>374.34501</v>
      </c>
      <c r="E127" s="68">
        <f>(2.05*1.5)*10.764</f>
        <v>33.099299999999992</v>
      </c>
      <c r="F127" s="68">
        <v>755</v>
      </c>
      <c r="G127" s="145"/>
      <c r="H127" s="145"/>
      <c r="I127" s="37">
        <f>9200000/F127</f>
        <v>12185.430463576158</v>
      </c>
      <c r="N127" s="2" t="str">
        <f t="shared" ca="1" si="10"/>
        <v>603,..,1403</v>
      </c>
      <c r="O127" s="2">
        <f t="shared" ca="1" si="11"/>
        <v>603</v>
      </c>
      <c r="P127" s="2">
        <f t="shared" ca="1" si="11"/>
        <v>1403</v>
      </c>
    </row>
    <row r="128" spans="1:16" s="2" customFormat="1" ht="15.75" customHeight="1" x14ac:dyDescent="0.35">
      <c r="A128" s="145" t="str">
        <f t="shared" ca="1" si="9"/>
        <v>604,..,1404</v>
      </c>
      <c r="B128" s="145" t="s">
        <v>200</v>
      </c>
      <c r="C128" s="68" t="s">
        <v>202</v>
      </c>
      <c r="D128" s="68">
        <f>(31.693+2.65*0.6+2.8*0.6+2.45*0.6+1.806*0.6+1.95*0.6+3*0.6)*10.764</f>
        <v>435.79776239999995</v>
      </c>
      <c r="E128" s="68">
        <f>(2.5*1.5)*10.764</f>
        <v>40.364999999999995</v>
      </c>
      <c r="F128" s="68">
        <v>956</v>
      </c>
      <c r="G128" s="145"/>
      <c r="H128" s="145"/>
      <c r="I128" s="37">
        <f>11500000/F128</f>
        <v>12029.28870292887</v>
      </c>
      <c r="N128" s="2" t="str">
        <f t="shared" ca="1" si="10"/>
        <v>604,..,1404</v>
      </c>
      <c r="O128" s="2">
        <f t="shared" ca="1" si="11"/>
        <v>604</v>
      </c>
      <c r="P128" s="2">
        <f t="shared" ca="1" si="11"/>
        <v>1404</v>
      </c>
    </row>
    <row r="129" spans="1:16" s="2" customFormat="1" ht="15.75" customHeight="1" x14ac:dyDescent="0.35">
      <c r="A129" s="145" t="str">
        <f t="shared" ca="1" si="9"/>
        <v>605,..,1405</v>
      </c>
      <c r="B129" s="145" t="s">
        <v>199</v>
      </c>
      <c r="C129" s="68" t="s">
        <v>201</v>
      </c>
      <c r="D129" s="68">
        <f>(27.883+3*0.6+2.75*0.6+2.7*0.6+2.65*0.6+2.4*0.6)*10.764</f>
        <v>387.32101199999988</v>
      </c>
      <c r="E129" s="68">
        <f>(2.7*1.5)*10.764</f>
        <v>43.594200000000008</v>
      </c>
      <c r="F129" s="68">
        <v>773</v>
      </c>
      <c r="G129" s="145"/>
      <c r="H129" s="145"/>
      <c r="I129" s="37"/>
      <c r="N129" s="2" t="str">
        <f t="shared" ca="1" si="10"/>
        <v>605,..,1405</v>
      </c>
      <c r="O129" s="2">
        <f t="shared" ca="1" si="11"/>
        <v>605</v>
      </c>
      <c r="P129" s="2">
        <f t="shared" ca="1" si="11"/>
        <v>1405</v>
      </c>
    </row>
    <row r="130" spans="1:16" s="2" customFormat="1" ht="15.75" customHeight="1" x14ac:dyDescent="0.35">
      <c r="A130" s="145" t="str">
        <f t="shared" ca="1" si="9"/>
        <v>606,..,1406</v>
      </c>
      <c r="B130" s="145" t="s">
        <v>199</v>
      </c>
      <c r="C130" s="68" t="s">
        <v>201</v>
      </c>
      <c r="D130" s="68">
        <f>(27.924+3*0.6+3*0.6+2.2*0.6+2.45*0.6+3*0.6)*10.764</f>
        <v>388.73109599999992</v>
      </c>
      <c r="E130" s="68">
        <f>(3*1.5)*10.764</f>
        <v>48.437999999999995</v>
      </c>
      <c r="F130" s="68">
        <v>773</v>
      </c>
      <c r="G130" s="145"/>
      <c r="H130" s="145"/>
      <c r="I130" s="37">
        <f t="shared" ref="I130:I131" si="12">9200000/F130</f>
        <v>11901.681759379042</v>
      </c>
      <c r="N130" s="2" t="str">
        <f t="shared" ca="1" si="10"/>
        <v>606,..,1406</v>
      </c>
      <c r="O130" s="2">
        <f t="shared" ca="1" si="11"/>
        <v>606</v>
      </c>
      <c r="P130" s="2">
        <f t="shared" ca="1" si="11"/>
        <v>1406</v>
      </c>
    </row>
    <row r="131" spans="1:16" s="2" customFormat="1" ht="15.75" customHeight="1" x14ac:dyDescent="0.35">
      <c r="A131" s="145" t="str">
        <f t="shared" ca="1" si="9"/>
        <v>607,..,1407</v>
      </c>
      <c r="B131" s="145" t="s">
        <v>199</v>
      </c>
      <c r="C131" s="68" t="s">
        <v>201</v>
      </c>
      <c r="D131" s="68">
        <f>(27.883+2.75*0.6+2.7*0.6+3*0.6+2.65*0.6+2.4*0.6)*10.764</f>
        <v>387.32101199999988</v>
      </c>
      <c r="E131" s="68">
        <f>(2.7*1.5)*10.764</f>
        <v>43.594200000000008</v>
      </c>
      <c r="F131" s="68">
        <v>773</v>
      </c>
      <c r="G131" s="145"/>
      <c r="H131" s="145"/>
      <c r="I131" s="37">
        <f t="shared" si="12"/>
        <v>11901.681759379042</v>
      </c>
      <c r="N131" s="2" t="str">
        <f t="shared" ca="1" si="10"/>
        <v>607,..,1407</v>
      </c>
      <c r="O131" s="2">
        <f t="shared" ca="1" si="11"/>
        <v>607</v>
      </c>
      <c r="P131" s="2">
        <f t="shared" ca="1" si="11"/>
        <v>1407</v>
      </c>
    </row>
    <row r="132" spans="1:16" s="2" customFormat="1" x14ac:dyDescent="0.35">
      <c r="A132" s="139" t="s">
        <v>203</v>
      </c>
      <c r="B132" s="139"/>
      <c r="C132" s="139"/>
      <c r="D132" s="139"/>
      <c r="E132" s="139"/>
      <c r="F132" s="139"/>
      <c r="G132" s="139"/>
      <c r="H132" s="139"/>
      <c r="I132" s="37"/>
      <c r="L132" s="127"/>
      <c r="M132" s="127"/>
    </row>
    <row r="133" spans="1:16" s="2" customFormat="1" ht="15.75" customHeight="1" x14ac:dyDescent="0.35">
      <c r="A133" s="143">
        <f>LEFT(A132,SUM(LEN(A132)-LEN(SUBSTITUTE(A132,{"0","1","2","3","4","5","6","7","8","9"},""))))*100+1</f>
        <v>801</v>
      </c>
      <c r="B133" s="144" t="s">
        <v>200</v>
      </c>
      <c r="C133" s="20" t="s">
        <v>202</v>
      </c>
      <c r="D133" s="20">
        <f>(33.283+2.65*0.6+2.8*0.6+2.45*0.6+1.805*0.6+3*0.6+1.95*0.6)*10.764</f>
        <v>452.90606399999996</v>
      </c>
      <c r="E133" s="20">
        <f>(2.5*1.5)*10.764</f>
        <v>40.364999999999995</v>
      </c>
      <c r="F133" s="20">
        <v>957</v>
      </c>
      <c r="G133" s="133" t="str">
        <f>A132</f>
        <v>8th Floor (Part Refuge Area)</v>
      </c>
      <c r="H133" s="134"/>
      <c r="I133" s="37"/>
      <c r="N133" s="37"/>
    </row>
    <row r="134" spans="1:16" s="2" customFormat="1" ht="15.75" customHeight="1" x14ac:dyDescent="0.35">
      <c r="A134" s="143">
        <f>A133+1</f>
        <v>802</v>
      </c>
      <c r="B134" s="144" t="s">
        <v>200</v>
      </c>
      <c r="C134" s="20" t="s">
        <v>201</v>
      </c>
      <c r="D134" s="20">
        <f>(26.484+3*0.6+2.45*0.55+1.8*0.6+2.2*0.6+1.85*0.6)*10.764</f>
        <v>356.73510599999997</v>
      </c>
      <c r="E134" s="20">
        <f>(2.4*1.5+2.55*2.5)*10.764</f>
        <v>107.37089999999999</v>
      </c>
      <c r="F134" s="20">
        <v>818</v>
      </c>
      <c r="G134" s="135"/>
      <c r="H134" s="136"/>
      <c r="I134" s="37"/>
      <c r="N134" s="37"/>
    </row>
    <row r="135" spans="1:16" s="2" customFormat="1" ht="15.75" customHeight="1" x14ac:dyDescent="0.35">
      <c r="A135" s="143">
        <f>A134+1</f>
        <v>803</v>
      </c>
      <c r="B135" s="144" t="s">
        <v>200</v>
      </c>
      <c r="C135" s="20" t="s">
        <v>201</v>
      </c>
      <c r="D135" s="20">
        <f>(26.484+3*0.6+2.45*0.55+1.8*0.6+2.2*0.6+1.85*0.6)*10.764</f>
        <v>356.73510599999997</v>
      </c>
      <c r="E135" s="20">
        <f>(2.4*1.5+2.55*2.5)*10.764</f>
        <v>107.37089999999999</v>
      </c>
      <c r="F135" s="20">
        <v>818</v>
      </c>
      <c r="G135" s="135"/>
      <c r="H135" s="136"/>
      <c r="I135" s="37"/>
      <c r="N135" s="37"/>
    </row>
    <row r="136" spans="1:16" s="2" customFormat="1" ht="15.75" customHeight="1" x14ac:dyDescent="0.35">
      <c r="A136" s="143">
        <f t="shared" ref="A136:A139" si="13">A135+1</f>
        <v>804</v>
      </c>
      <c r="B136" s="144" t="s">
        <v>200</v>
      </c>
      <c r="C136" s="20" t="s">
        <v>202</v>
      </c>
      <c r="D136" s="20">
        <f>(33.283+2.65*0.6+2.8*0.6+2.45*0.6+1.805*0.6+1.95*0.6+2.4*0.6)*10.764</f>
        <v>449.031024</v>
      </c>
      <c r="E136" s="20">
        <f>(2.5*1.5)*10.764</f>
        <v>40.364999999999995</v>
      </c>
      <c r="F136" s="20">
        <v>957</v>
      </c>
      <c r="G136" s="135"/>
      <c r="H136" s="136"/>
      <c r="I136" s="37"/>
      <c r="N136" s="37"/>
    </row>
    <row r="137" spans="1:16" s="2" customFormat="1" ht="15.75" customHeight="1" x14ac:dyDescent="0.35">
      <c r="A137" s="143">
        <f t="shared" si="13"/>
        <v>805</v>
      </c>
      <c r="B137" s="144" t="s">
        <v>199</v>
      </c>
      <c r="C137" s="20" t="s">
        <v>201</v>
      </c>
      <c r="D137" s="20">
        <f>(27.883+3*0.6+2.75*0.6+2.7*0.6+2.65*0.6+2.4*0.6)*10.764</f>
        <v>387.32101199999988</v>
      </c>
      <c r="E137" s="20">
        <f>(2.7*1.5)*10.764</f>
        <v>43.594200000000008</v>
      </c>
      <c r="F137" s="20">
        <v>773</v>
      </c>
      <c r="G137" s="135"/>
      <c r="H137" s="136"/>
      <c r="I137" s="37"/>
      <c r="N137" s="37"/>
    </row>
    <row r="138" spans="1:16" s="2" customFormat="1" ht="15.75" customHeight="1" x14ac:dyDescent="0.35">
      <c r="A138" s="143">
        <f t="shared" si="13"/>
        <v>806</v>
      </c>
      <c r="B138" s="144" t="s">
        <v>199</v>
      </c>
      <c r="C138" s="20" t="s">
        <v>201</v>
      </c>
      <c r="D138" s="20">
        <f>(27.924+3*0.6+3*0.6+2.2*0.6+3*0.6+2.45*0.6)*10.764</f>
        <v>388.73109599999992</v>
      </c>
      <c r="E138" s="20">
        <f>(3*1.5)*10.764</f>
        <v>48.437999999999995</v>
      </c>
      <c r="F138" s="20">
        <v>773</v>
      </c>
      <c r="G138" s="135"/>
      <c r="H138" s="136"/>
      <c r="I138" s="37"/>
      <c r="N138" s="37"/>
    </row>
    <row r="139" spans="1:16" s="2" customFormat="1" ht="15.75" customHeight="1" x14ac:dyDescent="0.35">
      <c r="A139" s="143">
        <f t="shared" si="13"/>
        <v>807</v>
      </c>
      <c r="B139" s="144" t="s">
        <v>199</v>
      </c>
      <c r="C139" s="20" t="s">
        <v>201</v>
      </c>
      <c r="D139" s="20">
        <f>(27.883+3*0.6+2.75*0.6+2.7*0.8+2.65*0.6+2.4+0.6)*10.764</f>
        <v>409.92541199999994</v>
      </c>
      <c r="E139" s="20">
        <f>(2.7*1.5)*10.764</f>
        <v>43.594200000000008</v>
      </c>
      <c r="F139" s="20">
        <v>814</v>
      </c>
      <c r="G139" s="137"/>
      <c r="H139" s="138"/>
      <c r="I139" s="37"/>
      <c r="N139" s="37"/>
    </row>
    <row r="140" spans="1:16" s="2" customFormat="1" ht="15.75" customHeight="1" x14ac:dyDescent="0.35">
      <c r="A140" s="140" t="s">
        <v>220</v>
      </c>
      <c r="B140" s="141"/>
      <c r="C140" s="141"/>
      <c r="D140" s="141"/>
      <c r="E140" s="141"/>
      <c r="F140" s="141"/>
      <c r="G140" s="141"/>
      <c r="H140" s="142"/>
      <c r="I140" s="37"/>
    </row>
    <row r="141" spans="1:16" s="2" customFormat="1" ht="15.75" customHeight="1" x14ac:dyDescent="0.35">
      <c r="A141" s="143">
        <v>1301</v>
      </c>
      <c r="B141" s="144" t="s">
        <v>200</v>
      </c>
      <c r="C141" s="20" t="s">
        <v>202</v>
      </c>
      <c r="D141" s="20">
        <f>(31.693+2.65*0.6+2.8*0.6+2.45*0.6+1.806*0.6+2.4*0.6+1.95*0.6)*10.764</f>
        <v>431.92272239999994</v>
      </c>
      <c r="E141" s="20">
        <f>(2.2*2.5+3*1.5)*10.764</f>
        <v>107.63999999999999</v>
      </c>
      <c r="F141" s="20">
        <v>1016</v>
      </c>
      <c r="G141" s="133" t="str">
        <f>A140</f>
        <v>13th Floor (Part Refuge Area)</v>
      </c>
      <c r="H141" s="134"/>
      <c r="I141" s="37"/>
      <c r="N141" s="2" t="str">
        <f t="shared" ref="N141:N147" ca="1" si="14">O141&amp;""&amp;",..,"&amp;""&amp;P141</f>
        <v>101,..,1301</v>
      </c>
      <c r="O141" s="2">
        <f ca="1">(SUMPRODUCT(MID(0&amp;(LEFT(A140,SUM(LEN(A140)-LEN(SUBSTITUTE(A140,{"0","1","2"},""))))), LARGE(INDEX(ISNUMBER(--MID((LEFT(A140,SUM(LEN(A140)-LEN(SUBSTITUTE(A140,{"0","1","2"},""))))), ROW(INDIRECT("1:"&amp;LEN((LEFT(A140,SUM(LEN(A140)-LEN(SUBSTITUTE(A140,{"0","1","2"},"")))))))), 1)) * ROW(INDIRECT("1:"&amp;LEN((LEFT(A140,SUM(LEN(A140)-LEN(SUBSTITUTE(A140,{"0","1","2"},"")))))))), 0), ROW(INDIRECT("1:"&amp;LEN((LEFT(A140,SUM(LEN(A140)-LEN(SUBSTITUTE(A140,{"0","1","2"},"")))))))))+1, 1) * 10^ROW(INDIRECT("1:"&amp;LEN((LEFT(A140,SUM(LEN(A140)-LEN(SUBSTITUTE(A140,{"0","1","2"},""))))))))/10))*100+1</f>
        <v>101</v>
      </c>
      <c r="P141" s="2">
        <f ca="1">(SUMPRODUCT(MID(0&amp;(--TRIM(RIGHT(SUBSTITUTE(LEFT(A140,_xlfn.AGGREGATE(16,6,FIND({0,1,2,3,4,5,6,7,8,9},A140,ROW(INDIRECT("1:"&amp;LEN(A140)))),1))," ",REPT(" ",LEN(A140))),LEN(A140)))), LARGE(INDEX(ISNUMBER(--MID((--TRIM(RIGHT(SUBSTITUTE(LEFT(A140,_xlfn.AGGREGATE(16,6,FIND({0,1,2,3,4,5,6,7,8,9},A140,ROW(INDIRECT("1:"&amp;LEN(A140)))),1))," ",REPT(" ",LEN(A140))),LEN(A140)))), ROW(INDIRECT("1:"&amp;LEN((--TRIM(RIGHT(SUBSTITUTE(LEFT(A140,_xlfn.AGGREGATE(16,6,FIND({0,1,2,3,4,5,6,7,8,9},A140,ROW(INDIRECT("1:"&amp;LEN(A140)))),1))," ",REPT(" ",LEN(A140))),LEN(A140))))))), 1)) * ROW(INDIRECT("1:"&amp;LEN((--TRIM(RIGHT(SUBSTITUTE(LEFT(A140,_xlfn.AGGREGATE(16,6,FIND({0,1,2,3,4,5,6,7,8,9},A140,ROW(INDIRECT("1:"&amp;LEN(A140)))),1))," ",REPT(" ",LEN(A140))),LEN(A140))))))), 0), ROW(INDIRECT("1:"&amp;LEN((--TRIM(RIGHT(SUBSTITUTE(LEFT(A140,_xlfn.AGGREGATE(16,6,FIND({0,1,2,3,4,5,6,7,8,9},A140,ROW(INDIRECT("1:"&amp;LEN(A140)))),1))," ",REPT(" ",LEN(A140))),LEN(A140))))))))+1, 1) * 10^ROW(INDIRECT("1:"&amp;LEN((--TRIM(RIGHT(SUBSTITUTE(LEFT(A140,_xlfn.AGGREGATE(16,6,FIND({0,1,2,3,4,5,6,7,8,9},A140,ROW(INDIRECT("1:"&amp;LEN(A140)))),1))," ",REPT(" ",LEN(A140))),LEN(A140)))))))/10))*100+1</f>
        <v>1301</v>
      </c>
    </row>
    <row r="142" spans="1:16" s="2" customFormat="1" ht="15.75" customHeight="1" x14ac:dyDescent="0.35">
      <c r="A142" s="143">
        <v>1302</v>
      </c>
      <c r="B142" s="144" t="s">
        <v>199</v>
      </c>
      <c r="C142" s="20" t="s">
        <v>201</v>
      </c>
      <c r="D142" s="20">
        <f>(27.88+3*0.6+2.45*0.55+1.8*0.6+3*0.6)*10.764</f>
        <v>364.98032999999998</v>
      </c>
      <c r="E142" s="20">
        <f>(2.35*1.5+2.2*2.5)*10.764</f>
        <v>97.145099999999999</v>
      </c>
      <c r="F142" s="20">
        <v>818</v>
      </c>
      <c r="G142" s="135"/>
      <c r="H142" s="136"/>
      <c r="I142" s="37"/>
      <c r="N142" s="2" t="str">
        <f t="shared" ca="1" si="14"/>
        <v>102,..,1302</v>
      </c>
      <c r="O142" s="2">
        <f t="shared" ref="O142:P147" ca="1" si="15">O141+1</f>
        <v>102</v>
      </c>
      <c r="P142" s="2">
        <f t="shared" ca="1" si="15"/>
        <v>1302</v>
      </c>
    </row>
    <row r="143" spans="1:16" s="2" customFormat="1" ht="15.75" customHeight="1" x14ac:dyDescent="0.35">
      <c r="A143" s="143">
        <v>1303</v>
      </c>
      <c r="B143" s="144" t="s">
        <v>199</v>
      </c>
      <c r="C143" s="20" t="s">
        <v>201</v>
      </c>
      <c r="D143" s="20">
        <f>(27.88+3*0.6+2.45*0.55+1.8*0.6+3*0.6)*10.764</f>
        <v>364.98032999999998</v>
      </c>
      <c r="E143" s="20">
        <f>(2.35*1.5+2.2*2.5)*10.764</f>
        <v>97.145099999999999</v>
      </c>
      <c r="F143" s="20">
        <v>818</v>
      </c>
      <c r="G143" s="135"/>
      <c r="H143" s="136"/>
      <c r="I143" s="37"/>
      <c r="N143" s="2" t="str">
        <f t="shared" ca="1" si="14"/>
        <v>103,..,1303</v>
      </c>
      <c r="O143" s="2">
        <f t="shared" ca="1" si="15"/>
        <v>103</v>
      </c>
      <c r="P143" s="2">
        <f t="shared" ca="1" si="15"/>
        <v>1303</v>
      </c>
    </row>
    <row r="144" spans="1:16" s="2" customFormat="1" ht="15.75" customHeight="1" x14ac:dyDescent="0.35">
      <c r="A144" s="143">
        <v>1304</v>
      </c>
      <c r="B144" s="144" t="s">
        <v>200</v>
      </c>
      <c r="C144" s="20" t="s">
        <v>202</v>
      </c>
      <c r="D144" s="20">
        <f>(31.693+2.65*0.6+2.8*0.6+2.45*0.55+1.805*0.6+2.4*0.6+1.95*0.6)*10.764</f>
        <v>430.59767399999998</v>
      </c>
      <c r="E144" s="20">
        <f>(2.2*2.5)*10.764</f>
        <v>59.201999999999998</v>
      </c>
      <c r="F144" s="20">
        <v>960</v>
      </c>
      <c r="G144" s="135"/>
      <c r="H144" s="136"/>
      <c r="I144" s="37"/>
      <c r="N144" s="2" t="str">
        <f t="shared" ca="1" si="14"/>
        <v>104,..,1304</v>
      </c>
      <c r="O144" s="2">
        <f t="shared" ca="1" si="15"/>
        <v>104</v>
      </c>
      <c r="P144" s="2">
        <f t="shared" ca="1" si="15"/>
        <v>1304</v>
      </c>
    </row>
    <row r="145" spans="1:16" s="2" customFormat="1" ht="15.75" customHeight="1" x14ac:dyDescent="0.35">
      <c r="A145" s="143">
        <v>1305</v>
      </c>
      <c r="B145" s="144" t="s">
        <v>199</v>
      </c>
      <c r="C145" s="20" t="s">
        <v>201</v>
      </c>
      <c r="D145" s="20">
        <f>(27.883+3*0.6+2.75*0.6+2.7*0.6+2.7*0.6+2.4*0.6)*10.764</f>
        <v>387.64393199999989</v>
      </c>
      <c r="E145" s="20">
        <f>(2.65*1.5)*10.764</f>
        <v>42.786899999999996</v>
      </c>
      <c r="F145" s="20">
        <v>773</v>
      </c>
      <c r="G145" s="135"/>
      <c r="H145" s="136"/>
      <c r="I145" s="37"/>
      <c r="N145" s="2" t="str">
        <f t="shared" ca="1" si="14"/>
        <v>105,..,1305</v>
      </c>
      <c r="O145" s="2">
        <f t="shared" ca="1" si="15"/>
        <v>105</v>
      </c>
      <c r="P145" s="2">
        <f t="shared" ca="1" si="15"/>
        <v>1305</v>
      </c>
    </row>
    <row r="146" spans="1:16" s="2" customFormat="1" ht="15.75" customHeight="1" x14ac:dyDescent="0.35">
      <c r="A146" s="143">
        <v>1306</v>
      </c>
      <c r="B146" s="144" t="s">
        <v>199</v>
      </c>
      <c r="C146" s="20" t="s">
        <v>201</v>
      </c>
      <c r="D146" s="20">
        <f>(27.924+3*0.6+3*0.6+2.2*0.6+3*0.6+2.45*0.6)*10.764</f>
        <v>388.73109599999992</v>
      </c>
      <c r="E146" s="20">
        <f>(3*1.5)*10.764</f>
        <v>48.437999999999995</v>
      </c>
      <c r="F146" s="20">
        <v>773</v>
      </c>
      <c r="G146" s="135"/>
      <c r="H146" s="136"/>
      <c r="I146" s="37"/>
      <c r="N146" s="2" t="str">
        <f t="shared" ca="1" si="14"/>
        <v>106,..,1306</v>
      </c>
      <c r="O146" s="2">
        <f t="shared" ca="1" si="15"/>
        <v>106</v>
      </c>
      <c r="P146" s="2">
        <f t="shared" ca="1" si="15"/>
        <v>1306</v>
      </c>
    </row>
    <row r="147" spans="1:16" s="2" customFormat="1" ht="15.75" customHeight="1" x14ac:dyDescent="0.35">
      <c r="A147" s="143">
        <v>1307</v>
      </c>
      <c r="B147" s="144" t="s">
        <v>199</v>
      </c>
      <c r="C147" s="20" t="s">
        <v>201</v>
      </c>
      <c r="D147" s="20">
        <f>(27.932+2.7*0.6+2.75*0.6+3*0.6+2.7*0.6+2.4*0.6)*10.764</f>
        <v>388.17136799999986</v>
      </c>
      <c r="E147" s="20">
        <f>(2.65*1.5)*10.764</f>
        <v>42.786899999999996</v>
      </c>
      <c r="F147" s="20">
        <v>773</v>
      </c>
      <c r="G147" s="137"/>
      <c r="H147" s="138"/>
      <c r="I147" s="37"/>
      <c r="N147" s="2" t="str">
        <f t="shared" ca="1" si="14"/>
        <v>107,..,1307</v>
      </c>
      <c r="O147" s="2">
        <f t="shared" ca="1" si="15"/>
        <v>107</v>
      </c>
      <c r="P147" s="2">
        <f t="shared" ca="1" si="15"/>
        <v>1307</v>
      </c>
    </row>
    <row r="148" spans="1:16" s="2" customFormat="1" ht="15.75" customHeight="1" x14ac:dyDescent="0.35">
      <c r="A148" s="140" t="s">
        <v>207</v>
      </c>
      <c r="B148" s="141"/>
      <c r="C148" s="141"/>
      <c r="D148" s="141"/>
      <c r="E148" s="141"/>
      <c r="F148" s="141"/>
      <c r="G148" s="141"/>
      <c r="H148" s="142"/>
      <c r="I148" s="37"/>
    </row>
    <row r="149" spans="1:16" s="2" customFormat="1" ht="15.75" customHeight="1" x14ac:dyDescent="0.35">
      <c r="A149" s="143" t="str">
        <f t="shared" ref="A149:A155" ca="1" si="16">N149</f>
        <v>701,..,1501</v>
      </c>
      <c r="B149" s="144" t="s">
        <v>199</v>
      </c>
      <c r="C149" s="20" t="s">
        <v>202</v>
      </c>
      <c r="D149" s="20">
        <f>(34.737+2.65*0.6+2.8*0.6+2.45*0.6+1.806*0.6+2.4*0.6+1.95*0.6)*10.764</f>
        <v>464.68833839999991</v>
      </c>
      <c r="E149" s="20">
        <f>(3*1.5+2.3*2.5)*10.764</f>
        <v>110.33099999999999</v>
      </c>
      <c r="F149" s="20">
        <f>D149*1.88+E149</f>
        <v>983.94507619199976</v>
      </c>
      <c r="G149" s="133" t="str">
        <f>A148</f>
        <v xml:space="preserve">7th, 11th, 15th Floor </v>
      </c>
      <c r="H149" s="134"/>
      <c r="I149" s="37"/>
      <c r="N149" s="2" t="str">
        <f t="shared" ref="N149:N155" ca="1" si="17">O149&amp;""&amp;",..,"&amp;""&amp;P149</f>
        <v>701,..,1501</v>
      </c>
      <c r="O149" s="2">
        <f ca="1">(SUMPRODUCT(MID(0&amp;(LEFT(A148,SUM(LEN(A148)-LEN(SUBSTITUTE(A148,{"0","1","2"},""))))), LARGE(INDEX(ISNUMBER(--MID((LEFT(A148,SUM(LEN(A148)-LEN(SUBSTITUTE(A148,{"0","1","2"},""))))), ROW(INDIRECT("1:"&amp;LEN((LEFT(A148,SUM(LEN(A148)-LEN(SUBSTITUTE(A148,{"0","1","2"},"")))))))), 1)) * ROW(INDIRECT("1:"&amp;LEN((LEFT(A148,SUM(LEN(A148)-LEN(SUBSTITUTE(A148,{"0","1","2"},"")))))))), 0), ROW(INDIRECT("1:"&amp;LEN((LEFT(A148,SUM(LEN(A148)-LEN(SUBSTITUTE(A148,{"0","1","2"},"")))))))))+1, 1) * 10^ROW(INDIRECT("1:"&amp;LEN((LEFT(A148,SUM(LEN(A148)-LEN(SUBSTITUTE(A148,{"0","1","2"},""))))))))/10))*100+1</f>
        <v>701</v>
      </c>
      <c r="P149" s="2">
        <f ca="1">(SUMPRODUCT(MID(0&amp;(--TRIM(RIGHT(SUBSTITUTE(LEFT(A148,_xlfn.AGGREGATE(16,6,FIND({0,1,2,3,4,5,6,7,8,9},A148,ROW(INDIRECT("1:"&amp;LEN(A148)))),1))," ",REPT(" ",LEN(A148))),LEN(A148)))), LARGE(INDEX(ISNUMBER(--MID((--TRIM(RIGHT(SUBSTITUTE(LEFT(A148,_xlfn.AGGREGATE(16,6,FIND({0,1,2,3,4,5,6,7,8,9},A148,ROW(INDIRECT("1:"&amp;LEN(A148)))),1))," ",REPT(" ",LEN(A148))),LEN(A148)))), ROW(INDIRECT("1:"&amp;LEN((--TRIM(RIGHT(SUBSTITUTE(LEFT(A148,_xlfn.AGGREGATE(16,6,FIND({0,1,2,3,4,5,6,7,8,9},A148,ROW(INDIRECT("1:"&amp;LEN(A148)))),1))," ",REPT(" ",LEN(A148))),LEN(A148))))))), 1)) * ROW(INDIRECT("1:"&amp;LEN((--TRIM(RIGHT(SUBSTITUTE(LEFT(A148,_xlfn.AGGREGATE(16,6,FIND({0,1,2,3,4,5,6,7,8,9},A148,ROW(INDIRECT("1:"&amp;LEN(A148)))),1))," ",REPT(" ",LEN(A148))),LEN(A148))))))), 0), ROW(INDIRECT("1:"&amp;LEN((--TRIM(RIGHT(SUBSTITUTE(LEFT(A148,_xlfn.AGGREGATE(16,6,FIND({0,1,2,3,4,5,6,7,8,9},A148,ROW(INDIRECT("1:"&amp;LEN(A148)))),1))," ",REPT(" ",LEN(A148))),LEN(A148))))))))+1, 1) * 10^ROW(INDIRECT("1:"&amp;LEN((--TRIM(RIGHT(SUBSTITUTE(LEFT(A148,_xlfn.AGGREGATE(16,6,FIND({0,1,2,3,4,5,6,7,8,9},A148,ROW(INDIRECT("1:"&amp;LEN(A148)))),1))," ",REPT(" ",LEN(A148))),LEN(A148)))))))/10))*100+1</f>
        <v>1501</v>
      </c>
    </row>
    <row r="150" spans="1:16" s="2" customFormat="1" ht="15.75" customHeight="1" x14ac:dyDescent="0.35">
      <c r="A150" s="143" t="str">
        <f t="shared" ca="1" si="16"/>
        <v>702,..,1502</v>
      </c>
      <c r="B150" s="144" t="s">
        <v>200</v>
      </c>
      <c r="C150" s="20" t="s">
        <v>250</v>
      </c>
      <c r="D150" s="20">
        <f>(29.514+3*0.6+2.45*0.55+2.2*0.8+1.8*0.6+2.25*0.6+1.85*0.6)*10.764</f>
        <v>408.61758599999996</v>
      </c>
      <c r="E150" s="20">
        <f>(2.15*2.5+2.7*1.5)*10.764</f>
        <v>101.4507</v>
      </c>
      <c r="F150" s="20">
        <v>919</v>
      </c>
      <c r="G150" s="135"/>
      <c r="H150" s="136"/>
      <c r="I150" s="37"/>
      <c r="N150" s="2" t="str">
        <f t="shared" ca="1" si="17"/>
        <v>702,..,1502</v>
      </c>
      <c r="O150" s="2">
        <f t="shared" ref="O150:P155" ca="1" si="18">O149+1</f>
        <v>702</v>
      </c>
      <c r="P150" s="2">
        <f t="shared" ca="1" si="18"/>
        <v>1502</v>
      </c>
    </row>
    <row r="151" spans="1:16" s="2" customFormat="1" ht="15.75" customHeight="1" x14ac:dyDescent="0.35">
      <c r="A151" s="143" t="str">
        <f t="shared" ca="1" si="16"/>
        <v>703,..,1503</v>
      </c>
      <c r="B151" s="144" t="s">
        <v>200</v>
      </c>
      <c r="C151" s="20" t="s">
        <v>250</v>
      </c>
      <c r="D151" s="20">
        <f>(29.514+3*0.6+2.45*0.55+2.2*0.8+1.8*0.6+2.25*0.6+1.85*0.6)*10.764</f>
        <v>408.61758599999996</v>
      </c>
      <c r="E151" s="20">
        <f>(2.15*2.5+2.7*1.5)*10.764</f>
        <v>101.4507</v>
      </c>
      <c r="F151" s="20">
        <v>919</v>
      </c>
      <c r="G151" s="135"/>
      <c r="H151" s="136"/>
      <c r="I151" s="37"/>
      <c r="N151" s="2" t="str">
        <f t="shared" ca="1" si="17"/>
        <v>703,..,1503</v>
      </c>
      <c r="O151" s="2">
        <f t="shared" ca="1" si="18"/>
        <v>703</v>
      </c>
      <c r="P151" s="2">
        <f t="shared" ca="1" si="18"/>
        <v>1503</v>
      </c>
    </row>
    <row r="152" spans="1:16" s="2" customFormat="1" ht="15.75" customHeight="1" x14ac:dyDescent="0.35">
      <c r="A152" s="143" t="str">
        <f t="shared" ca="1" si="16"/>
        <v>704,..,1504</v>
      </c>
      <c r="B152" s="144" t="s">
        <v>199</v>
      </c>
      <c r="C152" s="20" t="s">
        <v>202</v>
      </c>
      <c r="D152" s="20">
        <f>(34.737+2.65*0.6+2.8*0.6+2.45*0.6+1.806*0.6+2.4*0.6+1.95*0.6)*10.764</f>
        <v>464.68833839999991</v>
      </c>
      <c r="E152" s="20">
        <f>(2.3*2.5+3*1.5)*10.764</f>
        <v>110.33099999999999</v>
      </c>
      <c r="F152" s="20">
        <v>984</v>
      </c>
      <c r="G152" s="135"/>
      <c r="H152" s="136"/>
      <c r="I152" s="37"/>
      <c r="N152" s="2" t="str">
        <f t="shared" ca="1" si="17"/>
        <v>704,..,1504</v>
      </c>
      <c r="O152" s="2">
        <f t="shared" ca="1" si="18"/>
        <v>704</v>
      </c>
      <c r="P152" s="2">
        <f t="shared" ca="1" si="18"/>
        <v>1504</v>
      </c>
    </row>
    <row r="153" spans="1:16" s="2" customFormat="1" ht="15.75" customHeight="1" x14ac:dyDescent="0.35">
      <c r="A153" s="143" t="str">
        <f t="shared" ca="1" si="16"/>
        <v>705,..,1505</v>
      </c>
      <c r="B153" s="144" t="s">
        <v>199</v>
      </c>
      <c r="C153" s="20" t="s">
        <v>201</v>
      </c>
      <c r="D153" s="20">
        <f>(27.883+3*0.6+2.75*0.6+2.7*0.6+2.7*0.6+2.4*0.6)*10.764</f>
        <v>387.64393199999989</v>
      </c>
      <c r="E153" s="20">
        <f>(2.65*1.5)*10.764</f>
        <v>42.786899999999996</v>
      </c>
      <c r="F153" s="20">
        <v>773</v>
      </c>
      <c r="G153" s="135"/>
      <c r="H153" s="136"/>
      <c r="I153" s="37"/>
      <c r="N153" s="2" t="str">
        <f t="shared" ca="1" si="17"/>
        <v>705,..,1505</v>
      </c>
      <c r="O153" s="2">
        <f t="shared" ca="1" si="18"/>
        <v>705</v>
      </c>
      <c r="P153" s="2">
        <f t="shared" ca="1" si="18"/>
        <v>1505</v>
      </c>
    </row>
    <row r="154" spans="1:16" s="2" customFormat="1" ht="15.75" customHeight="1" x14ac:dyDescent="0.35">
      <c r="A154" s="143" t="str">
        <f t="shared" ca="1" si="16"/>
        <v>706,..,1506</v>
      </c>
      <c r="B154" s="144" t="s">
        <v>199</v>
      </c>
      <c r="C154" s="20" t="s">
        <v>201</v>
      </c>
      <c r="D154" s="20">
        <f>(27.924+3*0.6+3*0.6+2.2*0.6+3*0.6+2.45*0.6)*10.764</f>
        <v>388.73109599999992</v>
      </c>
      <c r="E154" s="20">
        <f>(3*1.5)*10.764</f>
        <v>48.437999999999995</v>
      </c>
      <c r="F154" s="20">
        <v>773</v>
      </c>
      <c r="G154" s="135"/>
      <c r="H154" s="136"/>
      <c r="I154" s="37"/>
      <c r="N154" s="2" t="str">
        <f t="shared" ca="1" si="17"/>
        <v>706,..,1506</v>
      </c>
      <c r="O154" s="2">
        <f t="shared" ca="1" si="18"/>
        <v>706</v>
      </c>
      <c r="P154" s="2">
        <f t="shared" ca="1" si="18"/>
        <v>1506</v>
      </c>
    </row>
    <row r="155" spans="1:16" s="2" customFormat="1" ht="15.75" customHeight="1" x14ac:dyDescent="0.35">
      <c r="A155" s="143" t="str">
        <f t="shared" ca="1" si="16"/>
        <v>707,..,1507</v>
      </c>
      <c r="B155" s="144" t="s">
        <v>199</v>
      </c>
      <c r="C155" s="20" t="s">
        <v>201</v>
      </c>
      <c r="D155" s="20">
        <f>(27.883+2.75*0.6+2.7*0.6+3*0.6+2.4*0.6+2.7)*10.764</f>
        <v>399.26905199999993</v>
      </c>
      <c r="E155" s="20">
        <f>(2.65*1.5)*10.764</f>
        <v>42.786899999999996</v>
      </c>
      <c r="F155" s="20">
        <v>773</v>
      </c>
      <c r="G155" s="137"/>
      <c r="H155" s="138"/>
      <c r="I155" s="37"/>
      <c r="N155" s="2" t="str">
        <f t="shared" ca="1" si="17"/>
        <v>707,..,1507</v>
      </c>
      <c r="O155" s="2">
        <f t="shared" ca="1" si="18"/>
        <v>707</v>
      </c>
      <c r="P155" s="2">
        <f t="shared" ca="1" si="18"/>
        <v>1507</v>
      </c>
    </row>
    <row r="156" spans="1:16" s="2" customFormat="1" ht="15.75" customHeight="1" x14ac:dyDescent="0.35">
      <c r="A156" s="140" t="s">
        <v>221</v>
      </c>
      <c r="B156" s="141"/>
      <c r="C156" s="141"/>
      <c r="D156" s="141"/>
      <c r="E156" s="141"/>
      <c r="F156" s="141"/>
      <c r="G156" s="141"/>
      <c r="H156" s="142"/>
      <c r="I156" s="37"/>
    </row>
    <row r="157" spans="1:16" s="2" customFormat="1" ht="15.75" customHeight="1" x14ac:dyDescent="0.35">
      <c r="A157" s="143">
        <v>1801</v>
      </c>
      <c r="B157" s="144" t="s">
        <v>200</v>
      </c>
      <c r="C157" s="20" t="s">
        <v>202</v>
      </c>
      <c r="D157" s="20">
        <f>(33.283+0.6*(2.65+2.8+2.45+1.806)+0.6*(1.95+3))*10.764</f>
        <v>452.91252239999994</v>
      </c>
      <c r="E157" s="20">
        <f>(2.5*1.5)*10.764</f>
        <v>40.364999999999995</v>
      </c>
      <c r="F157" s="20">
        <v>956</v>
      </c>
      <c r="G157" s="133" t="str">
        <f>A156</f>
        <v>18th Floor (Part Refuge Area)</v>
      </c>
      <c r="H157" s="134"/>
      <c r="I157" s="37"/>
      <c r="N157" s="2" t="str">
        <f t="shared" ref="N157:N163" ca="1" si="19">O157&amp;""&amp;",..,"&amp;""&amp;P157</f>
        <v>101,..,1801</v>
      </c>
      <c r="O157" s="2">
        <f ca="1">(SUMPRODUCT(MID(0&amp;(LEFT(A156,SUM(LEN(A156)-LEN(SUBSTITUTE(A156,{"0","1","2"},""))))), LARGE(INDEX(ISNUMBER(--MID((LEFT(A156,SUM(LEN(A156)-LEN(SUBSTITUTE(A156,{"0","1","2"},""))))), ROW(INDIRECT("1:"&amp;LEN((LEFT(A156,SUM(LEN(A156)-LEN(SUBSTITUTE(A156,{"0","1","2"},"")))))))), 1)) * ROW(INDIRECT("1:"&amp;LEN((LEFT(A156,SUM(LEN(A156)-LEN(SUBSTITUTE(A156,{"0","1","2"},"")))))))), 0), ROW(INDIRECT("1:"&amp;LEN((LEFT(A156,SUM(LEN(A156)-LEN(SUBSTITUTE(A156,{"0","1","2"},"")))))))))+1, 1) * 10^ROW(INDIRECT("1:"&amp;LEN((LEFT(A156,SUM(LEN(A156)-LEN(SUBSTITUTE(A156,{"0","1","2"},""))))))))/10))*100+1</f>
        <v>101</v>
      </c>
      <c r="P157" s="2">
        <f ca="1">(SUMPRODUCT(MID(0&amp;(--TRIM(RIGHT(SUBSTITUTE(LEFT(A156,_xlfn.AGGREGATE(16,6,FIND({0,1,2,3,4,5,6,7,8,9},A156,ROW(INDIRECT("1:"&amp;LEN(A156)))),1))," ",REPT(" ",LEN(A156))),LEN(A156)))), LARGE(INDEX(ISNUMBER(--MID((--TRIM(RIGHT(SUBSTITUTE(LEFT(A156,_xlfn.AGGREGATE(16,6,FIND({0,1,2,3,4,5,6,7,8,9},A156,ROW(INDIRECT("1:"&amp;LEN(A156)))),1))," ",REPT(" ",LEN(A156))),LEN(A156)))), ROW(INDIRECT("1:"&amp;LEN((--TRIM(RIGHT(SUBSTITUTE(LEFT(A156,_xlfn.AGGREGATE(16,6,FIND({0,1,2,3,4,5,6,7,8,9},A156,ROW(INDIRECT("1:"&amp;LEN(A156)))),1))," ",REPT(" ",LEN(A156))),LEN(A156))))))), 1)) * ROW(INDIRECT("1:"&amp;LEN((--TRIM(RIGHT(SUBSTITUTE(LEFT(A156,_xlfn.AGGREGATE(16,6,FIND({0,1,2,3,4,5,6,7,8,9},A156,ROW(INDIRECT("1:"&amp;LEN(A156)))),1))," ",REPT(" ",LEN(A156))),LEN(A156))))))), 0), ROW(INDIRECT("1:"&amp;LEN((--TRIM(RIGHT(SUBSTITUTE(LEFT(A156,_xlfn.AGGREGATE(16,6,FIND({0,1,2,3,4,5,6,7,8,9},A156,ROW(INDIRECT("1:"&amp;LEN(A156)))),1))," ",REPT(" ",LEN(A156))),LEN(A156))))))))+1, 1) * 10^ROW(INDIRECT("1:"&amp;LEN((--TRIM(RIGHT(SUBSTITUTE(LEFT(A156,_xlfn.AGGREGATE(16,6,FIND({0,1,2,3,4,5,6,7,8,9},A156,ROW(INDIRECT("1:"&amp;LEN(A156)))),1))," ",REPT(" ",LEN(A156))),LEN(A156)))))))/10))*100+1</f>
        <v>1801</v>
      </c>
    </row>
    <row r="158" spans="1:16" s="2" customFormat="1" ht="15.75" customHeight="1" x14ac:dyDescent="0.35">
      <c r="A158" s="143">
        <v>1802</v>
      </c>
      <c r="B158" s="144" t="s">
        <v>200</v>
      </c>
      <c r="C158" s="20" t="s">
        <v>201</v>
      </c>
      <c r="D158" s="20">
        <f>(26.484+0.6*(3+2.45+1.8)+0.6*(2.2+2.25))*10.764</f>
        <v>360.63705600000003</v>
      </c>
      <c r="E158" s="20">
        <f>(2.05*1.5)*10.764</f>
        <v>33.099299999999992</v>
      </c>
      <c r="F158" s="20">
        <v>755</v>
      </c>
      <c r="G158" s="135"/>
      <c r="H158" s="136"/>
      <c r="I158" s="37"/>
      <c r="N158" s="2" t="str">
        <f t="shared" ca="1" si="19"/>
        <v>102,..,1802</v>
      </c>
      <c r="O158" s="2">
        <f t="shared" ref="O158:P163" ca="1" si="20">O157+1</f>
        <v>102</v>
      </c>
      <c r="P158" s="2">
        <f t="shared" ca="1" si="20"/>
        <v>1802</v>
      </c>
    </row>
    <row r="159" spans="1:16" s="2" customFormat="1" ht="15.75" customHeight="1" x14ac:dyDescent="0.35">
      <c r="A159" s="143">
        <v>1803</v>
      </c>
      <c r="B159" s="144" t="s">
        <v>200</v>
      </c>
      <c r="C159" s="20" t="s">
        <v>201</v>
      </c>
      <c r="D159" s="20">
        <f>(26.484+0.6*(3+2.45+1.8)+0.6*(2.2+2.25))*10.764</f>
        <v>360.63705600000003</v>
      </c>
      <c r="E159" s="20">
        <f>(2.05*1.5)*10.764</f>
        <v>33.099299999999992</v>
      </c>
      <c r="F159" s="20">
        <v>755</v>
      </c>
      <c r="G159" s="135"/>
      <c r="H159" s="136"/>
      <c r="I159" s="37"/>
      <c r="N159" s="2" t="str">
        <f t="shared" ca="1" si="19"/>
        <v>103,..,1803</v>
      </c>
      <c r="O159" s="2">
        <f t="shared" ca="1" si="20"/>
        <v>103</v>
      </c>
      <c r="P159" s="2">
        <f t="shared" ca="1" si="20"/>
        <v>1803</v>
      </c>
    </row>
    <row r="160" spans="1:16" s="2" customFormat="1" ht="15.75" customHeight="1" x14ac:dyDescent="0.35">
      <c r="A160" s="143">
        <v>1804</v>
      </c>
      <c r="B160" s="144" t="s">
        <v>200</v>
      </c>
      <c r="C160" s="20" t="s">
        <v>202</v>
      </c>
      <c r="D160" s="20">
        <f>(33.283+0.6*(2.65+2.8+2.45+1.805)+0.6*(1.95+3))*10.764</f>
        <v>452.90606399999996</v>
      </c>
      <c r="E160" s="20">
        <f>(2.5*1.5)*10.764</f>
        <v>40.364999999999995</v>
      </c>
      <c r="F160" s="20">
        <v>956</v>
      </c>
      <c r="G160" s="135"/>
      <c r="H160" s="136"/>
      <c r="I160" s="37"/>
      <c r="N160" s="2" t="str">
        <f t="shared" ca="1" si="19"/>
        <v>104,..,1804</v>
      </c>
      <c r="O160" s="2">
        <f t="shared" ca="1" si="20"/>
        <v>104</v>
      </c>
      <c r="P160" s="2">
        <f t="shared" ca="1" si="20"/>
        <v>1804</v>
      </c>
    </row>
    <row r="161" spans="1:16" s="2" customFormat="1" ht="15.75" customHeight="1" x14ac:dyDescent="0.35">
      <c r="A161" s="143">
        <v>1805</v>
      </c>
      <c r="B161" s="144" t="s">
        <v>199</v>
      </c>
      <c r="C161" s="20" t="s">
        <v>201</v>
      </c>
      <c r="D161" s="20">
        <f>(27.883+0.6*(3+2.75+2.7)+0.6*(2.65+2.4))*10.764</f>
        <v>387.32101199999994</v>
      </c>
      <c r="E161" s="20">
        <f>(2.7*1.5)*10.764</f>
        <v>43.594200000000008</v>
      </c>
      <c r="F161" s="20">
        <v>773</v>
      </c>
      <c r="G161" s="135"/>
      <c r="H161" s="136"/>
      <c r="I161" s="37"/>
      <c r="N161" s="2" t="str">
        <f t="shared" ca="1" si="19"/>
        <v>105,..,1805</v>
      </c>
      <c r="O161" s="2">
        <f t="shared" ca="1" si="20"/>
        <v>105</v>
      </c>
      <c r="P161" s="2">
        <f t="shared" ca="1" si="20"/>
        <v>1805</v>
      </c>
    </row>
    <row r="162" spans="1:16" s="2" customFormat="1" ht="15.75" customHeight="1" x14ac:dyDescent="0.35">
      <c r="A162" s="143">
        <v>1806</v>
      </c>
      <c r="B162" s="144" t="s">
        <v>199</v>
      </c>
      <c r="C162" s="20" t="s">
        <v>201</v>
      </c>
      <c r="D162" s="20">
        <f>(27.924+0.6*(3+3+2.2)+0.6*(3+2.45))*10.764</f>
        <v>388.73109600000004</v>
      </c>
      <c r="E162" s="20">
        <f>(3*1.5)*10.764</f>
        <v>48.437999999999995</v>
      </c>
      <c r="F162" s="20">
        <v>773</v>
      </c>
      <c r="G162" s="135"/>
      <c r="H162" s="136"/>
      <c r="I162" s="37"/>
      <c r="N162" s="2" t="str">
        <f t="shared" ca="1" si="19"/>
        <v>106,..,1806</v>
      </c>
      <c r="O162" s="2">
        <f t="shared" ca="1" si="20"/>
        <v>106</v>
      </c>
      <c r="P162" s="2">
        <f t="shared" ca="1" si="20"/>
        <v>1806</v>
      </c>
    </row>
    <row r="163" spans="1:16" s="2" customFormat="1" ht="15.75" customHeight="1" x14ac:dyDescent="0.35">
      <c r="A163" s="143">
        <v>1807</v>
      </c>
      <c r="B163" s="144" t="s">
        <v>199</v>
      </c>
      <c r="C163" s="20" t="s">
        <v>201</v>
      </c>
      <c r="D163" s="20">
        <f>(27.883+0.6*(3+2.75+2.7)+0.6*(2.65+2.4))*10.764</f>
        <v>387.32101199999994</v>
      </c>
      <c r="E163" s="20">
        <f>(2.7*1.5)*10.764</f>
        <v>43.594200000000008</v>
      </c>
      <c r="F163" s="20">
        <v>773</v>
      </c>
      <c r="G163" s="137"/>
      <c r="H163" s="138"/>
      <c r="I163" s="37"/>
      <c r="N163" s="2" t="str">
        <f t="shared" ca="1" si="19"/>
        <v>107,..,1807</v>
      </c>
      <c r="O163" s="2">
        <f t="shared" ca="1" si="20"/>
        <v>107</v>
      </c>
      <c r="P163" s="2">
        <f t="shared" ca="1" si="20"/>
        <v>1807</v>
      </c>
    </row>
    <row r="164" spans="1:16" s="2" customFormat="1" ht="15.75" customHeight="1" x14ac:dyDescent="0.35">
      <c r="A164" s="139" t="s">
        <v>222</v>
      </c>
      <c r="B164" s="139"/>
      <c r="C164" s="139"/>
      <c r="D164" s="139"/>
      <c r="E164" s="139"/>
      <c r="F164" s="139"/>
      <c r="G164" s="139"/>
      <c r="H164" s="139"/>
      <c r="I164" s="37"/>
    </row>
    <row r="165" spans="1:16" s="2" customFormat="1" ht="15.75" customHeight="1" x14ac:dyDescent="0.35">
      <c r="A165" s="145">
        <v>1901</v>
      </c>
      <c r="B165" s="145" t="s">
        <v>199</v>
      </c>
      <c r="C165" s="68" t="s">
        <v>202</v>
      </c>
      <c r="D165" s="68">
        <f>(34.737+0.6*(2.65+2.8+2.45+1.805)+0.6*(2.45+1.95))*10.764</f>
        <v>465.00479999999999</v>
      </c>
      <c r="E165" s="68">
        <f>(2.3*2.6+3*1.5)*10.764</f>
        <v>112.80672</v>
      </c>
      <c r="F165" s="68">
        <v>984</v>
      </c>
      <c r="G165" s="145" t="str">
        <f>A164</f>
        <v xml:space="preserve">19th Floor </v>
      </c>
      <c r="H165" s="145"/>
      <c r="I165" s="37"/>
      <c r="N165" s="2" t="str">
        <f t="shared" ref="N165:N171" ca="1" si="21">O165&amp;""&amp;",..,"&amp;""&amp;P165</f>
        <v>101,..,1901</v>
      </c>
      <c r="O165" s="2">
        <f ca="1">(SUMPRODUCT(MID(0&amp;(LEFT(A164,SUM(LEN(A164)-LEN(SUBSTITUTE(A164,{"0","1","2"},""))))), LARGE(INDEX(ISNUMBER(--MID((LEFT(A164,SUM(LEN(A164)-LEN(SUBSTITUTE(A164,{"0","1","2"},""))))), ROW(INDIRECT("1:"&amp;LEN((LEFT(A164,SUM(LEN(A164)-LEN(SUBSTITUTE(A164,{"0","1","2"},"")))))))), 1)) * ROW(INDIRECT("1:"&amp;LEN((LEFT(A164,SUM(LEN(A164)-LEN(SUBSTITUTE(A164,{"0","1","2"},"")))))))), 0), ROW(INDIRECT("1:"&amp;LEN((LEFT(A164,SUM(LEN(A164)-LEN(SUBSTITUTE(A164,{"0","1","2"},"")))))))))+1, 1) * 10^ROW(INDIRECT("1:"&amp;LEN((LEFT(A164,SUM(LEN(A164)-LEN(SUBSTITUTE(A164,{"0","1","2"},""))))))))/10))*100+1</f>
        <v>101</v>
      </c>
      <c r="P165" s="2">
        <f ca="1">(SUMPRODUCT(MID(0&amp;(--TRIM(RIGHT(SUBSTITUTE(LEFT(A164,_xlfn.AGGREGATE(16,6,FIND({0,1,2,3,4,5,6,7,8,9},A164,ROW(INDIRECT("1:"&amp;LEN(A164)))),1))," ",REPT(" ",LEN(A164))),LEN(A164)))), LARGE(INDEX(ISNUMBER(--MID((--TRIM(RIGHT(SUBSTITUTE(LEFT(A164,_xlfn.AGGREGATE(16,6,FIND({0,1,2,3,4,5,6,7,8,9},A164,ROW(INDIRECT("1:"&amp;LEN(A164)))),1))," ",REPT(" ",LEN(A164))),LEN(A164)))), ROW(INDIRECT("1:"&amp;LEN((--TRIM(RIGHT(SUBSTITUTE(LEFT(A164,_xlfn.AGGREGATE(16,6,FIND({0,1,2,3,4,5,6,7,8,9},A164,ROW(INDIRECT("1:"&amp;LEN(A164)))),1))," ",REPT(" ",LEN(A164))),LEN(A164))))))), 1)) * ROW(INDIRECT("1:"&amp;LEN((--TRIM(RIGHT(SUBSTITUTE(LEFT(A164,_xlfn.AGGREGATE(16,6,FIND({0,1,2,3,4,5,6,7,8,9},A164,ROW(INDIRECT("1:"&amp;LEN(A164)))),1))," ",REPT(" ",LEN(A164))),LEN(A164))))))), 0), ROW(INDIRECT("1:"&amp;LEN((--TRIM(RIGHT(SUBSTITUTE(LEFT(A164,_xlfn.AGGREGATE(16,6,FIND({0,1,2,3,4,5,6,7,8,9},A164,ROW(INDIRECT("1:"&amp;LEN(A164)))),1))," ",REPT(" ",LEN(A164))),LEN(A164))))))))+1, 1) * 10^ROW(INDIRECT("1:"&amp;LEN((--TRIM(RIGHT(SUBSTITUTE(LEFT(A164,_xlfn.AGGREGATE(16,6,FIND({0,1,2,3,4,5,6,7,8,9},A164,ROW(INDIRECT("1:"&amp;LEN(A164)))),1))," ",REPT(" ",LEN(A164))),LEN(A164)))))))/10))*100+1</f>
        <v>1901</v>
      </c>
    </row>
    <row r="166" spans="1:16" s="2" customFormat="1" ht="15.75" customHeight="1" x14ac:dyDescent="0.35">
      <c r="A166" s="145">
        <v>1902</v>
      </c>
      <c r="B166" s="145" t="s">
        <v>200</v>
      </c>
      <c r="C166" s="68" t="s">
        <v>250</v>
      </c>
      <c r="D166" s="68">
        <f>(30.657+0.6*(3+2.45+2.2+1.805)+0.6*(2.25+1.85))*10.764</f>
        <v>417.53555999999998</v>
      </c>
      <c r="E166" s="68">
        <f>(2.15*2.5+2.7*1.5)*10.764</f>
        <v>101.4507</v>
      </c>
      <c r="F166" s="68">
        <v>919</v>
      </c>
      <c r="G166" s="145"/>
      <c r="H166" s="145"/>
      <c r="I166" s="37"/>
      <c r="N166" s="2" t="str">
        <f t="shared" ca="1" si="21"/>
        <v>102,..,1902</v>
      </c>
      <c r="O166" s="2">
        <f t="shared" ref="O166:P171" ca="1" si="22">O165+1</f>
        <v>102</v>
      </c>
      <c r="P166" s="2">
        <f t="shared" ca="1" si="22"/>
        <v>1902</v>
      </c>
    </row>
    <row r="167" spans="1:16" s="2" customFormat="1" ht="15.75" customHeight="1" x14ac:dyDescent="0.35">
      <c r="A167" s="145">
        <v>1903</v>
      </c>
      <c r="B167" s="145" t="s">
        <v>200</v>
      </c>
      <c r="C167" s="68" t="s">
        <v>250</v>
      </c>
      <c r="D167" s="68">
        <f>(30.657+0.6*(3+2.45+2.2+1.805)+0.6*(2.25+1.85))*10.764</f>
        <v>417.53555999999998</v>
      </c>
      <c r="E167" s="68">
        <f>(2.15*2.5+2.7*1.5)*10.764</f>
        <v>101.4507</v>
      </c>
      <c r="F167" s="68">
        <v>919</v>
      </c>
      <c r="G167" s="145"/>
      <c r="H167" s="145"/>
      <c r="I167" s="37"/>
      <c r="N167" s="2" t="str">
        <f t="shared" ca="1" si="21"/>
        <v>103,..,1903</v>
      </c>
      <c r="O167" s="2">
        <f t="shared" ca="1" si="22"/>
        <v>103</v>
      </c>
      <c r="P167" s="2">
        <f t="shared" ca="1" si="22"/>
        <v>1903</v>
      </c>
    </row>
    <row r="168" spans="1:16" s="2" customFormat="1" ht="15.75" customHeight="1" x14ac:dyDescent="0.35">
      <c r="A168" s="145">
        <v>1904</v>
      </c>
      <c r="B168" s="145" t="s">
        <v>199</v>
      </c>
      <c r="C168" s="68" t="s">
        <v>202</v>
      </c>
      <c r="D168" s="68">
        <f>(34.737+0.6*(2.65+2.8+2.45+1.805)+0.6*(1.95+2.4))*10.764</f>
        <v>464.68187999999998</v>
      </c>
      <c r="E168" s="68">
        <f>(2.3*2.5+3*1.5)*10.764</f>
        <v>110.33099999999999</v>
      </c>
      <c r="F168" s="68">
        <v>984</v>
      </c>
      <c r="G168" s="145"/>
      <c r="H168" s="145"/>
      <c r="I168" s="37"/>
      <c r="N168" s="2" t="str">
        <f t="shared" ca="1" si="21"/>
        <v>104,..,1904</v>
      </c>
      <c r="O168" s="2">
        <f t="shared" ca="1" si="22"/>
        <v>104</v>
      </c>
      <c r="P168" s="2">
        <f t="shared" ca="1" si="22"/>
        <v>1904</v>
      </c>
    </row>
    <row r="169" spans="1:16" s="2" customFormat="1" ht="15.75" customHeight="1" x14ac:dyDescent="0.35">
      <c r="A169" s="145">
        <v>1905</v>
      </c>
      <c r="B169" s="145" t="s">
        <v>199</v>
      </c>
      <c r="C169" s="68" t="s">
        <v>201</v>
      </c>
      <c r="D169" s="68">
        <f>(27.871+0.6*(2.75+2.7)+0.6*(2.7+2.4))*10.764</f>
        <v>368.13956400000001</v>
      </c>
      <c r="E169" s="68">
        <f>(2.65*1.5)*10.764</f>
        <v>42.786899999999996</v>
      </c>
      <c r="F169" s="68">
        <v>773</v>
      </c>
      <c r="G169" s="145"/>
      <c r="H169" s="145"/>
      <c r="I169" s="37"/>
      <c r="N169" s="2" t="str">
        <f t="shared" ca="1" si="21"/>
        <v>105,..,1905</v>
      </c>
      <c r="O169" s="2">
        <f t="shared" ca="1" si="22"/>
        <v>105</v>
      </c>
      <c r="P169" s="2">
        <f t="shared" ca="1" si="22"/>
        <v>1905</v>
      </c>
    </row>
    <row r="170" spans="1:16" s="2" customFormat="1" ht="15.75" customHeight="1" x14ac:dyDescent="0.35">
      <c r="A170" s="145">
        <v>1906</v>
      </c>
      <c r="B170" s="145" t="s">
        <v>199</v>
      </c>
      <c r="C170" s="68" t="s">
        <v>201</v>
      </c>
      <c r="D170" s="68">
        <f>(27.871+0.6*(3+2.2)+0.6*(3+2.45))*10.764</f>
        <v>368.78540400000003</v>
      </c>
      <c r="E170" s="68">
        <f>(3*1.5)*10.764</f>
        <v>48.437999999999995</v>
      </c>
      <c r="F170" s="68">
        <v>773</v>
      </c>
      <c r="G170" s="145"/>
      <c r="H170" s="145"/>
      <c r="I170" s="37"/>
      <c r="N170" s="2" t="str">
        <f t="shared" ca="1" si="21"/>
        <v>106,..,1906</v>
      </c>
      <c r="O170" s="2">
        <f t="shared" ca="1" si="22"/>
        <v>106</v>
      </c>
      <c r="P170" s="2">
        <f t="shared" ca="1" si="22"/>
        <v>1906</v>
      </c>
    </row>
    <row r="171" spans="1:16" s="2" customFormat="1" ht="15.75" customHeight="1" x14ac:dyDescent="0.35">
      <c r="A171" s="145">
        <v>1907</v>
      </c>
      <c r="B171" s="145" t="s">
        <v>199</v>
      </c>
      <c r="C171" s="68" t="s">
        <v>201</v>
      </c>
      <c r="D171" s="68">
        <f>(27.88+0.6*(2.7+2.75+2.135)+0.6*(2.7+2.4))*10.764</f>
        <v>382.02512399999995</v>
      </c>
      <c r="E171" s="68">
        <f>(2.65*1.5)*10.764</f>
        <v>42.786899999999996</v>
      </c>
      <c r="F171" s="68">
        <v>773</v>
      </c>
      <c r="G171" s="145"/>
      <c r="H171" s="145"/>
      <c r="I171" s="37"/>
      <c r="N171" s="2" t="str">
        <f t="shared" ca="1" si="21"/>
        <v>107,..,1907</v>
      </c>
      <c r="O171" s="2">
        <f t="shared" ca="1" si="22"/>
        <v>107</v>
      </c>
      <c r="P171" s="2">
        <f t="shared" ca="1" si="22"/>
        <v>1907</v>
      </c>
    </row>
    <row r="172" spans="1:16" s="2" customFormat="1" ht="15.75" customHeight="1" x14ac:dyDescent="0.35">
      <c r="A172" s="139" t="s">
        <v>223</v>
      </c>
      <c r="B172" s="139"/>
      <c r="C172" s="139"/>
      <c r="D172" s="139"/>
      <c r="E172" s="139"/>
      <c r="F172" s="139"/>
      <c r="G172" s="139"/>
      <c r="H172" s="139"/>
      <c r="I172" s="37"/>
    </row>
    <row r="173" spans="1:16" s="2" customFormat="1" ht="15.75" customHeight="1" x14ac:dyDescent="0.35">
      <c r="A173" s="145">
        <v>2001</v>
      </c>
      <c r="B173" s="145" t="s">
        <v>200</v>
      </c>
      <c r="C173" s="68" t="s">
        <v>202</v>
      </c>
      <c r="D173" s="68">
        <f>(35.264+0.6*(2.65+2.8+2.45+1.806)+0.6*(1.95+3))*10.764</f>
        <v>474.23600639999995</v>
      </c>
      <c r="E173" s="68">
        <f>(2.5*1.5)*10.764</f>
        <v>40.364999999999995</v>
      </c>
      <c r="F173" s="68">
        <v>957</v>
      </c>
      <c r="G173" s="145" t="str">
        <f>A172</f>
        <v xml:space="preserve">20th Floor </v>
      </c>
      <c r="H173" s="145"/>
      <c r="I173" s="37"/>
      <c r="N173" s="2" t="str">
        <f t="shared" ref="N173:N179" ca="1" si="23">O173&amp;""&amp;",..,"&amp;""&amp;P173</f>
        <v>2001,..,2001</v>
      </c>
      <c r="O173" s="2">
        <f ca="1">(SUMPRODUCT(MID(0&amp;(LEFT(A172,SUM(LEN(A172)-LEN(SUBSTITUTE(A172,{"0","1","2"},""))))), LARGE(INDEX(ISNUMBER(--MID((LEFT(A172,SUM(LEN(A172)-LEN(SUBSTITUTE(A172,{"0","1","2"},""))))), ROW(INDIRECT("1:"&amp;LEN((LEFT(A172,SUM(LEN(A172)-LEN(SUBSTITUTE(A172,{"0","1","2"},"")))))))), 1)) * ROW(INDIRECT("1:"&amp;LEN((LEFT(A172,SUM(LEN(A172)-LEN(SUBSTITUTE(A172,{"0","1","2"},"")))))))), 0), ROW(INDIRECT("1:"&amp;LEN((LEFT(A172,SUM(LEN(A172)-LEN(SUBSTITUTE(A172,{"0","1","2"},"")))))))))+1, 1) * 10^ROW(INDIRECT("1:"&amp;LEN((LEFT(A172,SUM(LEN(A172)-LEN(SUBSTITUTE(A172,{"0","1","2"},""))))))))/10))*100+1</f>
        <v>2001</v>
      </c>
      <c r="P173" s="2">
        <f ca="1">(SUMPRODUCT(MID(0&amp;(--TRIM(RIGHT(SUBSTITUTE(LEFT(A172,_xlfn.AGGREGATE(16,6,FIND({0,1,2,3,4,5,6,7,8,9},A172,ROW(INDIRECT("1:"&amp;LEN(A172)))),1))," ",REPT(" ",LEN(A172))),LEN(A172)))), LARGE(INDEX(ISNUMBER(--MID((--TRIM(RIGHT(SUBSTITUTE(LEFT(A172,_xlfn.AGGREGATE(16,6,FIND({0,1,2,3,4,5,6,7,8,9},A172,ROW(INDIRECT("1:"&amp;LEN(A172)))),1))," ",REPT(" ",LEN(A172))),LEN(A172)))), ROW(INDIRECT("1:"&amp;LEN((--TRIM(RIGHT(SUBSTITUTE(LEFT(A172,_xlfn.AGGREGATE(16,6,FIND({0,1,2,3,4,5,6,7,8,9},A172,ROW(INDIRECT("1:"&amp;LEN(A172)))),1))," ",REPT(" ",LEN(A172))),LEN(A172))))))), 1)) * ROW(INDIRECT("1:"&amp;LEN((--TRIM(RIGHT(SUBSTITUTE(LEFT(A172,_xlfn.AGGREGATE(16,6,FIND({0,1,2,3,4,5,6,7,8,9},A172,ROW(INDIRECT("1:"&amp;LEN(A172)))),1))," ",REPT(" ",LEN(A172))),LEN(A172))))))), 0), ROW(INDIRECT("1:"&amp;LEN((--TRIM(RIGHT(SUBSTITUTE(LEFT(A172,_xlfn.AGGREGATE(16,6,FIND({0,1,2,3,4,5,6,7,8,9},A172,ROW(INDIRECT("1:"&amp;LEN(A172)))),1))," ",REPT(" ",LEN(A172))),LEN(A172))))))))+1, 1) * 10^ROW(INDIRECT("1:"&amp;LEN((--TRIM(RIGHT(SUBSTITUTE(LEFT(A172,_xlfn.AGGREGATE(16,6,FIND({0,1,2,3,4,5,6,7,8,9},A172,ROW(INDIRECT("1:"&amp;LEN(A172)))),1))," ",REPT(" ",LEN(A172))),LEN(A172)))))))/10))*100+1</f>
        <v>2001</v>
      </c>
    </row>
    <row r="174" spans="1:16" s="2" customFormat="1" ht="15.75" customHeight="1" x14ac:dyDescent="0.35">
      <c r="A174" s="145">
        <v>2002</v>
      </c>
      <c r="B174" s="145" t="s">
        <v>200</v>
      </c>
      <c r="C174" s="68" t="s">
        <v>201</v>
      </c>
      <c r="D174" s="68">
        <f>(26.158+0.6*(3+2.45+1.8)+0.6*(1.85+2.2))*10.764</f>
        <v>354.54463199999998</v>
      </c>
      <c r="E174" s="68">
        <f>(2.55*2.5)*10.764</f>
        <v>68.620499999999993</v>
      </c>
      <c r="F174" s="68">
        <v>818</v>
      </c>
      <c r="G174" s="145"/>
      <c r="H174" s="145"/>
      <c r="I174" s="37"/>
      <c r="N174" s="2" t="str">
        <f t="shared" ca="1" si="23"/>
        <v>2002,..,2002</v>
      </c>
      <c r="O174" s="2">
        <f t="shared" ref="O174:P179" ca="1" si="24">O173+1</f>
        <v>2002</v>
      </c>
      <c r="P174" s="2">
        <f t="shared" ca="1" si="24"/>
        <v>2002</v>
      </c>
    </row>
    <row r="175" spans="1:16" s="2" customFormat="1" ht="15.75" customHeight="1" x14ac:dyDescent="0.35">
      <c r="A175" s="145">
        <v>2003</v>
      </c>
      <c r="B175" s="145" t="s">
        <v>200</v>
      </c>
      <c r="C175" s="68" t="s">
        <v>201</v>
      </c>
      <c r="D175" s="68">
        <f>(26.158+0.6*(3+2.45+1.8)+0.6*(1.85+2.2))*10.764</f>
        <v>354.54463199999998</v>
      </c>
      <c r="E175" s="68">
        <f>(2.55*2.5)*10.764</f>
        <v>68.620499999999993</v>
      </c>
      <c r="F175" s="68">
        <v>818</v>
      </c>
      <c r="G175" s="145"/>
      <c r="H175" s="145"/>
      <c r="I175" s="37"/>
      <c r="N175" s="2" t="str">
        <f t="shared" ca="1" si="23"/>
        <v>2003,..,2003</v>
      </c>
      <c r="O175" s="2">
        <f t="shared" ca="1" si="24"/>
        <v>2003</v>
      </c>
      <c r="P175" s="2">
        <f t="shared" ca="1" si="24"/>
        <v>2003</v>
      </c>
    </row>
    <row r="176" spans="1:16" s="2" customFormat="1" ht="15.75" customHeight="1" x14ac:dyDescent="0.35">
      <c r="A176" s="145">
        <v>2004</v>
      </c>
      <c r="B176" s="145" t="s">
        <v>200</v>
      </c>
      <c r="C176" s="68" t="s">
        <v>202</v>
      </c>
      <c r="D176" s="68">
        <f>(35.264+0.6*(2.65+2.8+2.45+1.805)+0.6*(1.95+3))*10.764</f>
        <v>474.22954800000002</v>
      </c>
      <c r="E176" s="68">
        <f>(2.5*1.5)*10.764</f>
        <v>40.364999999999995</v>
      </c>
      <c r="F176" s="68">
        <v>957</v>
      </c>
      <c r="G176" s="145"/>
      <c r="H176" s="145"/>
      <c r="I176" s="37"/>
      <c r="N176" s="2" t="str">
        <f t="shared" ca="1" si="23"/>
        <v>2004,..,2004</v>
      </c>
      <c r="O176" s="2">
        <f t="shared" ca="1" si="24"/>
        <v>2004</v>
      </c>
      <c r="P176" s="2">
        <f t="shared" ca="1" si="24"/>
        <v>2004</v>
      </c>
    </row>
    <row r="177" spans="1:16" s="2" customFormat="1" ht="15.75" customHeight="1" x14ac:dyDescent="0.35">
      <c r="A177" s="145">
        <v>2005</v>
      </c>
      <c r="B177" s="145" t="s">
        <v>199</v>
      </c>
      <c r="C177" s="68" t="s">
        <v>201</v>
      </c>
      <c r="D177" s="68">
        <f>(27.871+0.6*(2.75+2.75)+0.6*(2.65+2.4))*10.764</f>
        <v>368.13956400000001</v>
      </c>
      <c r="E177" s="68">
        <f>(2.7*1.5)*10.764</f>
        <v>43.594200000000008</v>
      </c>
      <c r="F177" s="68">
        <v>773</v>
      </c>
      <c r="G177" s="145"/>
      <c r="H177" s="145"/>
      <c r="I177" s="37"/>
      <c r="N177" s="2" t="str">
        <f t="shared" ca="1" si="23"/>
        <v>2005,..,2005</v>
      </c>
      <c r="O177" s="2">
        <f t="shared" ca="1" si="24"/>
        <v>2005</v>
      </c>
      <c r="P177" s="2">
        <f t="shared" ca="1" si="24"/>
        <v>2005</v>
      </c>
    </row>
    <row r="178" spans="1:16" s="2" customFormat="1" ht="15.75" customHeight="1" x14ac:dyDescent="0.35">
      <c r="A178" s="145">
        <v>2006</v>
      </c>
      <c r="B178" s="145" t="s">
        <v>199</v>
      </c>
      <c r="C178" s="68" t="s">
        <v>201</v>
      </c>
      <c r="D178" s="68">
        <f>(27.873+0.6*(3+1.44)+0.6*(3+2.45))*10.764</f>
        <v>363.89854800000001</v>
      </c>
      <c r="E178" s="68">
        <f>(3*1.5)*10.764</f>
        <v>48.437999999999995</v>
      </c>
      <c r="F178" s="68">
        <v>773</v>
      </c>
      <c r="G178" s="145"/>
      <c r="H178" s="145"/>
      <c r="I178" s="37"/>
      <c r="N178" s="2" t="str">
        <f t="shared" ca="1" si="23"/>
        <v>2006,..,2006</v>
      </c>
      <c r="O178" s="2">
        <f t="shared" ca="1" si="24"/>
        <v>2006</v>
      </c>
      <c r="P178" s="2">
        <f t="shared" ca="1" si="24"/>
        <v>2006</v>
      </c>
    </row>
    <row r="179" spans="1:16" s="2" customFormat="1" ht="15.75" customHeight="1" x14ac:dyDescent="0.35">
      <c r="A179" s="145">
        <v>2007</v>
      </c>
      <c r="B179" s="145" t="s">
        <v>199</v>
      </c>
      <c r="C179" s="68" t="s">
        <v>201</v>
      </c>
      <c r="D179" s="68">
        <f>(27.871+0.6*(2.7+2.75)+0.6*(2.4+2.65))*10.764</f>
        <v>367.816644</v>
      </c>
      <c r="E179" s="68">
        <f>(2.7*1.5)*10.764</f>
        <v>43.594200000000008</v>
      </c>
      <c r="F179" s="68">
        <v>773</v>
      </c>
      <c r="G179" s="145"/>
      <c r="H179" s="145"/>
      <c r="I179" s="37"/>
      <c r="N179" s="2" t="str">
        <f t="shared" ca="1" si="23"/>
        <v>2007,..,2007</v>
      </c>
      <c r="O179" s="2">
        <f t="shared" ca="1" si="24"/>
        <v>2007</v>
      </c>
      <c r="P179" s="2">
        <f t="shared" ca="1" si="24"/>
        <v>2007</v>
      </c>
    </row>
    <row r="180" spans="1:16" s="2" customFormat="1" ht="15.75" customHeight="1" x14ac:dyDescent="0.35">
      <c r="A180" s="140" t="s">
        <v>224</v>
      </c>
      <c r="B180" s="141"/>
      <c r="C180" s="141"/>
      <c r="D180" s="141"/>
      <c r="E180" s="141"/>
      <c r="F180" s="141"/>
      <c r="G180" s="141"/>
      <c r="H180" s="142"/>
      <c r="I180" s="37"/>
    </row>
    <row r="181" spans="1:16" s="2" customFormat="1" ht="15.75" customHeight="1" x14ac:dyDescent="0.35">
      <c r="A181" s="143">
        <v>2101</v>
      </c>
      <c r="B181" s="144" t="s">
        <v>200</v>
      </c>
      <c r="C181" s="20" t="s">
        <v>202</v>
      </c>
      <c r="D181" s="20">
        <f>(35.328+0.6*(2.65+2.8+2.45+1.806)+0.6*(3+1.95))*10.764</f>
        <v>474.92490240000001</v>
      </c>
      <c r="E181" s="20">
        <f>(2.2*2.5)*10.764</f>
        <v>59.201999999999998</v>
      </c>
      <c r="F181" s="20">
        <v>1006</v>
      </c>
      <c r="G181" s="133" t="str">
        <f>A180</f>
        <v xml:space="preserve">21th Floor </v>
      </c>
      <c r="H181" s="134"/>
      <c r="I181" s="37"/>
      <c r="N181" s="2" t="str">
        <f t="shared" ref="N181:N187" ca="1" si="25">O181&amp;""&amp;",..,"&amp;""&amp;P181</f>
        <v>2101,..,2101</v>
      </c>
      <c r="O181" s="2">
        <f ca="1">(SUMPRODUCT(MID(0&amp;(LEFT(A180,SUM(LEN(A180)-LEN(SUBSTITUTE(A180,{"0","1","2"},""))))), LARGE(INDEX(ISNUMBER(--MID((LEFT(A180,SUM(LEN(A180)-LEN(SUBSTITUTE(A180,{"0","1","2"},""))))), ROW(INDIRECT("1:"&amp;LEN((LEFT(A180,SUM(LEN(A180)-LEN(SUBSTITUTE(A180,{"0","1","2"},"")))))))), 1)) * ROW(INDIRECT("1:"&amp;LEN((LEFT(A180,SUM(LEN(A180)-LEN(SUBSTITUTE(A180,{"0","1","2"},"")))))))), 0), ROW(INDIRECT("1:"&amp;LEN((LEFT(A180,SUM(LEN(A180)-LEN(SUBSTITUTE(A180,{"0","1","2"},"")))))))))+1, 1) * 10^ROW(INDIRECT("1:"&amp;LEN((LEFT(A180,SUM(LEN(A180)-LEN(SUBSTITUTE(A180,{"0","1","2"},""))))))))/10))*100+1</f>
        <v>2101</v>
      </c>
      <c r="P181" s="2">
        <f ca="1">(SUMPRODUCT(MID(0&amp;(--TRIM(RIGHT(SUBSTITUTE(LEFT(A180,_xlfn.AGGREGATE(16,6,FIND({0,1,2,3,4,5,6,7,8,9},A180,ROW(INDIRECT("1:"&amp;LEN(A180)))),1))," ",REPT(" ",LEN(A180))),LEN(A180)))), LARGE(INDEX(ISNUMBER(--MID((--TRIM(RIGHT(SUBSTITUTE(LEFT(A180,_xlfn.AGGREGATE(16,6,FIND({0,1,2,3,4,5,6,7,8,9},A180,ROW(INDIRECT("1:"&amp;LEN(A180)))),1))," ",REPT(" ",LEN(A180))),LEN(A180)))), ROW(INDIRECT("1:"&amp;LEN((--TRIM(RIGHT(SUBSTITUTE(LEFT(A180,_xlfn.AGGREGATE(16,6,FIND({0,1,2,3,4,5,6,7,8,9},A180,ROW(INDIRECT("1:"&amp;LEN(A180)))),1))," ",REPT(" ",LEN(A180))),LEN(A180))))))), 1)) * ROW(INDIRECT("1:"&amp;LEN((--TRIM(RIGHT(SUBSTITUTE(LEFT(A180,_xlfn.AGGREGATE(16,6,FIND({0,1,2,3,4,5,6,7,8,9},A180,ROW(INDIRECT("1:"&amp;LEN(A180)))),1))," ",REPT(" ",LEN(A180))),LEN(A180))))))), 0), ROW(INDIRECT("1:"&amp;LEN((--TRIM(RIGHT(SUBSTITUTE(LEFT(A180,_xlfn.AGGREGATE(16,6,FIND({0,1,2,3,4,5,6,7,8,9},A180,ROW(INDIRECT("1:"&amp;LEN(A180)))),1))," ",REPT(" ",LEN(A180))),LEN(A180))))))))+1, 1) * 10^ROW(INDIRECT("1:"&amp;LEN((--TRIM(RIGHT(SUBSTITUTE(LEFT(A180,_xlfn.AGGREGATE(16,6,FIND({0,1,2,3,4,5,6,7,8,9},A180,ROW(INDIRECT("1:"&amp;LEN(A180)))),1))," ",REPT(" ",LEN(A180))),LEN(A180)))))))/10))*100+1</f>
        <v>2101</v>
      </c>
    </row>
    <row r="182" spans="1:16" s="2" customFormat="1" ht="15.75" customHeight="1" x14ac:dyDescent="0.35">
      <c r="A182" s="143">
        <v>2102</v>
      </c>
      <c r="B182" s="144" t="s">
        <v>200</v>
      </c>
      <c r="C182" s="20" t="s">
        <v>201</v>
      </c>
      <c r="D182" s="20">
        <f>(25.882+0.6*(3+2.45+1.8)+0.6*(2.25*0.6))*10.764</f>
        <v>334.13608799999997</v>
      </c>
      <c r="E182" s="20">
        <f>(2.2*2.5+3*1.5)*10.764</f>
        <v>107.63999999999999</v>
      </c>
      <c r="F182" s="20">
        <v>805</v>
      </c>
      <c r="G182" s="135"/>
      <c r="H182" s="136"/>
      <c r="I182" s="37"/>
      <c r="N182" s="2" t="str">
        <f t="shared" ca="1" si="25"/>
        <v>2102,..,2102</v>
      </c>
      <c r="O182" s="2">
        <f t="shared" ref="O182:P187" ca="1" si="26">O181+1</f>
        <v>2102</v>
      </c>
      <c r="P182" s="2">
        <f t="shared" ca="1" si="26"/>
        <v>2102</v>
      </c>
    </row>
    <row r="183" spans="1:16" s="2" customFormat="1" ht="15.75" customHeight="1" x14ac:dyDescent="0.35">
      <c r="A183" s="143">
        <v>2103</v>
      </c>
      <c r="B183" s="144" t="s">
        <v>200</v>
      </c>
      <c r="C183" s="20" t="s">
        <v>201</v>
      </c>
      <c r="D183" s="20">
        <f>(25.882+0.6*(3+2.45+1.8)+0.6*(2.25*0.6))*10.764</f>
        <v>334.13608799999997</v>
      </c>
      <c r="E183" s="20">
        <f>(2.2*2.5+3*1.5)*10.764</f>
        <v>107.63999999999999</v>
      </c>
      <c r="F183" s="20">
        <v>805</v>
      </c>
      <c r="G183" s="135"/>
      <c r="H183" s="136"/>
      <c r="I183" s="37"/>
      <c r="N183" s="2" t="str">
        <f t="shared" ca="1" si="25"/>
        <v>2103,..,2103</v>
      </c>
      <c r="O183" s="2">
        <f t="shared" ca="1" si="26"/>
        <v>2103</v>
      </c>
      <c r="P183" s="2">
        <f t="shared" ca="1" si="26"/>
        <v>2103</v>
      </c>
    </row>
    <row r="184" spans="1:16" s="2" customFormat="1" ht="15.75" customHeight="1" x14ac:dyDescent="0.35">
      <c r="A184" s="143">
        <v>2104</v>
      </c>
      <c r="B184" s="144" t="s">
        <v>200</v>
      </c>
      <c r="C184" s="20" t="s">
        <v>202</v>
      </c>
      <c r="D184" s="20">
        <f>(35.328+0.6*(2.65+2.8+2.45+1.808)+0.6*(1.95*0.6))*10.764</f>
        <v>450.52506719999997</v>
      </c>
      <c r="E184" s="20">
        <f>(2.2*2.5)*10.764</f>
        <v>59.201999999999998</v>
      </c>
      <c r="F184" s="20">
        <v>1006</v>
      </c>
      <c r="G184" s="135"/>
      <c r="H184" s="136"/>
      <c r="I184" s="37"/>
      <c r="N184" s="2" t="str">
        <f t="shared" ca="1" si="25"/>
        <v>2104,..,2104</v>
      </c>
      <c r="O184" s="2">
        <f t="shared" ca="1" si="26"/>
        <v>2104</v>
      </c>
      <c r="P184" s="2">
        <f t="shared" ca="1" si="26"/>
        <v>2104</v>
      </c>
    </row>
    <row r="185" spans="1:16" s="2" customFormat="1" ht="15.75" customHeight="1" x14ac:dyDescent="0.35">
      <c r="A185" s="143">
        <v>2105</v>
      </c>
      <c r="B185" s="144" t="s">
        <v>199</v>
      </c>
      <c r="C185" s="20" t="s">
        <v>201</v>
      </c>
      <c r="D185" s="20">
        <f>(27.871+0.6*(2.75+2.75+0.535)+0.6*(2.7+2.4))*10.764</f>
        <v>371.91772799999995</v>
      </c>
      <c r="E185" s="20">
        <f>(2.2*2.5)*10.764</f>
        <v>59.201999999999998</v>
      </c>
      <c r="F185" s="20">
        <v>773</v>
      </c>
      <c r="G185" s="135"/>
      <c r="H185" s="136"/>
      <c r="I185" s="37"/>
      <c r="N185" s="2" t="str">
        <f t="shared" ca="1" si="25"/>
        <v>2105,..,2105</v>
      </c>
      <c r="O185" s="2">
        <f t="shared" ca="1" si="26"/>
        <v>2105</v>
      </c>
      <c r="P185" s="2">
        <f t="shared" ca="1" si="26"/>
        <v>2105</v>
      </c>
    </row>
    <row r="186" spans="1:16" s="2" customFormat="1" ht="15.75" customHeight="1" x14ac:dyDescent="0.35">
      <c r="A186" s="143">
        <v>2106</v>
      </c>
      <c r="B186" s="144" t="s">
        <v>199</v>
      </c>
      <c r="C186" s="20" t="s">
        <v>201</v>
      </c>
      <c r="D186" s="20">
        <f>(27.873+0.6*(3+1.44)+0.6*(3+2.45))*10.764</f>
        <v>363.89854800000001</v>
      </c>
      <c r="E186" s="20">
        <f>(3*1.5)*10.764</f>
        <v>48.437999999999995</v>
      </c>
      <c r="F186" s="20">
        <v>773</v>
      </c>
      <c r="G186" s="135"/>
      <c r="H186" s="136"/>
      <c r="I186" s="37"/>
      <c r="N186" s="2" t="str">
        <f t="shared" ca="1" si="25"/>
        <v>2106,..,2106</v>
      </c>
      <c r="O186" s="2">
        <f t="shared" ca="1" si="26"/>
        <v>2106</v>
      </c>
      <c r="P186" s="2">
        <f t="shared" ca="1" si="26"/>
        <v>2106</v>
      </c>
    </row>
    <row r="187" spans="1:16" s="2" customFormat="1" ht="15.75" customHeight="1" x14ac:dyDescent="0.35">
      <c r="A187" s="143">
        <v>2107</v>
      </c>
      <c r="B187" s="144" t="s">
        <v>199</v>
      </c>
      <c r="C187" s="20" t="s">
        <v>201</v>
      </c>
      <c r="D187" s="20">
        <f>(27.871+0.6*(2.75+2.7+0.985)+0.6*(2.7+2.4))*10.764</f>
        <v>374.50108799999998</v>
      </c>
      <c r="E187" s="20">
        <f>(2.65*1.5)*10.764</f>
        <v>42.786899999999996</v>
      </c>
      <c r="F187" s="20">
        <v>773</v>
      </c>
      <c r="G187" s="137"/>
      <c r="H187" s="138"/>
      <c r="I187" s="37"/>
      <c r="N187" s="2" t="str">
        <f t="shared" ca="1" si="25"/>
        <v>2107,..,2107</v>
      </c>
      <c r="O187" s="2">
        <f t="shared" ca="1" si="26"/>
        <v>2107</v>
      </c>
      <c r="P187" s="2">
        <f t="shared" ca="1" si="26"/>
        <v>2107</v>
      </c>
    </row>
    <row r="188" spans="1:16" s="2" customFormat="1" ht="15.75" customHeight="1" x14ac:dyDescent="0.35">
      <c r="A188" s="140" t="s">
        <v>225</v>
      </c>
      <c r="B188" s="141"/>
      <c r="C188" s="141"/>
      <c r="D188" s="141"/>
      <c r="E188" s="141"/>
      <c r="F188" s="141"/>
      <c r="G188" s="141"/>
      <c r="H188" s="142"/>
      <c r="I188" s="37"/>
    </row>
    <row r="189" spans="1:16" s="2" customFormat="1" ht="15.75" customHeight="1" x14ac:dyDescent="0.35">
      <c r="A189" s="143">
        <v>2201</v>
      </c>
      <c r="B189" s="144" t="s">
        <v>200</v>
      </c>
      <c r="C189" s="20" t="s">
        <v>202</v>
      </c>
      <c r="D189" s="20">
        <f>(35.328+0.6*(2.65+2.8+2.45+1.806)+0.6*(2.4+1.95))*10.764</f>
        <v>471.04986239999999</v>
      </c>
      <c r="E189" s="20">
        <f>(3*1.5)*10.764</f>
        <v>48.437999999999995</v>
      </c>
      <c r="F189" s="20">
        <v>966</v>
      </c>
      <c r="G189" s="133" t="str">
        <f>A188</f>
        <v xml:space="preserve">22th Floor </v>
      </c>
      <c r="H189" s="134"/>
      <c r="I189" s="37"/>
      <c r="N189" s="2" t="str">
        <f t="shared" ref="N189:N195" ca="1" si="27">O189&amp;""&amp;",..,"&amp;""&amp;P189</f>
        <v>2201,..,2201</v>
      </c>
      <c r="O189" s="2">
        <f ca="1">(SUMPRODUCT(MID(0&amp;(LEFT(A188,SUM(LEN(A188)-LEN(SUBSTITUTE(A188,{"0","1","2"},""))))), LARGE(INDEX(ISNUMBER(--MID((LEFT(A188,SUM(LEN(A188)-LEN(SUBSTITUTE(A188,{"0","1","2"},""))))), ROW(INDIRECT("1:"&amp;LEN((LEFT(A188,SUM(LEN(A188)-LEN(SUBSTITUTE(A188,{"0","1","2"},"")))))))), 1)) * ROW(INDIRECT("1:"&amp;LEN((LEFT(A188,SUM(LEN(A188)-LEN(SUBSTITUTE(A188,{"0","1","2"},"")))))))), 0), ROW(INDIRECT("1:"&amp;LEN((LEFT(A188,SUM(LEN(A188)-LEN(SUBSTITUTE(A188,{"0","1","2"},"")))))))))+1, 1) * 10^ROW(INDIRECT("1:"&amp;LEN((LEFT(A188,SUM(LEN(A188)-LEN(SUBSTITUTE(A188,{"0","1","2"},""))))))))/10))*100+1</f>
        <v>2201</v>
      </c>
      <c r="P189" s="2">
        <f ca="1">(SUMPRODUCT(MID(0&amp;(--TRIM(RIGHT(SUBSTITUTE(LEFT(A188,_xlfn.AGGREGATE(16,6,FIND({0,1,2,3,4,5,6,7,8,9},A188,ROW(INDIRECT("1:"&amp;LEN(A188)))),1))," ",REPT(" ",LEN(A188))),LEN(A188)))), LARGE(INDEX(ISNUMBER(--MID((--TRIM(RIGHT(SUBSTITUTE(LEFT(A188,_xlfn.AGGREGATE(16,6,FIND({0,1,2,3,4,5,6,7,8,9},A188,ROW(INDIRECT("1:"&amp;LEN(A188)))),1))," ",REPT(" ",LEN(A188))),LEN(A188)))), ROW(INDIRECT("1:"&amp;LEN((--TRIM(RIGHT(SUBSTITUTE(LEFT(A188,_xlfn.AGGREGATE(16,6,FIND({0,1,2,3,4,5,6,7,8,9},A188,ROW(INDIRECT("1:"&amp;LEN(A188)))),1))," ",REPT(" ",LEN(A188))),LEN(A188))))))), 1)) * ROW(INDIRECT("1:"&amp;LEN((--TRIM(RIGHT(SUBSTITUTE(LEFT(A188,_xlfn.AGGREGATE(16,6,FIND({0,1,2,3,4,5,6,7,8,9},A188,ROW(INDIRECT("1:"&amp;LEN(A188)))),1))," ",REPT(" ",LEN(A188))),LEN(A188))))))), 0), ROW(INDIRECT("1:"&amp;LEN((--TRIM(RIGHT(SUBSTITUTE(LEFT(A188,_xlfn.AGGREGATE(16,6,FIND({0,1,2,3,4,5,6,7,8,9},A188,ROW(INDIRECT("1:"&amp;LEN(A188)))),1))," ",REPT(" ",LEN(A188))),LEN(A188))))))))+1, 1) * 10^ROW(INDIRECT("1:"&amp;LEN((--TRIM(RIGHT(SUBSTITUTE(LEFT(A188,_xlfn.AGGREGATE(16,6,FIND({0,1,2,3,4,5,6,7,8,9},A188,ROW(INDIRECT("1:"&amp;LEN(A188)))),1))," ",REPT(" ",LEN(A188))),LEN(A188)))))))/10))*100+1</f>
        <v>2201</v>
      </c>
    </row>
    <row r="190" spans="1:16" s="2" customFormat="1" ht="15.75" customHeight="1" x14ac:dyDescent="0.35">
      <c r="A190" s="143">
        <v>2202</v>
      </c>
      <c r="B190" s="144" t="s">
        <v>200</v>
      </c>
      <c r="C190" s="20" t="s">
        <v>201</v>
      </c>
      <c r="D190" s="20">
        <f>(25.882+0.6*(3+2.45+1.8)+0.6*(3+2.2))*10.764</f>
        <v>359.00092799999993</v>
      </c>
      <c r="E190" s="20">
        <f>(2.35*1.5)*10.764</f>
        <v>37.943100000000001</v>
      </c>
      <c r="F190" s="20">
        <v>744</v>
      </c>
      <c r="G190" s="135"/>
      <c r="H190" s="136"/>
      <c r="I190" s="37"/>
      <c r="N190" s="2" t="str">
        <f t="shared" ca="1" si="27"/>
        <v>2202,..,2202</v>
      </c>
      <c r="O190" s="2">
        <f t="shared" ref="O190:P195" ca="1" si="28">O189+1</f>
        <v>2202</v>
      </c>
      <c r="P190" s="2">
        <f t="shared" ca="1" si="28"/>
        <v>2202</v>
      </c>
    </row>
    <row r="191" spans="1:16" s="2" customFormat="1" ht="15.75" customHeight="1" x14ac:dyDescent="0.35">
      <c r="A191" s="143">
        <v>2203</v>
      </c>
      <c r="B191" s="144" t="s">
        <v>200</v>
      </c>
      <c r="C191" s="20" t="s">
        <v>201</v>
      </c>
      <c r="D191" s="20">
        <f>(25.882+0.6*(3+2.45+1.8)+0.6*(3+2.2))*10.764</f>
        <v>359.00092799999993</v>
      </c>
      <c r="E191" s="20">
        <f>(2.35*1.5)*10.764</f>
        <v>37.943100000000001</v>
      </c>
      <c r="F191" s="20">
        <v>744</v>
      </c>
      <c r="G191" s="135"/>
      <c r="H191" s="136"/>
      <c r="I191" s="37"/>
      <c r="N191" s="2" t="str">
        <f t="shared" ca="1" si="27"/>
        <v>2203,..,2203</v>
      </c>
      <c r="O191" s="2">
        <f t="shared" ca="1" si="28"/>
        <v>2203</v>
      </c>
      <c r="P191" s="2">
        <f t="shared" ca="1" si="28"/>
        <v>2203</v>
      </c>
    </row>
    <row r="192" spans="1:16" s="2" customFormat="1" ht="15.75" customHeight="1" x14ac:dyDescent="0.35">
      <c r="A192" s="143">
        <v>2204</v>
      </c>
      <c r="B192" s="144" t="s">
        <v>200</v>
      </c>
      <c r="C192" s="20" t="s">
        <v>202</v>
      </c>
      <c r="D192" s="20">
        <f>(35.328+0.6*(2.65+2.8+2.45+1.806)+0.6*(2.4+1.95))*10.764</f>
        <v>471.04986239999999</v>
      </c>
      <c r="E192" s="20">
        <f>(3*1.5)*10.764</f>
        <v>48.437999999999995</v>
      </c>
      <c r="F192" s="20">
        <v>966</v>
      </c>
      <c r="G192" s="135"/>
      <c r="H192" s="136"/>
      <c r="I192" s="37"/>
      <c r="N192" s="2" t="str">
        <f t="shared" ca="1" si="27"/>
        <v>2204,..,2204</v>
      </c>
      <c r="O192" s="2">
        <f t="shared" ca="1" si="28"/>
        <v>2204</v>
      </c>
      <c r="P192" s="2">
        <f t="shared" ca="1" si="28"/>
        <v>2204</v>
      </c>
    </row>
    <row r="193" spans="1:16" s="2" customFormat="1" ht="15.75" customHeight="1" x14ac:dyDescent="0.35">
      <c r="A193" s="143">
        <v>2205</v>
      </c>
      <c r="B193" s="144" t="s">
        <v>199</v>
      </c>
      <c r="C193" s="20" t="s">
        <v>201</v>
      </c>
      <c r="D193" s="20">
        <f>(27.871+0.6*(2.75+2.75+0.98)+0.6*(2.7+2.4))*10.764</f>
        <v>374.79171600000001</v>
      </c>
      <c r="E193" s="20">
        <f>(2.7*1.5)*10.764</f>
        <v>43.594200000000008</v>
      </c>
      <c r="F193" s="20">
        <v>773</v>
      </c>
      <c r="G193" s="135"/>
      <c r="H193" s="136"/>
      <c r="I193" s="37"/>
      <c r="N193" s="2" t="str">
        <f t="shared" ca="1" si="27"/>
        <v>2205,..,2205</v>
      </c>
      <c r="O193" s="2">
        <f t="shared" ca="1" si="28"/>
        <v>2205</v>
      </c>
      <c r="P193" s="2">
        <f t="shared" ca="1" si="28"/>
        <v>2205</v>
      </c>
    </row>
    <row r="194" spans="1:16" s="2" customFormat="1" ht="15.75" customHeight="1" x14ac:dyDescent="0.35">
      <c r="A194" s="143">
        <v>2206</v>
      </c>
      <c r="B194" s="144" t="s">
        <v>199</v>
      </c>
      <c r="C194" s="20" t="s">
        <v>201</v>
      </c>
      <c r="D194" s="20">
        <f>(27.873+0.6*(3+1.44)+0.6*(3+2.45))*10.764</f>
        <v>363.89854800000001</v>
      </c>
      <c r="E194" s="20">
        <f>(3*1.5)*10.764</f>
        <v>48.437999999999995</v>
      </c>
      <c r="F194" s="20">
        <v>773</v>
      </c>
      <c r="G194" s="135"/>
      <c r="H194" s="136"/>
      <c r="I194" s="37"/>
      <c r="N194" s="2" t="str">
        <f t="shared" ca="1" si="27"/>
        <v>2206,..,2206</v>
      </c>
      <c r="O194" s="2">
        <f t="shared" ca="1" si="28"/>
        <v>2206</v>
      </c>
      <c r="P194" s="2">
        <f t="shared" ca="1" si="28"/>
        <v>2206</v>
      </c>
    </row>
    <row r="195" spans="1:16" s="2" customFormat="1" ht="15.75" customHeight="1" x14ac:dyDescent="0.35">
      <c r="A195" s="143">
        <v>2207</v>
      </c>
      <c r="B195" s="144" t="s">
        <v>199</v>
      </c>
      <c r="C195" s="20" t="s">
        <v>201</v>
      </c>
      <c r="D195" s="20">
        <f>(27.871+0.6*(2.7+2.75+0.985)+0.6*(2.4+2.7))*10.764</f>
        <v>374.50108799999998</v>
      </c>
      <c r="E195" s="20">
        <f>(2.7*1.5)*10.764</f>
        <v>43.594200000000008</v>
      </c>
      <c r="F195" s="20">
        <v>773</v>
      </c>
      <c r="G195" s="137"/>
      <c r="H195" s="138"/>
      <c r="I195" s="37"/>
      <c r="N195" s="2" t="str">
        <f t="shared" ca="1" si="27"/>
        <v>2207,..,2207</v>
      </c>
      <c r="O195" s="2">
        <f t="shared" ca="1" si="28"/>
        <v>2207</v>
      </c>
      <c r="P195" s="2">
        <f t="shared" ca="1" si="28"/>
        <v>2207</v>
      </c>
    </row>
    <row r="196" spans="1:16" s="2" customFormat="1" ht="15.75" customHeight="1" x14ac:dyDescent="0.35">
      <c r="A196" s="140" t="s">
        <v>226</v>
      </c>
      <c r="B196" s="141"/>
      <c r="C196" s="141"/>
      <c r="D196" s="141"/>
      <c r="E196" s="141"/>
      <c r="F196" s="141"/>
      <c r="G196" s="141"/>
      <c r="H196" s="142"/>
      <c r="I196" s="37"/>
    </row>
    <row r="197" spans="1:16" s="2" customFormat="1" ht="15.75" customHeight="1" x14ac:dyDescent="0.35">
      <c r="A197" s="143">
        <v>2301</v>
      </c>
      <c r="B197" s="144" t="s">
        <v>200</v>
      </c>
      <c r="C197" s="20" t="s">
        <v>202</v>
      </c>
      <c r="D197" s="20">
        <f>(36.477+0.6*(2.65+2.8+2.45+1.806)+0.6*(1.95+3))*10.764</f>
        <v>487.29273839999991</v>
      </c>
      <c r="E197" s="20">
        <f>(2.3*2.5+2.5*1.5)*10.764</f>
        <v>102.258</v>
      </c>
      <c r="F197" s="20">
        <v>1009</v>
      </c>
      <c r="G197" s="133" t="str">
        <f>A196</f>
        <v xml:space="preserve">23th Floor </v>
      </c>
      <c r="H197" s="134"/>
      <c r="I197" s="37"/>
      <c r="N197" s="2" t="str">
        <f t="shared" ref="N197:N203" ca="1" si="29">O197&amp;""&amp;",..,"&amp;""&amp;P197</f>
        <v>201,..,2301</v>
      </c>
      <c r="O197" s="2">
        <f ca="1">(SUMPRODUCT(MID(0&amp;(LEFT(A196,SUM(LEN(A196)-LEN(SUBSTITUTE(A196,{"0","1","2"},""))))), LARGE(INDEX(ISNUMBER(--MID((LEFT(A196,SUM(LEN(A196)-LEN(SUBSTITUTE(A196,{"0","1","2"},""))))), ROW(INDIRECT("1:"&amp;LEN((LEFT(A196,SUM(LEN(A196)-LEN(SUBSTITUTE(A196,{"0","1","2"},"")))))))), 1)) * ROW(INDIRECT("1:"&amp;LEN((LEFT(A196,SUM(LEN(A196)-LEN(SUBSTITUTE(A196,{"0","1","2"},"")))))))), 0), ROW(INDIRECT("1:"&amp;LEN((LEFT(A196,SUM(LEN(A196)-LEN(SUBSTITUTE(A196,{"0","1","2"},"")))))))))+1, 1) * 10^ROW(INDIRECT("1:"&amp;LEN((LEFT(A196,SUM(LEN(A196)-LEN(SUBSTITUTE(A196,{"0","1","2"},""))))))))/10))*100+1</f>
        <v>201</v>
      </c>
      <c r="P197" s="2">
        <f ca="1">(SUMPRODUCT(MID(0&amp;(--TRIM(RIGHT(SUBSTITUTE(LEFT(A196,_xlfn.AGGREGATE(16,6,FIND({0,1,2,3,4,5,6,7,8,9},A196,ROW(INDIRECT("1:"&amp;LEN(A196)))),1))," ",REPT(" ",LEN(A196))),LEN(A196)))), LARGE(INDEX(ISNUMBER(--MID((--TRIM(RIGHT(SUBSTITUTE(LEFT(A196,_xlfn.AGGREGATE(16,6,FIND({0,1,2,3,4,5,6,7,8,9},A196,ROW(INDIRECT("1:"&amp;LEN(A196)))),1))," ",REPT(" ",LEN(A196))),LEN(A196)))), ROW(INDIRECT("1:"&amp;LEN((--TRIM(RIGHT(SUBSTITUTE(LEFT(A196,_xlfn.AGGREGATE(16,6,FIND({0,1,2,3,4,5,6,7,8,9},A196,ROW(INDIRECT("1:"&amp;LEN(A196)))),1))," ",REPT(" ",LEN(A196))),LEN(A196))))))), 1)) * ROW(INDIRECT("1:"&amp;LEN((--TRIM(RIGHT(SUBSTITUTE(LEFT(A196,_xlfn.AGGREGATE(16,6,FIND({0,1,2,3,4,5,6,7,8,9},A196,ROW(INDIRECT("1:"&amp;LEN(A196)))),1))," ",REPT(" ",LEN(A196))),LEN(A196))))))), 0), ROW(INDIRECT("1:"&amp;LEN((--TRIM(RIGHT(SUBSTITUTE(LEFT(A196,_xlfn.AGGREGATE(16,6,FIND({0,1,2,3,4,5,6,7,8,9},A196,ROW(INDIRECT("1:"&amp;LEN(A196)))),1))," ",REPT(" ",LEN(A196))),LEN(A196))))))))+1, 1) * 10^ROW(INDIRECT("1:"&amp;LEN((--TRIM(RIGHT(SUBSTITUTE(LEFT(A196,_xlfn.AGGREGATE(16,6,FIND({0,1,2,3,4,5,6,7,8,9},A196,ROW(INDIRECT("1:"&amp;LEN(A196)))),1))," ",REPT(" ",LEN(A196))),LEN(A196)))))))/10))*100+1</f>
        <v>2301</v>
      </c>
    </row>
    <row r="198" spans="1:16" s="2" customFormat="1" ht="15.75" customHeight="1" x14ac:dyDescent="0.35">
      <c r="A198" s="143">
        <v>2302</v>
      </c>
      <c r="B198" s="144" t="s">
        <v>200</v>
      </c>
      <c r="C198" s="20" t="s">
        <v>250</v>
      </c>
      <c r="D198" s="20">
        <f>(30.897+0.6*(3+1.8+2.2+1.8)+0.6*(1.85+2.25))*10.764</f>
        <v>415.888668</v>
      </c>
      <c r="E198" s="20">
        <f>(2.15*2.5+2.7*1.5)*10.764</f>
        <v>101.4507</v>
      </c>
      <c r="F198" s="20">
        <v>919</v>
      </c>
      <c r="G198" s="135"/>
      <c r="H198" s="136"/>
      <c r="I198" s="37"/>
      <c r="N198" s="2" t="str">
        <f t="shared" ca="1" si="29"/>
        <v>202,..,2302</v>
      </c>
      <c r="O198" s="2">
        <f t="shared" ref="O198:P202" ca="1" si="30">O197+1</f>
        <v>202</v>
      </c>
      <c r="P198" s="2">
        <f t="shared" ca="1" si="30"/>
        <v>2302</v>
      </c>
    </row>
    <row r="199" spans="1:16" s="2" customFormat="1" ht="15.75" customHeight="1" x14ac:dyDescent="0.35">
      <c r="A199" s="143">
        <v>2303</v>
      </c>
      <c r="B199" s="144" t="s">
        <v>200</v>
      </c>
      <c r="C199" s="20" t="s">
        <v>250</v>
      </c>
      <c r="D199" s="20">
        <f>(30.897+0.6*(3+1.8+2.2+1.8)+0.6*(1.85+2.25))*10.764</f>
        <v>415.888668</v>
      </c>
      <c r="E199" s="20">
        <f>(2.15*2.5+2.7*1.5)*10.764</f>
        <v>101.4507</v>
      </c>
      <c r="F199" s="20">
        <v>919</v>
      </c>
      <c r="G199" s="135"/>
      <c r="H199" s="136"/>
      <c r="I199" s="37"/>
      <c r="N199" s="2" t="str">
        <f t="shared" ca="1" si="29"/>
        <v>203,..,2303</v>
      </c>
      <c r="O199" s="2">
        <f t="shared" ca="1" si="30"/>
        <v>203</v>
      </c>
      <c r="P199" s="2">
        <f t="shared" ca="1" si="30"/>
        <v>2303</v>
      </c>
    </row>
    <row r="200" spans="1:16" s="2" customFormat="1" ht="15.75" customHeight="1" x14ac:dyDescent="0.35">
      <c r="A200" s="143">
        <v>2304</v>
      </c>
      <c r="B200" s="144" t="s">
        <v>200</v>
      </c>
      <c r="C200" s="20" t="s">
        <v>202</v>
      </c>
      <c r="D200" s="20">
        <f>(36.477+0.6*(2.65+2.8+2.45+1.806)+0.6*(1.95+3))*10.764</f>
        <v>487.29273839999991</v>
      </c>
      <c r="E200" s="20">
        <f>(2.3*2.5+2.5*1.5)*10.764</f>
        <v>102.258</v>
      </c>
      <c r="F200" s="20">
        <v>1009</v>
      </c>
      <c r="G200" s="135"/>
      <c r="H200" s="136"/>
      <c r="I200" s="37"/>
      <c r="N200" s="2" t="str">
        <f t="shared" ca="1" si="29"/>
        <v>204,..,2304</v>
      </c>
      <c r="O200" s="2">
        <f t="shared" ca="1" si="30"/>
        <v>204</v>
      </c>
      <c r="P200" s="2">
        <f t="shared" ca="1" si="30"/>
        <v>2304</v>
      </c>
    </row>
    <row r="201" spans="1:16" s="2" customFormat="1" ht="15.75" customHeight="1" x14ac:dyDescent="0.35">
      <c r="A201" s="143">
        <v>2305</v>
      </c>
      <c r="B201" s="144"/>
      <c r="C201" s="133" t="s">
        <v>227</v>
      </c>
      <c r="D201" s="146"/>
      <c r="E201" s="146"/>
      <c r="F201" s="134"/>
      <c r="G201" s="135"/>
      <c r="H201" s="136"/>
      <c r="I201" s="37"/>
      <c r="N201" s="2" t="str">
        <f t="shared" ca="1" si="29"/>
        <v>205,..,2305</v>
      </c>
      <c r="O201" s="2">
        <f t="shared" ca="1" si="30"/>
        <v>205</v>
      </c>
      <c r="P201" s="2">
        <f t="shared" ca="1" si="30"/>
        <v>2305</v>
      </c>
    </row>
    <row r="202" spans="1:16" s="2" customFormat="1" ht="15.75" customHeight="1" x14ac:dyDescent="0.35">
      <c r="A202" s="143">
        <v>2306</v>
      </c>
      <c r="B202" s="144"/>
      <c r="C202" s="135"/>
      <c r="D202" s="147"/>
      <c r="E202" s="147"/>
      <c r="F202" s="136"/>
      <c r="G202" s="135"/>
      <c r="H202" s="136"/>
      <c r="I202" s="37"/>
      <c r="N202" s="2" t="str">
        <f t="shared" ca="1" si="29"/>
        <v>206,..,2306</v>
      </c>
      <c r="O202" s="2">
        <f t="shared" ca="1" si="30"/>
        <v>206</v>
      </c>
      <c r="P202" s="2">
        <f t="shared" ca="1" si="30"/>
        <v>2306</v>
      </c>
    </row>
    <row r="203" spans="1:16" s="2" customFormat="1" ht="15.75" customHeight="1" x14ac:dyDescent="0.35">
      <c r="A203" s="143">
        <v>2307</v>
      </c>
      <c r="B203" s="144"/>
      <c r="C203" s="137"/>
      <c r="D203" s="148"/>
      <c r="E203" s="148"/>
      <c r="F203" s="138"/>
      <c r="G203" s="137"/>
      <c r="H203" s="138"/>
      <c r="I203" s="37"/>
      <c r="N203" s="2" t="str">
        <f t="shared" ca="1" si="29"/>
        <v>207,..,2307</v>
      </c>
      <c r="O203" s="2">
        <f ca="1">O202+1</f>
        <v>207</v>
      </c>
      <c r="P203" s="2">
        <f ca="1">P202+1</f>
        <v>2307</v>
      </c>
    </row>
    <row r="204" spans="1:16" s="1" customFormat="1" x14ac:dyDescent="0.35">
      <c r="A204" s="156" t="s">
        <v>78</v>
      </c>
      <c r="B204" s="156"/>
      <c r="C204" s="156"/>
      <c r="D204" s="156"/>
      <c r="E204" s="156"/>
      <c r="F204" s="156"/>
      <c r="G204" s="156"/>
      <c r="H204" s="156"/>
    </row>
    <row r="205" spans="1:16" s="1" customFormat="1" x14ac:dyDescent="0.35">
      <c r="A205" s="42">
        <v>1</v>
      </c>
      <c r="B205" s="153" t="s">
        <v>267</v>
      </c>
      <c r="C205" s="154"/>
      <c r="D205" s="154"/>
      <c r="E205" s="154"/>
      <c r="F205" s="154"/>
      <c r="G205" s="154"/>
      <c r="H205" s="155"/>
    </row>
    <row r="206" spans="1:16" s="1" customFormat="1" x14ac:dyDescent="0.35">
      <c r="A206" s="42">
        <f>A205+1</f>
        <v>2</v>
      </c>
      <c r="B206" s="153" t="s">
        <v>253</v>
      </c>
      <c r="C206" s="154"/>
      <c r="D206" s="154"/>
      <c r="E206" s="154"/>
      <c r="F206" s="154"/>
      <c r="G206" s="154"/>
      <c r="H206" s="155"/>
    </row>
    <row r="207" spans="1:16" s="1" customFormat="1" x14ac:dyDescent="0.35">
      <c r="A207" s="42">
        <f t="shared" ref="A207:A212" si="31">A206+1</f>
        <v>3</v>
      </c>
      <c r="B207" s="150" t="s">
        <v>162</v>
      </c>
      <c r="C207" s="151"/>
      <c r="D207" s="151"/>
      <c r="E207" s="151"/>
      <c r="F207" s="151"/>
      <c r="G207" s="151"/>
      <c r="H207" s="152"/>
    </row>
    <row r="208" spans="1:16" s="1" customFormat="1" x14ac:dyDescent="0.35">
      <c r="A208" s="42">
        <f t="shared" si="31"/>
        <v>4</v>
      </c>
      <c r="B208" s="150" t="s">
        <v>230</v>
      </c>
      <c r="C208" s="151"/>
      <c r="D208" s="151"/>
      <c r="E208" s="151"/>
      <c r="F208" s="151"/>
      <c r="G208" s="151"/>
      <c r="H208" s="152"/>
    </row>
    <row r="209" spans="1:8" s="1" customFormat="1" ht="32.25" customHeight="1" x14ac:dyDescent="0.35">
      <c r="A209" s="42">
        <v>5</v>
      </c>
      <c r="B209" s="150" t="s">
        <v>254</v>
      </c>
      <c r="C209" s="151"/>
      <c r="D209" s="151"/>
      <c r="E209" s="151"/>
      <c r="F209" s="151"/>
      <c r="G209" s="151"/>
      <c r="H209" s="152"/>
    </row>
    <row r="210" spans="1:8" s="1" customFormat="1" x14ac:dyDescent="0.35">
      <c r="A210" s="42">
        <v>6</v>
      </c>
      <c r="B210" s="150" t="s">
        <v>163</v>
      </c>
      <c r="C210" s="151"/>
      <c r="D210" s="151"/>
      <c r="E210" s="151"/>
      <c r="F210" s="151"/>
      <c r="G210" s="151"/>
      <c r="H210" s="152"/>
    </row>
    <row r="211" spans="1:8" s="1" customFormat="1" x14ac:dyDescent="0.35">
      <c r="A211" s="42">
        <f t="shared" si="31"/>
        <v>7</v>
      </c>
      <c r="B211" s="150" t="s">
        <v>164</v>
      </c>
      <c r="C211" s="151"/>
      <c r="D211" s="151"/>
      <c r="E211" s="151"/>
      <c r="F211" s="151"/>
      <c r="G211" s="151"/>
      <c r="H211" s="152"/>
    </row>
    <row r="212" spans="1:8" s="1" customFormat="1" hidden="1" x14ac:dyDescent="0.35">
      <c r="A212" s="42">
        <f t="shared" si="31"/>
        <v>8</v>
      </c>
      <c r="B212" s="153" t="s">
        <v>265</v>
      </c>
      <c r="C212" s="154"/>
      <c r="D212" s="154"/>
      <c r="E212" s="154"/>
      <c r="F212" s="154"/>
      <c r="G212" s="154"/>
      <c r="H212" s="155"/>
    </row>
    <row r="213" spans="1:8" x14ac:dyDescent="0.35">
      <c r="A213" s="89" t="s">
        <v>71</v>
      </c>
      <c r="B213" s="89"/>
      <c r="C213" s="89"/>
      <c r="D213" s="89"/>
      <c r="E213" s="89"/>
      <c r="F213" s="89"/>
      <c r="G213" s="89"/>
      <c r="H213" s="89"/>
    </row>
    <row r="214" spans="1:8" x14ac:dyDescent="0.35">
      <c r="A214" s="69" t="s">
        <v>72</v>
      </c>
      <c r="B214" s="69"/>
      <c r="C214" s="69"/>
      <c r="D214" s="69"/>
      <c r="E214" s="69"/>
      <c r="F214" s="69"/>
      <c r="G214" s="69"/>
      <c r="H214" s="69"/>
    </row>
    <row r="215" spans="1:8" ht="15.75" customHeight="1" x14ac:dyDescent="0.35">
      <c r="A215" s="158" t="s">
        <v>73</v>
      </c>
      <c r="B215" s="158"/>
      <c r="C215" s="158"/>
      <c r="D215" s="158"/>
      <c r="E215" s="158"/>
      <c r="F215" s="158"/>
      <c r="G215" s="158"/>
      <c r="H215" s="158"/>
    </row>
    <row r="216" spans="1:8" x14ac:dyDescent="0.35">
      <c r="A216" s="69" t="s">
        <v>74</v>
      </c>
      <c r="B216" s="69"/>
      <c r="C216" s="69"/>
      <c r="D216" s="69"/>
      <c r="E216" s="69"/>
      <c r="F216" s="69"/>
      <c r="G216" s="69"/>
      <c r="H216" s="69"/>
    </row>
    <row r="217" spans="1:8" x14ac:dyDescent="0.35">
      <c r="A217" s="69" t="s">
        <v>75</v>
      </c>
      <c r="B217" s="69"/>
      <c r="C217" s="69"/>
      <c r="D217" s="69"/>
      <c r="E217" s="69"/>
      <c r="F217" s="69"/>
      <c r="G217" s="69"/>
      <c r="H217" s="69"/>
    </row>
    <row r="218" spans="1:8" x14ac:dyDescent="0.35">
      <c r="A218" s="69" t="s">
        <v>165</v>
      </c>
      <c r="B218" s="69"/>
      <c r="C218" s="69"/>
      <c r="D218" s="69"/>
      <c r="E218" s="69"/>
      <c r="F218" s="69"/>
      <c r="G218" s="69"/>
      <c r="H218" s="69"/>
    </row>
    <row r="219" spans="1:8" ht="37.5" customHeight="1" x14ac:dyDescent="0.35">
      <c r="A219" s="71" t="s">
        <v>166</v>
      </c>
      <c r="B219" s="71"/>
      <c r="C219" s="71"/>
      <c r="D219" s="71"/>
      <c r="E219" s="71"/>
      <c r="F219" s="71"/>
      <c r="G219" s="71"/>
      <c r="H219" s="71"/>
    </row>
    <row r="220" spans="1:8" x14ac:dyDescent="0.35">
      <c r="A220" s="149" t="s">
        <v>108</v>
      </c>
      <c r="B220" s="149"/>
      <c r="C220" s="149" t="s">
        <v>269</v>
      </c>
      <c r="D220" s="149"/>
      <c r="E220" s="149" t="s">
        <v>144</v>
      </c>
      <c r="F220" s="149"/>
      <c r="G220" s="149" t="s">
        <v>268</v>
      </c>
      <c r="H220" s="149"/>
    </row>
    <row r="221" spans="1:8" x14ac:dyDescent="0.35">
      <c r="A221" s="157" t="s">
        <v>111</v>
      </c>
      <c r="B221" s="157"/>
      <c r="C221" s="157"/>
      <c r="D221" s="157"/>
      <c r="E221" s="157"/>
      <c r="F221" s="157"/>
      <c r="G221" s="157"/>
      <c r="H221" s="157"/>
    </row>
    <row r="222" spans="1:8" x14ac:dyDescent="0.35">
      <c r="A222" s="157"/>
      <c r="B222" s="157"/>
      <c r="C222" s="157"/>
      <c r="D222" s="157"/>
      <c r="E222" s="157"/>
      <c r="F222" s="157"/>
      <c r="G222" s="157"/>
      <c r="H222" s="157"/>
    </row>
    <row r="223" spans="1:8" x14ac:dyDescent="0.35">
      <c r="A223" s="157"/>
      <c r="B223" s="157"/>
      <c r="C223" s="157"/>
      <c r="D223" s="157"/>
      <c r="E223" s="157"/>
      <c r="F223" s="157"/>
      <c r="G223" s="157"/>
      <c r="H223" s="157"/>
    </row>
    <row r="224" spans="1:8" x14ac:dyDescent="0.35">
      <c r="A224" s="157"/>
      <c r="B224" s="157"/>
      <c r="C224" s="157"/>
      <c r="D224" s="157"/>
      <c r="E224" s="157"/>
      <c r="F224" s="157"/>
      <c r="G224" s="157"/>
      <c r="H224" s="157"/>
    </row>
    <row r="225" spans="1:8" x14ac:dyDescent="0.35">
      <c r="A225" s="15" t="s">
        <v>76</v>
      </c>
      <c r="B225" s="16"/>
      <c r="C225" s="16"/>
      <c r="D225" s="15" t="str">
        <f>E8</f>
        <v>Radhe Mohan</v>
      </c>
      <c r="F225" s="16"/>
      <c r="G225" s="16"/>
      <c r="H225" s="16"/>
    </row>
    <row r="226" spans="1:8" x14ac:dyDescent="0.35">
      <c r="A226" s="16"/>
      <c r="B226" s="16"/>
      <c r="C226" s="16"/>
      <c r="D226" s="16"/>
      <c r="E226" s="16"/>
      <c r="F226" s="16"/>
      <c r="G226" s="16"/>
      <c r="H226" s="16"/>
    </row>
    <row r="227" spans="1:8" x14ac:dyDescent="0.35">
      <c r="A227" s="16"/>
      <c r="B227" s="16"/>
      <c r="C227" s="16"/>
      <c r="D227" s="16"/>
      <c r="E227" s="16"/>
      <c r="F227" s="16"/>
      <c r="G227" s="16"/>
      <c r="H227" s="16"/>
    </row>
    <row r="228" spans="1:8" ht="15" customHeight="1" x14ac:dyDescent="0.35"/>
    <row r="268" spans="1:16" s="17" customFormat="1" x14ac:dyDescent="0.35">
      <c r="A268" s="18" t="s">
        <v>77</v>
      </c>
      <c r="I268" s="8"/>
      <c r="J268" s="8"/>
      <c r="K268" s="8"/>
      <c r="L268" s="8"/>
      <c r="M268" s="8"/>
      <c r="N268" s="8"/>
      <c r="O268" s="8"/>
      <c r="P268" s="8"/>
    </row>
  </sheetData>
  <mergeCells count="333">
    <mergeCell ref="A221:H224"/>
    <mergeCell ref="A101:B101"/>
    <mergeCell ref="A102:B102"/>
    <mergeCell ref="A103:B103"/>
    <mergeCell ref="A104:B104"/>
    <mergeCell ref="A105:B105"/>
    <mergeCell ref="A106:B106"/>
    <mergeCell ref="A107:B107"/>
    <mergeCell ref="A109:B109"/>
    <mergeCell ref="A110:B110"/>
    <mergeCell ref="A215:H215"/>
    <mergeCell ref="A216:H216"/>
    <mergeCell ref="A217:H217"/>
    <mergeCell ref="A218:H218"/>
    <mergeCell ref="A219:H219"/>
    <mergeCell ref="A220:B220"/>
    <mergeCell ref="C220:D220"/>
    <mergeCell ref="E220:F220"/>
    <mergeCell ref="A142:B142"/>
    <mergeCell ref="A143:B143"/>
    <mergeCell ref="A144:B144"/>
    <mergeCell ref="A145:B145"/>
    <mergeCell ref="A146:B146"/>
    <mergeCell ref="A147:B147"/>
    <mergeCell ref="G220:H220"/>
    <mergeCell ref="B208:H208"/>
    <mergeCell ref="B210:H210"/>
    <mergeCell ref="B211:H211"/>
    <mergeCell ref="B212:H212"/>
    <mergeCell ref="A213:H213"/>
    <mergeCell ref="A214:H214"/>
    <mergeCell ref="A204:H204"/>
    <mergeCell ref="B205:H205"/>
    <mergeCell ref="B206:H206"/>
    <mergeCell ref="B207:H207"/>
    <mergeCell ref="B209:H209"/>
    <mergeCell ref="A197:B197"/>
    <mergeCell ref="A198:B198"/>
    <mergeCell ref="A199:B199"/>
    <mergeCell ref="A200:B200"/>
    <mergeCell ref="A201:B201"/>
    <mergeCell ref="A202:B202"/>
    <mergeCell ref="A203:B203"/>
    <mergeCell ref="C201:F203"/>
    <mergeCell ref="G197:H203"/>
    <mergeCell ref="A196:H196"/>
    <mergeCell ref="A188:H188"/>
    <mergeCell ref="A185:B185"/>
    <mergeCell ref="A186:B186"/>
    <mergeCell ref="A187:B187"/>
    <mergeCell ref="A189:B189"/>
    <mergeCell ref="A190:B190"/>
    <mergeCell ref="A191:B191"/>
    <mergeCell ref="A192:B192"/>
    <mergeCell ref="A193:B193"/>
    <mergeCell ref="A194:B194"/>
    <mergeCell ref="A195:B195"/>
    <mergeCell ref="G181:H187"/>
    <mergeCell ref="G189:H195"/>
    <mergeCell ref="A180:H180"/>
    <mergeCell ref="A178:B178"/>
    <mergeCell ref="A179:B179"/>
    <mergeCell ref="A181:B181"/>
    <mergeCell ref="A182:B182"/>
    <mergeCell ref="A183:B183"/>
    <mergeCell ref="A184:B184"/>
    <mergeCell ref="A173:B173"/>
    <mergeCell ref="A174:B174"/>
    <mergeCell ref="A175:B175"/>
    <mergeCell ref="A176:B176"/>
    <mergeCell ref="A177:B177"/>
    <mergeCell ref="G173:H179"/>
    <mergeCell ref="A165:B165"/>
    <mergeCell ref="A166:B166"/>
    <mergeCell ref="G157:H163"/>
    <mergeCell ref="G165:H171"/>
    <mergeCell ref="A172:H172"/>
    <mergeCell ref="A167:B167"/>
    <mergeCell ref="A168:B168"/>
    <mergeCell ref="A169:B169"/>
    <mergeCell ref="A170:B170"/>
    <mergeCell ref="A171:B171"/>
    <mergeCell ref="A164:H164"/>
    <mergeCell ref="A156:H156"/>
    <mergeCell ref="A155:B155"/>
    <mergeCell ref="A157:B157"/>
    <mergeCell ref="A158:B158"/>
    <mergeCell ref="A159:B159"/>
    <mergeCell ref="A160:B160"/>
    <mergeCell ref="A161:B161"/>
    <mergeCell ref="A162:B162"/>
    <mergeCell ref="A163:B163"/>
    <mergeCell ref="A141:B141"/>
    <mergeCell ref="G141:H147"/>
    <mergeCell ref="A148:H148"/>
    <mergeCell ref="A149:B149"/>
    <mergeCell ref="A150:B150"/>
    <mergeCell ref="A151:B151"/>
    <mergeCell ref="A152:B152"/>
    <mergeCell ref="A153:B153"/>
    <mergeCell ref="A154:B154"/>
    <mergeCell ref="G149:H155"/>
    <mergeCell ref="A125:B125"/>
    <mergeCell ref="G125:H131"/>
    <mergeCell ref="L132:M132"/>
    <mergeCell ref="A133:B133"/>
    <mergeCell ref="A134:B134"/>
    <mergeCell ref="A135:B135"/>
    <mergeCell ref="A136:B136"/>
    <mergeCell ref="G133:H139"/>
    <mergeCell ref="A140:H140"/>
    <mergeCell ref="A137:B137"/>
    <mergeCell ref="A138:B138"/>
    <mergeCell ref="A139:B139"/>
    <mergeCell ref="A126:B126"/>
    <mergeCell ref="A127:B127"/>
    <mergeCell ref="A128:B128"/>
    <mergeCell ref="A129:B129"/>
    <mergeCell ref="A130:B130"/>
    <mergeCell ref="A131:B131"/>
    <mergeCell ref="A132:H132"/>
    <mergeCell ref="A108:H108"/>
    <mergeCell ref="G109:H115"/>
    <mergeCell ref="A111:B111"/>
    <mergeCell ref="A112:B112"/>
    <mergeCell ref="A113:B113"/>
    <mergeCell ref="G117:H123"/>
    <mergeCell ref="A124:H124"/>
    <mergeCell ref="A116:H116"/>
    <mergeCell ref="A114:B114"/>
    <mergeCell ref="A115:B115"/>
    <mergeCell ref="A117:B117"/>
    <mergeCell ref="A118:B118"/>
    <mergeCell ref="A119:B119"/>
    <mergeCell ref="A120:B120"/>
    <mergeCell ref="A121:B121"/>
    <mergeCell ref="A122:B122"/>
    <mergeCell ref="A123:B123"/>
    <mergeCell ref="L100:M100"/>
    <mergeCell ref="G96:H96"/>
    <mergeCell ref="A93:B93"/>
    <mergeCell ref="C93:D93"/>
    <mergeCell ref="E93:F93"/>
    <mergeCell ref="G93:H93"/>
    <mergeCell ref="A94:H94"/>
    <mergeCell ref="A95:H95"/>
    <mergeCell ref="G101:H107"/>
    <mergeCell ref="A97:H97"/>
    <mergeCell ref="A98:H98"/>
    <mergeCell ref="A99:H99"/>
    <mergeCell ref="A100:H100"/>
    <mergeCell ref="A90:E90"/>
    <mergeCell ref="F90:H90"/>
    <mergeCell ref="A91:H91"/>
    <mergeCell ref="A92:B92"/>
    <mergeCell ref="C92:D92"/>
    <mergeCell ref="E92:F92"/>
    <mergeCell ref="G92:H92"/>
    <mergeCell ref="A87:E87"/>
    <mergeCell ref="F87:H87"/>
    <mergeCell ref="A88:E88"/>
    <mergeCell ref="F88:H88"/>
    <mergeCell ref="A89:E89"/>
    <mergeCell ref="F89:H89"/>
    <mergeCell ref="A84:E84"/>
    <mergeCell ref="F84:H84"/>
    <mergeCell ref="A85:E85"/>
    <mergeCell ref="F85:H85"/>
    <mergeCell ref="A86:E86"/>
    <mergeCell ref="F86:H86"/>
    <mergeCell ref="A81:E81"/>
    <mergeCell ref="F81:H81"/>
    <mergeCell ref="A82:E82"/>
    <mergeCell ref="F82:H82"/>
    <mergeCell ref="A83:E83"/>
    <mergeCell ref="F83:H83"/>
    <mergeCell ref="A77:H77"/>
    <mergeCell ref="A78:E78"/>
    <mergeCell ref="F78:H78"/>
    <mergeCell ref="A79:E79"/>
    <mergeCell ref="F79:H79"/>
    <mergeCell ref="A80:E80"/>
    <mergeCell ref="F80:H80"/>
    <mergeCell ref="A74:E74"/>
    <mergeCell ref="F74:H74"/>
    <mergeCell ref="A75:H75"/>
    <mergeCell ref="A76:B76"/>
    <mergeCell ref="C76:H76"/>
    <mergeCell ref="A67:B67"/>
    <mergeCell ref="A68:B68"/>
    <mergeCell ref="A69:B69"/>
    <mergeCell ref="A70:B70"/>
    <mergeCell ref="A71:B71"/>
    <mergeCell ref="A72:B72"/>
    <mergeCell ref="A62:B62"/>
    <mergeCell ref="C62:H62"/>
    <mergeCell ref="A63:B63"/>
    <mergeCell ref="E63:F63"/>
    <mergeCell ref="G63:H63"/>
    <mergeCell ref="A64:B64"/>
    <mergeCell ref="E64:F73"/>
    <mergeCell ref="G64:H73"/>
    <mergeCell ref="A65:B65"/>
    <mergeCell ref="A66:B66"/>
    <mergeCell ref="A73:B73"/>
    <mergeCell ref="A58:C58"/>
    <mergeCell ref="D58:H58"/>
    <mergeCell ref="A59:C59"/>
    <mergeCell ref="D59:H59"/>
    <mergeCell ref="A60:B60"/>
    <mergeCell ref="C60:H60"/>
    <mergeCell ref="A55:C55"/>
    <mergeCell ref="D55:H55"/>
    <mergeCell ref="A56:C56"/>
    <mergeCell ref="D56:H56"/>
    <mergeCell ref="A57:C57"/>
    <mergeCell ref="D57:H57"/>
    <mergeCell ref="A51:H51"/>
    <mergeCell ref="A52:C52"/>
    <mergeCell ref="D52:H52"/>
    <mergeCell ref="A53:C53"/>
    <mergeCell ref="D53:H53"/>
    <mergeCell ref="A54:C54"/>
    <mergeCell ref="D54:H54"/>
    <mergeCell ref="A48:B49"/>
    <mergeCell ref="C48:E48"/>
    <mergeCell ref="G48:H48"/>
    <mergeCell ref="C49:H49"/>
    <mergeCell ref="A50:B50"/>
    <mergeCell ref="C50:E50"/>
    <mergeCell ref="G50:H50"/>
    <mergeCell ref="A45:H45"/>
    <mergeCell ref="A46:B46"/>
    <mergeCell ref="C46:E46"/>
    <mergeCell ref="G46:H46"/>
    <mergeCell ref="A47:B47"/>
    <mergeCell ref="C47:E47"/>
    <mergeCell ref="G47:H47"/>
    <mergeCell ref="A42:D42"/>
    <mergeCell ref="E42:H42"/>
    <mergeCell ref="A43:D43"/>
    <mergeCell ref="E43:H43"/>
    <mergeCell ref="A44:D44"/>
    <mergeCell ref="E44:H44"/>
    <mergeCell ref="A39:D39"/>
    <mergeCell ref="E39:H39"/>
    <mergeCell ref="A40:D40"/>
    <mergeCell ref="E40:H40"/>
    <mergeCell ref="A41:D41"/>
    <mergeCell ref="E41:H41"/>
    <mergeCell ref="A35:H35"/>
    <mergeCell ref="A36:B36"/>
    <mergeCell ref="A38:H38"/>
    <mergeCell ref="A37:B37"/>
    <mergeCell ref="C37:H37"/>
    <mergeCell ref="C36:H36"/>
    <mergeCell ref="A33:B33"/>
    <mergeCell ref="C33:E33"/>
    <mergeCell ref="F33:H33"/>
    <mergeCell ref="A34:B34"/>
    <mergeCell ref="C34:E34"/>
    <mergeCell ref="F34:H34"/>
    <mergeCell ref="A31:B31"/>
    <mergeCell ref="C31:E31"/>
    <mergeCell ref="F31:H31"/>
    <mergeCell ref="A32:B32"/>
    <mergeCell ref="C32:E32"/>
    <mergeCell ref="F32:H32"/>
    <mergeCell ref="A28:D28"/>
    <mergeCell ref="E28:H28"/>
    <mergeCell ref="A29:D29"/>
    <mergeCell ref="E29:H29"/>
    <mergeCell ref="A30:B30"/>
    <mergeCell ref="C30:E30"/>
    <mergeCell ref="F30:H30"/>
    <mergeCell ref="A25:D25"/>
    <mergeCell ref="E25:H25"/>
    <mergeCell ref="A26:D26"/>
    <mergeCell ref="E26:H26"/>
    <mergeCell ref="A27:D27"/>
    <mergeCell ref="E27:H27"/>
    <mergeCell ref="A22:D22"/>
    <mergeCell ref="E22:H22"/>
    <mergeCell ref="A23:D23"/>
    <mergeCell ref="E23:H23"/>
    <mergeCell ref="A24:D24"/>
    <mergeCell ref="E24:H24"/>
    <mergeCell ref="A19:B19"/>
    <mergeCell ref="C19:D19"/>
    <mergeCell ref="E19:F19"/>
    <mergeCell ref="G19:H19"/>
    <mergeCell ref="A20:D21"/>
    <mergeCell ref="E20:H21"/>
    <mergeCell ref="A17:B17"/>
    <mergeCell ref="C17:D17"/>
    <mergeCell ref="E17:F17"/>
    <mergeCell ref="G17:H17"/>
    <mergeCell ref="A18:B18"/>
    <mergeCell ref="C18:D18"/>
    <mergeCell ref="E18:F18"/>
    <mergeCell ref="G18:H18"/>
    <mergeCell ref="A14:B14"/>
    <mergeCell ref="C14:H14"/>
    <mergeCell ref="A15:B15"/>
    <mergeCell ref="C15:H15"/>
    <mergeCell ref="A16:B16"/>
    <mergeCell ref="C16:D16"/>
    <mergeCell ref="E16:F16"/>
    <mergeCell ref="G16:H16"/>
    <mergeCell ref="A11:D11"/>
    <mergeCell ref="E11:H11"/>
    <mergeCell ref="A12:D12"/>
    <mergeCell ref="E12:H12"/>
    <mergeCell ref="A13:D13"/>
    <mergeCell ref="E13:H13"/>
    <mergeCell ref="A8:D8"/>
    <mergeCell ref="E8:H8"/>
    <mergeCell ref="A9:D9"/>
    <mergeCell ref="E9:H9"/>
    <mergeCell ref="A10:D10"/>
    <mergeCell ref="E10:H10"/>
    <mergeCell ref="A5:D5"/>
    <mergeCell ref="E5:H5"/>
    <mergeCell ref="A6:D6"/>
    <mergeCell ref="E6:H6"/>
    <mergeCell ref="A7:D7"/>
    <mergeCell ref="E7:H7"/>
    <mergeCell ref="A1:H1"/>
    <mergeCell ref="A2:H2"/>
    <mergeCell ref="A3:D3"/>
    <mergeCell ref="E3:H3"/>
    <mergeCell ref="A4:D4"/>
    <mergeCell ref="E4:H4"/>
  </mergeCells>
  <hyperlinks>
    <hyperlink ref="C37" r:id="rId1"/>
  </hyperlinks>
  <printOptions horizontalCentered="1"/>
  <pageMargins left="0.39370078740157483" right="0.39370078740157483" top="0.78740157480314965" bottom="0.78740157480314965" header="0.19685039370078741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                                                    &amp;P</oddFooter>
  </headerFooter>
  <rowBreaks count="2" manualBreakCount="2">
    <brk id="224" max="16383" man="1"/>
    <brk id="267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1:P271"/>
  <sheetViews>
    <sheetView showWhiteSpace="0" view="pageLayout" topLeftCell="A95" zoomScale="85" zoomScaleNormal="100" zoomScaleSheetLayoutView="110" zoomScalePageLayoutView="85" workbookViewId="0">
      <selection activeCell="A107" sqref="A107"/>
    </sheetView>
  </sheetViews>
  <sheetFormatPr defaultColWidth="9.1796875" defaultRowHeight="15.5" x14ac:dyDescent="0.35"/>
  <cols>
    <col min="1" max="1" width="11.453125" style="17" customWidth="1"/>
    <col min="2" max="2" width="12" style="17" customWidth="1"/>
    <col min="3" max="3" width="12.7265625" style="17" customWidth="1"/>
    <col min="4" max="4" width="14.1796875" style="17" customWidth="1"/>
    <col min="5" max="7" width="11.7265625" style="17" customWidth="1"/>
    <col min="8" max="8" width="12.453125" style="17" customWidth="1"/>
    <col min="9" max="9" width="17.453125" style="8" customWidth="1"/>
    <col min="10" max="10" width="11.453125" style="8" customWidth="1"/>
    <col min="11" max="11" width="10.54296875" style="8" bestFit="1" customWidth="1"/>
    <col min="12" max="12" width="10.54296875" style="8" customWidth="1"/>
    <col min="13" max="13" width="11.81640625" style="8" customWidth="1"/>
    <col min="14" max="14" width="12.54296875" style="8" hidden="1" customWidth="1"/>
    <col min="15" max="15" width="9.81640625" style="8" hidden="1" customWidth="1"/>
    <col min="16" max="16" width="10.453125" style="8" hidden="1" customWidth="1"/>
    <col min="17" max="247" width="9.1796875" style="8"/>
    <col min="248" max="248" width="8.7265625" style="8" customWidth="1"/>
    <col min="249" max="249" width="9.81640625" style="8" customWidth="1"/>
    <col min="250" max="250" width="14.453125" style="8" customWidth="1"/>
    <col min="251" max="251" width="7.26953125" style="8" customWidth="1"/>
    <col min="252" max="252" width="5.54296875" style="8" customWidth="1"/>
    <col min="253" max="253" width="9" style="8" customWidth="1"/>
    <col min="254" max="255" width="9.81640625" style="8" customWidth="1"/>
    <col min="256" max="256" width="11.1796875" style="8" customWidth="1"/>
    <col min="257" max="257" width="2.81640625" style="8" customWidth="1"/>
    <col min="258" max="258" width="3.54296875" style="8" customWidth="1"/>
    <col min="259" max="503" width="9.1796875" style="8"/>
    <col min="504" max="504" width="8.7265625" style="8" customWidth="1"/>
    <col min="505" max="505" width="9.81640625" style="8" customWidth="1"/>
    <col min="506" max="506" width="14.453125" style="8" customWidth="1"/>
    <col min="507" max="507" width="7.26953125" style="8" customWidth="1"/>
    <col min="508" max="508" width="5.54296875" style="8" customWidth="1"/>
    <col min="509" max="509" width="9" style="8" customWidth="1"/>
    <col min="510" max="511" width="9.81640625" style="8" customWidth="1"/>
    <col min="512" max="512" width="11.1796875" style="8" customWidth="1"/>
    <col min="513" max="513" width="2.81640625" style="8" customWidth="1"/>
    <col min="514" max="514" width="3.54296875" style="8" customWidth="1"/>
    <col min="515" max="759" width="9.1796875" style="8"/>
    <col min="760" max="760" width="8.7265625" style="8" customWidth="1"/>
    <col min="761" max="761" width="9.81640625" style="8" customWidth="1"/>
    <col min="762" max="762" width="14.453125" style="8" customWidth="1"/>
    <col min="763" max="763" width="7.26953125" style="8" customWidth="1"/>
    <col min="764" max="764" width="5.54296875" style="8" customWidth="1"/>
    <col min="765" max="765" width="9" style="8" customWidth="1"/>
    <col min="766" max="767" width="9.81640625" style="8" customWidth="1"/>
    <col min="768" max="768" width="11.1796875" style="8" customWidth="1"/>
    <col min="769" max="769" width="2.81640625" style="8" customWidth="1"/>
    <col min="770" max="770" width="3.54296875" style="8" customWidth="1"/>
    <col min="771" max="1015" width="9.1796875" style="8"/>
    <col min="1016" max="1016" width="8.7265625" style="8" customWidth="1"/>
    <col min="1017" max="1017" width="9.81640625" style="8" customWidth="1"/>
    <col min="1018" max="1018" width="14.453125" style="8" customWidth="1"/>
    <col min="1019" max="1019" width="7.26953125" style="8" customWidth="1"/>
    <col min="1020" max="1020" width="5.54296875" style="8" customWidth="1"/>
    <col min="1021" max="1021" width="9" style="8" customWidth="1"/>
    <col min="1022" max="1023" width="9.81640625" style="8" customWidth="1"/>
    <col min="1024" max="1024" width="11.1796875" style="8" customWidth="1"/>
    <col min="1025" max="1025" width="2.81640625" style="8" customWidth="1"/>
    <col min="1026" max="1026" width="3.54296875" style="8" customWidth="1"/>
    <col min="1027" max="1271" width="9.1796875" style="8"/>
    <col min="1272" max="1272" width="8.7265625" style="8" customWidth="1"/>
    <col min="1273" max="1273" width="9.81640625" style="8" customWidth="1"/>
    <col min="1274" max="1274" width="14.453125" style="8" customWidth="1"/>
    <col min="1275" max="1275" width="7.26953125" style="8" customWidth="1"/>
    <col min="1276" max="1276" width="5.54296875" style="8" customWidth="1"/>
    <col min="1277" max="1277" width="9" style="8" customWidth="1"/>
    <col min="1278" max="1279" width="9.81640625" style="8" customWidth="1"/>
    <col min="1280" max="1280" width="11.1796875" style="8" customWidth="1"/>
    <col min="1281" max="1281" width="2.81640625" style="8" customWidth="1"/>
    <col min="1282" max="1282" width="3.54296875" style="8" customWidth="1"/>
    <col min="1283" max="1527" width="9.1796875" style="8"/>
    <col min="1528" max="1528" width="8.7265625" style="8" customWidth="1"/>
    <col min="1529" max="1529" width="9.81640625" style="8" customWidth="1"/>
    <col min="1530" max="1530" width="14.453125" style="8" customWidth="1"/>
    <col min="1531" max="1531" width="7.26953125" style="8" customWidth="1"/>
    <col min="1532" max="1532" width="5.54296875" style="8" customWidth="1"/>
    <col min="1533" max="1533" width="9" style="8" customWidth="1"/>
    <col min="1534" max="1535" width="9.81640625" style="8" customWidth="1"/>
    <col min="1536" max="1536" width="11.1796875" style="8" customWidth="1"/>
    <col min="1537" max="1537" width="2.81640625" style="8" customWidth="1"/>
    <col min="1538" max="1538" width="3.54296875" style="8" customWidth="1"/>
    <col min="1539" max="1783" width="9.1796875" style="8"/>
    <col min="1784" max="1784" width="8.7265625" style="8" customWidth="1"/>
    <col min="1785" max="1785" width="9.81640625" style="8" customWidth="1"/>
    <col min="1786" max="1786" width="14.453125" style="8" customWidth="1"/>
    <col min="1787" max="1787" width="7.26953125" style="8" customWidth="1"/>
    <col min="1788" max="1788" width="5.54296875" style="8" customWidth="1"/>
    <col min="1789" max="1789" width="9" style="8" customWidth="1"/>
    <col min="1790" max="1791" width="9.81640625" style="8" customWidth="1"/>
    <col min="1792" max="1792" width="11.1796875" style="8" customWidth="1"/>
    <col min="1793" max="1793" width="2.81640625" style="8" customWidth="1"/>
    <col min="1794" max="1794" width="3.54296875" style="8" customWidth="1"/>
    <col min="1795" max="2039" width="9.1796875" style="8"/>
    <col min="2040" max="2040" width="8.7265625" style="8" customWidth="1"/>
    <col min="2041" max="2041" width="9.81640625" style="8" customWidth="1"/>
    <col min="2042" max="2042" width="14.453125" style="8" customWidth="1"/>
    <col min="2043" max="2043" width="7.26953125" style="8" customWidth="1"/>
    <col min="2044" max="2044" width="5.54296875" style="8" customWidth="1"/>
    <col min="2045" max="2045" width="9" style="8" customWidth="1"/>
    <col min="2046" max="2047" width="9.81640625" style="8" customWidth="1"/>
    <col min="2048" max="2048" width="11.1796875" style="8" customWidth="1"/>
    <col min="2049" max="2049" width="2.81640625" style="8" customWidth="1"/>
    <col min="2050" max="2050" width="3.54296875" style="8" customWidth="1"/>
    <col min="2051" max="2295" width="9.1796875" style="8"/>
    <col min="2296" max="2296" width="8.7265625" style="8" customWidth="1"/>
    <col min="2297" max="2297" width="9.81640625" style="8" customWidth="1"/>
    <col min="2298" max="2298" width="14.453125" style="8" customWidth="1"/>
    <col min="2299" max="2299" width="7.26953125" style="8" customWidth="1"/>
    <col min="2300" max="2300" width="5.54296875" style="8" customWidth="1"/>
    <col min="2301" max="2301" width="9" style="8" customWidth="1"/>
    <col min="2302" max="2303" width="9.81640625" style="8" customWidth="1"/>
    <col min="2304" max="2304" width="11.1796875" style="8" customWidth="1"/>
    <col min="2305" max="2305" width="2.81640625" style="8" customWidth="1"/>
    <col min="2306" max="2306" width="3.54296875" style="8" customWidth="1"/>
    <col min="2307" max="2551" width="9.1796875" style="8"/>
    <col min="2552" max="2552" width="8.7265625" style="8" customWidth="1"/>
    <col min="2553" max="2553" width="9.81640625" style="8" customWidth="1"/>
    <col min="2554" max="2554" width="14.453125" style="8" customWidth="1"/>
    <col min="2555" max="2555" width="7.26953125" style="8" customWidth="1"/>
    <col min="2556" max="2556" width="5.54296875" style="8" customWidth="1"/>
    <col min="2557" max="2557" width="9" style="8" customWidth="1"/>
    <col min="2558" max="2559" width="9.81640625" style="8" customWidth="1"/>
    <col min="2560" max="2560" width="11.1796875" style="8" customWidth="1"/>
    <col min="2561" max="2561" width="2.81640625" style="8" customWidth="1"/>
    <col min="2562" max="2562" width="3.54296875" style="8" customWidth="1"/>
    <col min="2563" max="2807" width="9.1796875" style="8"/>
    <col min="2808" max="2808" width="8.7265625" style="8" customWidth="1"/>
    <col min="2809" max="2809" width="9.81640625" style="8" customWidth="1"/>
    <col min="2810" max="2810" width="14.453125" style="8" customWidth="1"/>
    <col min="2811" max="2811" width="7.26953125" style="8" customWidth="1"/>
    <col min="2812" max="2812" width="5.54296875" style="8" customWidth="1"/>
    <col min="2813" max="2813" width="9" style="8" customWidth="1"/>
    <col min="2814" max="2815" width="9.81640625" style="8" customWidth="1"/>
    <col min="2816" max="2816" width="11.1796875" style="8" customWidth="1"/>
    <col min="2817" max="2817" width="2.81640625" style="8" customWidth="1"/>
    <col min="2818" max="2818" width="3.54296875" style="8" customWidth="1"/>
    <col min="2819" max="3063" width="9.1796875" style="8"/>
    <col min="3064" max="3064" width="8.7265625" style="8" customWidth="1"/>
    <col min="3065" max="3065" width="9.81640625" style="8" customWidth="1"/>
    <col min="3066" max="3066" width="14.453125" style="8" customWidth="1"/>
    <col min="3067" max="3067" width="7.26953125" style="8" customWidth="1"/>
    <col min="3068" max="3068" width="5.54296875" style="8" customWidth="1"/>
    <col min="3069" max="3069" width="9" style="8" customWidth="1"/>
    <col min="3070" max="3071" width="9.81640625" style="8" customWidth="1"/>
    <col min="3072" max="3072" width="11.1796875" style="8" customWidth="1"/>
    <col min="3073" max="3073" width="2.81640625" style="8" customWidth="1"/>
    <col min="3074" max="3074" width="3.54296875" style="8" customWidth="1"/>
    <col min="3075" max="3319" width="9.1796875" style="8"/>
    <col min="3320" max="3320" width="8.7265625" style="8" customWidth="1"/>
    <col min="3321" max="3321" width="9.81640625" style="8" customWidth="1"/>
    <col min="3322" max="3322" width="14.453125" style="8" customWidth="1"/>
    <col min="3323" max="3323" width="7.26953125" style="8" customWidth="1"/>
    <col min="3324" max="3324" width="5.54296875" style="8" customWidth="1"/>
    <col min="3325" max="3325" width="9" style="8" customWidth="1"/>
    <col min="3326" max="3327" width="9.81640625" style="8" customWidth="1"/>
    <col min="3328" max="3328" width="11.1796875" style="8" customWidth="1"/>
    <col min="3329" max="3329" width="2.81640625" style="8" customWidth="1"/>
    <col min="3330" max="3330" width="3.54296875" style="8" customWidth="1"/>
    <col min="3331" max="3575" width="9.1796875" style="8"/>
    <col min="3576" max="3576" width="8.7265625" style="8" customWidth="1"/>
    <col min="3577" max="3577" width="9.81640625" style="8" customWidth="1"/>
    <col min="3578" max="3578" width="14.453125" style="8" customWidth="1"/>
    <col min="3579" max="3579" width="7.26953125" style="8" customWidth="1"/>
    <col min="3580" max="3580" width="5.54296875" style="8" customWidth="1"/>
    <col min="3581" max="3581" width="9" style="8" customWidth="1"/>
    <col min="3582" max="3583" width="9.81640625" style="8" customWidth="1"/>
    <col min="3584" max="3584" width="11.1796875" style="8" customWidth="1"/>
    <col min="3585" max="3585" width="2.81640625" style="8" customWidth="1"/>
    <col min="3586" max="3586" width="3.54296875" style="8" customWidth="1"/>
    <col min="3587" max="3831" width="9.1796875" style="8"/>
    <col min="3832" max="3832" width="8.7265625" style="8" customWidth="1"/>
    <col min="3833" max="3833" width="9.81640625" style="8" customWidth="1"/>
    <col min="3834" max="3834" width="14.453125" style="8" customWidth="1"/>
    <col min="3835" max="3835" width="7.26953125" style="8" customWidth="1"/>
    <col min="3836" max="3836" width="5.54296875" style="8" customWidth="1"/>
    <col min="3837" max="3837" width="9" style="8" customWidth="1"/>
    <col min="3838" max="3839" width="9.81640625" style="8" customWidth="1"/>
    <col min="3840" max="3840" width="11.1796875" style="8" customWidth="1"/>
    <col min="3841" max="3841" width="2.81640625" style="8" customWidth="1"/>
    <col min="3842" max="3842" width="3.54296875" style="8" customWidth="1"/>
    <col min="3843" max="4087" width="9.1796875" style="8"/>
    <col min="4088" max="4088" width="8.7265625" style="8" customWidth="1"/>
    <col min="4089" max="4089" width="9.81640625" style="8" customWidth="1"/>
    <col min="4090" max="4090" width="14.453125" style="8" customWidth="1"/>
    <col min="4091" max="4091" width="7.26953125" style="8" customWidth="1"/>
    <col min="4092" max="4092" width="5.54296875" style="8" customWidth="1"/>
    <col min="4093" max="4093" width="9" style="8" customWidth="1"/>
    <col min="4094" max="4095" width="9.81640625" style="8" customWidth="1"/>
    <col min="4096" max="4096" width="11.1796875" style="8" customWidth="1"/>
    <col min="4097" max="4097" width="2.81640625" style="8" customWidth="1"/>
    <col min="4098" max="4098" width="3.54296875" style="8" customWidth="1"/>
    <col min="4099" max="4343" width="9.1796875" style="8"/>
    <col min="4344" max="4344" width="8.7265625" style="8" customWidth="1"/>
    <col min="4345" max="4345" width="9.81640625" style="8" customWidth="1"/>
    <col min="4346" max="4346" width="14.453125" style="8" customWidth="1"/>
    <col min="4347" max="4347" width="7.26953125" style="8" customWidth="1"/>
    <col min="4348" max="4348" width="5.54296875" style="8" customWidth="1"/>
    <col min="4349" max="4349" width="9" style="8" customWidth="1"/>
    <col min="4350" max="4351" width="9.81640625" style="8" customWidth="1"/>
    <col min="4352" max="4352" width="11.1796875" style="8" customWidth="1"/>
    <col min="4353" max="4353" width="2.81640625" style="8" customWidth="1"/>
    <col min="4354" max="4354" width="3.54296875" style="8" customWidth="1"/>
    <col min="4355" max="4599" width="9.1796875" style="8"/>
    <col min="4600" max="4600" width="8.7265625" style="8" customWidth="1"/>
    <col min="4601" max="4601" width="9.81640625" style="8" customWidth="1"/>
    <col min="4602" max="4602" width="14.453125" style="8" customWidth="1"/>
    <col min="4603" max="4603" width="7.26953125" style="8" customWidth="1"/>
    <col min="4604" max="4604" width="5.54296875" style="8" customWidth="1"/>
    <col min="4605" max="4605" width="9" style="8" customWidth="1"/>
    <col min="4606" max="4607" width="9.81640625" style="8" customWidth="1"/>
    <col min="4608" max="4608" width="11.1796875" style="8" customWidth="1"/>
    <col min="4609" max="4609" width="2.81640625" style="8" customWidth="1"/>
    <col min="4610" max="4610" width="3.54296875" style="8" customWidth="1"/>
    <col min="4611" max="4855" width="9.1796875" style="8"/>
    <col min="4856" max="4856" width="8.7265625" style="8" customWidth="1"/>
    <col min="4857" max="4857" width="9.81640625" style="8" customWidth="1"/>
    <col min="4858" max="4858" width="14.453125" style="8" customWidth="1"/>
    <col min="4859" max="4859" width="7.26953125" style="8" customWidth="1"/>
    <col min="4860" max="4860" width="5.54296875" style="8" customWidth="1"/>
    <col min="4861" max="4861" width="9" style="8" customWidth="1"/>
    <col min="4862" max="4863" width="9.81640625" style="8" customWidth="1"/>
    <col min="4864" max="4864" width="11.1796875" style="8" customWidth="1"/>
    <col min="4865" max="4865" width="2.81640625" style="8" customWidth="1"/>
    <col min="4866" max="4866" width="3.54296875" style="8" customWidth="1"/>
    <col min="4867" max="5111" width="9.1796875" style="8"/>
    <col min="5112" max="5112" width="8.7265625" style="8" customWidth="1"/>
    <col min="5113" max="5113" width="9.81640625" style="8" customWidth="1"/>
    <col min="5114" max="5114" width="14.453125" style="8" customWidth="1"/>
    <col min="5115" max="5115" width="7.26953125" style="8" customWidth="1"/>
    <col min="5116" max="5116" width="5.54296875" style="8" customWidth="1"/>
    <col min="5117" max="5117" width="9" style="8" customWidth="1"/>
    <col min="5118" max="5119" width="9.81640625" style="8" customWidth="1"/>
    <col min="5120" max="5120" width="11.1796875" style="8" customWidth="1"/>
    <col min="5121" max="5121" width="2.81640625" style="8" customWidth="1"/>
    <col min="5122" max="5122" width="3.54296875" style="8" customWidth="1"/>
    <col min="5123" max="5367" width="9.1796875" style="8"/>
    <col min="5368" max="5368" width="8.7265625" style="8" customWidth="1"/>
    <col min="5369" max="5369" width="9.81640625" style="8" customWidth="1"/>
    <col min="5370" max="5370" width="14.453125" style="8" customWidth="1"/>
    <col min="5371" max="5371" width="7.26953125" style="8" customWidth="1"/>
    <col min="5372" max="5372" width="5.54296875" style="8" customWidth="1"/>
    <col min="5373" max="5373" width="9" style="8" customWidth="1"/>
    <col min="5374" max="5375" width="9.81640625" style="8" customWidth="1"/>
    <col min="5376" max="5376" width="11.1796875" style="8" customWidth="1"/>
    <col min="5377" max="5377" width="2.81640625" style="8" customWidth="1"/>
    <col min="5378" max="5378" width="3.54296875" style="8" customWidth="1"/>
    <col min="5379" max="5623" width="9.1796875" style="8"/>
    <col min="5624" max="5624" width="8.7265625" style="8" customWidth="1"/>
    <col min="5625" max="5625" width="9.81640625" style="8" customWidth="1"/>
    <col min="5626" max="5626" width="14.453125" style="8" customWidth="1"/>
    <col min="5627" max="5627" width="7.26953125" style="8" customWidth="1"/>
    <col min="5628" max="5628" width="5.54296875" style="8" customWidth="1"/>
    <col min="5629" max="5629" width="9" style="8" customWidth="1"/>
    <col min="5630" max="5631" width="9.81640625" style="8" customWidth="1"/>
    <col min="5632" max="5632" width="11.1796875" style="8" customWidth="1"/>
    <col min="5633" max="5633" width="2.81640625" style="8" customWidth="1"/>
    <col min="5634" max="5634" width="3.54296875" style="8" customWidth="1"/>
    <col min="5635" max="5879" width="9.1796875" style="8"/>
    <col min="5880" max="5880" width="8.7265625" style="8" customWidth="1"/>
    <col min="5881" max="5881" width="9.81640625" style="8" customWidth="1"/>
    <col min="5882" max="5882" width="14.453125" style="8" customWidth="1"/>
    <col min="5883" max="5883" width="7.26953125" style="8" customWidth="1"/>
    <col min="5884" max="5884" width="5.54296875" style="8" customWidth="1"/>
    <col min="5885" max="5885" width="9" style="8" customWidth="1"/>
    <col min="5886" max="5887" width="9.81640625" style="8" customWidth="1"/>
    <col min="5888" max="5888" width="11.1796875" style="8" customWidth="1"/>
    <col min="5889" max="5889" width="2.81640625" style="8" customWidth="1"/>
    <col min="5890" max="5890" width="3.54296875" style="8" customWidth="1"/>
    <col min="5891" max="6135" width="9.1796875" style="8"/>
    <col min="6136" max="6136" width="8.7265625" style="8" customWidth="1"/>
    <col min="6137" max="6137" width="9.81640625" style="8" customWidth="1"/>
    <col min="6138" max="6138" width="14.453125" style="8" customWidth="1"/>
    <col min="6139" max="6139" width="7.26953125" style="8" customWidth="1"/>
    <col min="6140" max="6140" width="5.54296875" style="8" customWidth="1"/>
    <col min="6141" max="6141" width="9" style="8" customWidth="1"/>
    <col min="6142" max="6143" width="9.81640625" style="8" customWidth="1"/>
    <col min="6144" max="6144" width="11.1796875" style="8" customWidth="1"/>
    <col min="6145" max="6145" width="2.81640625" style="8" customWidth="1"/>
    <col min="6146" max="6146" width="3.54296875" style="8" customWidth="1"/>
    <col min="6147" max="6391" width="9.1796875" style="8"/>
    <col min="6392" max="6392" width="8.7265625" style="8" customWidth="1"/>
    <col min="6393" max="6393" width="9.81640625" style="8" customWidth="1"/>
    <col min="6394" max="6394" width="14.453125" style="8" customWidth="1"/>
    <col min="6395" max="6395" width="7.26953125" style="8" customWidth="1"/>
    <col min="6396" max="6396" width="5.54296875" style="8" customWidth="1"/>
    <col min="6397" max="6397" width="9" style="8" customWidth="1"/>
    <col min="6398" max="6399" width="9.81640625" style="8" customWidth="1"/>
    <col min="6400" max="6400" width="11.1796875" style="8" customWidth="1"/>
    <col min="6401" max="6401" width="2.81640625" style="8" customWidth="1"/>
    <col min="6402" max="6402" width="3.54296875" style="8" customWidth="1"/>
    <col min="6403" max="6647" width="9.1796875" style="8"/>
    <col min="6648" max="6648" width="8.7265625" style="8" customWidth="1"/>
    <col min="6649" max="6649" width="9.81640625" style="8" customWidth="1"/>
    <col min="6650" max="6650" width="14.453125" style="8" customWidth="1"/>
    <col min="6651" max="6651" width="7.26953125" style="8" customWidth="1"/>
    <col min="6652" max="6652" width="5.54296875" style="8" customWidth="1"/>
    <col min="6653" max="6653" width="9" style="8" customWidth="1"/>
    <col min="6654" max="6655" width="9.81640625" style="8" customWidth="1"/>
    <col min="6656" max="6656" width="11.1796875" style="8" customWidth="1"/>
    <col min="6657" max="6657" width="2.81640625" style="8" customWidth="1"/>
    <col min="6658" max="6658" width="3.54296875" style="8" customWidth="1"/>
    <col min="6659" max="6903" width="9.1796875" style="8"/>
    <col min="6904" max="6904" width="8.7265625" style="8" customWidth="1"/>
    <col min="6905" max="6905" width="9.81640625" style="8" customWidth="1"/>
    <col min="6906" max="6906" width="14.453125" style="8" customWidth="1"/>
    <col min="6907" max="6907" width="7.26953125" style="8" customWidth="1"/>
    <col min="6908" max="6908" width="5.54296875" style="8" customWidth="1"/>
    <col min="6909" max="6909" width="9" style="8" customWidth="1"/>
    <col min="6910" max="6911" width="9.81640625" style="8" customWidth="1"/>
    <col min="6912" max="6912" width="11.1796875" style="8" customWidth="1"/>
    <col min="6913" max="6913" width="2.81640625" style="8" customWidth="1"/>
    <col min="6914" max="6914" width="3.54296875" style="8" customWidth="1"/>
    <col min="6915" max="7159" width="9.1796875" style="8"/>
    <col min="7160" max="7160" width="8.7265625" style="8" customWidth="1"/>
    <col min="7161" max="7161" width="9.81640625" style="8" customWidth="1"/>
    <col min="7162" max="7162" width="14.453125" style="8" customWidth="1"/>
    <col min="7163" max="7163" width="7.26953125" style="8" customWidth="1"/>
    <col min="7164" max="7164" width="5.54296875" style="8" customWidth="1"/>
    <col min="7165" max="7165" width="9" style="8" customWidth="1"/>
    <col min="7166" max="7167" width="9.81640625" style="8" customWidth="1"/>
    <col min="7168" max="7168" width="11.1796875" style="8" customWidth="1"/>
    <col min="7169" max="7169" width="2.81640625" style="8" customWidth="1"/>
    <col min="7170" max="7170" width="3.54296875" style="8" customWidth="1"/>
    <col min="7171" max="7415" width="9.1796875" style="8"/>
    <col min="7416" max="7416" width="8.7265625" style="8" customWidth="1"/>
    <col min="7417" max="7417" width="9.81640625" style="8" customWidth="1"/>
    <col min="7418" max="7418" width="14.453125" style="8" customWidth="1"/>
    <col min="7419" max="7419" width="7.26953125" style="8" customWidth="1"/>
    <col min="7420" max="7420" width="5.54296875" style="8" customWidth="1"/>
    <col min="7421" max="7421" width="9" style="8" customWidth="1"/>
    <col min="7422" max="7423" width="9.81640625" style="8" customWidth="1"/>
    <col min="7424" max="7424" width="11.1796875" style="8" customWidth="1"/>
    <col min="7425" max="7425" width="2.81640625" style="8" customWidth="1"/>
    <col min="7426" max="7426" width="3.54296875" style="8" customWidth="1"/>
    <col min="7427" max="7671" width="9.1796875" style="8"/>
    <col min="7672" max="7672" width="8.7265625" style="8" customWidth="1"/>
    <col min="7673" max="7673" width="9.81640625" style="8" customWidth="1"/>
    <col min="7674" max="7674" width="14.453125" style="8" customWidth="1"/>
    <col min="7675" max="7675" width="7.26953125" style="8" customWidth="1"/>
    <col min="7676" max="7676" width="5.54296875" style="8" customWidth="1"/>
    <col min="7677" max="7677" width="9" style="8" customWidth="1"/>
    <col min="7678" max="7679" width="9.81640625" style="8" customWidth="1"/>
    <col min="7680" max="7680" width="11.1796875" style="8" customWidth="1"/>
    <col min="7681" max="7681" width="2.81640625" style="8" customWidth="1"/>
    <col min="7682" max="7682" width="3.54296875" style="8" customWidth="1"/>
    <col min="7683" max="7927" width="9.1796875" style="8"/>
    <col min="7928" max="7928" width="8.7265625" style="8" customWidth="1"/>
    <col min="7929" max="7929" width="9.81640625" style="8" customWidth="1"/>
    <col min="7930" max="7930" width="14.453125" style="8" customWidth="1"/>
    <col min="7931" max="7931" width="7.26953125" style="8" customWidth="1"/>
    <col min="7932" max="7932" width="5.54296875" style="8" customWidth="1"/>
    <col min="7933" max="7933" width="9" style="8" customWidth="1"/>
    <col min="7934" max="7935" width="9.81640625" style="8" customWidth="1"/>
    <col min="7936" max="7936" width="11.1796875" style="8" customWidth="1"/>
    <col min="7937" max="7937" width="2.81640625" style="8" customWidth="1"/>
    <col min="7938" max="7938" width="3.54296875" style="8" customWidth="1"/>
    <col min="7939" max="8183" width="9.1796875" style="8"/>
    <col min="8184" max="8184" width="8.7265625" style="8" customWidth="1"/>
    <col min="8185" max="8185" width="9.81640625" style="8" customWidth="1"/>
    <col min="8186" max="8186" width="14.453125" style="8" customWidth="1"/>
    <col min="8187" max="8187" width="7.26953125" style="8" customWidth="1"/>
    <col min="8188" max="8188" width="5.54296875" style="8" customWidth="1"/>
    <col min="8189" max="8189" width="9" style="8" customWidth="1"/>
    <col min="8190" max="8191" width="9.81640625" style="8" customWidth="1"/>
    <col min="8192" max="8192" width="11.1796875" style="8" customWidth="1"/>
    <col min="8193" max="8193" width="2.81640625" style="8" customWidth="1"/>
    <col min="8194" max="8194" width="3.54296875" style="8" customWidth="1"/>
    <col min="8195" max="8439" width="9.1796875" style="8"/>
    <col min="8440" max="8440" width="8.7265625" style="8" customWidth="1"/>
    <col min="8441" max="8441" width="9.81640625" style="8" customWidth="1"/>
    <col min="8442" max="8442" width="14.453125" style="8" customWidth="1"/>
    <col min="8443" max="8443" width="7.26953125" style="8" customWidth="1"/>
    <col min="8444" max="8444" width="5.54296875" style="8" customWidth="1"/>
    <col min="8445" max="8445" width="9" style="8" customWidth="1"/>
    <col min="8446" max="8447" width="9.81640625" style="8" customWidth="1"/>
    <col min="8448" max="8448" width="11.1796875" style="8" customWidth="1"/>
    <col min="8449" max="8449" width="2.81640625" style="8" customWidth="1"/>
    <col min="8450" max="8450" width="3.54296875" style="8" customWidth="1"/>
    <col min="8451" max="8695" width="9.1796875" style="8"/>
    <col min="8696" max="8696" width="8.7265625" style="8" customWidth="1"/>
    <col min="8697" max="8697" width="9.81640625" style="8" customWidth="1"/>
    <col min="8698" max="8698" width="14.453125" style="8" customWidth="1"/>
    <col min="8699" max="8699" width="7.26953125" style="8" customWidth="1"/>
    <col min="8700" max="8700" width="5.54296875" style="8" customWidth="1"/>
    <col min="8701" max="8701" width="9" style="8" customWidth="1"/>
    <col min="8702" max="8703" width="9.81640625" style="8" customWidth="1"/>
    <col min="8704" max="8704" width="11.1796875" style="8" customWidth="1"/>
    <col min="8705" max="8705" width="2.81640625" style="8" customWidth="1"/>
    <col min="8706" max="8706" width="3.54296875" style="8" customWidth="1"/>
    <col min="8707" max="8951" width="9.1796875" style="8"/>
    <col min="8952" max="8952" width="8.7265625" style="8" customWidth="1"/>
    <col min="8953" max="8953" width="9.81640625" style="8" customWidth="1"/>
    <col min="8954" max="8954" width="14.453125" style="8" customWidth="1"/>
    <col min="8955" max="8955" width="7.26953125" style="8" customWidth="1"/>
    <col min="8956" max="8956" width="5.54296875" style="8" customWidth="1"/>
    <col min="8957" max="8957" width="9" style="8" customWidth="1"/>
    <col min="8958" max="8959" width="9.81640625" style="8" customWidth="1"/>
    <col min="8960" max="8960" width="11.1796875" style="8" customWidth="1"/>
    <col min="8961" max="8961" width="2.81640625" style="8" customWidth="1"/>
    <col min="8962" max="8962" width="3.54296875" style="8" customWidth="1"/>
    <col min="8963" max="9207" width="9.1796875" style="8"/>
    <col min="9208" max="9208" width="8.7265625" style="8" customWidth="1"/>
    <col min="9209" max="9209" width="9.81640625" style="8" customWidth="1"/>
    <col min="9210" max="9210" width="14.453125" style="8" customWidth="1"/>
    <col min="9211" max="9211" width="7.26953125" style="8" customWidth="1"/>
    <col min="9212" max="9212" width="5.54296875" style="8" customWidth="1"/>
    <col min="9213" max="9213" width="9" style="8" customWidth="1"/>
    <col min="9214" max="9215" width="9.81640625" style="8" customWidth="1"/>
    <col min="9216" max="9216" width="11.1796875" style="8" customWidth="1"/>
    <col min="9217" max="9217" width="2.81640625" style="8" customWidth="1"/>
    <col min="9218" max="9218" width="3.54296875" style="8" customWidth="1"/>
    <col min="9219" max="9463" width="9.1796875" style="8"/>
    <col min="9464" max="9464" width="8.7265625" style="8" customWidth="1"/>
    <col min="9465" max="9465" width="9.81640625" style="8" customWidth="1"/>
    <col min="9466" max="9466" width="14.453125" style="8" customWidth="1"/>
    <col min="9467" max="9467" width="7.26953125" style="8" customWidth="1"/>
    <col min="9468" max="9468" width="5.54296875" style="8" customWidth="1"/>
    <col min="9469" max="9469" width="9" style="8" customWidth="1"/>
    <col min="9470" max="9471" width="9.81640625" style="8" customWidth="1"/>
    <col min="9472" max="9472" width="11.1796875" style="8" customWidth="1"/>
    <col min="9473" max="9473" width="2.81640625" style="8" customWidth="1"/>
    <col min="9474" max="9474" width="3.54296875" style="8" customWidth="1"/>
    <col min="9475" max="9719" width="9.1796875" style="8"/>
    <col min="9720" max="9720" width="8.7265625" style="8" customWidth="1"/>
    <col min="9721" max="9721" width="9.81640625" style="8" customWidth="1"/>
    <col min="9722" max="9722" width="14.453125" style="8" customWidth="1"/>
    <col min="9723" max="9723" width="7.26953125" style="8" customWidth="1"/>
    <col min="9724" max="9724" width="5.54296875" style="8" customWidth="1"/>
    <col min="9725" max="9725" width="9" style="8" customWidth="1"/>
    <col min="9726" max="9727" width="9.81640625" style="8" customWidth="1"/>
    <col min="9728" max="9728" width="11.1796875" style="8" customWidth="1"/>
    <col min="9729" max="9729" width="2.81640625" style="8" customWidth="1"/>
    <col min="9730" max="9730" width="3.54296875" style="8" customWidth="1"/>
    <col min="9731" max="9975" width="9.1796875" style="8"/>
    <col min="9976" max="9976" width="8.7265625" style="8" customWidth="1"/>
    <col min="9977" max="9977" width="9.81640625" style="8" customWidth="1"/>
    <col min="9978" max="9978" width="14.453125" style="8" customWidth="1"/>
    <col min="9979" max="9979" width="7.26953125" style="8" customWidth="1"/>
    <col min="9980" max="9980" width="5.54296875" style="8" customWidth="1"/>
    <col min="9981" max="9981" width="9" style="8" customWidth="1"/>
    <col min="9982" max="9983" width="9.81640625" style="8" customWidth="1"/>
    <col min="9984" max="9984" width="11.1796875" style="8" customWidth="1"/>
    <col min="9985" max="9985" width="2.81640625" style="8" customWidth="1"/>
    <col min="9986" max="9986" width="3.54296875" style="8" customWidth="1"/>
    <col min="9987" max="10231" width="9.1796875" style="8"/>
    <col min="10232" max="10232" width="8.7265625" style="8" customWidth="1"/>
    <col min="10233" max="10233" width="9.81640625" style="8" customWidth="1"/>
    <col min="10234" max="10234" width="14.453125" style="8" customWidth="1"/>
    <col min="10235" max="10235" width="7.26953125" style="8" customWidth="1"/>
    <col min="10236" max="10236" width="5.54296875" style="8" customWidth="1"/>
    <col min="10237" max="10237" width="9" style="8" customWidth="1"/>
    <col min="10238" max="10239" width="9.81640625" style="8" customWidth="1"/>
    <col min="10240" max="10240" width="11.1796875" style="8" customWidth="1"/>
    <col min="10241" max="10241" width="2.81640625" style="8" customWidth="1"/>
    <col min="10242" max="10242" width="3.54296875" style="8" customWidth="1"/>
    <col min="10243" max="10487" width="9.1796875" style="8"/>
    <col min="10488" max="10488" width="8.7265625" style="8" customWidth="1"/>
    <col min="10489" max="10489" width="9.81640625" style="8" customWidth="1"/>
    <col min="10490" max="10490" width="14.453125" style="8" customWidth="1"/>
    <col min="10491" max="10491" width="7.26953125" style="8" customWidth="1"/>
    <col min="10492" max="10492" width="5.54296875" style="8" customWidth="1"/>
    <col min="10493" max="10493" width="9" style="8" customWidth="1"/>
    <col min="10494" max="10495" width="9.81640625" style="8" customWidth="1"/>
    <col min="10496" max="10496" width="11.1796875" style="8" customWidth="1"/>
    <col min="10497" max="10497" width="2.81640625" style="8" customWidth="1"/>
    <col min="10498" max="10498" width="3.54296875" style="8" customWidth="1"/>
    <col min="10499" max="10743" width="9.1796875" style="8"/>
    <col min="10744" max="10744" width="8.7265625" style="8" customWidth="1"/>
    <col min="10745" max="10745" width="9.81640625" style="8" customWidth="1"/>
    <col min="10746" max="10746" width="14.453125" style="8" customWidth="1"/>
    <col min="10747" max="10747" width="7.26953125" style="8" customWidth="1"/>
    <col min="10748" max="10748" width="5.54296875" style="8" customWidth="1"/>
    <col min="10749" max="10749" width="9" style="8" customWidth="1"/>
    <col min="10750" max="10751" width="9.81640625" style="8" customWidth="1"/>
    <col min="10752" max="10752" width="11.1796875" style="8" customWidth="1"/>
    <col min="10753" max="10753" width="2.81640625" style="8" customWidth="1"/>
    <col min="10754" max="10754" width="3.54296875" style="8" customWidth="1"/>
    <col min="10755" max="10999" width="9.1796875" style="8"/>
    <col min="11000" max="11000" width="8.7265625" style="8" customWidth="1"/>
    <col min="11001" max="11001" width="9.81640625" style="8" customWidth="1"/>
    <col min="11002" max="11002" width="14.453125" style="8" customWidth="1"/>
    <col min="11003" max="11003" width="7.26953125" style="8" customWidth="1"/>
    <col min="11004" max="11004" width="5.54296875" style="8" customWidth="1"/>
    <col min="11005" max="11005" width="9" style="8" customWidth="1"/>
    <col min="11006" max="11007" width="9.81640625" style="8" customWidth="1"/>
    <col min="11008" max="11008" width="11.1796875" style="8" customWidth="1"/>
    <col min="11009" max="11009" width="2.81640625" style="8" customWidth="1"/>
    <col min="11010" max="11010" width="3.54296875" style="8" customWidth="1"/>
    <col min="11011" max="11255" width="9.1796875" style="8"/>
    <col min="11256" max="11256" width="8.7265625" style="8" customWidth="1"/>
    <col min="11257" max="11257" width="9.81640625" style="8" customWidth="1"/>
    <col min="11258" max="11258" width="14.453125" style="8" customWidth="1"/>
    <col min="11259" max="11259" width="7.26953125" style="8" customWidth="1"/>
    <col min="11260" max="11260" width="5.54296875" style="8" customWidth="1"/>
    <col min="11261" max="11261" width="9" style="8" customWidth="1"/>
    <col min="11262" max="11263" width="9.81640625" style="8" customWidth="1"/>
    <col min="11264" max="11264" width="11.1796875" style="8" customWidth="1"/>
    <col min="11265" max="11265" width="2.81640625" style="8" customWidth="1"/>
    <col min="11266" max="11266" width="3.54296875" style="8" customWidth="1"/>
    <col min="11267" max="11511" width="9.1796875" style="8"/>
    <col min="11512" max="11512" width="8.7265625" style="8" customWidth="1"/>
    <col min="11513" max="11513" width="9.81640625" style="8" customWidth="1"/>
    <col min="11514" max="11514" width="14.453125" style="8" customWidth="1"/>
    <col min="11515" max="11515" width="7.26953125" style="8" customWidth="1"/>
    <col min="11516" max="11516" width="5.54296875" style="8" customWidth="1"/>
    <col min="11517" max="11517" width="9" style="8" customWidth="1"/>
    <col min="11518" max="11519" width="9.81640625" style="8" customWidth="1"/>
    <col min="11520" max="11520" width="11.1796875" style="8" customWidth="1"/>
    <col min="11521" max="11521" width="2.81640625" style="8" customWidth="1"/>
    <col min="11522" max="11522" width="3.54296875" style="8" customWidth="1"/>
    <col min="11523" max="11767" width="9.1796875" style="8"/>
    <col min="11768" max="11768" width="8.7265625" style="8" customWidth="1"/>
    <col min="11769" max="11769" width="9.81640625" style="8" customWidth="1"/>
    <col min="11770" max="11770" width="14.453125" style="8" customWidth="1"/>
    <col min="11771" max="11771" width="7.26953125" style="8" customWidth="1"/>
    <col min="11772" max="11772" width="5.54296875" style="8" customWidth="1"/>
    <col min="11773" max="11773" width="9" style="8" customWidth="1"/>
    <col min="11774" max="11775" width="9.81640625" style="8" customWidth="1"/>
    <col min="11776" max="11776" width="11.1796875" style="8" customWidth="1"/>
    <col min="11777" max="11777" width="2.81640625" style="8" customWidth="1"/>
    <col min="11778" max="11778" width="3.54296875" style="8" customWidth="1"/>
    <col min="11779" max="12023" width="9.1796875" style="8"/>
    <col min="12024" max="12024" width="8.7265625" style="8" customWidth="1"/>
    <col min="12025" max="12025" width="9.81640625" style="8" customWidth="1"/>
    <col min="12026" max="12026" width="14.453125" style="8" customWidth="1"/>
    <col min="12027" max="12027" width="7.26953125" style="8" customWidth="1"/>
    <col min="12028" max="12028" width="5.54296875" style="8" customWidth="1"/>
    <col min="12029" max="12029" width="9" style="8" customWidth="1"/>
    <col min="12030" max="12031" width="9.81640625" style="8" customWidth="1"/>
    <col min="12032" max="12032" width="11.1796875" style="8" customWidth="1"/>
    <col min="12033" max="12033" width="2.81640625" style="8" customWidth="1"/>
    <col min="12034" max="12034" width="3.54296875" style="8" customWidth="1"/>
    <col min="12035" max="12279" width="9.1796875" style="8"/>
    <col min="12280" max="12280" width="8.7265625" style="8" customWidth="1"/>
    <col min="12281" max="12281" width="9.81640625" style="8" customWidth="1"/>
    <col min="12282" max="12282" width="14.453125" style="8" customWidth="1"/>
    <col min="12283" max="12283" width="7.26953125" style="8" customWidth="1"/>
    <col min="12284" max="12284" width="5.54296875" style="8" customWidth="1"/>
    <col min="12285" max="12285" width="9" style="8" customWidth="1"/>
    <col min="12286" max="12287" width="9.81640625" style="8" customWidth="1"/>
    <col min="12288" max="12288" width="11.1796875" style="8" customWidth="1"/>
    <col min="12289" max="12289" width="2.81640625" style="8" customWidth="1"/>
    <col min="12290" max="12290" width="3.54296875" style="8" customWidth="1"/>
    <col min="12291" max="12535" width="9.1796875" style="8"/>
    <col min="12536" max="12536" width="8.7265625" style="8" customWidth="1"/>
    <col min="12537" max="12537" width="9.81640625" style="8" customWidth="1"/>
    <col min="12538" max="12538" width="14.453125" style="8" customWidth="1"/>
    <col min="12539" max="12539" width="7.26953125" style="8" customWidth="1"/>
    <col min="12540" max="12540" width="5.54296875" style="8" customWidth="1"/>
    <col min="12541" max="12541" width="9" style="8" customWidth="1"/>
    <col min="12542" max="12543" width="9.81640625" style="8" customWidth="1"/>
    <col min="12544" max="12544" width="11.1796875" style="8" customWidth="1"/>
    <col min="12545" max="12545" width="2.81640625" style="8" customWidth="1"/>
    <col min="12546" max="12546" width="3.54296875" style="8" customWidth="1"/>
    <col min="12547" max="12791" width="9.1796875" style="8"/>
    <col min="12792" max="12792" width="8.7265625" style="8" customWidth="1"/>
    <col min="12793" max="12793" width="9.81640625" style="8" customWidth="1"/>
    <col min="12794" max="12794" width="14.453125" style="8" customWidth="1"/>
    <col min="12795" max="12795" width="7.26953125" style="8" customWidth="1"/>
    <col min="12796" max="12796" width="5.54296875" style="8" customWidth="1"/>
    <col min="12797" max="12797" width="9" style="8" customWidth="1"/>
    <col min="12798" max="12799" width="9.81640625" style="8" customWidth="1"/>
    <col min="12800" max="12800" width="11.1796875" style="8" customWidth="1"/>
    <col min="12801" max="12801" width="2.81640625" style="8" customWidth="1"/>
    <col min="12802" max="12802" width="3.54296875" style="8" customWidth="1"/>
    <col min="12803" max="13047" width="9.1796875" style="8"/>
    <col min="13048" max="13048" width="8.7265625" style="8" customWidth="1"/>
    <col min="13049" max="13049" width="9.81640625" style="8" customWidth="1"/>
    <col min="13050" max="13050" width="14.453125" style="8" customWidth="1"/>
    <col min="13051" max="13051" width="7.26953125" style="8" customWidth="1"/>
    <col min="13052" max="13052" width="5.54296875" style="8" customWidth="1"/>
    <col min="13053" max="13053" width="9" style="8" customWidth="1"/>
    <col min="13054" max="13055" width="9.81640625" style="8" customWidth="1"/>
    <col min="13056" max="13056" width="11.1796875" style="8" customWidth="1"/>
    <col min="13057" max="13057" width="2.81640625" style="8" customWidth="1"/>
    <col min="13058" max="13058" width="3.54296875" style="8" customWidth="1"/>
    <col min="13059" max="13303" width="9.1796875" style="8"/>
    <col min="13304" max="13304" width="8.7265625" style="8" customWidth="1"/>
    <col min="13305" max="13305" width="9.81640625" style="8" customWidth="1"/>
    <col min="13306" max="13306" width="14.453125" style="8" customWidth="1"/>
    <col min="13307" max="13307" width="7.26953125" style="8" customWidth="1"/>
    <col min="13308" max="13308" width="5.54296875" style="8" customWidth="1"/>
    <col min="13309" max="13309" width="9" style="8" customWidth="1"/>
    <col min="13310" max="13311" width="9.81640625" style="8" customWidth="1"/>
    <col min="13312" max="13312" width="11.1796875" style="8" customWidth="1"/>
    <col min="13313" max="13313" width="2.81640625" style="8" customWidth="1"/>
    <col min="13314" max="13314" width="3.54296875" style="8" customWidth="1"/>
    <col min="13315" max="13559" width="9.1796875" style="8"/>
    <col min="13560" max="13560" width="8.7265625" style="8" customWidth="1"/>
    <col min="13561" max="13561" width="9.81640625" style="8" customWidth="1"/>
    <col min="13562" max="13562" width="14.453125" style="8" customWidth="1"/>
    <col min="13563" max="13563" width="7.26953125" style="8" customWidth="1"/>
    <col min="13564" max="13564" width="5.54296875" style="8" customWidth="1"/>
    <col min="13565" max="13565" width="9" style="8" customWidth="1"/>
    <col min="13566" max="13567" width="9.81640625" style="8" customWidth="1"/>
    <col min="13568" max="13568" width="11.1796875" style="8" customWidth="1"/>
    <col min="13569" max="13569" width="2.81640625" style="8" customWidth="1"/>
    <col min="13570" max="13570" width="3.54296875" style="8" customWidth="1"/>
    <col min="13571" max="13815" width="9.1796875" style="8"/>
    <col min="13816" max="13816" width="8.7265625" style="8" customWidth="1"/>
    <col min="13817" max="13817" width="9.81640625" style="8" customWidth="1"/>
    <col min="13818" max="13818" width="14.453125" style="8" customWidth="1"/>
    <col min="13819" max="13819" width="7.26953125" style="8" customWidth="1"/>
    <col min="13820" max="13820" width="5.54296875" style="8" customWidth="1"/>
    <col min="13821" max="13821" width="9" style="8" customWidth="1"/>
    <col min="13822" max="13823" width="9.81640625" style="8" customWidth="1"/>
    <col min="13824" max="13824" width="11.1796875" style="8" customWidth="1"/>
    <col min="13825" max="13825" width="2.81640625" style="8" customWidth="1"/>
    <col min="13826" max="13826" width="3.54296875" style="8" customWidth="1"/>
    <col min="13827" max="14071" width="9.1796875" style="8"/>
    <col min="14072" max="14072" width="8.7265625" style="8" customWidth="1"/>
    <col min="14073" max="14073" width="9.81640625" style="8" customWidth="1"/>
    <col min="14074" max="14074" width="14.453125" style="8" customWidth="1"/>
    <col min="14075" max="14075" width="7.26953125" style="8" customWidth="1"/>
    <col min="14076" max="14076" width="5.54296875" style="8" customWidth="1"/>
    <col min="14077" max="14077" width="9" style="8" customWidth="1"/>
    <col min="14078" max="14079" width="9.81640625" style="8" customWidth="1"/>
    <col min="14080" max="14080" width="11.1796875" style="8" customWidth="1"/>
    <col min="14081" max="14081" width="2.81640625" style="8" customWidth="1"/>
    <col min="14082" max="14082" width="3.54296875" style="8" customWidth="1"/>
    <col min="14083" max="14327" width="9.1796875" style="8"/>
    <col min="14328" max="14328" width="8.7265625" style="8" customWidth="1"/>
    <col min="14329" max="14329" width="9.81640625" style="8" customWidth="1"/>
    <col min="14330" max="14330" width="14.453125" style="8" customWidth="1"/>
    <col min="14331" max="14331" width="7.26953125" style="8" customWidth="1"/>
    <col min="14332" max="14332" width="5.54296875" style="8" customWidth="1"/>
    <col min="14333" max="14333" width="9" style="8" customWidth="1"/>
    <col min="14334" max="14335" width="9.81640625" style="8" customWidth="1"/>
    <col min="14336" max="14336" width="11.1796875" style="8" customWidth="1"/>
    <col min="14337" max="14337" width="2.81640625" style="8" customWidth="1"/>
    <col min="14338" max="14338" width="3.54296875" style="8" customWidth="1"/>
    <col min="14339" max="14583" width="9.1796875" style="8"/>
    <col min="14584" max="14584" width="8.7265625" style="8" customWidth="1"/>
    <col min="14585" max="14585" width="9.81640625" style="8" customWidth="1"/>
    <col min="14586" max="14586" width="14.453125" style="8" customWidth="1"/>
    <col min="14587" max="14587" width="7.26953125" style="8" customWidth="1"/>
    <col min="14588" max="14588" width="5.54296875" style="8" customWidth="1"/>
    <col min="14589" max="14589" width="9" style="8" customWidth="1"/>
    <col min="14590" max="14591" width="9.81640625" style="8" customWidth="1"/>
    <col min="14592" max="14592" width="11.1796875" style="8" customWidth="1"/>
    <col min="14593" max="14593" width="2.81640625" style="8" customWidth="1"/>
    <col min="14594" max="14594" width="3.54296875" style="8" customWidth="1"/>
    <col min="14595" max="14839" width="9.1796875" style="8"/>
    <col min="14840" max="14840" width="8.7265625" style="8" customWidth="1"/>
    <col min="14841" max="14841" width="9.81640625" style="8" customWidth="1"/>
    <col min="14842" max="14842" width="14.453125" style="8" customWidth="1"/>
    <col min="14843" max="14843" width="7.26953125" style="8" customWidth="1"/>
    <col min="14844" max="14844" width="5.54296875" style="8" customWidth="1"/>
    <col min="14845" max="14845" width="9" style="8" customWidth="1"/>
    <col min="14846" max="14847" width="9.81640625" style="8" customWidth="1"/>
    <col min="14848" max="14848" width="11.1796875" style="8" customWidth="1"/>
    <col min="14849" max="14849" width="2.81640625" style="8" customWidth="1"/>
    <col min="14850" max="14850" width="3.54296875" style="8" customWidth="1"/>
    <col min="14851" max="15095" width="9.1796875" style="8"/>
    <col min="15096" max="15096" width="8.7265625" style="8" customWidth="1"/>
    <col min="15097" max="15097" width="9.81640625" style="8" customWidth="1"/>
    <col min="15098" max="15098" width="14.453125" style="8" customWidth="1"/>
    <col min="15099" max="15099" width="7.26953125" style="8" customWidth="1"/>
    <col min="15100" max="15100" width="5.54296875" style="8" customWidth="1"/>
    <col min="15101" max="15101" width="9" style="8" customWidth="1"/>
    <col min="15102" max="15103" width="9.81640625" style="8" customWidth="1"/>
    <col min="15104" max="15104" width="11.1796875" style="8" customWidth="1"/>
    <col min="15105" max="15105" width="2.81640625" style="8" customWidth="1"/>
    <col min="15106" max="15106" width="3.54296875" style="8" customWidth="1"/>
    <col min="15107" max="15351" width="9.1796875" style="8"/>
    <col min="15352" max="15352" width="8.7265625" style="8" customWidth="1"/>
    <col min="15353" max="15353" width="9.81640625" style="8" customWidth="1"/>
    <col min="15354" max="15354" width="14.453125" style="8" customWidth="1"/>
    <col min="15355" max="15355" width="7.26953125" style="8" customWidth="1"/>
    <col min="15356" max="15356" width="5.54296875" style="8" customWidth="1"/>
    <col min="15357" max="15357" width="9" style="8" customWidth="1"/>
    <col min="15358" max="15359" width="9.81640625" style="8" customWidth="1"/>
    <col min="15360" max="15360" width="11.1796875" style="8" customWidth="1"/>
    <col min="15361" max="15361" width="2.81640625" style="8" customWidth="1"/>
    <col min="15362" max="15362" width="3.54296875" style="8" customWidth="1"/>
    <col min="15363" max="15607" width="9.1796875" style="8"/>
    <col min="15608" max="15608" width="8.7265625" style="8" customWidth="1"/>
    <col min="15609" max="15609" width="9.81640625" style="8" customWidth="1"/>
    <col min="15610" max="15610" width="14.453125" style="8" customWidth="1"/>
    <col min="15611" max="15611" width="7.26953125" style="8" customWidth="1"/>
    <col min="15612" max="15612" width="5.54296875" style="8" customWidth="1"/>
    <col min="15613" max="15613" width="9" style="8" customWidth="1"/>
    <col min="15614" max="15615" width="9.81640625" style="8" customWidth="1"/>
    <col min="15616" max="15616" width="11.1796875" style="8" customWidth="1"/>
    <col min="15617" max="15617" width="2.81640625" style="8" customWidth="1"/>
    <col min="15618" max="15618" width="3.54296875" style="8" customWidth="1"/>
    <col min="15619" max="15863" width="9.1796875" style="8"/>
    <col min="15864" max="15864" width="8.7265625" style="8" customWidth="1"/>
    <col min="15865" max="15865" width="9.81640625" style="8" customWidth="1"/>
    <col min="15866" max="15866" width="14.453125" style="8" customWidth="1"/>
    <col min="15867" max="15867" width="7.26953125" style="8" customWidth="1"/>
    <col min="15868" max="15868" width="5.54296875" style="8" customWidth="1"/>
    <col min="15869" max="15869" width="9" style="8" customWidth="1"/>
    <col min="15870" max="15871" width="9.81640625" style="8" customWidth="1"/>
    <col min="15872" max="15872" width="11.1796875" style="8" customWidth="1"/>
    <col min="15873" max="15873" width="2.81640625" style="8" customWidth="1"/>
    <col min="15874" max="15874" width="3.54296875" style="8" customWidth="1"/>
    <col min="15875" max="16119" width="9.1796875" style="8"/>
    <col min="16120" max="16120" width="8.7265625" style="8" customWidth="1"/>
    <col min="16121" max="16121" width="9.81640625" style="8" customWidth="1"/>
    <col min="16122" max="16122" width="14.453125" style="8" customWidth="1"/>
    <col min="16123" max="16123" width="7.26953125" style="8" customWidth="1"/>
    <col min="16124" max="16124" width="5.54296875" style="8" customWidth="1"/>
    <col min="16125" max="16125" width="9" style="8" customWidth="1"/>
    <col min="16126" max="16127" width="9.81640625" style="8" customWidth="1"/>
    <col min="16128" max="16128" width="11.1796875" style="8" customWidth="1"/>
    <col min="16129" max="16129" width="2.81640625" style="8" customWidth="1"/>
    <col min="16130" max="16130" width="3.54296875" style="8" customWidth="1"/>
    <col min="16131" max="16384" width="9.1796875" style="8"/>
  </cols>
  <sheetData>
    <row r="1" spans="1:8" ht="46.5" customHeight="1" x14ac:dyDescent="0.35">
      <c r="A1" s="72" t="s">
        <v>110</v>
      </c>
      <c r="B1" s="72"/>
      <c r="C1" s="72"/>
      <c r="D1" s="72"/>
      <c r="E1" s="72"/>
      <c r="F1" s="72"/>
      <c r="G1" s="72"/>
      <c r="H1" s="72"/>
    </row>
    <row r="2" spans="1:8" ht="16.5" customHeight="1" x14ac:dyDescent="0.35">
      <c r="A2" s="73" t="s">
        <v>0</v>
      </c>
      <c r="B2" s="73"/>
      <c r="C2" s="73"/>
      <c r="D2" s="73"/>
      <c r="E2" s="73"/>
      <c r="F2" s="73"/>
      <c r="G2" s="73"/>
      <c r="H2" s="73"/>
    </row>
    <row r="3" spans="1:8" x14ac:dyDescent="0.35">
      <c r="A3" s="69" t="s">
        <v>1</v>
      </c>
      <c r="B3" s="69"/>
      <c r="C3" s="69"/>
      <c r="D3" s="69"/>
      <c r="E3" s="70" t="str">
        <f ca="1">TEXT(TODAY(),"DD/MM/YYYY")</f>
        <v>19/09/2025</v>
      </c>
      <c r="F3" s="70"/>
      <c r="G3" s="70"/>
      <c r="H3" s="70"/>
    </row>
    <row r="4" spans="1:8" ht="15" customHeight="1" x14ac:dyDescent="0.35">
      <c r="A4" s="69" t="s">
        <v>2</v>
      </c>
      <c r="B4" s="69"/>
      <c r="C4" s="69"/>
      <c r="D4" s="69"/>
      <c r="E4" s="74" t="s">
        <v>187</v>
      </c>
      <c r="F4" s="74"/>
      <c r="G4" s="74"/>
      <c r="H4" s="74"/>
    </row>
    <row r="5" spans="1:8" x14ac:dyDescent="0.35">
      <c r="A5" s="69" t="s">
        <v>3</v>
      </c>
      <c r="B5" s="69"/>
      <c r="C5" s="69"/>
      <c r="D5" s="69"/>
      <c r="E5" s="70">
        <v>44432</v>
      </c>
      <c r="F5" s="70"/>
      <c r="G5" s="70"/>
      <c r="H5" s="70"/>
    </row>
    <row r="6" spans="1:8" ht="16.5" customHeight="1" x14ac:dyDescent="0.35">
      <c r="A6" s="69" t="s">
        <v>4</v>
      </c>
      <c r="B6" s="69"/>
      <c r="C6" s="69"/>
      <c r="D6" s="69"/>
      <c r="E6" s="71" t="s">
        <v>188</v>
      </c>
      <c r="F6" s="71"/>
      <c r="G6" s="71"/>
      <c r="H6" s="71"/>
    </row>
    <row r="7" spans="1:8" ht="15" customHeight="1" x14ac:dyDescent="0.35">
      <c r="A7" s="69" t="s">
        <v>5</v>
      </c>
      <c r="B7" s="69"/>
      <c r="C7" s="69"/>
      <c r="D7" s="69"/>
      <c r="E7" s="71" t="str">
        <f>E6</f>
        <v>M/s.K.T.Homes</v>
      </c>
      <c r="F7" s="71"/>
      <c r="G7" s="71"/>
      <c r="H7" s="71"/>
    </row>
    <row r="8" spans="1:8" x14ac:dyDescent="0.35">
      <c r="A8" s="69" t="s">
        <v>6</v>
      </c>
      <c r="B8" s="69"/>
      <c r="C8" s="69"/>
      <c r="D8" s="69"/>
      <c r="E8" s="69" t="s">
        <v>189</v>
      </c>
      <c r="F8" s="69"/>
      <c r="G8" s="69"/>
      <c r="H8" s="69"/>
    </row>
    <row r="9" spans="1:8" x14ac:dyDescent="0.35">
      <c r="A9" s="69" t="s">
        <v>159</v>
      </c>
      <c r="B9" s="69"/>
      <c r="C9" s="69"/>
      <c r="D9" s="69"/>
      <c r="E9" s="69" t="s">
        <v>208</v>
      </c>
      <c r="F9" s="69"/>
      <c r="G9" s="69"/>
      <c r="H9" s="69"/>
    </row>
    <row r="10" spans="1:8" x14ac:dyDescent="0.35">
      <c r="A10" s="76" t="s">
        <v>7</v>
      </c>
      <c r="B10" s="76"/>
      <c r="C10" s="76"/>
      <c r="D10" s="76"/>
      <c r="E10" s="76" t="s">
        <v>246</v>
      </c>
      <c r="F10" s="76"/>
      <c r="G10" s="76"/>
      <c r="H10" s="76"/>
    </row>
    <row r="11" spans="1:8" x14ac:dyDescent="0.35">
      <c r="A11" s="69" t="s">
        <v>8</v>
      </c>
      <c r="B11" s="69"/>
      <c r="C11" s="69"/>
      <c r="D11" s="69"/>
      <c r="E11" s="75" t="s">
        <v>236</v>
      </c>
      <c r="F11" s="75"/>
      <c r="G11" s="75"/>
      <c r="H11" s="75"/>
    </row>
    <row r="12" spans="1:8" x14ac:dyDescent="0.35">
      <c r="A12" s="76" t="s">
        <v>211</v>
      </c>
      <c r="B12" s="76"/>
      <c r="C12" s="76"/>
      <c r="D12" s="76"/>
      <c r="E12" s="76" t="s">
        <v>240</v>
      </c>
      <c r="F12" s="76"/>
      <c r="G12" s="76"/>
      <c r="H12" s="76"/>
    </row>
    <row r="13" spans="1:8" x14ac:dyDescent="0.35">
      <c r="A13" s="69" t="s">
        <v>9</v>
      </c>
      <c r="B13" s="69"/>
      <c r="C13" s="69"/>
      <c r="D13" s="69"/>
      <c r="E13" s="75" t="s">
        <v>190</v>
      </c>
      <c r="F13" s="76"/>
      <c r="G13" s="76"/>
      <c r="H13" s="76"/>
    </row>
    <row r="14" spans="1:8" ht="34.5" customHeight="1" x14ac:dyDescent="0.35">
      <c r="A14" s="71" t="s">
        <v>10</v>
      </c>
      <c r="B14" s="71"/>
      <c r="C14" s="71" t="str">
        <f>CONCATENATE((IF(OR(E8="",E8="NA"),"",E8)),", ",(IF(OR(A15="",A15="NA"),"",A15)),".",(IF(OR(C15="",C15="NA"),"",C15)),", near ",(IF(OR(C19="",C19="NA"),"",C19)),", ",(IF(OR(C16="",C16="NA"),"",C16)),", ",(IF(OR(G16="",G16="NA"),"",G16)),", ",(IF(OR(C17="",C17="NA"),"",C17)),", ",(IF(OR(C18="",C18="NA"),"",C18)),", ",(IF(OR(G17="",G17="NA"),"",G17)),".")</f>
        <v>Radhe Mohan, Plot No.2 &amp; Sector No.23, near Tapasya CHS, Sai Baba Road, Koparkhairne, Navi Mumbai, Thane, Thane.</v>
      </c>
      <c r="D14" s="71"/>
      <c r="E14" s="71"/>
      <c r="F14" s="71"/>
      <c r="G14" s="71"/>
      <c r="H14" s="71"/>
    </row>
    <row r="15" spans="1:8" x14ac:dyDescent="0.35">
      <c r="A15" s="71" t="s">
        <v>191</v>
      </c>
      <c r="B15" s="71"/>
      <c r="C15" s="75" t="s">
        <v>192</v>
      </c>
      <c r="D15" s="75"/>
      <c r="E15" s="75"/>
      <c r="F15" s="75"/>
      <c r="G15" s="75"/>
      <c r="H15" s="75"/>
    </row>
    <row r="16" spans="1:8" ht="15.75" customHeight="1" x14ac:dyDescent="0.35">
      <c r="A16" s="71" t="s">
        <v>11</v>
      </c>
      <c r="B16" s="71"/>
      <c r="C16" s="76" t="s">
        <v>209</v>
      </c>
      <c r="D16" s="76"/>
      <c r="E16" s="71" t="s">
        <v>104</v>
      </c>
      <c r="F16" s="71"/>
      <c r="G16" s="75" t="s">
        <v>193</v>
      </c>
      <c r="H16" s="75"/>
    </row>
    <row r="17" spans="1:8" x14ac:dyDescent="0.35">
      <c r="A17" s="69" t="s">
        <v>13</v>
      </c>
      <c r="B17" s="69"/>
      <c r="C17" s="75" t="s">
        <v>195</v>
      </c>
      <c r="D17" s="75"/>
      <c r="E17" s="71" t="s">
        <v>12</v>
      </c>
      <c r="F17" s="71"/>
      <c r="G17" s="78" t="s">
        <v>194</v>
      </c>
      <c r="H17" s="78"/>
    </row>
    <row r="18" spans="1:8" x14ac:dyDescent="0.35">
      <c r="A18" s="69" t="s">
        <v>105</v>
      </c>
      <c r="B18" s="69"/>
      <c r="C18" s="75" t="s">
        <v>194</v>
      </c>
      <c r="D18" s="75"/>
      <c r="E18" s="71" t="s">
        <v>14</v>
      </c>
      <c r="F18" s="71"/>
      <c r="G18" s="75">
        <v>400709</v>
      </c>
      <c r="H18" s="75"/>
    </row>
    <row r="19" spans="1:8" ht="32.25" customHeight="1" x14ac:dyDescent="0.35">
      <c r="A19" s="69" t="s">
        <v>161</v>
      </c>
      <c r="B19" s="69"/>
      <c r="C19" s="165" t="s">
        <v>215</v>
      </c>
      <c r="D19" s="165"/>
      <c r="E19" s="71" t="s">
        <v>15</v>
      </c>
      <c r="F19" s="71"/>
      <c r="G19" s="75" t="s">
        <v>210</v>
      </c>
      <c r="H19" s="75"/>
    </row>
    <row r="20" spans="1:8" ht="15" customHeight="1" x14ac:dyDescent="0.35">
      <c r="A20" s="71" t="s">
        <v>107</v>
      </c>
      <c r="B20" s="71"/>
      <c r="C20" s="71"/>
      <c r="D20" s="71"/>
      <c r="E20" s="76" t="s">
        <v>16</v>
      </c>
      <c r="F20" s="76"/>
      <c r="G20" s="76"/>
      <c r="H20" s="76"/>
    </row>
    <row r="21" spans="1:8" ht="18.75" customHeight="1" x14ac:dyDescent="0.35">
      <c r="A21" s="71"/>
      <c r="B21" s="71"/>
      <c r="C21" s="71"/>
      <c r="D21" s="71"/>
      <c r="E21" s="76"/>
      <c r="F21" s="76"/>
      <c r="G21" s="76"/>
      <c r="H21" s="76"/>
    </row>
    <row r="22" spans="1:8" ht="15" customHeight="1" x14ac:dyDescent="0.35">
      <c r="A22" s="71" t="s">
        <v>17</v>
      </c>
      <c r="B22" s="71"/>
      <c r="C22" s="71"/>
      <c r="D22" s="71"/>
      <c r="E22" s="75" t="s">
        <v>18</v>
      </c>
      <c r="F22" s="75"/>
      <c r="G22" s="75"/>
      <c r="H22" s="75"/>
    </row>
    <row r="23" spans="1:8" ht="15" customHeight="1" x14ac:dyDescent="0.35">
      <c r="A23" s="69" t="s">
        <v>19</v>
      </c>
      <c r="B23" s="69"/>
      <c r="C23" s="69"/>
      <c r="D23" s="69"/>
      <c r="E23" s="75" t="str">
        <f>IF(AND(G17="Mumbai"),"Upper Class","Middle Class")</f>
        <v>Middle Class</v>
      </c>
      <c r="F23" s="75"/>
      <c r="G23" s="75"/>
      <c r="H23" s="75"/>
    </row>
    <row r="24" spans="1:8" x14ac:dyDescent="0.35">
      <c r="A24" s="69" t="s">
        <v>20</v>
      </c>
      <c r="B24" s="69"/>
      <c r="C24" s="69"/>
      <c r="D24" s="69"/>
      <c r="E24" s="75" t="s">
        <v>21</v>
      </c>
      <c r="F24" s="75"/>
      <c r="G24" s="75"/>
      <c r="H24" s="75"/>
    </row>
    <row r="25" spans="1:8" ht="15.75" customHeight="1" x14ac:dyDescent="0.35">
      <c r="A25" s="69" t="s">
        <v>22</v>
      </c>
      <c r="B25" s="69"/>
      <c r="C25" s="69"/>
      <c r="D25" s="69"/>
      <c r="E25" s="75" t="str">
        <f>IF(AND(G17="Mumbai"),"Developed","Developing")</f>
        <v>Developing</v>
      </c>
      <c r="F25" s="75"/>
      <c r="G25" s="75"/>
      <c r="H25" s="75"/>
    </row>
    <row r="26" spans="1:8" x14ac:dyDescent="0.35">
      <c r="A26" s="69" t="s">
        <v>23</v>
      </c>
      <c r="B26" s="69"/>
      <c r="C26" s="69"/>
      <c r="D26" s="69"/>
      <c r="E26" s="75" t="s">
        <v>24</v>
      </c>
      <c r="F26" s="75"/>
      <c r="G26" s="75"/>
      <c r="H26" s="75"/>
    </row>
    <row r="27" spans="1:8" x14ac:dyDescent="0.35">
      <c r="A27" s="69" t="s">
        <v>115</v>
      </c>
      <c r="B27" s="69"/>
      <c r="C27" s="69"/>
      <c r="D27" s="69"/>
      <c r="E27" s="75" t="s">
        <v>116</v>
      </c>
      <c r="F27" s="75"/>
      <c r="G27" s="75"/>
      <c r="H27" s="75"/>
    </row>
    <row r="28" spans="1:8" ht="15" customHeight="1" x14ac:dyDescent="0.35">
      <c r="A28" s="71" t="s">
        <v>35</v>
      </c>
      <c r="B28" s="71"/>
      <c r="C28" s="71"/>
      <c r="D28" s="71"/>
      <c r="E28" s="74" t="s">
        <v>212</v>
      </c>
      <c r="F28" s="74"/>
      <c r="G28" s="74"/>
      <c r="H28" s="74"/>
    </row>
    <row r="29" spans="1:8" x14ac:dyDescent="0.35">
      <c r="A29" s="71" t="s">
        <v>127</v>
      </c>
      <c r="B29" s="71"/>
      <c r="C29" s="71"/>
      <c r="D29" s="71"/>
      <c r="E29" s="71" t="s">
        <v>36</v>
      </c>
      <c r="F29" s="71"/>
      <c r="G29" s="71"/>
      <c r="H29" s="71"/>
    </row>
    <row r="30" spans="1:8" s="11" customFormat="1" x14ac:dyDescent="0.35">
      <c r="A30" s="79" t="s">
        <v>128</v>
      </c>
      <c r="B30" s="79"/>
      <c r="C30" s="80" t="s">
        <v>29</v>
      </c>
      <c r="D30" s="80"/>
      <c r="E30" s="80"/>
      <c r="F30" s="80" t="s">
        <v>31</v>
      </c>
      <c r="G30" s="80"/>
      <c r="H30" s="80"/>
    </row>
    <row r="31" spans="1:8" s="11" customFormat="1" x14ac:dyDescent="0.35">
      <c r="A31" s="81" t="s">
        <v>25</v>
      </c>
      <c r="B31" s="81" t="s">
        <v>30</v>
      </c>
      <c r="C31" s="82" t="s">
        <v>30</v>
      </c>
      <c r="D31" s="82"/>
      <c r="E31" s="82"/>
      <c r="F31" s="82" t="s">
        <v>213</v>
      </c>
      <c r="G31" s="82"/>
      <c r="H31" s="82"/>
    </row>
    <row r="32" spans="1:8" x14ac:dyDescent="0.35">
      <c r="A32" s="81" t="s">
        <v>26</v>
      </c>
      <c r="B32" s="81" t="s">
        <v>30</v>
      </c>
      <c r="C32" s="82" t="s">
        <v>30</v>
      </c>
      <c r="D32" s="82"/>
      <c r="E32" s="82"/>
      <c r="F32" s="82" t="s">
        <v>214</v>
      </c>
      <c r="G32" s="82"/>
      <c r="H32" s="82"/>
    </row>
    <row r="33" spans="1:8" s="11" customFormat="1" x14ac:dyDescent="0.35">
      <c r="A33" s="81" t="s">
        <v>28</v>
      </c>
      <c r="B33" s="81" t="s">
        <v>30</v>
      </c>
      <c r="C33" s="82" t="s">
        <v>30</v>
      </c>
      <c r="D33" s="82"/>
      <c r="E33" s="82"/>
      <c r="F33" s="82" t="s">
        <v>215</v>
      </c>
      <c r="G33" s="82"/>
      <c r="H33" s="82"/>
    </row>
    <row r="34" spans="1:8" x14ac:dyDescent="0.35">
      <c r="A34" s="81" t="s">
        <v>27</v>
      </c>
      <c r="B34" s="81" t="s">
        <v>30</v>
      </c>
      <c r="C34" s="82" t="s">
        <v>30</v>
      </c>
      <c r="D34" s="82"/>
      <c r="E34" s="82"/>
      <c r="F34" s="82" t="s">
        <v>216</v>
      </c>
      <c r="G34" s="82"/>
      <c r="H34" s="82"/>
    </row>
    <row r="35" spans="1:8" x14ac:dyDescent="0.35">
      <c r="A35" s="69" t="s">
        <v>32</v>
      </c>
      <c r="B35" s="69"/>
      <c r="C35" s="69"/>
      <c r="D35" s="69"/>
      <c r="E35" s="69"/>
      <c r="F35" s="69"/>
      <c r="G35" s="69"/>
      <c r="H35" s="69"/>
    </row>
    <row r="36" spans="1:8" ht="15.75" customHeight="1" x14ac:dyDescent="0.35">
      <c r="A36" s="73" t="s">
        <v>33</v>
      </c>
      <c r="B36" s="73"/>
      <c r="C36" s="166">
        <v>19.098552000000002</v>
      </c>
      <c r="D36" s="166"/>
      <c r="E36" s="73" t="s">
        <v>34</v>
      </c>
      <c r="F36" s="73"/>
      <c r="G36" s="167">
        <v>72.998732000000004</v>
      </c>
      <c r="H36" s="167"/>
    </row>
    <row r="37" spans="1:8" x14ac:dyDescent="0.35">
      <c r="A37" s="77" t="s">
        <v>37</v>
      </c>
      <c r="B37" s="77"/>
      <c r="C37" s="77"/>
      <c r="D37" s="77"/>
      <c r="E37" s="77"/>
      <c r="F37" s="77"/>
      <c r="G37" s="77"/>
      <c r="H37" s="77"/>
    </row>
    <row r="38" spans="1:8" x14ac:dyDescent="0.35">
      <c r="A38" s="69" t="s">
        <v>38</v>
      </c>
      <c r="B38" s="69"/>
      <c r="C38" s="69"/>
      <c r="D38" s="69"/>
      <c r="E38" s="83">
        <v>1879.866</v>
      </c>
      <c r="F38" s="83"/>
      <c r="G38" s="83"/>
      <c r="H38" s="83"/>
    </row>
    <row r="39" spans="1:8" x14ac:dyDescent="0.35">
      <c r="A39" s="69" t="s">
        <v>39</v>
      </c>
      <c r="B39" s="69"/>
      <c r="C39" s="69"/>
      <c r="D39" s="69"/>
      <c r="E39" s="84">
        <v>2.5</v>
      </c>
      <c r="F39" s="84"/>
      <c r="G39" s="84"/>
      <c r="H39" s="84"/>
    </row>
    <row r="40" spans="1:8" x14ac:dyDescent="0.35">
      <c r="A40" s="69" t="s">
        <v>40</v>
      </c>
      <c r="B40" s="69"/>
      <c r="C40" s="69"/>
      <c r="D40" s="69"/>
      <c r="E40" s="84">
        <f>E42/E38-E39</f>
        <v>0</v>
      </c>
      <c r="F40" s="84"/>
      <c r="G40" s="84"/>
      <c r="H40" s="84"/>
    </row>
    <row r="41" spans="1:8" x14ac:dyDescent="0.35">
      <c r="A41" s="69" t="s">
        <v>41</v>
      </c>
      <c r="B41" s="69"/>
      <c r="C41" s="69"/>
      <c r="D41" s="69"/>
      <c r="E41" s="84">
        <f>E39+E40</f>
        <v>2.5</v>
      </c>
      <c r="F41" s="84"/>
      <c r="G41" s="84"/>
      <c r="H41" s="84"/>
    </row>
    <row r="42" spans="1:8" x14ac:dyDescent="0.35">
      <c r="A42" s="69" t="s">
        <v>126</v>
      </c>
      <c r="B42" s="69"/>
      <c r="C42" s="69"/>
      <c r="D42" s="69"/>
      <c r="E42" s="88">
        <v>4699.665</v>
      </c>
      <c r="F42" s="88"/>
      <c r="G42" s="88"/>
      <c r="H42" s="88"/>
    </row>
    <row r="43" spans="1:8" x14ac:dyDescent="0.35">
      <c r="A43" s="76" t="s">
        <v>42</v>
      </c>
      <c r="B43" s="76"/>
      <c r="C43" s="76"/>
      <c r="D43" s="76"/>
      <c r="E43" s="76" t="s">
        <v>160</v>
      </c>
      <c r="F43" s="76"/>
      <c r="G43" s="76"/>
      <c r="H43" s="76"/>
    </row>
    <row r="44" spans="1:8" x14ac:dyDescent="0.35">
      <c r="A44" s="77" t="s">
        <v>43</v>
      </c>
      <c r="B44" s="77"/>
      <c r="C44" s="77"/>
      <c r="D44" s="77"/>
      <c r="E44" s="77"/>
      <c r="F44" s="77"/>
      <c r="G44" s="77"/>
      <c r="H44" s="77"/>
    </row>
    <row r="45" spans="1:8" x14ac:dyDescent="0.35">
      <c r="A45" s="71" t="s">
        <v>44</v>
      </c>
      <c r="B45" s="71"/>
      <c r="C45" s="161" t="s">
        <v>217</v>
      </c>
      <c r="D45" s="161"/>
      <c r="E45" s="161"/>
      <c r="F45" s="60" t="s">
        <v>45</v>
      </c>
      <c r="G45" s="87">
        <v>44208</v>
      </c>
      <c r="H45" s="87"/>
    </row>
    <row r="46" spans="1:8" x14ac:dyDescent="0.35">
      <c r="A46" s="69" t="s">
        <v>46</v>
      </c>
      <c r="B46" s="69"/>
      <c r="C46" s="161" t="str">
        <f>C45</f>
        <v>NRV/A-20201CNMMC16482/119</v>
      </c>
      <c r="D46" s="161"/>
      <c r="E46" s="161"/>
      <c r="F46" s="60" t="s">
        <v>45</v>
      </c>
      <c r="G46" s="87">
        <f>G45</f>
        <v>44208</v>
      </c>
      <c r="H46" s="87"/>
    </row>
    <row r="47" spans="1:8" s="10" customFormat="1" ht="33" customHeight="1" x14ac:dyDescent="0.35">
      <c r="A47" s="75" t="s">
        <v>47</v>
      </c>
      <c r="B47" s="75"/>
      <c r="C47" s="161" t="s">
        <v>218</v>
      </c>
      <c r="D47" s="160"/>
      <c r="E47" s="160"/>
      <c r="F47" s="13" t="s">
        <v>45</v>
      </c>
      <c r="G47" s="87">
        <f>G46</f>
        <v>44208</v>
      </c>
      <c r="H47" s="87"/>
    </row>
    <row r="48" spans="1:8" s="10" customFormat="1" x14ac:dyDescent="0.35">
      <c r="A48" s="75"/>
      <c r="B48" s="75"/>
      <c r="C48" s="174" t="s">
        <v>241</v>
      </c>
      <c r="D48" s="175"/>
      <c r="E48" s="175"/>
      <c r="F48" s="175"/>
      <c r="G48" s="175"/>
      <c r="H48" s="176"/>
    </row>
    <row r="49" spans="1:14" x14ac:dyDescent="0.35">
      <c r="A49" s="96" t="s">
        <v>48</v>
      </c>
      <c r="B49" s="96"/>
      <c r="C49" s="162" t="s">
        <v>143</v>
      </c>
      <c r="D49" s="163"/>
      <c r="E49" s="163" t="s">
        <v>49</v>
      </c>
      <c r="F49" s="14" t="s">
        <v>45</v>
      </c>
      <c r="G49" s="99" t="s">
        <v>30</v>
      </c>
      <c r="H49" s="99"/>
    </row>
    <row r="50" spans="1:14" x14ac:dyDescent="0.35">
      <c r="A50" s="89" t="s">
        <v>51</v>
      </c>
      <c r="B50" s="89"/>
      <c r="C50" s="89"/>
      <c r="D50" s="89"/>
      <c r="E50" s="89"/>
      <c r="F50" s="89"/>
      <c r="G50" s="89"/>
      <c r="H50" s="89"/>
    </row>
    <row r="51" spans="1:14" x14ac:dyDescent="0.35">
      <c r="A51" s="71" t="s">
        <v>125</v>
      </c>
      <c r="B51" s="71"/>
      <c r="C51" s="71"/>
      <c r="D51" s="69">
        <f>E42</f>
        <v>4699.665</v>
      </c>
      <c r="E51" s="69"/>
      <c r="F51" s="69"/>
      <c r="G51" s="69"/>
      <c r="H51" s="69"/>
    </row>
    <row r="52" spans="1:14" x14ac:dyDescent="0.35">
      <c r="A52" s="75" t="s">
        <v>52</v>
      </c>
      <c r="B52" s="76"/>
      <c r="C52" s="76"/>
      <c r="D52" s="76" t="s">
        <v>238</v>
      </c>
      <c r="E52" s="76"/>
      <c r="F52" s="76"/>
      <c r="G52" s="76"/>
      <c r="H52" s="76"/>
      <c r="I52" s="41"/>
    </row>
    <row r="53" spans="1:14" ht="15.75" customHeight="1" x14ac:dyDescent="0.35">
      <c r="A53" s="90" t="s">
        <v>53</v>
      </c>
      <c r="B53" s="91"/>
      <c r="C53" s="92"/>
      <c r="D53" s="76" t="s">
        <v>242</v>
      </c>
      <c r="E53" s="76"/>
      <c r="F53" s="76"/>
      <c r="G53" s="76"/>
      <c r="H53" s="76"/>
    </row>
    <row r="54" spans="1:14" ht="15.75" customHeight="1" x14ac:dyDescent="0.35">
      <c r="A54" s="90" t="s">
        <v>123</v>
      </c>
      <c r="B54" s="91"/>
      <c r="C54" s="91"/>
      <c r="D54" s="76" t="s">
        <v>242</v>
      </c>
      <c r="E54" s="76"/>
      <c r="F54" s="76"/>
      <c r="G54" s="76"/>
      <c r="H54" s="76"/>
    </row>
    <row r="55" spans="1:14" ht="15.75" customHeight="1" x14ac:dyDescent="0.35">
      <c r="A55" s="69" t="s">
        <v>50</v>
      </c>
      <c r="B55" s="69"/>
      <c r="C55" s="69"/>
      <c r="D55" s="71" t="s">
        <v>219</v>
      </c>
      <c r="E55" s="71"/>
      <c r="F55" s="71"/>
      <c r="G55" s="71"/>
      <c r="H55" s="71"/>
      <c r="J55" s="40"/>
      <c r="K55" s="41"/>
      <c r="N55" s="41"/>
    </row>
    <row r="56" spans="1:14" ht="15.75" customHeight="1" x14ac:dyDescent="0.35">
      <c r="A56" s="69" t="s">
        <v>121</v>
      </c>
      <c r="B56" s="69"/>
      <c r="C56" s="69"/>
      <c r="D56" s="107" t="str">
        <f>(IF(G49="NA","60 Years After Completion",IF(G49&lt;&gt;"NA",""&amp;60-ROUNDDOWN((E3-G49)/360,0)&amp;" Years"," ")))</f>
        <v>60 Years After Completion</v>
      </c>
      <c r="E56" s="107"/>
      <c r="F56" s="107"/>
      <c r="G56" s="107"/>
      <c r="H56" s="107"/>
      <c r="N56" s="41"/>
    </row>
    <row r="57" spans="1:14" ht="15.75" customHeight="1" x14ac:dyDescent="0.35">
      <c r="A57" s="69" t="s">
        <v>122</v>
      </c>
      <c r="B57" s="69"/>
      <c r="C57" s="69"/>
      <c r="D57" s="71" t="s">
        <v>24</v>
      </c>
      <c r="E57" s="71"/>
      <c r="F57" s="71"/>
      <c r="G57" s="71"/>
      <c r="H57" s="71"/>
      <c r="J57" s="19"/>
      <c r="K57" s="19"/>
    </row>
    <row r="58" spans="1:14" ht="15.75" customHeight="1" thickBot="1" x14ac:dyDescent="0.4">
      <c r="A58" s="100" t="s">
        <v>120</v>
      </c>
      <c r="B58" s="100"/>
      <c r="C58" s="100"/>
      <c r="D58" s="101" t="str">
        <f ca="1">(IF(G63&gt;95%,"Nothing",IF(G63&gt;0%,"Cement, Aggregate, Steel, etc",IF(G63=0%,"Work not yet Started"))))</f>
        <v>Cement, Aggregate, Steel, etc</v>
      </c>
      <c r="E58" s="101"/>
      <c r="F58" s="101"/>
      <c r="G58" s="101"/>
      <c r="H58" s="101"/>
      <c r="J58" s="19"/>
    </row>
    <row r="59" spans="1:14" ht="15.75" customHeight="1" x14ac:dyDescent="0.35">
      <c r="A59" s="102" t="s">
        <v>179</v>
      </c>
      <c r="B59" s="103"/>
      <c r="C59" s="104" t="str">
        <f>D54</f>
        <v>G/St + 2P + 3rd to 23rd Floor</v>
      </c>
      <c r="D59" s="105"/>
      <c r="E59" s="105"/>
      <c r="F59" s="105"/>
      <c r="G59" s="105"/>
      <c r="H59" s="106"/>
      <c r="I59" s="44" t="str">
        <f ca="1">(IF(E63&gt;99%,"All work completed. Please provide OC.",IF(E63&gt;89.8%,"Plinth, RCC, Brick, Plaster, Flooring, Painting work Completed. Finishing work is in process.",IF(E63&lt;94%,(IF(C63=0,"Work not yet Started.",IF(D63=25%,"Piling work in process",IF(D63=50%,"Excavation work in process",IF(D63=100%,"Excavation work Completed. ","0")))&amp;(IF(C64=0%,"",IF(C64=J65,"Footing work is process",IF(C64=J66,"Footing work Completed",IF(C64=J67,"1st Basement Completed",IF(C64=J68,"1st &amp; 2nd Basement Completed",IF(C64=J69,"1st to 3rd Basement Completed",IF(C64=J70,"1st to 4th Basement Completed",IF(C64=J71,"Plinth work is process",IF(C64=J72,"Plinth work completed","0")))))))))))&amp;(IF(C65=(D60+F60+H60),", RCC Slab",IF(C65&gt;0,", RCC upto "&amp;C65&amp;" Slab",""))&amp;(IF(C66=H60,", Brickwork",IF(C66&gt;0,", Brickwork upto "&amp;C66&amp;" Floor",""))&amp;(IF(C67=H60,", Internal Plaster",IF(C67&gt;0,", Internal Plaster upto "&amp;C67&amp;" Floor",""))&amp;(IF(C68=H60,", External Plaster",IF(C68&gt;0,", External Plaster upto "&amp;C68&amp;" Floor",""))&amp;(IF(C69=H60,", Flooring",IF(C69&gt;0,", Flooring upto "&amp;C69&amp;" Floor",""))&amp;(IF(C70=H60,", Painting",IF(C70&gt;0,", Painting upto "&amp;C70&amp;" Floor",""))&amp;(IF(C71&gt;0,", Finishing upto "&amp;C71&amp;" Floor","")&amp;(IF(C65&gt;0.5," Completed",""))))))))))))))</f>
        <v>Excavation work Completed. Footing work is process</v>
      </c>
      <c r="J59" s="21"/>
    </row>
    <row r="60" spans="1:14" x14ac:dyDescent="0.35">
      <c r="A60" s="49" t="s">
        <v>181</v>
      </c>
      <c r="B60" s="56">
        <v>0</v>
      </c>
      <c r="C60" s="53" t="s">
        <v>103</v>
      </c>
      <c r="D60" s="53">
        <v>1</v>
      </c>
      <c r="E60" s="53" t="s">
        <v>102</v>
      </c>
      <c r="F60" s="56">
        <v>0</v>
      </c>
      <c r="G60" s="54" t="s">
        <v>114</v>
      </c>
      <c r="H60" s="55">
        <f ca="1">--TRIM(RIGHT(SUBSTITUTE(LEFT(C59,_xlfn.AGGREGATE(16,6,FIND({0,1,2,3,4,5,6,7,8,9},C59,ROW(INDIRECT("1:"&amp;LEN(C59)))),1))," ",REPT(" ",LEN(C59))),LEN(C59)))</f>
        <v>23</v>
      </c>
      <c r="I60" s="19"/>
      <c r="J60" s="22"/>
    </row>
    <row r="61" spans="1:14" ht="15.75" customHeight="1" x14ac:dyDescent="0.35">
      <c r="A61" s="110" t="s">
        <v>124</v>
      </c>
      <c r="B61" s="98"/>
      <c r="C61" s="97" t="str">
        <f ca="1">I59</f>
        <v>Excavation work Completed. Footing work is process</v>
      </c>
      <c r="D61" s="97"/>
      <c r="E61" s="97"/>
      <c r="F61" s="97"/>
      <c r="G61" s="97"/>
      <c r="H61" s="111"/>
      <c r="I61" s="19" t="s">
        <v>142</v>
      </c>
      <c r="J61" s="22"/>
    </row>
    <row r="62" spans="1:14" ht="15.75" customHeight="1" x14ac:dyDescent="0.35">
      <c r="A62" s="108" t="s">
        <v>54</v>
      </c>
      <c r="B62" s="109"/>
      <c r="C62" s="50" t="s">
        <v>178</v>
      </c>
      <c r="D62" s="50" t="s">
        <v>117</v>
      </c>
      <c r="E62" s="109" t="s">
        <v>119</v>
      </c>
      <c r="F62" s="109"/>
      <c r="G62" s="109" t="s">
        <v>118</v>
      </c>
      <c r="H62" s="112"/>
      <c r="I62" s="39" t="s">
        <v>180</v>
      </c>
      <c r="J62" s="23">
        <f ca="1">H60*25%</f>
        <v>5.75</v>
      </c>
    </row>
    <row r="63" spans="1:14" x14ac:dyDescent="0.35">
      <c r="A63" s="108" t="s">
        <v>167</v>
      </c>
      <c r="B63" s="109"/>
      <c r="C63" s="57">
        <f ca="1">J64</f>
        <v>23</v>
      </c>
      <c r="D63" s="51">
        <f ca="1">((100/H60)*C63)/100</f>
        <v>1</v>
      </c>
      <c r="E63" s="177">
        <f ca="1">(((C64/H60*10)+(40/(D60+F60+H60)*C65)+(7.5/(H60)*C66)+(7.5/(H60)*C67)+(10/H60*C68)+(10/H60*C69)+(5/H60*C70)+(5/H60*C71)+(5/H60*C72))/100)</f>
        <v>2.5000000000000001E-2</v>
      </c>
      <c r="F63" s="177"/>
      <c r="G63" s="177">
        <f ca="1">((((C63/H60)*20)+((C64/H60)*25)+(30/(H60+F60+D60)*C65)+(5/H60*C66)+(5/H60*C67)+(5/H60*C68)+(5/H60*C69)+(0/H60*C70)+(0/H60*C71)+(5/H60*C72))/100)</f>
        <v>0.26250000000000001</v>
      </c>
      <c r="H63" s="179"/>
      <c r="I63" s="39" t="s">
        <v>137</v>
      </c>
      <c r="J63" s="43">
        <f ca="1">H60*50%</f>
        <v>11.5</v>
      </c>
    </row>
    <row r="64" spans="1:14" x14ac:dyDescent="0.35">
      <c r="A64" s="108" t="s">
        <v>55</v>
      </c>
      <c r="B64" s="109"/>
      <c r="C64" s="58">
        <f ca="1">J65</f>
        <v>5.75</v>
      </c>
      <c r="D64" s="51">
        <f ca="1">((100/H60)*C64)/100</f>
        <v>0.25</v>
      </c>
      <c r="E64" s="177"/>
      <c r="F64" s="177"/>
      <c r="G64" s="177"/>
      <c r="H64" s="179"/>
      <c r="I64" s="39" t="s">
        <v>138</v>
      </c>
      <c r="J64" s="43">
        <f ca="1">H60</f>
        <v>23</v>
      </c>
    </row>
    <row r="65" spans="1:10" ht="15.75" customHeight="1" x14ac:dyDescent="0.35">
      <c r="A65" s="108" t="s">
        <v>168</v>
      </c>
      <c r="B65" s="109"/>
      <c r="C65" s="58">
        <v>0</v>
      </c>
      <c r="D65" s="51">
        <f ca="1">((100/(D60+F60+H60))*C65)/100</f>
        <v>0</v>
      </c>
      <c r="E65" s="177"/>
      <c r="F65" s="177"/>
      <c r="G65" s="177"/>
      <c r="H65" s="179"/>
      <c r="I65" s="39" t="s">
        <v>139</v>
      </c>
      <c r="J65" s="46">
        <f ca="1">(IF(B60&gt;1,(H60/(B60+2)),H60/4))</f>
        <v>5.75</v>
      </c>
    </row>
    <row r="66" spans="1:10" ht="15.75" customHeight="1" x14ac:dyDescent="0.35">
      <c r="A66" s="108" t="s">
        <v>175</v>
      </c>
      <c r="B66" s="109" t="s">
        <v>169</v>
      </c>
      <c r="C66" s="57">
        <v>0</v>
      </c>
      <c r="D66" s="51">
        <f ca="1">((100/H60)*C66)/100</f>
        <v>0</v>
      </c>
      <c r="E66" s="177"/>
      <c r="F66" s="177"/>
      <c r="G66" s="177"/>
      <c r="H66" s="179"/>
      <c r="I66" s="39" t="s">
        <v>140</v>
      </c>
      <c r="J66" s="46">
        <f ca="1">(IF(B60&gt;1,(H60/(B60+2)+J65),H60/4+J65))</f>
        <v>11.5</v>
      </c>
    </row>
    <row r="67" spans="1:10" ht="15.75" customHeight="1" x14ac:dyDescent="0.35">
      <c r="A67" s="108" t="s">
        <v>176</v>
      </c>
      <c r="B67" s="109" t="s">
        <v>169</v>
      </c>
      <c r="C67" s="57">
        <v>0</v>
      </c>
      <c r="D67" s="51">
        <f ca="1">((100/H60)*C67)/100</f>
        <v>0</v>
      </c>
      <c r="E67" s="177"/>
      <c r="F67" s="177"/>
      <c r="G67" s="177"/>
      <c r="H67" s="179"/>
      <c r="I67" s="39" t="s">
        <v>185</v>
      </c>
      <c r="J67" s="46">
        <f>(IF(B60&gt;1,(H60/(B60+2)+J66),0))</f>
        <v>0</v>
      </c>
    </row>
    <row r="68" spans="1:10" ht="15.75" customHeight="1" x14ac:dyDescent="0.35">
      <c r="A68" s="108" t="s">
        <v>174</v>
      </c>
      <c r="B68" s="109" t="s">
        <v>171</v>
      </c>
      <c r="C68" s="57">
        <v>0</v>
      </c>
      <c r="D68" s="51">
        <f ca="1">((100/(H60))*C68)/100</f>
        <v>0</v>
      </c>
      <c r="E68" s="177"/>
      <c r="F68" s="177"/>
      <c r="G68" s="177"/>
      <c r="H68" s="179"/>
      <c r="I68" s="39" t="s">
        <v>182</v>
      </c>
      <c r="J68" s="46">
        <f>(IF(B60&gt;2,(H60/(B60+2)+J67),0))</f>
        <v>0</v>
      </c>
    </row>
    <row r="69" spans="1:10" ht="15.75" customHeight="1" x14ac:dyDescent="0.35">
      <c r="A69" s="108" t="s">
        <v>170</v>
      </c>
      <c r="B69" s="109" t="s">
        <v>170</v>
      </c>
      <c r="C69" s="57">
        <v>0</v>
      </c>
      <c r="D69" s="51">
        <f ca="1">((100/H60)*C69)/100</f>
        <v>0</v>
      </c>
      <c r="E69" s="177"/>
      <c r="F69" s="177"/>
      <c r="G69" s="177"/>
      <c r="H69" s="179"/>
      <c r="I69" s="39" t="s">
        <v>183</v>
      </c>
      <c r="J69" s="47">
        <f>(IF(B60&gt;3,(H60/(B60+2)+J68),0))</f>
        <v>0</v>
      </c>
    </row>
    <row r="70" spans="1:10" ht="15.75" customHeight="1" x14ac:dyDescent="0.35">
      <c r="A70" s="108" t="s">
        <v>177</v>
      </c>
      <c r="B70" s="109"/>
      <c r="C70" s="57">
        <v>0</v>
      </c>
      <c r="D70" s="51">
        <f ca="1">((100/H60)*C70)/100</f>
        <v>0</v>
      </c>
      <c r="E70" s="177"/>
      <c r="F70" s="177"/>
      <c r="G70" s="177"/>
      <c r="H70" s="179"/>
      <c r="I70" s="39" t="s">
        <v>184</v>
      </c>
      <c r="J70" s="46">
        <f>(IF(B60&gt;4,(H60/(B60+2)+J69),0))</f>
        <v>0</v>
      </c>
    </row>
    <row r="71" spans="1:10" ht="15.75" customHeight="1" x14ac:dyDescent="0.35">
      <c r="A71" s="108" t="s">
        <v>172</v>
      </c>
      <c r="B71" s="109" t="s">
        <v>172</v>
      </c>
      <c r="C71" s="57">
        <v>0</v>
      </c>
      <c r="D71" s="51">
        <f ca="1">((100/(H60))*C71)/100</f>
        <v>0</v>
      </c>
      <c r="E71" s="177"/>
      <c r="F71" s="177"/>
      <c r="G71" s="177"/>
      <c r="H71" s="179"/>
      <c r="I71" s="39" t="s">
        <v>186</v>
      </c>
      <c r="J71" s="46">
        <f ca="1">(IF(B60=1,(H60/(B60+3)+J66),IF(B60=0,(H60/4+J66),IF(B60&gt;1,0))))</f>
        <v>17.25</v>
      </c>
    </row>
    <row r="72" spans="1:10" ht="16" thickBot="1" x14ac:dyDescent="0.4">
      <c r="A72" s="117" t="s">
        <v>173</v>
      </c>
      <c r="B72" s="118"/>
      <c r="C72" s="59">
        <v>0</v>
      </c>
      <c r="D72" s="52">
        <f ca="1">((100/(H60))*C72)/100</f>
        <v>0</v>
      </c>
      <c r="E72" s="178"/>
      <c r="F72" s="178"/>
      <c r="G72" s="178"/>
      <c r="H72" s="180"/>
      <c r="I72" s="45" t="s">
        <v>141</v>
      </c>
      <c r="J72" s="48">
        <f ca="1">(IF(B60&gt;1.5,(H60/(B60+2)+J66+MAX(0,J67-J66)+MAX(0,J68-J67)+MAX(0,J69-J68)+MAX(0,J70-J69)+MAX(0,J71-J70)),IF(B60=1,(H60/(B60+3)+J71),IF(B60=0,H60/4+J71))))</f>
        <v>23</v>
      </c>
    </row>
    <row r="73" spans="1:10" x14ac:dyDescent="0.35">
      <c r="A73" s="120" t="s">
        <v>156</v>
      </c>
      <c r="B73" s="121"/>
      <c r="C73" s="121"/>
      <c r="D73" s="121"/>
      <c r="E73" s="122"/>
      <c r="F73" s="120" t="str">
        <f ca="1">(IF(D58="Nothing","Yes",IF(D58="Cement, Aggregate, Steel, etc","Under Construction",IF(D58="Work not yet Started","Work not yet Started"))))</f>
        <v>Under Construction</v>
      </c>
      <c r="G73" s="121"/>
      <c r="H73" s="122"/>
    </row>
    <row r="74" spans="1:10" x14ac:dyDescent="0.35">
      <c r="A74" s="69" t="s">
        <v>56</v>
      </c>
      <c r="B74" s="69"/>
      <c r="C74" s="69"/>
      <c r="D74" s="69"/>
      <c r="E74" s="69"/>
      <c r="F74" s="69"/>
      <c r="G74" s="69"/>
      <c r="H74" s="69"/>
    </row>
    <row r="75" spans="1:10" ht="15" customHeight="1" x14ac:dyDescent="0.35">
      <c r="A75" s="76" t="s">
        <v>247</v>
      </c>
      <c r="B75" s="76"/>
      <c r="C75" s="75" t="s">
        <v>243</v>
      </c>
      <c r="D75" s="75"/>
      <c r="E75" s="75"/>
      <c r="F75" s="75"/>
      <c r="G75" s="75"/>
      <c r="H75" s="75"/>
    </row>
    <row r="76" spans="1:10" x14ac:dyDescent="0.35">
      <c r="A76" s="77" t="s">
        <v>57</v>
      </c>
      <c r="B76" s="77"/>
      <c r="C76" s="77"/>
      <c r="D76" s="77"/>
      <c r="E76" s="77"/>
      <c r="F76" s="77"/>
      <c r="G76" s="77"/>
      <c r="H76" s="77"/>
    </row>
    <row r="77" spans="1:10" x14ac:dyDescent="0.35">
      <c r="A77" s="69" t="s">
        <v>106</v>
      </c>
      <c r="B77" s="69"/>
      <c r="C77" s="69"/>
      <c r="D77" s="69"/>
      <c r="E77" s="69"/>
      <c r="F77" s="159">
        <v>11500</v>
      </c>
      <c r="G77" s="160"/>
      <c r="H77" s="160"/>
    </row>
    <row r="78" spans="1:10" hidden="1" x14ac:dyDescent="0.35">
      <c r="A78" s="69" t="s">
        <v>112</v>
      </c>
      <c r="B78" s="69"/>
      <c r="C78" s="69"/>
      <c r="D78" s="69"/>
      <c r="E78" s="69"/>
      <c r="F78" s="160"/>
      <c r="G78" s="160"/>
      <c r="H78" s="160"/>
    </row>
    <row r="79" spans="1:10" hidden="1" x14ac:dyDescent="0.35">
      <c r="A79" s="69" t="s">
        <v>113</v>
      </c>
      <c r="B79" s="69"/>
      <c r="C79" s="69"/>
      <c r="D79" s="69"/>
      <c r="E79" s="69"/>
      <c r="F79" s="160"/>
      <c r="G79" s="160"/>
      <c r="H79" s="160"/>
    </row>
    <row r="80" spans="1:10" s="12" customFormat="1" x14ac:dyDescent="0.3">
      <c r="A80" s="69" t="s">
        <v>129</v>
      </c>
      <c r="B80" s="69"/>
      <c r="C80" s="69"/>
      <c r="D80" s="69"/>
      <c r="E80" s="69"/>
      <c r="F80" s="160" t="s">
        <v>30</v>
      </c>
      <c r="G80" s="160"/>
      <c r="H80" s="160"/>
    </row>
    <row r="81" spans="1:14" s="12" customFormat="1" x14ac:dyDescent="0.3">
      <c r="A81" s="69" t="s">
        <v>130</v>
      </c>
      <c r="B81" s="69"/>
      <c r="C81" s="69"/>
      <c r="D81" s="69"/>
      <c r="E81" s="69"/>
      <c r="F81" s="160" t="s">
        <v>30</v>
      </c>
      <c r="G81" s="160"/>
      <c r="H81" s="160"/>
    </row>
    <row r="82" spans="1:14" s="12" customFormat="1" x14ac:dyDescent="0.3">
      <c r="A82" s="69" t="s">
        <v>131</v>
      </c>
      <c r="B82" s="69"/>
      <c r="C82" s="69"/>
      <c r="D82" s="69"/>
      <c r="E82" s="69"/>
      <c r="F82" s="160" t="s">
        <v>30</v>
      </c>
      <c r="G82" s="160"/>
      <c r="H82" s="160"/>
    </row>
    <row r="83" spans="1:14" s="12" customFormat="1" x14ac:dyDescent="0.3">
      <c r="A83" s="69" t="s">
        <v>132</v>
      </c>
      <c r="B83" s="69"/>
      <c r="C83" s="69"/>
      <c r="D83" s="69"/>
      <c r="E83" s="69"/>
      <c r="F83" s="160" t="s">
        <v>30</v>
      </c>
      <c r="G83" s="160"/>
      <c r="H83" s="160"/>
    </row>
    <row r="84" spans="1:14" s="12" customFormat="1" x14ac:dyDescent="0.3">
      <c r="A84" s="69" t="s">
        <v>133</v>
      </c>
      <c r="B84" s="69"/>
      <c r="C84" s="69"/>
      <c r="D84" s="69"/>
      <c r="E84" s="69"/>
      <c r="F84" s="160" t="s">
        <v>30</v>
      </c>
      <c r="G84" s="160"/>
      <c r="H84" s="160"/>
    </row>
    <row r="85" spans="1:14" s="12" customFormat="1" x14ac:dyDescent="0.3">
      <c r="A85" s="69" t="s">
        <v>134</v>
      </c>
      <c r="B85" s="69"/>
      <c r="C85" s="69"/>
      <c r="D85" s="69"/>
      <c r="E85" s="69"/>
      <c r="F85" s="160" t="s">
        <v>30</v>
      </c>
      <c r="G85" s="160"/>
      <c r="H85" s="160"/>
    </row>
    <row r="86" spans="1:14" s="12" customFormat="1" x14ac:dyDescent="0.3">
      <c r="A86" s="69" t="s">
        <v>135</v>
      </c>
      <c r="B86" s="69"/>
      <c r="C86" s="69"/>
      <c r="D86" s="69"/>
      <c r="E86" s="69"/>
      <c r="F86" s="160" t="s">
        <v>30</v>
      </c>
      <c r="G86" s="160"/>
      <c r="H86" s="160"/>
    </row>
    <row r="87" spans="1:14" s="12" customFormat="1" x14ac:dyDescent="0.3">
      <c r="A87" s="69" t="s">
        <v>136</v>
      </c>
      <c r="B87" s="69"/>
      <c r="C87" s="69"/>
      <c r="D87" s="69"/>
      <c r="E87" s="69"/>
      <c r="F87" s="160" t="s">
        <v>30</v>
      </c>
      <c r="G87" s="160"/>
      <c r="H87" s="160"/>
    </row>
    <row r="88" spans="1:14" x14ac:dyDescent="0.35">
      <c r="A88" s="69" t="s">
        <v>58</v>
      </c>
      <c r="B88" s="69"/>
      <c r="C88" s="69"/>
      <c r="D88" s="69"/>
      <c r="E88" s="69"/>
      <c r="F88" s="161" t="s">
        <v>239</v>
      </c>
      <c r="G88" s="161"/>
      <c r="H88" s="161"/>
    </row>
    <row r="89" spans="1:14" s="9" customFormat="1" x14ac:dyDescent="0.35">
      <c r="A89" s="77" t="s">
        <v>59</v>
      </c>
      <c r="B89" s="77"/>
      <c r="C89" s="77"/>
      <c r="D89" s="77"/>
      <c r="E89" s="77"/>
      <c r="F89" s="160">
        <f>F77*0.8</f>
        <v>9200</v>
      </c>
      <c r="G89" s="160"/>
      <c r="H89" s="160"/>
    </row>
    <row r="90" spans="1:14" s="1" customFormat="1" x14ac:dyDescent="0.35">
      <c r="A90" s="123" t="s">
        <v>101</v>
      </c>
      <c r="B90" s="123"/>
      <c r="C90" s="123"/>
      <c r="D90" s="123"/>
      <c r="E90" s="123"/>
      <c r="F90" s="123"/>
      <c r="G90" s="123"/>
      <c r="H90" s="123"/>
    </row>
    <row r="91" spans="1:14" s="1" customFormat="1" ht="15.75" customHeight="1" x14ac:dyDescent="0.35">
      <c r="A91" s="124" t="s">
        <v>60</v>
      </c>
      <c r="B91" s="124"/>
      <c r="C91" s="125" t="s">
        <v>109</v>
      </c>
      <c r="D91" s="125"/>
      <c r="E91" s="126" t="s">
        <v>61</v>
      </c>
      <c r="F91" s="126"/>
      <c r="G91" s="124" t="s">
        <v>62</v>
      </c>
      <c r="H91" s="124"/>
    </row>
    <row r="92" spans="1:14" s="1" customFormat="1" x14ac:dyDescent="0.35">
      <c r="A92" s="130" t="s">
        <v>237</v>
      </c>
      <c r="B92" s="130"/>
      <c r="C92" s="131">
        <f>COUNT(D102:D108)+COUNT(D110:D116)*3+COUNT(D118:D124)*3+COUNT(D126:D132)*3+COUNT(D134:D140)+COUNT(D142:D148)+COUNT(D150:D156)*3+COUNT(D158:D164)+COUNT(D166:D172)+COUNT(D174:D180)+COUNT(D182:D188)+COUNT(D190:D196)+COUNT(D198:D201)</f>
        <v>144</v>
      </c>
      <c r="D92" s="131"/>
      <c r="E92" s="132">
        <f>SUM(D102:D108)+SUM(D110:D116)*3+SUM(D118:D124)*3+SUM(D126:D132)*3+SUM(D134:D140)+SUM(D142:D148)+SUM(D150:D156)*3+SUM(D158:D164)+SUM(D166:D172)+SUM(D174:D180)+SUM(D182:D188)+SUM(D190:D196)+SUM(D198:D201)</f>
        <v>57858.676480800001</v>
      </c>
      <c r="F92" s="132"/>
      <c r="G92" s="132">
        <f>SUM(F102:F108)+SUM(F110:F116)*3+SUM(F118:F124)*3+SUM(F126:F132)*3+SUM(F134:F140)+SUM(F142:F148)+SUM(F150:F156)*3+SUM(F158:F164)+SUM(F166:F172)+SUM(F174:F180)+SUM(F182:F188)+SUM(F190:F196)+SUM(F198:F201)</f>
        <v>101329.37378927998</v>
      </c>
      <c r="H92" s="132"/>
    </row>
    <row r="93" spans="1:14" s="9" customFormat="1" x14ac:dyDescent="0.35">
      <c r="A93" s="73" t="s">
        <v>65</v>
      </c>
      <c r="B93" s="73"/>
      <c r="C93" s="73"/>
      <c r="D93" s="73"/>
      <c r="E93" s="73"/>
      <c r="F93" s="73"/>
      <c r="G93" s="73"/>
      <c r="H93" s="73"/>
    </row>
    <row r="94" spans="1:14" x14ac:dyDescent="0.35">
      <c r="A94" s="73" t="s">
        <v>66</v>
      </c>
      <c r="B94" s="73"/>
      <c r="C94" s="73"/>
      <c r="D94" s="73"/>
      <c r="E94" s="73"/>
      <c r="F94" s="73"/>
      <c r="G94" s="73"/>
      <c r="H94" s="73"/>
    </row>
    <row r="95" spans="1:14" s="2" customFormat="1" x14ac:dyDescent="0.35">
      <c r="A95" s="143"/>
      <c r="B95" s="168"/>
      <c r="C95" s="168"/>
      <c r="D95" s="168"/>
      <c r="E95" s="168"/>
      <c r="F95" s="168"/>
      <c r="G95" s="168"/>
      <c r="H95" s="144"/>
      <c r="I95" s="37"/>
      <c r="N95" s="37"/>
    </row>
    <row r="96" spans="1:14" ht="47.25" customHeight="1" x14ac:dyDescent="0.35">
      <c r="A96" s="128" t="s">
        <v>158</v>
      </c>
      <c r="B96" s="128" t="s">
        <v>198</v>
      </c>
      <c r="C96" s="169" t="s">
        <v>67</v>
      </c>
      <c r="D96" s="169" t="s">
        <v>68</v>
      </c>
      <c r="E96" s="171" t="s">
        <v>69</v>
      </c>
      <c r="F96" s="38" t="s">
        <v>157</v>
      </c>
      <c r="G96" s="128" t="s">
        <v>70</v>
      </c>
      <c r="H96" s="129"/>
      <c r="I96" s="37"/>
    </row>
    <row r="97" spans="1:16" s="2" customFormat="1" x14ac:dyDescent="0.35">
      <c r="A97" s="164"/>
      <c r="B97" s="164"/>
      <c r="C97" s="170"/>
      <c r="D97" s="170"/>
      <c r="E97" s="172"/>
      <c r="F97" s="36">
        <v>0.6</v>
      </c>
      <c r="G97" s="164"/>
      <c r="H97" s="173"/>
      <c r="I97" s="37"/>
    </row>
    <row r="98" spans="1:16" x14ac:dyDescent="0.35">
      <c r="A98" s="73" t="s">
        <v>196</v>
      </c>
      <c r="B98" s="73"/>
      <c r="C98" s="73"/>
      <c r="D98" s="73"/>
      <c r="E98" s="73"/>
      <c r="F98" s="73"/>
      <c r="G98" s="73"/>
      <c r="H98" s="73"/>
    </row>
    <row r="99" spans="1:16" x14ac:dyDescent="0.35">
      <c r="A99" s="73" t="s">
        <v>244</v>
      </c>
      <c r="B99" s="73"/>
      <c r="C99" s="73"/>
      <c r="D99" s="73"/>
      <c r="E99" s="73"/>
      <c r="F99" s="73"/>
      <c r="G99" s="73"/>
      <c r="H99" s="73"/>
    </row>
    <row r="100" spans="1:16" x14ac:dyDescent="0.35">
      <c r="A100" s="73" t="s">
        <v>245</v>
      </c>
      <c r="B100" s="73"/>
      <c r="C100" s="73"/>
      <c r="D100" s="73"/>
      <c r="E100" s="73"/>
      <c r="F100" s="73"/>
      <c r="G100" s="73"/>
      <c r="H100" s="73"/>
    </row>
    <row r="101" spans="1:16" s="2" customFormat="1" x14ac:dyDescent="0.35">
      <c r="A101" s="139" t="s">
        <v>197</v>
      </c>
      <c r="B101" s="139"/>
      <c r="C101" s="139"/>
      <c r="D101" s="139"/>
      <c r="E101" s="139"/>
      <c r="F101" s="139"/>
      <c r="G101" s="139"/>
      <c r="H101" s="139"/>
      <c r="I101" s="37"/>
      <c r="L101" s="127"/>
      <c r="M101" s="127"/>
    </row>
    <row r="102" spans="1:16" s="2" customFormat="1" x14ac:dyDescent="0.35">
      <c r="A102" s="20">
        <f>LEFT(A101,SUM(LEN(A101)-LEN(SUBSTITUTE(A101,{"0","1","2","3","4","5","6","7","8","9"},""))))*100+1</f>
        <v>301</v>
      </c>
      <c r="B102" s="20" t="s">
        <v>200</v>
      </c>
      <c r="C102" s="20" t="s">
        <v>202</v>
      </c>
      <c r="D102" s="20">
        <f>(34.737+2.65*0.6+2.8*0.6+2.45*0.6+1.806*0.6)*10.764</f>
        <v>436.5942983999999</v>
      </c>
      <c r="E102" s="20">
        <v>0</v>
      </c>
      <c r="F102" s="20">
        <f>D102*(($F$97)+1)+E102</f>
        <v>698.55087743999991</v>
      </c>
      <c r="G102" s="145" t="str">
        <f>A101</f>
        <v>3rd Floor for Residential</v>
      </c>
      <c r="H102" s="145"/>
      <c r="I102" s="37"/>
      <c r="N102" s="37"/>
    </row>
    <row r="103" spans="1:16" s="2" customFormat="1" x14ac:dyDescent="0.35">
      <c r="A103" s="20">
        <f>A102+1</f>
        <v>302</v>
      </c>
      <c r="B103" s="20" t="s">
        <v>200</v>
      </c>
      <c r="C103" s="20" t="s">
        <v>202</v>
      </c>
      <c r="D103" s="20">
        <f>(29.514+3*0.6+2.45*0.55+2.2*0.6+1.8*0.6)*10.764</f>
        <v>377.40198600000002</v>
      </c>
      <c r="E103" s="20">
        <v>0</v>
      </c>
      <c r="F103" s="20">
        <f t="shared" ref="F103:F107" si="0">D103*(($F$97)+1)+E103</f>
        <v>603.8431776000001</v>
      </c>
      <c r="G103" s="145" t="str">
        <f t="shared" ref="G103:G108" si="1">G102</f>
        <v>3rd Floor for Residential</v>
      </c>
      <c r="H103" s="145"/>
      <c r="I103" s="37"/>
      <c r="N103" s="37"/>
    </row>
    <row r="104" spans="1:16" s="2" customFormat="1" x14ac:dyDescent="0.35">
      <c r="A104" s="20">
        <f>A103+1</f>
        <v>303</v>
      </c>
      <c r="B104" s="20" t="s">
        <v>200</v>
      </c>
      <c r="C104" s="20" t="s">
        <v>202</v>
      </c>
      <c r="D104" s="20">
        <f>(29.514+3*0.6+2.45*0.55+2.2*0.6+1.8*0.6)*10.764</f>
        <v>377.40198600000002</v>
      </c>
      <c r="E104" s="20">
        <v>0</v>
      </c>
      <c r="F104" s="20">
        <f t="shared" si="0"/>
        <v>603.8431776000001</v>
      </c>
      <c r="G104" s="145" t="str">
        <f t="shared" si="1"/>
        <v>3rd Floor for Residential</v>
      </c>
      <c r="H104" s="145"/>
      <c r="I104" s="37"/>
      <c r="N104" s="37"/>
    </row>
    <row r="105" spans="1:16" s="2" customFormat="1" x14ac:dyDescent="0.35">
      <c r="A105" s="20">
        <f t="shared" ref="A105:A108" si="2">A104+1</f>
        <v>304</v>
      </c>
      <c r="B105" s="20" t="s">
        <v>200</v>
      </c>
      <c r="C105" s="20" t="s">
        <v>202</v>
      </c>
      <c r="D105" s="20">
        <f>(34.737+2.65*0.6+2.8*0.6+2.45*0.6+1.805*0.6)*10.764</f>
        <v>436.58783999999991</v>
      </c>
      <c r="E105" s="20">
        <v>0</v>
      </c>
      <c r="F105" s="20">
        <f t="shared" si="0"/>
        <v>698.54054399999995</v>
      </c>
      <c r="G105" s="145" t="str">
        <f t="shared" si="1"/>
        <v>3rd Floor for Residential</v>
      </c>
      <c r="H105" s="145"/>
      <c r="I105" s="37"/>
      <c r="N105" s="37"/>
    </row>
    <row r="106" spans="1:16" s="2" customFormat="1" x14ac:dyDescent="0.35">
      <c r="A106" s="20">
        <f t="shared" si="2"/>
        <v>305</v>
      </c>
      <c r="B106" s="20" t="s">
        <v>199</v>
      </c>
      <c r="C106" s="20" t="s">
        <v>201</v>
      </c>
      <c r="D106" s="20">
        <f>(27.883+3*0.6+2.75*0.6+2.7*0.6+2.7*0.6+2.4*0.6)*10.764</f>
        <v>387.64393199999989</v>
      </c>
      <c r="E106" s="20">
        <f>(2.65*1.5)*10.764</f>
        <v>42.786899999999996</v>
      </c>
      <c r="F106" s="20">
        <f t="shared" si="0"/>
        <v>663.01719119999984</v>
      </c>
      <c r="G106" s="145" t="str">
        <f t="shared" si="1"/>
        <v>3rd Floor for Residential</v>
      </c>
      <c r="H106" s="145"/>
      <c r="I106" s="37"/>
      <c r="N106" s="37"/>
    </row>
    <row r="107" spans="1:16" s="2" customFormat="1" x14ac:dyDescent="0.35">
      <c r="A107" s="20">
        <f t="shared" si="2"/>
        <v>306</v>
      </c>
      <c r="B107" s="20" t="s">
        <v>200</v>
      </c>
      <c r="C107" s="20" t="s">
        <v>201</v>
      </c>
      <c r="D107" s="20">
        <f>(27.924+3*0.6+3*0.6+2.2*0.6+3*0.6+2.45*0.6)*10.764</f>
        <v>388.73109599999992</v>
      </c>
      <c r="E107" s="20">
        <f>(3*1.5)*10.764</f>
        <v>48.437999999999995</v>
      </c>
      <c r="F107" s="20">
        <f t="shared" si="0"/>
        <v>670.40775359999986</v>
      </c>
      <c r="G107" s="145" t="str">
        <f t="shared" si="1"/>
        <v>3rd Floor for Residential</v>
      </c>
      <c r="H107" s="145"/>
      <c r="I107" s="37"/>
      <c r="N107" s="37"/>
    </row>
    <row r="108" spans="1:16" s="2" customFormat="1" x14ac:dyDescent="0.35">
      <c r="A108" s="20">
        <f t="shared" si="2"/>
        <v>307</v>
      </c>
      <c r="B108" s="20" t="s">
        <v>200</v>
      </c>
      <c r="C108" s="20" t="s">
        <v>201</v>
      </c>
      <c r="D108" s="20">
        <f>(27.883+3*0.6+2.75*0.6+2.7*0.6+2.7*0.6+2.4*0.6)*10.764</f>
        <v>387.64393199999989</v>
      </c>
      <c r="E108" s="20">
        <f>(2.65*1.5)*10.764</f>
        <v>42.786899999999996</v>
      </c>
      <c r="F108" s="20">
        <f t="shared" ref="F108" si="3">D108*(($F$97)+1)+E108</f>
        <v>663.01719119999984</v>
      </c>
      <c r="G108" s="145" t="str">
        <f t="shared" si="1"/>
        <v>3rd Floor for Residential</v>
      </c>
      <c r="H108" s="145"/>
      <c r="I108" s="37"/>
      <c r="N108" s="37"/>
    </row>
    <row r="109" spans="1:16" s="2" customFormat="1" ht="15.75" customHeight="1" x14ac:dyDescent="0.35">
      <c r="A109" s="140" t="s">
        <v>204</v>
      </c>
      <c r="B109" s="141"/>
      <c r="C109" s="141"/>
      <c r="D109" s="141"/>
      <c r="E109" s="141"/>
      <c r="F109" s="141"/>
      <c r="G109" s="141"/>
      <c r="H109" s="142"/>
      <c r="I109" s="37"/>
    </row>
    <row r="110" spans="1:16" s="2" customFormat="1" ht="15.75" customHeight="1" x14ac:dyDescent="0.35">
      <c r="A110" s="20" t="str">
        <f t="shared" ref="A110:A115" ca="1" si="4">N110</f>
        <v>401,..,1601</v>
      </c>
      <c r="B110" s="20" t="s">
        <v>200</v>
      </c>
      <c r="C110" s="20" t="s">
        <v>202</v>
      </c>
      <c r="D110" s="20">
        <f>(33.283+2.65*0.6+2.8*0.6+2.45*0.6+1.805*0.6+3*0.6+1.95*0.6)*10.764</f>
        <v>452.90606399999996</v>
      </c>
      <c r="E110" s="20">
        <f>(2.5*1.5)*10.764</f>
        <v>40.364999999999995</v>
      </c>
      <c r="F110" s="20">
        <f t="shared" ref="F110:F114" si="5">D110*(($F$97)+1)+E110</f>
        <v>765.01470240000003</v>
      </c>
      <c r="G110" s="143" t="str">
        <f>A109</f>
        <v xml:space="preserve">4th, 12th, 16th Floor </v>
      </c>
      <c r="H110" s="144"/>
      <c r="I110" s="37"/>
      <c r="N110" s="2" t="str">
        <f t="shared" ref="N110:N115" ca="1" si="6">O110&amp;""&amp;",..,"&amp;""&amp;P110</f>
        <v>401,..,1601</v>
      </c>
      <c r="O110" s="2">
        <f ca="1">(SUMPRODUCT(MID(0&amp;(LEFT(A109,SUM(LEN(A109)-LEN(SUBSTITUTE(A109,{"0","1","2"},""))))), LARGE(INDEX(ISNUMBER(--MID((LEFT(A109,SUM(LEN(A109)-LEN(SUBSTITUTE(A109,{"0","1","2"},""))))), ROW(INDIRECT("1:"&amp;LEN((LEFT(A109,SUM(LEN(A109)-LEN(SUBSTITUTE(A109,{"0","1","2"},"")))))))), 1)) * ROW(INDIRECT("1:"&amp;LEN((LEFT(A109,SUM(LEN(A109)-LEN(SUBSTITUTE(A109,{"0","1","2"},"")))))))), 0), ROW(INDIRECT("1:"&amp;LEN((LEFT(A109,SUM(LEN(A109)-LEN(SUBSTITUTE(A109,{"0","1","2"},"")))))))))+1, 1) * 10^ROW(INDIRECT("1:"&amp;LEN((LEFT(A109,SUM(LEN(A109)-LEN(SUBSTITUTE(A109,{"0","1","2"},""))))))))/10))*100+1</f>
        <v>401</v>
      </c>
      <c r="P110" s="2">
        <f ca="1">(SUMPRODUCT(MID(0&amp;(--TRIM(RIGHT(SUBSTITUTE(LEFT(A109,_xlfn.AGGREGATE(16,6,FIND({0,1,2,3,4,5,6,7,8,9},A109,ROW(INDIRECT("1:"&amp;LEN(A109)))),1))," ",REPT(" ",LEN(A109))),LEN(A109)))), LARGE(INDEX(ISNUMBER(--MID((--TRIM(RIGHT(SUBSTITUTE(LEFT(A109,_xlfn.AGGREGATE(16,6,FIND({0,1,2,3,4,5,6,7,8,9},A109,ROW(INDIRECT("1:"&amp;LEN(A109)))),1))," ",REPT(" ",LEN(A109))),LEN(A109)))), ROW(INDIRECT("1:"&amp;LEN((--TRIM(RIGHT(SUBSTITUTE(LEFT(A109,_xlfn.AGGREGATE(16,6,FIND({0,1,2,3,4,5,6,7,8,9},A109,ROW(INDIRECT("1:"&amp;LEN(A109)))),1))," ",REPT(" ",LEN(A109))),LEN(A109))))))), 1)) * ROW(INDIRECT("1:"&amp;LEN((--TRIM(RIGHT(SUBSTITUTE(LEFT(A109,_xlfn.AGGREGATE(16,6,FIND({0,1,2,3,4,5,6,7,8,9},A109,ROW(INDIRECT("1:"&amp;LEN(A109)))),1))," ",REPT(" ",LEN(A109))),LEN(A109))))))), 0), ROW(INDIRECT("1:"&amp;LEN((--TRIM(RIGHT(SUBSTITUTE(LEFT(A109,_xlfn.AGGREGATE(16,6,FIND({0,1,2,3,4,5,6,7,8,9},A109,ROW(INDIRECT("1:"&amp;LEN(A109)))),1))," ",REPT(" ",LEN(A109))),LEN(A109))))))))+1, 1) * 10^ROW(INDIRECT("1:"&amp;LEN((--TRIM(RIGHT(SUBSTITUTE(LEFT(A109,_xlfn.AGGREGATE(16,6,FIND({0,1,2,3,4,5,6,7,8,9},A109,ROW(INDIRECT("1:"&amp;LEN(A109)))),1))," ",REPT(" ",LEN(A109))),LEN(A109)))))))/10))*100+1</f>
        <v>1601</v>
      </c>
    </row>
    <row r="111" spans="1:16" s="2" customFormat="1" ht="15.75" customHeight="1" x14ac:dyDescent="0.35">
      <c r="A111" s="20" t="str">
        <f t="shared" ca="1" si="4"/>
        <v>402,..,1602</v>
      </c>
      <c r="B111" s="20" t="s">
        <v>200</v>
      </c>
      <c r="C111" s="20" t="s">
        <v>201</v>
      </c>
      <c r="D111" s="20">
        <f>(26.484+3*0.6+2.45*0.55+1.8*0.6+2.2*0.6+1.85*0.6)*10.764</f>
        <v>356.73510599999997</v>
      </c>
      <c r="E111" s="20">
        <f>(2.4*1.5+2.55*2.5)*10.764</f>
        <v>107.37089999999999</v>
      </c>
      <c r="F111" s="20">
        <f t="shared" si="5"/>
        <v>678.14706960000001</v>
      </c>
      <c r="G111" s="143" t="str">
        <f t="shared" ref="G111:G116" si="7">G110</f>
        <v xml:space="preserve">4th, 12th, 16th Floor </v>
      </c>
      <c r="H111" s="144"/>
      <c r="I111" s="37"/>
      <c r="N111" s="2" t="str">
        <f t="shared" ca="1" si="6"/>
        <v>402,..,1602</v>
      </c>
      <c r="O111" s="2">
        <f t="shared" ref="O111:P114" ca="1" si="8">O110+1</f>
        <v>402</v>
      </c>
      <c r="P111" s="2">
        <f t="shared" ca="1" si="8"/>
        <v>1602</v>
      </c>
    </row>
    <row r="112" spans="1:16" s="2" customFormat="1" ht="15.75" customHeight="1" x14ac:dyDescent="0.35">
      <c r="A112" s="20" t="str">
        <f t="shared" ca="1" si="4"/>
        <v>403,..,1603</v>
      </c>
      <c r="B112" s="20" t="s">
        <v>200</v>
      </c>
      <c r="C112" s="20" t="s">
        <v>201</v>
      </c>
      <c r="D112" s="20">
        <f>(26.484+3*0.6+2.45*0.55+1.8*0.6+2.2*0.6+1.85*0.6)*10.764</f>
        <v>356.73510599999997</v>
      </c>
      <c r="E112" s="20">
        <f>(2.4*1.5+2.55*2.5)*10.764</f>
        <v>107.37089999999999</v>
      </c>
      <c r="F112" s="20">
        <f t="shared" si="5"/>
        <v>678.14706960000001</v>
      </c>
      <c r="G112" s="143" t="str">
        <f t="shared" si="7"/>
        <v xml:space="preserve">4th, 12th, 16th Floor </v>
      </c>
      <c r="H112" s="144"/>
      <c r="I112" s="37"/>
      <c r="N112" s="2" t="str">
        <f t="shared" ca="1" si="6"/>
        <v>403,..,1603</v>
      </c>
      <c r="O112" s="2">
        <f t="shared" ca="1" si="8"/>
        <v>403</v>
      </c>
      <c r="P112" s="2">
        <f t="shared" ca="1" si="8"/>
        <v>1603</v>
      </c>
    </row>
    <row r="113" spans="1:16" s="2" customFormat="1" ht="15.75" customHeight="1" x14ac:dyDescent="0.35">
      <c r="A113" s="20" t="str">
        <f t="shared" ca="1" si="4"/>
        <v>404,..,1604</v>
      </c>
      <c r="B113" s="20" t="s">
        <v>200</v>
      </c>
      <c r="C113" s="20" t="s">
        <v>202</v>
      </c>
      <c r="D113" s="20">
        <f>(33.283+2.65*0.6+2.8*0.6+2.45*0.6+1.805*0.6+1.95*0.6+2.4*0.6)*10.764</f>
        <v>449.031024</v>
      </c>
      <c r="E113" s="20">
        <f>(2.5*1.5)*10.764</f>
        <v>40.364999999999995</v>
      </c>
      <c r="F113" s="20">
        <f t="shared" si="5"/>
        <v>758.81463840000004</v>
      </c>
      <c r="G113" s="143" t="str">
        <f t="shared" si="7"/>
        <v xml:space="preserve">4th, 12th, 16th Floor </v>
      </c>
      <c r="H113" s="144"/>
      <c r="I113" s="37"/>
      <c r="N113" s="2" t="str">
        <f t="shared" ca="1" si="6"/>
        <v>404,..,1604</v>
      </c>
      <c r="O113" s="2">
        <f t="shared" ca="1" si="8"/>
        <v>404</v>
      </c>
      <c r="P113" s="2">
        <f t="shared" ca="1" si="8"/>
        <v>1604</v>
      </c>
    </row>
    <row r="114" spans="1:16" s="2" customFormat="1" ht="15.75" customHeight="1" x14ac:dyDescent="0.35">
      <c r="A114" s="20" t="str">
        <f t="shared" ca="1" si="4"/>
        <v>405,..,1605</v>
      </c>
      <c r="B114" s="20" t="s">
        <v>199</v>
      </c>
      <c r="C114" s="20" t="s">
        <v>201</v>
      </c>
      <c r="D114" s="20">
        <f>(27.883+3*0.6+2.75*0.6+2.7*0.6+2.65*0.6+2.4*0.6)*10.764</f>
        <v>387.32101199999988</v>
      </c>
      <c r="E114" s="20">
        <f>(2.7*1.5)*10.764</f>
        <v>43.594200000000008</v>
      </c>
      <c r="F114" s="20">
        <f t="shared" si="5"/>
        <v>663.30781919999981</v>
      </c>
      <c r="G114" s="143" t="str">
        <f t="shared" si="7"/>
        <v xml:space="preserve">4th, 12th, 16th Floor </v>
      </c>
      <c r="H114" s="144"/>
      <c r="I114" s="37"/>
      <c r="N114" s="2" t="str">
        <f t="shared" ca="1" si="6"/>
        <v>405,..,1605</v>
      </c>
      <c r="O114" s="2">
        <f t="shared" ca="1" si="8"/>
        <v>405</v>
      </c>
      <c r="P114" s="2">
        <f t="shared" ca="1" si="8"/>
        <v>1605</v>
      </c>
    </row>
    <row r="115" spans="1:16" s="2" customFormat="1" ht="15.75" customHeight="1" x14ac:dyDescent="0.35">
      <c r="A115" s="20" t="str">
        <f t="shared" ca="1" si="4"/>
        <v>406,..,1606</v>
      </c>
      <c r="B115" s="20" t="s">
        <v>199</v>
      </c>
      <c r="C115" s="20" t="s">
        <v>201</v>
      </c>
      <c r="D115" s="20">
        <f>(27.924+3*0.6+3*0.6+2.2*0.6+3*0.6+2.45*0.6)*10.764</f>
        <v>388.73109599999992</v>
      </c>
      <c r="E115" s="20">
        <f>(3*1.5)*10.764</f>
        <v>48.437999999999995</v>
      </c>
      <c r="F115" s="20">
        <f t="shared" ref="F115" si="9">D115*(($F$97)+1)+E115</f>
        <v>670.40775359999986</v>
      </c>
      <c r="G115" s="143" t="str">
        <f t="shared" si="7"/>
        <v xml:space="preserve">4th, 12th, 16th Floor </v>
      </c>
      <c r="H115" s="144"/>
      <c r="I115" s="37"/>
      <c r="N115" s="2" t="str">
        <f t="shared" ca="1" si="6"/>
        <v>406,..,1606</v>
      </c>
      <c r="O115" s="2">
        <f t="shared" ref="O115:P116" ca="1" si="10">O114+1</f>
        <v>406</v>
      </c>
      <c r="P115" s="2">
        <f t="shared" ca="1" si="10"/>
        <v>1606</v>
      </c>
    </row>
    <row r="116" spans="1:16" s="2" customFormat="1" ht="15.75" customHeight="1" x14ac:dyDescent="0.35">
      <c r="A116" s="20" t="str">
        <f t="shared" ref="A116" ca="1" si="11">N116</f>
        <v>407,..,1607</v>
      </c>
      <c r="B116" s="20" t="s">
        <v>199</v>
      </c>
      <c r="C116" s="20" t="s">
        <v>201</v>
      </c>
      <c r="D116" s="20">
        <f>(27.883+3*0.6+2.75*0.6+2.7*0.8+2.65*0.6+2.4+0.6)*10.764</f>
        <v>409.92541199999994</v>
      </c>
      <c r="E116" s="20">
        <f>(2.7*1.5)*10.764</f>
        <v>43.594200000000008</v>
      </c>
      <c r="F116" s="20">
        <f t="shared" ref="F116" si="12">D116*(($F$97)+1)+E116</f>
        <v>699.47485919999997</v>
      </c>
      <c r="G116" s="143" t="str">
        <f t="shared" si="7"/>
        <v xml:space="preserve">4th, 12th, 16th Floor </v>
      </c>
      <c r="H116" s="144"/>
      <c r="I116" s="37"/>
      <c r="N116" s="2" t="str">
        <f t="shared" ref="N116" ca="1" si="13">O116&amp;""&amp;",..,"&amp;""&amp;P116</f>
        <v>407,..,1607</v>
      </c>
      <c r="O116" s="2">
        <f t="shared" ca="1" si="10"/>
        <v>407</v>
      </c>
      <c r="P116" s="2">
        <f t="shared" ca="1" si="10"/>
        <v>1607</v>
      </c>
    </row>
    <row r="117" spans="1:16" s="2" customFormat="1" ht="15.75" customHeight="1" x14ac:dyDescent="0.35">
      <c r="A117" s="140" t="s">
        <v>205</v>
      </c>
      <c r="B117" s="141"/>
      <c r="C117" s="141"/>
      <c r="D117" s="141"/>
      <c r="E117" s="141"/>
      <c r="F117" s="141"/>
      <c r="G117" s="141"/>
      <c r="H117" s="142"/>
      <c r="I117" s="37"/>
    </row>
    <row r="118" spans="1:16" s="2" customFormat="1" ht="15.75" customHeight="1" x14ac:dyDescent="0.35">
      <c r="A118" s="20" t="str">
        <f t="shared" ref="A118:A124" ca="1" si="14">N118</f>
        <v>501,..,1701</v>
      </c>
      <c r="B118" s="20" t="s">
        <v>200</v>
      </c>
      <c r="C118" s="20" t="s">
        <v>202</v>
      </c>
      <c r="D118" s="20">
        <f>(31.693+2.65*0.6+2.8*0.6+2.45*0.6+1.806*0.6+2.4*0.6+1.95*0.6)*10.764</f>
        <v>431.92272239999994</v>
      </c>
      <c r="E118" s="20">
        <f>(2.2*2.5+3*1.5)*10.764</f>
        <v>107.63999999999999</v>
      </c>
      <c r="F118" s="20">
        <f t="shared" ref="F118:F124" si="15">D118*(($F$97)+1)+E118</f>
        <v>798.71635583999989</v>
      </c>
      <c r="G118" s="143" t="str">
        <f>A117</f>
        <v xml:space="preserve">5th, 9th, 17th Floor </v>
      </c>
      <c r="H118" s="144"/>
      <c r="I118" s="37"/>
      <c r="N118" s="2" t="str">
        <f t="shared" ref="N118:N124" ca="1" si="16">O118&amp;""&amp;",..,"&amp;""&amp;P118</f>
        <v>501,..,1701</v>
      </c>
      <c r="O118" s="2">
        <f ca="1">(SUMPRODUCT(MID(0&amp;(LEFT(A117,SUM(LEN(A117)-LEN(SUBSTITUTE(A117,{"0","1","2"},""))))), LARGE(INDEX(ISNUMBER(--MID((LEFT(A117,SUM(LEN(A117)-LEN(SUBSTITUTE(A117,{"0","1","2"},""))))), ROW(INDIRECT("1:"&amp;LEN((LEFT(A117,SUM(LEN(A117)-LEN(SUBSTITUTE(A117,{"0","1","2"},"")))))))), 1)) * ROW(INDIRECT("1:"&amp;LEN((LEFT(A117,SUM(LEN(A117)-LEN(SUBSTITUTE(A117,{"0","1","2"},"")))))))), 0), ROW(INDIRECT("1:"&amp;LEN((LEFT(A117,SUM(LEN(A117)-LEN(SUBSTITUTE(A117,{"0","1","2"},"")))))))))+1, 1) * 10^ROW(INDIRECT("1:"&amp;LEN((LEFT(A117,SUM(LEN(A117)-LEN(SUBSTITUTE(A117,{"0","1","2"},""))))))))/10))*100+1</f>
        <v>501</v>
      </c>
      <c r="P118" s="2">
        <f ca="1">(SUMPRODUCT(MID(0&amp;(--TRIM(RIGHT(SUBSTITUTE(LEFT(A117,_xlfn.AGGREGATE(16,6,FIND({0,1,2,3,4,5,6,7,8,9},A117,ROW(INDIRECT("1:"&amp;LEN(A117)))),1))," ",REPT(" ",LEN(A117))),LEN(A117)))), LARGE(INDEX(ISNUMBER(--MID((--TRIM(RIGHT(SUBSTITUTE(LEFT(A117,_xlfn.AGGREGATE(16,6,FIND({0,1,2,3,4,5,6,7,8,9},A117,ROW(INDIRECT("1:"&amp;LEN(A117)))),1))," ",REPT(" ",LEN(A117))),LEN(A117)))), ROW(INDIRECT("1:"&amp;LEN((--TRIM(RIGHT(SUBSTITUTE(LEFT(A117,_xlfn.AGGREGATE(16,6,FIND({0,1,2,3,4,5,6,7,8,9},A117,ROW(INDIRECT("1:"&amp;LEN(A117)))),1))," ",REPT(" ",LEN(A117))),LEN(A117))))))), 1)) * ROW(INDIRECT("1:"&amp;LEN((--TRIM(RIGHT(SUBSTITUTE(LEFT(A117,_xlfn.AGGREGATE(16,6,FIND({0,1,2,3,4,5,6,7,8,9},A117,ROW(INDIRECT("1:"&amp;LEN(A117)))),1))," ",REPT(" ",LEN(A117))),LEN(A117))))))), 0), ROW(INDIRECT("1:"&amp;LEN((--TRIM(RIGHT(SUBSTITUTE(LEFT(A117,_xlfn.AGGREGATE(16,6,FIND({0,1,2,3,4,5,6,7,8,9},A117,ROW(INDIRECT("1:"&amp;LEN(A117)))),1))," ",REPT(" ",LEN(A117))),LEN(A117))))))))+1, 1) * 10^ROW(INDIRECT("1:"&amp;LEN((--TRIM(RIGHT(SUBSTITUTE(LEFT(A117,_xlfn.AGGREGATE(16,6,FIND({0,1,2,3,4,5,6,7,8,9},A117,ROW(INDIRECT("1:"&amp;LEN(A117)))),1))," ",REPT(" ",LEN(A117))),LEN(A117)))))))/10))*100+1</f>
        <v>1701</v>
      </c>
    </row>
    <row r="119" spans="1:16" s="2" customFormat="1" ht="15.75" customHeight="1" x14ac:dyDescent="0.35">
      <c r="A119" s="20" t="str">
        <f t="shared" ca="1" si="14"/>
        <v>502,..,1702</v>
      </c>
      <c r="B119" s="20" t="s">
        <v>199</v>
      </c>
      <c r="C119" s="20" t="s">
        <v>201</v>
      </c>
      <c r="D119" s="20">
        <f>(27.88+3*0.6+2.45*0.55+1.8*0.6+3*0.6)*10.764</f>
        <v>364.98032999999998</v>
      </c>
      <c r="E119" s="20">
        <f>(2.35*1.5+2.2*2.5)*10.764</f>
        <v>97.145099999999999</v>
      </c>
      <c r="F119" s="20">
        <f t="shared" si="15"/>
        <v>681.11362799999995</v>
      </c>
      <c r="G119" s="143" t="str">
        <f t="shared" ref="G119:G124" si="17">G118</f>
        <v xml:space="preserve">5th, 9th, 17th Floor </v>
      </c>
      <c r="H119" s="144"/>
      <c r="I119" s="37"/>
      <c r="N119" s="2" t="str">
        <f t="shared" ca="1" si="16"/>
        <v>502,..,1702</v>
      </c>
      <c r="O119" s="2">
        <f t="shared" ref="O119:P119" ca="1" si="18">O118+1</f>
        <v>502</v>
      </c>
      <c r="P119" s="2">
        <f t="shared" ca="1" si="18"/>
        <v>1702</v>
      </c>
    </row>
    <row r="120" spans="1:16" s="2" customFormat="1" ht="15.75" customHeight="1" x14ac:dyDescent="0.35">
      <c r="A120" s="20" t="str">
        <f t="shared" ca="1" si="14"/>
        <v>503,..,1703</v>
      </c>
      <c r="B120" s="20" t="s">
        <v>199</v>
      </c>
      <c r="C120" s="20" t="s">
        <v>201</v>
      </c>
      <c r="D120" s="20">
        <f>(27.88+3*0.6+2.45*0.55+1.8*0.6+3*0.6)*10.764</f>
        <v>364.98032999999998</v>
      </c>
      <c r="E120" s="20">
        <f>(2.35*1.5+2.2*2.5)*10.764</f>
        <v>97.145099999999999</v>
      </c>
      <c r="F120" s="20">
        <f t="shared" si="15"/>
        <v>681.11362799999995</v>
      </c>
      <c r="G120" s="143" t="str">
        <f t="shared" si="17"/>
        <v xml:space="preserve">5th, 9th, 17th Floor </v>
      </c>
      <c r="H120" s="144"/>
      <c r="I120" s="37"/>
      <c r="N120" s="2" t="str">
        <f t="shared" ca="1" si="16"/>
        <v>503,..,1703</v>
      </c>
      <c r="O120" s="2">
        <f t="shared" ref="O120:P120" ca="1" si="19">O119+1</f>
        <v>503</v>
      </c>
      <c r="P120" s="2">
        <f t="shared" ca="1" si="19"/>
        <v>1703</v>
      </c>
    </row>
    <row r="121" spans="1:16" s="2" customFormat="1" ht="15.75" customHeight="1" x14ac:dyDescent="0.35">
      <c r="A121" s="20" t="str">
        <f t="shared" ca="1" si="14"/>
        <v>504,..,1704</v>
      </c>
      <c r="B121" s="20" t="s">
        <v>200</v>
      </c>
      <c r="C121" s="20" t="s">
        <v>202</v>
      </c>
      <c r="D121" s="20">
        <f>(31.693+2.65*0.6+2.8*0.6+2.45*0.55+1.805*0.6+2.4*0.6+1.95*0.6)*10.764</f>
        <v>430.59767399999998</v>
      </c>
      <c r="E121" s="20">
        <f>(2.2*2.5)*10.764</f>
        <v>59.201999999999998</v>
      </c>
      <c r="F121" s="20">
        <f t="shared" si="15"/>
        <v>748.15827839999997</v>
      </c>
      <c r="G121" s="143" t="str">
        <f t="shared" si="17"/>
        <v xml:space="preserve">5th, 9th, 17th Floor </v>
      </c>
      <c r="H121" s="144"/>
      <c r="I121" s="37"/>
      <c r="N121" s="2" t="str">
        <f t="shared" ca="1" si="16"/>
        <v>504,..,1704</v>
      </c>
      <c r="O121" s="2">
        <f t="shared" ref="O121:P121" ca="1" si="20">O120+1</f>
        <v>504</v>
      </c>
      <c r="P121" s="2">
        <f t="shared" ca="1" si="20"/>
        <v>1704</v>
      </c>
    </row>
    <row r="122" spans="1:16" s="2" customFormat="1" ht="15.75" customHeight="1" x14ac:dyDescent="0.35">
      <c r="A122" s="20" t="str">
        <f t="shared" ca="1" si="14"/>
        <v>505,..,1705</v>
      </c>
      <c r="B122" s="20" t="s">
        <v>199</v>
      </c>
      <c r="C122" s="20" t="s">
        <v>201</v>
      </c>
      <c r="D122" s="20">
        <f>(27.883+3*0.6+2.75*0.6+2.7*0.6+2.7*0.6+2.4*0.6)*10.764</f>
        <v>387.64393199999989</v>
      </c>
      <c r="E122" s="20">
        <f>(2.65*1.5)*10.764</f>
        <v>42.786899999999996</v>
      </c>
      <c r="F122" s="20">
        <f t="shared" si="15"/>
        <v>663.01719119999984</v>
      </c>
      <c r="G122" s="143" t="str">
        <f t="shared" si="17"/>
        <v xml:space="preserve">5th, 9th, 17th Floor </v>
      </c>
      <c r="H122" s="144"/>
      <c r="I122" s="37"/>
      <c r="N122" s="2" t="str">
        <f t="shared" ca="1" si="16"/>
        <v>505,..,1705</v>
      </c>
      <c r="O122" s="2">
        <f t="shared" ref="O122:P122" ca="1" si="21">O121+1</f>
        <v>505</v>
      </c>
      <c r="P122" s="2">
        <f t="shared" ca="1" si="21"/>
        <v>1705</v>
      </c>
    </row>
    <row r="123" spans="1:16" s="2" customFormat="1" ht="15.75" customHeight="1" x14ac:dyDescent="0.35">
      <c r="A123" s="20" t="str">
        <f t="shared" ca="1" si="14"/>
        <v>506,..,1706</v>
      </c>
      <c r="B123" s="20" t="s">
        <v>199</v>
      </c>
      <c r="C123" s="20" t="s">
        <v>201</v>
      </c>
      <c r="D123" s="20">
        <f>(27.924+3*0.6+3*0.6+2.2*0.6+3*0.6+2.45*0.6)*10.764</f>
        <v>388.73109599999992</v>
      </c>
      <c r="E123" s="20">
        <f>(3*1.5)*10.764</f>
        <v>48.437999999999995</v>
      </c>
      <c r="F123" s="20">
        <f t="shared" si="15"/>
        <v>670.40775359999986</v>
      </c>
      <c r="G123" s="143" t="str">
        <f t="shared" si="17"/>
        <v xml:space="preserve">5th, 9th, 17th Floor </v>
      </c>
      <c r="H123" s="144"/>
      <c r="I123" s="37"/>
      <c r="N123" s="2" t="str">
        <f t="shared" ca="1" si="16"/>
        <v>506,..,1706</v>
      </c>
      <c r="O123" s="2">
        <f t="shared" ref="O123:P123" ca="1" si="22">O122+1</f>
        <v>506</v>
      </c>
      <c r="P123" s="2">
        <f t="shared" ca="1" si="22"/>
        <v>1706</v>
      </c>
    </row>
    <row r="124" spans="1:16" s="2" customFormat="1" ht="15.75" customHeight="1" x14ac:dyDescent="0.35">
      <c r="A124" s="20" t="str">
        <f t="shared" ca="1" si="14"/>
        <v>507,..,1707</v>
      </c>
      <c r="B124" s="20" t="s">
        <v>199</v>
      </c>
      <c r="C124" s="20" t="s">
        <v>201</v>
      </c>
      <c r="D124" s="20">
        <f>(27.932+2.7*0.6+2.75*0.6+3*0.6+2.7*0.6+2.4*0.6)*10.764</f>
        <v>388.17136799999986</v>
      </c>
      <c r="E124" s="20">
        <f>(2.65*1.5)*10.764</f>
        <v>42.786899999999996</v>
      </c>
      <c r="F124" s="20">
        <f t="shared" si="15"/>
        <v>663.86108879999972</v>
      </c>
      <c r="G124" s="143" t="str">
        <f t="shared" si="17"/>
        <v xml:space="preserve">5th, 9th, 17th Floor </v>
      </c>
      <c r="H124" s="144"/>
      <c r="I124" s="37"/>
      <c r="N124" s="2" t="str">
        <f t="shared" ca="1" si="16"/>
        <v>507,..,1707</v>
      </c>
      <c r="O124" s="2">
        <f t="shared" ref="O124:P124" ca="1" si="23">O123+1</f>
        <v>507</v>
      </c>
      <c r="P124" s="2">
        <f t="shared" ca="1" si="23"/>
        <v>1707</v>
      </c>
    </row>
    <row r="125" spans="1:16" s="2" customFormat="1" ht="15.75" customHeight="1" x14ac:dyDescent="0.35">
      <c r="A125" s="140" t="s">
        <v>206</v>
      </c>
      <c r="B125" s="141"/>
      <c r="C125" s="141"/>
      <c r="D125" s="141"/>
      <c r="E125" s="141"/>
      <c r="F125" s="141"/>
      <c r="G125" s="141"/>
      <c r="H125" s="142"/>
      <c r="I125" s="37"/>
    </row>
    <row r="126" spans="1:16" s="2" customFormat="1" ht="15.75" customHeight="1" x14ac:dyDescent="0.35">
      <c r="A126" s="20" t="str">
        <f t="shared" ref="A126:A132" ca="1" si="24">N126</f>
        <v>601,..,1401</v>
      </c>
      <c r="B126" s="20" t="s">
        <v>200</v>
      </c>
      <c r="C126" s="20" t="s">
        <v>202</v>
      </c>
      <c r="D126" s="20">
        <f>(31.693+2.65*0.6+2.8*0.6+2.45*0.6+1.806*0.6+1.95*0.6+3*0.6)*10.764</f>
        <v>435.79776239999995</v>
      </c>
      <c r="E126" s="20">
        <f>(2.5*1.5)*10.764</f>
        <v>40.364999999999995</v>
      </c>
      <c r="F126" s="20">
        <f t="shared" ref="F126:F132" si="25">D126*(($F$97)+1)+E126</f>
        <v>737.64141984000003</v>
      </c>
      <c r="G126" s="143" t="str">
        <f>A125</f>
        <v xml:space="preserve">6th, 10th, 14th Floor </v>
      </c>
      <c r="H126" s="144"/>
      <c r="I126" s="37"/>
      <c r="N126" s="2" t="str">
        <f t="shared" ref="N126:N132" ca="1" si="26">O126&amp;""&amp;",..,"&amp;""&amp;P126</f>
        <v>601,..,1401</v>
      </c>
      <c r="O126" s="2">
        <f ca="1">(SUMPRODUCT(MID(0&amp;(LEFT(A125,SUM(LEN(A125)-LEN(SUBSTITUTE(A125,{"0","1","2"},""))))), LARGE(INDEX(ISNUMBER(--MID((LEFT(A125,SUM(LEN(A125)-LEN(SUBSTITUTE(A125,{"0","1","2"},""))))), ROW(INDIRECT("1:"&amp;LEN((LEFT(A125,SUM(LEN(A125)-LEN(SUBSTITUTE(A125,{"0","1","2"},"")))))))), 1)) * ROW(INDIRECT("1:"&amp;LEN((LEFT(A125,SUM(LEN(A125)-LEN(SUBSTITUTE(A125,{"0","1","2"},"")))))))), 0), ROW(INDIRECT("1:"&amp;LEN((LEFT(A125,SUM(LEN(A125)-LEN(SUBSTITUTE(A125,{"0","1","2"},"")))))))))+1, 1) * 10^ROW(INDIRECT("1:"&amp;LEN((LEFT(A125,SUM(LEN(A125)-LEN(SUBSTITUTE(A125,{"0","1","2"},""))))))))/10))*100+1</f>
        <v>601</v>
      </c>
      <c r="P126" s="2">
        <f ca="1">(SUMPRODUCT(MID(0&amp;(--TRIM(RIGHT(SUBSTITUTE(LEFT(A125,_xlfn.AGGREGATE(16,6,FIND({0,1,2,3,4,5,6,7,8,9},A125,ROW(INDIRECT("1:"&amp;LEN(A125)))),1))," ",REPT(" ",LEN(A125))),LEN(A125)))), LARGE(INDEX(ISNUMBER(--MID((--TRIM(RIGHT(SUBSTITUTE(LEFT(A125,_xlfn.AGGREGATE(16,6,FIND({0,1,2,3,4,5,6,7,8,9},A125,ROW(INDIRECT("1:"&amp;LEN(A125)))),1))," ",REPT(" ",LEN(A125))),LEN(A125)))), ROW(INDIRECT("1:"&amp;LEN((--TRIM(RIGHT(SUBSTITUTE(LEFT(A125,_xlfn.AGGREGATE(16,6,FIND({0,1,2,3,4,5,6,7,8,9},A125,ROW(INDIRECT("1:"&amp;LEN(A125)))),1))," ",REPT(" ",LEN(A125))),LEN(A125))))))), 1)) * ROW(INDIRECT("1:"&amp;LEN((--TRIM(RIGHT(SUBSTITUTE(LEFT(A125,_xlfn.AGGREGATE(16,6,FIND({0,1,2,3,4,5,6,7,8,9},A125,ROW(INDIRECT("1:"&amp;LEN(A125)))),1))," ",REPT(" ",LEN(A125))),LEN(A125))))))), 0), ROW(INDIRECT("1:"&amp;LEN((--TRIM(RIGHT(SUBSTITUTE(LEFT(A125,_xlfn.AGGREGATE(16,6,FIND({0,1,2,3,4,5,6,7,8,9},A125,ROW(INDIRECT("1:"&amp;LEN(A125)))),1))," ",REPT(" ",LEN(A125))),LEN(A125))))))))+1, 1) * 10^ROW(INDIRECT("1:"&amp;LEN((--TRIM(RIGHT(SUBSTITUTE(LEFT(A125,_xlfn.AGGREGATE(16,6,FIND({0,1,2,3,4,5,6,7,8,9},A125,ROW(INDIRECT("1:"&amp;LEN(A125)))),1))," ",REPT(" ",LEN(A125))),LEN(A125)))))))/10))*100+1</f>
        <v>1401</v>
      </c>
    </row>
    <row r="127" spans="1:16" s="2" customFormat="1" ht="15.75" customHeight="1" x14ac:dyDescent="0.35">
      <c r="A127" s="20" t="str">
        <f t="shared" ca="1" si="24"/>
        <v>602,..,1402</v>
      </c>
      <c r="B127" s="20" t="s">
        <v>200</v>
      </c>
      <c r="C127" s="20" t="s">
        <v>201</v>
      </c>
      <c r="D127" s="20">
        <f>(27.88+2.45*0.55+3*0.6+1.8*0.6+2.25*0.6+2.2*0.6)*10.764</f>
        <v>374.34501</v>
      </c>
      <c r="E127" s="20">
        <f>(2.05*1.5)*10.764</f>
        <v>33.099299999999992</v>
      </c>
      <c r="F127" s="20">
        <f t="shared" si="25"/>
        <v>632.05131600000004</v>
      </c>
      <c r="G127" s="143" t="str">
        <f t="shared" ref="G127:G132" si="27">G126</f>
        <v xml:space="preserve">6th, 10th, 14th Floor </v>
      </c>
      <c r="H127" s="144"/>
      <c r="I127" s="37"/>
      <c r="N127" s="2" t="str">
        <f t="shared" ca="1" si="26"/>
        <v>602,..,1402</v>
      </c>
      <c r="O127" s="2">
        <f t="shared" ref="O127:P127" ca="1" si="28">O126+1</f>
        <v>602</v>
      </c>
      <c r="P127" s="2">
        <f t="shared" ca="1" si="28"/>
        <v>1402</v>
      </c>
    </row>
    <row r="128" spans="1:16" s="2" customFormat="1" ht="15.75" customHeight="1" x14ac:dyDescent="0.35">
      <c r="A128" s="20" t="str">
        <f t="shared" ca="1" si="24"/>
        <v>603,..,1403</v>
      </c>
      <c r="B128" s="20" t="s">
        <v>200</v>
      </c>
      <c r="C128" s="20" t="s">
        <v>201</v>
      </c>
      <c r="D128" s="20">
        <f>(27.88+2.45*0.55+3*0.6+1.8*0.6+2.25*0.6+2.2*0.6)*10.764</f>
        <v>374.34501</v>
      </c>
      <c r="E128" s="20">
        <f>(2.05*1.5)*10.764</f>
        <v>33.099299999999992</v>
      </c>
      <c r="F128" s="20">
        <f t="shared" si="25"/>
        <v>632.05131600000004</v>
      </c>
      <c r="G128" s="143" t="str">
        <f t="shared" si="27"/>
        <v xml:space="preserve">6th, 10th, 14th Floor </v>
      </c>
      <c r="H128" s="144"/>
      <c r="I128" s="37"/>
      <c r="N128" s="2" t="str">
        <f t="shared" ca="1" si="26"/>
        <v>603,..,1403</v>
      </c>
      <c r="O128" s="2">
        <f t="shared" ref="O128:P128" ca="1" si="29">O127+1</f>
        <v>603</v>
      </c>
      <c r="P128" s="2">
        <f t="shared" ca="1" si="29"/>
        <v>1403</v>
      </c>
    </row>
    <row r="129" spans="1:16" s="2" customFormat="1" ht="15.75" customHeight="1" x14ac:dyDescent="0.35">
      <c r="A129" s="20" t="str">
        <f t="shared" ca="1" si="24"/>
        <v>604,..,1404</v>
      </c>
      <c r="B129" s="20" t="s">
        <v>200</v>
      </c>
      <c r="C129" s="20" t="s">
        <v>202</v>
      </c>
      <c r="D129" s="20">
        <f>(31.693+2.65*0.6+2.8*0.6+2.45*0.6+1.806*0.6+1.95*0.6+3*0.6)*10.764</f>
        <v>435.79776239999995</v>
      </c>
      <c r="E129" s="20">
        <f>(2.5*1.5)*10.764</f>
        <v>40.364999999999995</v>
      </c>
      <c r="F129" s="20">
        <f t="shared" si="25"/>
        <v>737.64141984000003</v>
      </c>
      <c r="G129" s="143" t="str">
        <f t="shared" si="27"/>
        <v xml:space="preserve">6th, 10th, 14th Floor </v>
      </c>
      <c r="H129" s="144"/>
      <c r="I129" s="37"/>
      <c r="N129" s="2" t="str">
        <f t="shared" ca="1" si="26"/>
        <v>604,..,1404</v>
      </c>
      <c r="O129" s="2">
        <f t="shared" ref="O129:P129" ca="1" si="30">O128+1</f>
        <v>604</v>
      </c>
      <c r="P129" s="2">
        <f t="shared" ca="1" si="30"/>
        <v>1404</v>
      </c>
    </row>
    <row r="130" spans="1:16" s="2" customFormat="1" ht="15.75" customHeight="1" x14ac:dyDescent="0.35">
      <c r="A130" s="20" t="str">
        <f t="shared" ca="1" si="24"/>
        <v>605,..,1405</v>
      </c>
      <c r="B130" s="20" t="s">
        <v>199</v>
      </c>
      <c r="C130" s="20" t="s">
        <v>201</v>
      </c>
      <c r="D130" s="20">
        <f>(27.883+3*0.6+2.75*0.6+2.7*0.6+2.65*0.6+2.4*0.6)*10.764</f>
        <v>387.32101199999988</v>
      </c>
      <c r="E130" s="20">
        <f>(2.7*1.5)*10.764</f>
        <v>43.594200000000008</v>
      </c>
      <c r="F130" s="20">
        <f t="shared" si="25"/>
        <v>663.30781919999981</v>
      </c>
      <c r="G130" s="143" t="str">
        <f t="shared" si="27"/>
        <v xml:space="preserve">6th, 10th, 14th Floor </v>
      </c>
      <c r="H130" s="144"/>
      <c r="I130" s="37"/>
      <c r="N130" s="2" t="str">
        <f t="shared" ca="1" si="26"/>
        <v>605,..,1405</v>
      </c>
      <c r="O130" s="2">
        <f t="shared" ref="O130:P130" ca="1" si="31">O129+1</f>
        <v>605</v>
      </c>
      <c r="P130" s="2">
        <f t="shared" ca="1" si="31"/>
        <v>1405</v>
      </c>
    </row>
    <row r="131" spans="1:16" s="2" customFormat="1" ht="15.75" customHeight="1" x14ac:dyDescent="0.35">
      <c r="A131" s="20" t="str">
        <f t="shared" ca="1" si="24"/>
        <v>606,..,1406</v>
      </c>
      <c r="B131" s="20" t="s">
        <v>199</v>
      </c>
      <c r="C131" s="20" t="s">
        <v>201</v>
      </c>
      <c r="D131" s="20">
        <f>(27.924+3*0.6+3*0.6+2.2*0.6+2.45*0.6+3*0.6)*10.764</f>
        <v>388.73109599999992</v>
      </c>
      <c r="E131" s="20">
        <f>(3*1.5)*10.764</f>
        <v>48.437999999999995</v>
      </c>
      <c r="F131" s="20">
        <f t="shared" si="25"/>
        <v>670.40775359999986</v>
      </c>
      <c r="G131" s="143" t="str">
        <f t="shared" si="27"/>
        <v xml:space="preserve">6th, 10th, 14th Floor </v>
      </c>
      <c r="H131" s="144"/>
      <c r="I131" s="37"/>
      <c r="N131" s="2" t="str">
        <f t="shared" ca="1" si="26"/>
        <v>606,..,1406</v>
      </c>
      <c r="O131" s="2">
        <f t="shared" ref="O131:P131" ca="1" si="32">O130+1</f>
        <v>606</v>
      </c>
      <c r="P131" s="2">
        <f t="shared" ca="1" si="32"/>
        <v>1406</v>
      </c>
    </row>
    <row r="132" spans="1:16" s="2" customFormat="1" ht="15.75" customHeight="1" x14ac:dyDescent="0.35">
      <c r="A132" s="20" t="str">
        <f t="shared" ca="1" si="24"/>
        <v>607,..,1407</v>
      </c>
      <c r="B132" s="20" t="s">
        <v>199</v>
      </c>
      <c r="C132" s="20" t="s">
        <v>201</v>
      </c>
      <c r="D132" s="20">
        <f>(27.883+2.75*0.6+2.7*0.6+3*0.6+2.65*0.6+2.4*0.6)*10.764</f>
        <v>387.32101199999988</v>
      </c>
      <c r="E132" s="20">
        <f>(2.7*1.5)*10.764</f>
        <v>43.594200000000008</v>
      </c>
      <c r="F132" s="20">
        <f t="shared" si="25"/>
        <v>663.30781919999981</v>
      </c>
      <c r="G132" s="143" t="str">
        <f t="shared" si="27"/>
        <v xml:space="preserve">6th, 10th, 14th Floor </v>
      </c>
      <c r="H132" s="144"/>
      <c r="I132" s="37"/>
      <c r="N132" s="2" t="str">
        <f t="shared" ca="1" si="26"/>
        <v>607,..,1407</v>
      </c>
      <c r="O132" s="2">
        <f t="shared" ref="O132:P132" ca="1" si="33">O131+1</f>
        <v>607</v>
      </c>
      <c r="P132" s="2">
        <f t="shared" ca="1" si="33"/>
        <v>1407</v>
      </c>
    </row>
    <row r="133" spans="1:16" s="2" customFormat="1" x14ac:dyDescent="0.35">
      <c r="A133" s="139" t="s">
        <v>203</v>
      </c>
      <c r="B133" s="139"/>
      <c r="C133" s="139"/>
      <c r="D133" s="139"/>
      <c r="E133" s="139"/>
      <c r="F133" s="139"/>
      <c r="G133" s="139"/>
      <c r="H133" s="139"/>
      <c r="I133" s="37"/>
      <c r="L133" s="127"/>
      <c r="M133" s="127"/>
    </row>
    <row r="134" spans="1:16" s="2" customFormat="1" x14ac:dyDescent="0.35">
      <c r="A134" s="20">
        <f>LEFT(A133,SUM(LEN(A133)-LEN(SUBSTITUTE(A133,{"0","1","2","3","4","5","6","7","8","9"},""))))*100+1</f>
        <v>801</v>
      </c>
      <c r="B134" s="20" t="s">
        <v>200</v>
      </c>
      <c r="C134" s="20" t="s">
        <v>202</v>
      </c>
      <c r="D134" s="20">
        <f>(33.283+2.65*0.6+2.8*0.6+2.45*0.6+1.805*0.6+3*0.6+1.95*0.6)*10.764</f>
        <v>452.90606399999996</v>
      </c>
      <c r="E134" s="20">
        <f>(2.5*1.5)*10.764</f>
        <v>40.364999999999995</v>
      </c>
      <c r="F134" s="20">
        <f>D134*(($F$97)+1)+E134</f>
        <v>765.01470240000003</v>
      </c>
      <c r="G134" s="145" t="str">
        <f>A133</f>
        <v>8th Floor (Part Refuge Area)</v>
      </c>
      <c r="H134" s="145"/>
      <c r="I134" s="37"/>
      <c r="N134" s="37"/>
    </row>
    <row r="135" spans="1:16" s="2" customFormat="1" x14ac:dyDescent="0.35">
      <c r="A135" s="20">
        <f>A134+1</f>
        <v>802</v>
      </c>
      <c r="B135" s="20" t="s">
        <v>200</v>
      </c>
      <c r="C135" s="20" t="s">
        <v>201</v>
      </c>
      <c r="D135" s="20">
        <f>(26.484+3*0.6+2.45*0.55+1.8*0.6+2.2*0.6+1.85*0.6)*10.764</f>
        <v>356.73510599999997</v>
      </c>
      <c r="E135" s="20">
        <f>(2.4*1.5+2.55*2.5)*10.764</f>
        <v>107.37089999999999</v>
      </c>
      <c r="F135" s="20">
        <f t="shared" ref="F135:F140" si="34">D135*(($F$97)+1)+E135</f>
        <v>678.14706960000001</v>
      </c>
      <c r="G135" s="145" t="str">
        <f t="shared" ref="G135:G140" si="35">G134</f>
        <v>8th Floor (Part Refuge Area)</v>
      </c>
      <c r="H135" s="145"/>
      <c r="I135" s="37"/>
      <c r="N135" s="37"/>
    </row>
    <row r="136" spans="1:16" s="2" customFormat="1" x14ac:dyDescent="0.35">
      <c r="A136" s="20">
        <f>A135+1</f>
        <v>803</v>
      </c>
      <c r="B136" s="20" t="s">
        <v>200</v>
      </c>
      <c r="C136" s="20" t="s">
        <v>201</v>
      </c>
      <c r="D136" s="20">
        <f>(26.484+3*0.6+2.45*0.55+1.8*0.6+2.2*0.6+1.85*0.6)*10.764</f>
        <v>356.73510599999997</v>
      </c>
      <c r="E136" s="20">
        <f>(2.4*1.5+2.55*2.5)*10.764</f>
        <v>107.37089999999999</v>
      </c>
      <c r="F136" s="20">
        <f t="shared" si="34"/>
        <v>678.14706960000001</v>
      </c>
      <c r="G136" s="145" t="str">
        <f t="shared" si="35"/>
        <v>8th Floor (Part Refuge Area)</v>
      </c>
      <c r="H136" s="145"/>
      <c r="I136" s="37"/>
      <c r="N136" s="37"/>
    </row>
    <row r="137" spans="1:16" s="2" customFormat="1" x14ac:dyDescent="0.35">
      <c r="A137" s="20">
        <f t="shared" ref="A137:A140" si="36">A136+1</f>
        <v>804</v>
      </c>
      <c r="B137" s="20" t="s">
        <v>200</v>
      </c>
      <c r="C137" s="20" t="s">
        <v>202</v>
      </c>
      <c r="D137" s="20">
        <f>(33.283+2.65*0.6+2.8*0.6+2.45*0.6+1.805*0.6+1.95*0.6+2.4*0.6)*10.764</f>
        <v>449.031024</v>
      </c>
      <c r="E137" s="20">
        <f>(2.5*1.5)*10.764</f>
        <v>40.364999999999995</v>
      </c>
      <c r="F137" s="20">
        <f t="shared" si="34"/>
        <v>758.81463840000004</v>
      </c>
      <c r="G137" s="145" t="str">
        <f t="shared" si="35"/>
        <v>8th Floor (Part Refuge Area)</v>
      </c>
      <c r="H137" s="145"/>
      <c r="I137" s="37"/>
      <c r="N137" s="37"/>
    </row>
    <row r="138" spans="1:16" s="2" customFormat="1" x14ac:dyDescent="0.35">
      <c r="A138" s="20">
        <f t="shared" si="36"/>
        <v>805</v>
      </c>
      <c r="B138" s="20" t="s">
        <v>199</v>
      </c>
      <c r="C138" s="20" t="s">
        <v>201</v>
      </c>
      <c r="D138" s="20">
        <f>(27.883+3*0.6+2.75*0.6+2.7*0.6+2.65*0.6+2.4*0.6)*10.764</f>
        <v>387.32101199999988</v>
      </c>
      <c r="E138" s="20">
        <f>(2.7*1.5)*10.764</f>
        <v>43.594200000000008</v>
      </c>
      <c r="F138" s="20">
        <f t="shared" si="34"/>
        <v>663.30781919999981</v>
      </c>
      <c r="G138" s="145" t="str">
        <f t="shared" si="35"/>
        <v>8th Floor (Part Refuge Area)</v>
      </c>
      <c r="H138" s="145"/>
      <c r="I138" s="37"/>
      <c r="N138" s="37"/>
    </row>
    <row r="139" spans="1:16" s="2" customFormat="1" x14ac:dyDescent="0.35">
      <c r="A139" s="20">
        <f t="shared" si="36"/>
        <v>806</v>
      </c>
      <c r="B139" s="20" t="s">
        <v>199</v>
      </c>
      <c r="C139" s="20" t="s">
        <v>201</v>
      </c>
      <c r="D139" s="20">
        <f>(27.924+3*0.6+3*0.6+2.2*0.6+3*0.6+2.45*0.6)*10.764</f>
        <v>388.73109599999992</v>
      </c>
      <c r="E139" s="20">
        <f>(3*1.5)*10.764</f>
        <v>48.437999999999995</v>
      </c>
      <c r="F139" s="20">
        <f t="shared" si="34"/>
        <v>670.40775359999986</v>
      </c>
      <c r="G139" s="145" t="str">
        <f t="shared" si="35"/>
        <v>8th Floor (Part Refuge Area)</v>
      </c>
      <c r="H139" s="145"/>
      <c r="I139" s="37"/>
      <c r="N139" s="37"/>
    </row>
    <row r="140" spans="1:16" s="2" customFormat="1" x14ac:dyDescent="0.35">
      <c r="A140" s="20">
        <f t="shared" si="36"/>
        <v>807</v>
      </c>
      <c r="B140" s="20" t="s">
        <v>199</v>
      </c>
      <c r="C140" s="20" t="s">
        <v>201</v>
      </c>
      <c r="D140" s="20">
        <f>(27.883+3*0.6+2.75*0.6+2.7*0.8+2.65*0.6+2.4+0.6)*10.764</f>
        <v>409.92541199999994</v>
      </c>
      <c r="E140" s="20">
        <f>(2.7*1.5)*10.764</f>
        <v>43.594200000000008</v>
      </c>
      <c r="F140" s="20">
        <f t="shared" si="34"/>
        <v>699.47485919999997</v>
      </c>
      <c r="G140" s="145" t="str">
        <f t="shared" si="35"/>
        <v>8th Floor (Part Refuge Area)</v>
      </c>
      <c r="H140" s="145"/>
      <c r="I140" s="37"/>
      <c r="N140" s="37"/>
    </row>
    <row r="141" spans="1:16" s="2" customFormat="1" ht="15.75" customHeight="1" x14ac:dyDescent="0.35">
      <c r="A141" s="140" t="s">
        <v>220</v>
      </c>
      <c r="B141" s="141"/>
      <c r="C141" s="141"/>
      <c r="D141" s="141"/>
      <c r="E141" s="141"/>
      <c r="F141" s="141"/>
      <c r="G141" s="141"/>
      <c r="H141" s="142"/>
      <c r="I141" s="37"/>
    </row>
    <row r="142" spans="1:16" s="2" customFormat="1" ht="15.75" customHeight="1" x14ac:dyDescent="0.35">
      <c r="A142" s="20">
        <v>1301</v>
      </c>
      <c r="B142" s="20" t="s">
        <v>200</v>
      </c>
      <c r="C142" s="20" t="s">
        <v>202</v>
      </c>
      <c r="D142" s="20">
        <f>(31.693+2.65*0.6+2.8*0.6+2.45*0.6+1.806*0.6+2.4*0.6+1.95*0.6)*10.764</f>
        <v>431.92272239999994</v>
      </c>
      <c r="E142" s="20">
        <f>(2.2*2.5+3*1.5)*10.764</f>
        <v>107.63999999999999</v>
      </c>
      <c r="F142" s="20">
        <f t="shared" ref="F142:F148" si="37">D142*(($F$97)+1)+E142</f>
        <v>798.71635583999989</v>
      </c>
      <c r="G142" s="143" t="str">
        <f>A141</f>
        <v>13th Floor (Part Refuge Area)</v>
      </c>
      <c r="H142" s="144"/>
      <c r="I142" s="37"/>
      <c r="N142" s="2" t="str">
        <f t="shared" ref="N142:N148" ca="1" si="38">O142&amp;""&amp;",..,"&amp;""&amp;P142</f>
        <v>101,..,1301</v>
      </c>
      <c r="O142" s="2">
        <f ca="1">(SUMPRODUCT(MID(0&amp;(LEFT(A141,SUM(LEN(A141)-LEN(SUBSTITUTE(A141,{"0","1","2"},""))))), LARGE(INDEX(ISNUMBER(--MID((LEFT(A141,SUM(LEN(A141)-LEN(SUBSTITUTE(A141,{"0","1","2"},""))))), ROW(INDIRECT("1:"&amp;LEN((LEFT(A141,SUM(LEN(A141)-LEN(SUBSTITUTE(A141,{"0","1","2"},"")))))))), 1)) * ROW(INDIRECT("1:"&amp;LEN((LEFT(A141,SUM(LEN(A141)-LEN(SUBSTITUTE(A141,{"0","1","2"},"")))))))), 0), ROW(INDIRECT("1:"&amp;LEN((LEFT(A141,SUM(LEN(A141)-LEN(SUBSTITUTE(A141,{"0","1","2"},"")))))))))+1, 1) * 10^ROW(INDIRECT("1:"&amp;LEN((LEFT(A141,SUM(LEN(A141)-LEN(SUBSTITUTE(A141,{"0","1","2"},""))))))))/10))*100+1</f>
        <v>101</v>
      </c>
      <c r="P142" s="2">
        <f ca="1">(SUMPRODUCT(MID(0&amp;(--TRIM(RIGHT(SUBSTITUTE(LEFT(A141,_xlfn.AGGREGATE(16,6,FIND({0,1,2,3,4,5,6,7,8,9},A141,ROW(INDIRECT("1:"&amp;LEN(A141)))),1))," ",REPT(" ",LEN(A141))),LEN(A141)))), LARGE(INDEX(ISNUMBER(--MID((--TRIM(RIGHT(SUBSTITUTE(LEFT(A141,_xlfn.AGGREGATE(16,6,FIND({0,1,2,3,4,5,6,7,8,9},A141,ROW(INDIRECT("1:"&amp;LEN(A141)))),1))," ",REPT(" ",LEN(A141))),LEN(A141)))), ROW(INDIRECT("1:"&amp;LEN((--TRIM(RIGHT(SUBSTITUTE(LEFT(A141,_xlfn.AGGREGATE(16,6,FIND({0,1,2,3,4,5,6,7,8,9},A141,ROW(INDIRECT("1:"&amp;LEN(A141)))),1))," ",REPT(" ",LEN(A141))),LEN(A141))))))), 1)) * ROW(INDIRECT("1:"&amp;LEN((--TRIM(RIGHT(SUBSTITUTE(LEFT(A141,_xlfn.AGGREGATE(16,6,FIND({0,1,2,3,4,5,6,7,8,9},A141,ROW(INDIRECT("1:"&amp;LEN(A141)))),1))," ",REPT(" ",LEN(A141))),LEN(A141))))))), 0), ROW(INDIRECT("1:"&amp;LEN((--TRIM(RIGHT(SUBSTITUTE(LEFT(A141,_xlfn.AGGREGATE(16,6,FIND({0,1,2,3,4,5,6,7,8,9},A141,ROW(INDIRECT("1:"&amp;LEN(A141)))),1))," ",REPT(" ",LEN(A141))),LEN(A141))))))))+1, 1) * 10^ROW(INDIRECT("1:"&amp;LEN((--TRIM(RIGHT(SUBSTITUTE(LEFT(A141,_xlfn.AGGREGATE(16,6,FIND({0,1,2,3,4,5,6,7,8,9},A141,ROW(INDIRECT("1:"&amp;LEN(A141)))),1))," ",REPT(" ",LEN(A141))),LEN(A141)))))))/10))*100+1</f>
        <v>1301</v>
      </c>
    </row>
    <row r="143" spans="1:16" s="2" customFormat="1" ht="15.75" customHeight="1" x14ac:dyDescent="0.35">
      <c r="A143" s="20">
        <v>1302</v>
      </c>
      <c r="B143" s="20" t="s">
        <v>199</v>
      </c>
      <c r="C143" s="20" t="s">
        <v>201</v>
      </c>
      <c r="D143" s="20">
        <f>(27.88+3*0.6+2.45*0.55+1.8*0.6+3*0.6)*10.764</f>
        <v>364.98032999999998</v>
      </c>
      <c r="E143" s="20">
        <f>(2.35*1.5+2.2*2.5)*10.764</f>
        <v>97.145099999999999</v>
      </c>
      <c r="F143" s="20">
        <f t="shared" si="37"/>
        <v>681.11362799999995</v>
      </c>
      <c r="G143" s="143" t="str">
        <f t="shared" ref="G143:G148" si="39">G142</f>
        <v>13th Floor (Part Refuge Area)</v>
      </c>
      <c r="H143" s="144"/>
      <c r="I143" s="37"/>
      <c r="N143" s="2" t="str">
        <f t="shared" ca="1" si="38"/>
        <v>102,..,1302</v>
      </c>
      <c r="O143" s="2">
        <f t="shared" ref="O143:P143" ca="1" si="40">O142+1</f>
        <v>102</v>
      </c>
      <c r="P143" s="2">
        <f t="shared" ca="1" si="40"/>
        <v>1302</v>
      </c>
    </row>
    <row r="144" spans="1:16" s="2" customFormat="1" ht="15.75" customHeight="1" x14ac:dyDescent="0.35">
      <c r="A144" s="20">
        <v>1303</v>
      </c>
      <c r="B144" s="20" t="s">
        <v>199</v>
      </c>
      <c r="C144" s="20" t="s">
        <v>201</v>
      </c>
      <c r="D144" s="20">
        <f>(27.88+3*0.6+2.45*0.55+1.8*0.6+3*0.6)*10.764</f>
        <v>364.98032999999998</v>
      </c>
      <c r="E144" s="20">
        <f>(2.35*1.5+2.2*2.5)*10.764</f>
        <v>97.145099999999999</v>
      </c>
      <c r="F144" s="20">
        <f t="shared" si="37"/>
        <v>681.11362799999995</v>
      </c>
      <c r="G144" s="143" t="str">
        <f t="shared" si="39"/>
        <v>13th Floor (Part Refuge Area)</v>
      </c>
      <c r="H144" s="144"/>
      <c r="I144" s="37"/>
      <c r="N144" s="2" t="str">
        <f t="shared" ca="1" si="38"/>
        <v>103,..,1303</v>
      </c>
      <c r="O144" s="2">
        <f t="shared" ref="O144:P144" ca="1" si="41">O143+1</f>
        <v>103</v>
      </c>
      <c r="P144" s="2">
        <f t="shared" ca="1" si="41"/>
        <v>1303</v>
      </c>
    </row>
    <row r="145" spans="1:16" s="2" customFormat="1" ht="15.75" customHeight="1" x14ac:dyDescent="0.35">
      <c r="A145" s="20">
        <v>1304</v>
      </c>
      <c r="B145" s="20" t="s">
        <v>200</v>
      </c>
      <c r="C145" s="20" t="s">
        <v>202</v>
      </c>
      <c r="D145" s="20">
        <f>(31.693+2.65*0.6+2.8*0.6+2.45*0.55+1.805*0.6+2.4*0.6+1.95*0.6)*10.764</f>
        <v>430.59767399999998</v>
      </c>
      <c r="E145" s="20">
        <f>(2.2*2.5)*10.764</f>
        <v>59.201999999999998</v>
      </c>
      <c r="F145" s="20">
        <f t="shared" si="37"/>
        <v>748.15827839999997</v>
      </c>
      <c r="G145" s="143" t="str">
        <f t="shared" si="39"/>
        <v>13th Floor (Part Refuge Area)</v>
      </c>
      <c r="H145" s="144"/>
      <c r="I145" s="37"/>
      <c r="N145" s="2" t="str">
        <f t="shared" ca="1" si="38"/>
        <v>104,..,1304</v>
      </c>
      <c r="O145" s="2">
        <f t="shared" ref="O145:P145" ca="1" si="42">O144+1</f>
        <v>104</v>
      </c>
      <c r="P145" s="2">
        <f t="shared" ca="1" si="42"/>
        <v>1304</v>
      </c>
    </row>
    <row r="146" spans="1:16" s="2" customFormat="1" ht="15.75" customHeight="1" x14ac:dyDescent="0.35">
      <c r="A146" s="20">
        <v>1305</v>
      </c>
      <c r="B146" s="20" t="s">
        <v>199</v>
      </c>
      <c r="C146" s="20" t="s">
        <v>201</v>
      </c>
      <c r="D146" s="20">
        <f>(27.883+3*0.6+2.75*0.6+2.7*0.6+2.7*0.6+2.4*0.6)*10.764</f>
        <v>387.64393199999989</v>
      </c>
      <c r="E146" s="20">
        <f>(2.65*1.5)*10.764</f>
        <v>42.786899999999996</v>
      </c>
      <c r="F146" s="20">
        <f t="shared" si="37"/>
        <v>663.01719119999984</v>
      </c>
      <c r="G146" s="143" t="str">
        <f t="shared" si="39"/>
        <v>13th Floor (Part Refuge Area)</v>
      </c>
      <c r="H146" s="144"/>
      <c r="I146" s="37"/>
      <c r="N146" s="2" t="str">
        <f t="shared" ca="1" si="38"/>
        <v>105,..,1305</v>
      </c>
      <c r="O146" s="2">
        <f t="shared" ref="O146:P146" ca="1" si="43">O145+1</f>
        <v>105</v>
      </c>
      <c r="P146" s="2">
        <f t="shared" ca="1" si="43"/>
        <v>1305</v>
      </c>
    </row>
    <row r="147" spans="1:16" s="2" customFormat="1" ht="15.75" customHeight="1" x14ac:dyDescent="0.35">
      <c r="A147" s="20">
        <v>1306</v>
      </c>
      <c r="B147" s="20" t="s">
        <v>199</v>
      </c>
      <c r="C147" s="20" t="s">
        <v>201</v>
      </c>
      <c r="D147" s="20">
        <f>(27.924+3*0.6+3*0.6+2.2*0.6+3*0.6+2.45*0.6)*10.764</f>
        <v>388.73109599999992</v>
      </c>
      <c r="E147" s="20">
        <f>(3*1.5)*10.764</f>
        <v>48.437999999999995</v>
      </c>
      <c r="F147" s="20">
        <f t="shared" si="37"/>
        <v>670.40775359999986</v>
      </c>
      <c r="G147" s="143" t="str">
        <f t="shared" si="39"/>
        <v>13th Floor (Part Refuge Area)</v>
      </c>
      <c r="H147" s="144"/>
      <c r="I147" s="37"/>
      <c r="N147" s="2" t="str">
        <f t="shared" ca="1" si="38"/>
        <v>106,..,1306</v>
      </c>
      <c r="O147" s="2">
        <f t="shared" ref="O147:P147" ca="1" si="44">O146+1</f>
        <v>106</v>
      </c>
      <c r="P147" s="2">
        <f t="shared" ca="1" si="44"/>
        <v>1306</v>
      </c>
    </row>
    <row r="148" spans="1:16" s="2" customFormat="1" ht="15.75" customHeight="1" x14ac:dyDescent="0.35">
      <c r="A148" s="20">
        <v>1307</v>
      </c>
      <c r="B148" s="20" t="s">
        <v>199</v>
      </c>
      <c r="C148" s="20" t="s">
        <v>201</v>
      </c>
      <c r="D148" s="20">
        <f>(27.932+2.7*0.6+2.75*0.6+3*0.6+2.7*0.6+2.4*0.6)*10.764</f>
        <v>388.17136799999986</v>
      </c>
      <c r="E148" s="20">
        <f>(2.65*1.5)*10.764</f>
        <v>42.786899999999996</v>
      </c>
      <c r="F148" s="20">
        <f t="shared" si="37"/>
        <v>663.86108879999972</v>
      </c>
      <c r="G148" s="143" t="str">
        <f t="shared" si="39"/>
        <v>13th Floor (Part Refuge Area)</v>
      </c>
      <c r="H148" s="144"/>
      <c r="I148" s="37"/>
      <c r="N148" s="2" t="str">
        <f t="shared" ca="1" si="38"/>
        <v>107,..,1307</v>
      </c>
      <c r="O148" s="2">
        <f t="shared" ref="O148:P148" ca="1" si="45">O147+1</f>
        <v>107</v>
      </c>
      <c r="P148" s="2">
        <f t="shared" ca="1" si="45"/>
        <v>1307</v>
      </c>
    </row>
    <row r="149" spans="1:16" s="2" customFormat="1" ht="15.75" customHeight="1" x14ac:dyDescent="0.35">
      <c r="A149" s="140" t="s">
        <v>207</v>
      </c>
      <c r="B149" s="141"/>
      <c r="C149" s="141"/>
      <c r="D149" s="141"/>
      <c r="E149" s="141"/>
      <c r="F149" s="141"/>
      <c r="G149" s="141"/>
      <c r="H149" s="142"/>
      <c r="I149" s="37"/>
    </row>
    <row r="150" spans="1:16" s="2" customFormat="1" ht="15.75" customHeight="1" x14ac:dyDescent="0.35">
      <c r="A150" s="20" t="str">
        <f t="shared" ref="A150:A156" ca="1" si="46">N150</f>
        <v>701,..,1501</v>
      </c>
      <c r="B150" s="20" t="s">
        <v>199</v>
      </c>
      <c r="C150" s="20" t="s">
        <v>202</v>
      </c>
      <c r="D150" s="20">
        <f>(34.737+2.65*0.6+2.8*0.6+2.45*0.6+1.806*0.6+2.4*0.6+1.95*0.6)*10.764</f>
        <v>464.68833839999991</v>
      </c>
      <c r="E150" s="20">
        <f>(3*1.5+2.3*2.5)*10.764</f>
        <v>110.33099999999999</v>
      </c>
      <c r="F150" s="20">
        <f t="shared" ref="F150:F156" si="47">D150*(($F$97)+1)+E150</f>
        <v>853.83234143999994</v>
      </c>
      <c r="G150" s="143" t="str">
        <f>A149</f>
        <v xml:space="preserve">7th, 11th, 15th Floor </v>
      </c>
      <c r="H150" s="144"/>
      <c r="I150" s="37"/>
      <c r="N150" s="2" t="str">
        <f t="shared" ref="N150:N156" ca="1" si="48">O150&amp;""&amp;",..,"&amp;""&amp;P150</f>
        <v>701,..,1501</v>
      </c>
      <c r="O150" s="2">
        <f ca="1">(SUMPRODUCT(MID(0&amp;(LEFT(A149,SUM(LEN(A149)-LEN(SUBSTITUTE(A149,{"0","1","2"},""))))), LARGE(INDEX(ISNUMBER(--MID((LEFT(A149,SUM(LEN(A149)-LEN(SUBSTITUTE(A149,{"0","1","2"},""))))), ROW(INDIRECT("1:"&amp;LEN((LEFT(A149,SUM(LEN(A149)-LEN(SUBSTITUTE(A149,{"0","1","2"},"")))))))), 1)) * ROW(INDIRECT("1:"&amp;LEN((LEFT(A149,SUM(LEN(A149)-LEN(SUBSTITUTE(A149,{"0","1","2"},"")))))))), 0), ROW(INDIRECT("1:"&amp;LEN((LEFT(A149,SUM(LEN(A149)-LEN(SUBSTITUTE(A149,{"0","1","2"},"")))))))))+1, 1) * 10^ROW(INDIRECT("1:"&amp;LEN((LEFT(A149,SUM(LEN(A149)-LEN(SUBSTITUTE(A149,{"0","1","2"},""))))))))/10))*100+1</f>
        <v>701</v>
      </c>
      <c r="P150" s="2">
        <f ca="1">(SUMPRODUCT(MID(0&amp;(--TRIM(RIGHT(SUBSTITUTE(LEFT(A149,_xlfn.AGGREGATE(16,6,FIND({0,1,2,3,4,5,6,7,8,9},A149,ROW(INDIRECT("1:"&amp;LEN(A149)))),1))," ",REPT(" ",LEN(A149))),LEN(A149)))), LARGE(INDEX(ISNUMBER(--MID((--TRIM(RIGHT(SUBSTITUTE(LEFT(A149,_xlfn.AGGREGATE(16,6,FIND({0,1,2,3,4,5,6,7,8,9},A149,ROW(INDIRECT("1:"&amp;LEN(A149)))),1))," ",REPT(" ",LEN(A149))),LEN(A149)))), ROW(INDIRECT("1:"&amp;LEN((--TRIM(RIGHT(SUBSTITUTE(LEFT(A149,_xlfn.AGGREGATE(16,6,FIND({0,1,2,3,4,5,6,7,8,9},A149,ROW(INDIRECT("1:"&amp;LEN(A149)))),1))," ",REPT(" ",LEN(A149))),LEN(A149))))))), 1)) * ROW(INDIRECT("1:"&amp;LEN((--TRIM(RIGHT(SUBSTITUTE(LEFT(A149,_xlfn.AGGREGATE(16,6,FIND({0,1,2,3,4,5,6,7,8,9},A149,ROW(INDIRECT("1:"&amp;LEN(A149)))),1))," ",REPT(" ",LEN(A149))),LEN(A149))))))), 0), ROW(INDIRECT("1:"&amp;LEN((--TRIM(RIGHT(SUBSTITUTE(LEFT(A149,_xlfn.AGGREGATE(16,6,FIND({0,1,2,3,4,5,6,7,8,9},A149,ROW(INDIRECT("1:"&amp;LEN(A149)))),1))," ",REPT(" ",LEN(A149))),LEN(A149))))))))+1, 1) * 10^ROW(INDIRECT("1:"&amp;LEN((--TRIM(RIGHT(SUBSTITUTE(LEFT(A149,_xlfn.AGGREGATE(16,6,FIND({0,1,2,3,4,5,6,7,8,9},A149,ROW(INDIRECT("1:"&amp;LEN(A149)))),1))," ",REPT(" ",LEN(A149))),LEN(A149)))))))/10))*100+1</f>
        <v>1501</v>
      </c>
    </row>
    <row r="151" spans="1:16" s="2" customFormat="1" ht="15.75" customHeight="1" x14ac:dyDescent="0.35">
      <c r="A151" s="20" t="str">
        <f t="shared" ca="1" si="46"/>
        <v>702,..,1502</v>
      </c>
      <c r="B151" s="20" t="s">
        <v>200</v>
      </c>
      <c r="C151" s="20" t="s">
        <v>202</v>
      </c>
      <c r="D151" s="20">
        <f>(29.514+3*0.6+2.45*0.55+2.2*0.8+1.8*0.6+2.25*0.6+1.85*0.6)*10.764</f>
        <v>408.61758599999996</v>
      </c>
      <c r="E151" s="20">
        <f>(2.15*2.5+2.7*1.5)*10.764</f>
        <v>101.4507</v>
      </c>
      <c r="F151" s="20">
        <f t="shared" si="47"/>
        <v>755.23883760000001</v>
      </c>
      <c r="G151" s="143" t="str">
        <f t="shared" ref="G151:G156" si="49">G150</f>
        <v xml:space="preserve">7th, 11th, 15th Floor </v>
      </c>
      <c r="H151" s="144"/>
      <c r="I151" s="37"/>
      <c r="N151" s="2" t="str">
        <f t="shared" ca="1" si="48"/>
        <v>702,..,1502</v>
      </c>
      <c r="O151" s="2">
        <f t="shared" ref="O151:P151" ca="1" si="50">O150+1</f>
        <v>702</v>
      </c>
      <c r="P151" s="2">
        <f t="shared" ca="1" si="50"/>
        <v>1502</v>
      </c>
    </row>
    <row r="152" spans="1:16" s="2" customFormat="1" ht="15.75" customHeight="1" x14ac:dyDescent="0.35">
      <c r="A152" s="20" t="str">
        <f t="shared" ca="1" si="46"/>
        <v>703,..,1503</v>
      </c>
      <c r="B152" s="20" t="s">
        <v>200</v>
      </c>
      <c r="C152" s="20" t="s">
        <v>202</v>
      </c>
      <c r="D152" s="20">
        <f>(29.514+3*0.6+2.45*0.55+2.2*0.8+1.8*0.6+2.25*0.6+1.85*0.6)*10.764</f>
        <v>408.61758599999996</v>
      </c>
      <c r="E152" s="20">
        <f>(2.15*2.5+2.7*1.5)*10.764</f>
        <v>101.4507</v>
      </c>
      <c r="F152" s="20">
        <f t="shared" si="47"/>
        <v>755.23883760000001</v>
      </c>
      <c r="G152" s="143" t="str">
        <f t="shared" si="49"/>
        <v xml:space="preserve">7th, 11th, 15th Floor </v>
      </c>
      <c r="H152" s="144"/>
      <c r="I152" s="37"/>
      <c r="N152" s="2" t="str">
        <f t="shared" ca="1" si="48"/>
        <v>703,..,1503</v>
      </c>
      <c r="O152" s="2">
        <f t="shared" ref="O152:P152" ca="1" si="51">O151+1</f>
        <v>703</v>
      </c>
      <c r="P152" s="2">
        <f t="shared" ca="1" si="51"/>
        <v>1503</v>
      </c>
    </row>
    <row r="153" spans="1:16" s="2" customFormat="1" ht="15.75" customHeight="1" x14ac:dyDescent="0.35">
      <c r="A153" s="20" t="str">
        <f t="shared" ca="1" si="46"/>
        <v>704,..,1504</v>
      </c>
      <c r="B153" s="20" t="s">
        <v>199</v>
      </c>
      <c r="C153" s="20" t="s">
        <v>202</v>
      </c>
      <c r="D153" s="20">
        <f>(34.737+2.65*0.6+2.8*0.6+2.45*0.6+1.806*0.6+2.4*0.6+1.95*0.6)*10.764</f>
        <v>464.68833839999991</v>
      </c>
      <c r="E153" s="20">
        <f>(2.3*2.5+3*1.5)*10.764</f>
        <v>110.33099999999999</v>
      </c>
      <c r="F153" s="20">
        <f t="shared" si="47"/>
        <v>853.83234143999994</v>
      </c>
      <c r="G153" s="143" t="str">
        <f t="shared" si="49"/>
        <v xml:space="preserve">7th, 11th, 15th Floor </v>
      </c>
      <c r="H153" s="144"/>
      <c r="I153" s="37"/>
      <c r="N153" s="2" t="str">
        <f t="shared" ca="1" si="48"/>
        <v>704,..,1504</v>
      </c>
      <c r="O153" s="2">
        <f t="shared" ref="O153:P153" ca="1" si="52">O152+1</f>
        <v>704</v>
      </c>
      <c r="P153" s="2">
        <f t="shared" ca="1" si="52"/>
        <v>1504</v>
      </c>
    </row>
    <row r="154" spans="1:16" s="2" customFormat="1" ht="15.75" customHeight="1" x14ac:dyDescent="0.35">
      <c r="A154" s="20" t="str">
        <f t="shared" ca="1" si="46"/>
        <v>705,..,1505</v>
      </c>
      <c r="B154" s="20" t="s">
        <v>199</v>
      </c>
      <c r="C154" s="20" t="s">
        <v>201</v>
      </c>
      <c r="D154" s="20">
        <f>(27.883+3*0.6+2.75*0.6+2.7*0.6+2.7*0.6+2.4*0.6)*10.764</f>
        <v>387.64393199999989</v>
      </c>
      <c r="E154" s="20">
        <f>(2.65*1.5)*10.764</f>
        <v>42.786899999999996</v>
      </c>
      <c r="F154" s="20">
        <f t="shared" si="47"/>
        <v>663.01719119999984</v>
      </c>
      <c r="G154" s="143" t="str">
        <f t="shared" si="49"/>
        <v xml:space="preserve">7th, 11th, 15th Floor </v>
      </c>
      <c r="H154" s="144"/>
      <c r="I154" s="37"/>
      <c r="N154" s="2" t="str">
        <f t="shared" ca="1" si="48"/>
        <v>705,..,1505</v>
      </c>
      <c r="O154" s="2">
        <f t="shared" ref="O154:P154" ca="1" si="53">O153+1</f>
        <v>705</v>
      </c>
      <c r="P154" s="2">
        <f t="shared" ca="1" si="53"/>
        <v>1505</v>
      </c>
    </row>
    <row r="155" spans="1:16" s="2" customFormat="1" ht="15.75" customHeight="1" x14ac:dyDescent="0.35">
      <c r="A155" s="20" t="str">
        <f t="shared" ca="1" si="46"/>
        <v>706,..,1506</v>
      </c>
      <c r="B155" s="20" t="s">
        <v>199</v>
      </c>
      <c r="C155" s="20" t="s">
        <v>201</v>
      </c>
      <c r="D155" s="20">
        <f>(27.924+3*0.6+3*0.6+2.2*0.6+3*0.6+2.45*0.6)*10.764</f>
        <v>388.73109599999992</v>
      </c>
      <c r="E155" s="20">
        <f>(3*1.5)*10.764</f>
        <v>48.437999999999995</v>
      </c>
      <c r="F155" s="20">
        <f t="shared" si="47"/>
        <v>670.40775359999986</v>
      </c>
      <c r="G155" s="143" t="str">
        <f t="shared" si="49"/>
        <v xml:space="preserve">7th, 11th, 15th Floor </v>
      </c>
      <c r="H155" s="144"/>
      <c r="I155" s="37"/>
      <c r="N155" s="2" t="str">
        <f t="shared" ca="1" si="48"/>
        <v>706,..,1506</v>
      </c>
      <c r="O155" s="2">
        <f t="shared" ref="O155:P155" ca="1" si="54">O154+1</f>
        <v>706</v>
      </c>
      <c r="P155" s="2">
        <f t="shared" ca="1" si="54"/>
        <v>1506</v>
      </c>
    </row>
    <row r="156" spans="1:16" s="2" customFormat="1" ht="15.75" customHeight="1" x14ac:dyDescent="0.35">
      <c r="A156" s="20" t="str">
        <f t="shared" ca="1" si="46"/>
        <v>707,..,1507</v>
      </c>
      <c r="B156" s="20" t="s">
        <v>199</v>
      </c>
      <c r="C156" s="20" t="s">
        <v>201</v>
      </c>
      <c r="D156" s="20">
        <f>(27.883+2.75*0.6+2.7*0.6+3*0.6+2.4*0.6+2.7)*10.764</f>
        <v>399.26905199999993</v>
      </c>
      <c r="E156" s="20">
        <f>(2.65*1.5)*10.764</f>
        <v>42.786899999999996</v>
      </c>
      <c r="F156" s="20">
        <f t="shared" si="47"/>
        <v>681.61738319999984</v>
      </c>
      <c r="G156" s="143" t="str">
        <f t="shared" si="49"/>
        <v xml:space="preserve">7th, 11th, 15th Floor </v>
      </c>
      <c r="H156" s="144"/>
      <c r="I156" s="37"/>
      <c r="N156" s="2" t="str">
        <f t="shared" ca="1" si="48"/>
        <v>707,..,1507</v>
      </c>
      <c r="O156" s="2">
        <f t="shared" ref="O156:P156" ca="1" si="55">O155+1</f>
        <v>707</v>
      </c>
      <c r="P156" s="2">
        <f t="shared" ca="1" si="55"/>
        <v>1507</v>
      </c>
    </row>
    <row r="157" spans="1:16" s="2" customFormat="1" ht="15.75" customHeight="1" x14ac:dyDescent="0.35">
      <c r="A157" s="140" t="s">
        <v>221</v>
      </c>
      <c r="B157" s="141"/>
      <c r="C157" s="141"/>
      <c r="D157" s="141"/>
      <c r="E157" s="141"/>
      <c r="F157" s="141"/>
      <c r="G157" s="141"/>
      <c r="H157" s="142"/>
      <c r="I157" s="37"/>
    </row>
    <row r="158" spans="1:16" s="2" customFormat="1" ht="15.75" customHeight="1" x14ac:dyDescent="0.35">
      <c r="A158" s="20">
        <v>1801</v>
      </c>
      <c r="B158" s="20" t="s">
        <v>200</v>
      </c>
      <c r="C158" s="20" t="s">
        <v>202</v>
      </c>
      <c r="D158" s="20">
        <f>(33.283+0.6*(2.65+2.8+2.45+1.806)+0.6*(1.95+3))*10.764</f>
        <v>452.91252239999994</v>
      </c>
      <c r="E158" s="20">
        <f>(2.5*1.5)*10.764</f>
        <v>40.364999999999995</v>
      </c>
      <c r="F158" s="20">
        <f t="shared" ref="F158:F164" si="56">D158*(($F$97)+1)+E158</f>
        <v>765.02503583999999</v>
      </c>
      <c r="G158" s="143" t="str">
        <f>A157</f>
        <v>18th Floor (Part Refuge Area)</v>
      </c>
      <c r="H158" s="144"/>
      <c r="I158" s="37"/>
      <c r="N158" s="2" t="str">
        <f t="shared" ref="N158:N164" ca="1" si="57">O158&amp;""&amp;",..,"&amp;""&amp;P158</f>
        <v>101,..,1801</v>
      </c>
      <c r="O158" s="2">
        <f ca="1">(SUMPRODUCT(MID(0&amp;(LEFT(A157,SUM(LEN(A157)-LEN(SUBSTITUTE(A157,{"0","1","2"},""))))), LARGE(INDEX(ISNUMBER(--MID((LEFT(A157,SUM(LEN(A157)-LEN(SUBSTITUTE(A157,{"0","1","2"},""))))), ROW(INDIRECT("1:"&amp;LEN((LEFT(A157,SUM(LEN(A157)-LEN(SUBSTITUTE(A157,{"0","1","2"},"")))))))), 1)) * ROW(INDIRECT("1:"&amp;LEN((LEFT(A157,SUM(LEN(A157)-LEN(SUBSTITUTE(A157,{"0","1","2"},"")))))))), 0), ROW(INDIRECT("1:"&amp;LEN((LEFT(A157,SUM(LEN(A157)-LEN(SUBSTITUTE(A157,{"0","1","2"},"")))))))))+1, 1) * 10^ROW(INDIRECT("1:"&amp;LEN((LEFT(A157,SUM(LEN(A157)-LEN(SUBSTITUTE(A157,{"0","1","2"},""))))))))/10))*100+1</f>
        <v>101</v>
      </c>
      <c r="P158" s="2">
        <f ca="1">(SUMPRODUCT(MID(0&amp;(--TRIM(RIGHT(SUBSTITUTE(LEFT(A157,_xlfn.AGGREGATE(16,6,FIND({0,1,2,3,4,5,6,7,8,9},A157,ROW(INDIRECT("1:"&amp;LEN(A157)))),1))," ",REPT(" ",LEN(A157))),LEN(A157)))), LARGE(INDEX(ISNUMBER(--MID((--TRIM(RIGHT(SUBSTITUTE(LEFT(A157,_xlfn.AGGREGATE(16,6,FIND({0,1,2,3,4,5,6,7,8,9},A157,ROW(INDIRECT("1:"&amp;LEN(A157)))),1))," ",REPT(" ",LEN(A157))),LEN(A157)))), ROW(INDIRECT("1:"&amp;LEN((--TRIM(RIGHT(SUBSTITUTE(LEFT(A157,_xlfn.AGGREGATE(16,6,FIND({0,1,2,3,4,5,6,7,8,9},A157,ROW(INDIRECT("1:"&amp;LEN(A157)))),1))," ",REPT(" ",LEN(A157))),LEN(A157))))))), 1)) * ROW(INDIRECT("1:"&amp;LEN((--TRIM(RIGHT(SUBSTITUTE(LEFT(A157,_xlfn.AGGREGATE(16,6,FIND({0,1,2,3,4,5,6,7,8,9},A157,ROW(INDIRECT("1:"&amp;LEN(A157)))),1))," ",REPT(" ",LEN(A157))),LEN(A157))))))), 0), ROW(INDIRECT("1:"&amp;LEN((--TRIM(RIGHT(SUBSTITUTE(LEFT(A157,_xlfn.AGGREGATE(16,6,FIND({0,1,2,3,4,5,6,7,8,9},A157,ROW(INDIRECT("1:"&amp;LEN(A157)))),1))," ",REPT(" ",LEN(A157))),LEN(A157))))))))+1, 1) * 10^ROW(INDIRECT("1:"&amp;LEN((--TRIM(RIGHT(SUBSTITUTE(LEFT(A157,_xlfn.AGGREGATE(16,6,FIND({0,1,2,3,4,5,6,7,8,9},A157,ROW(INDIRECT("1:"&amp;LEN(A157)))),1))," ",REPT(" ",LEN(A157))),LEN(A157)))))))/10))*100+1</f>
        <v>1801</v>
      </c>
    </row>
    <row r="159" spans="1:16" s="2" customFormat="1" ht="15.75" customHeight="1" x14ac:dyDescent="0.35">
      <c r="A159" s="20">
        <v>1802</v>
      </c>
      <c r="B159" s="20" t="s">
        <v>200</v>
      </c>
      <c r="C159" s="20" t="s">
        <v>201</v>
      </c>
      <c r="D159" s="20">
        <f>(26.484+0.6*(3+2.45+1.8)+0.6*(2.2+2.25))*10.764</f>
        <v>360.63705600000003</v>
      </c>
      <c r="E159" s="20">
        <f>(2.05*1.5)*10.764</f>
        <v>33.099299999999992</v>
      </c>
      <c r="F159" s="20">
        <f t="shared" si="56"/>
        <v>610.11858960000006</v>
      </c>
      <c r="G159" s="143" t="str">
        <f t="shared" ref="G159:G164" si="58">G158</f>
        <v>18th Floor (Part Refuge Area)</v>
      </c>
      <c r="H159" s="144"/>
      <c r="I159" s="37"/>
      <c r="N159" s="2" t="str">
        <f t="shared" ca="1" si="57"/>
        <v>102,..,1802</v>
      </c>
      <c r="O159" s="2">
        <f t="shared" ref="O159:P159" ca="1" si="59">O158+1</f>
        <v>102</v>
      </c>
      <c r="P159" s="2">
        <f t="shared" ca="1" si="59"/>
        <v>1802</v>
      </c>
    </row>
    <row r="160" spans="1:16" s="2" customFormat="1" ht="15.75" customHeight="1" x14ac:dyDescent="0.35">
      <c r="A160" s="20">
        <v>1803</v>
      </c>
      <c r="B160" s="20" t="s">
        <v>200</v>
      </c>
      <c r="C160" s="20" t="s">
        <v>201</v>
      </c>
      <c r="D160" s="20">
        <f>(26.484+0.6*(3+2.45+1.8)+0.6*(2.2+2.25))*10.764</f>
        <v>360.63705600000003</v>
      </c>
      <c r="E160" s="20">
        <f>(2.05*1.5)*10.764</f>
        <v>33.099299999999992</v>
      </c>
      <c r="F160" s="20">
        <f t="shared" si="56"/>
        <v>610.11858960000006</v>
      </c>
      <c r="G160" s="143" t="str">
        <f t="shared" si="58"/>
        <v>18th Floor (Part Refuge Area)</v>
      </c>
      <c r="H160" s="144"/>
      <c r="I160" s="37"/>
      <c r="N160" s="2" t="str">
        <f t="shared" ca="1" si="57"/>
        <v>103,..,1803</v>
      </c>
      <c r="O160" s="2">
        <f t="shared" ref="O160:P160" ca="1" si="60">O159+1</f>
        <v>103</v>
      </c>
      <c r="P160" s="2">
        <f t="shared" ca="1" si="60"/>
        <v>1803</v>
      </c>
    </row>
    <row r="161" spans="1:16" s="2" customFormat="1" ht="15.75" customHeight="1" x14ac:dyDescent="0.35">
      <c r="A161" s="20">
        <v>1804</v>
      </c>
      <c r="B161" s="20" t="s">
        <v>200</v>
      </c>
      <c r="C161" s="20" t="s">
        <v>202</v>
      </c>
      <c r="D161" s="20">
        <f>(33.283+0.6*(2.65+2.8+2.45+1.805)+0.6*(1.95+3))*10.764</f>
        <v>452.90606399999996</v>
      </c>
      <c r="E161" s="20">
        <f>(2.5*1.5)*10.764</f>
        <v>40.364999999999995</v>
      </c>
      <c r="F161" s="20">
        <f t="shared" si="56"/>
        <v>765.01470240000003</v>
      </c>
      <c r="G161" s="143" t="str">
        <f t="shared" si="58"/>
        <v>18th Floor (Part Refuge Area)</v>
      </c>
      <c r="H161" s="144"/>
      <c r="I161" s="37"/>
      <c r="N161" s="2" t="str">
        <f t="shared" ca="1" si="57"/>
        <v>104,..,1804</v>
      </c>
      <c r="O161" s="2">
        <f t="shared" ref="O161:P161" ca="1" si="61">O160+1</f>
        <v>104</v>
      </c>
      <c r="P161" s="2">
        <f t="shared" ca="1" si="61"/>
        <v>1804</v>
      </c>
    </row>
    <row r="162" spans="1:16" s="2" customFormat="1" ht="15.75" customHeight="1" x14ac:dyDescent="0.35">
      <c r="A162" s="20">
        <v>1805</v>
      </c>
      <c r="B162" s="20" t="s">
        <v>199</v>
      </c>
      <c r="C162" s="20" t="s">
        <v>201</v>
      </c>
      <c r="D162" s="20">
        <f>(27.883+0.6*(3+2.75+2.7)+0.6*(2.65+2.4))*10.764</f>
        <v>387.32101199999994</v>
      </c>
      <c r="E162" s="20">
        <f>(2.7*1.5)*10.764</f>
        <v>43.594200000000008</v>
      </c>
      <c r="F162" s="20">
        <f t="shared" si="56"/>
        <v>663.30781919999993</v>
      </c>
      <c r="G162" s="143" t="str">
        <f t="shared" si="58"/>
        <v>18th Floor (Part Refuge Area)</v>
      </c>
      <c r="H162" s="144"/>
      <c r="I162" s="37"/>
      <c r="N162" s="2" t="str">
        <f t="shared" ca="1" si="57"/>
        <v>105,..,1805</v>
      </c>
      <c r="O162" s="2">
        <f t="shared" ref="O162:P162" ca="1" si="62">O161+1</f>
        <v>105</v>
      </c>
      <c r="P162" s="2">
        <f t="shared" ca="1" si="62"/>
        <v>1805</v>
      </c>
    </row>
    <row r="163" spans="1:16" s="2" customFormat="1" ht="15.75" customHeight="1" x14ac:dyDescent="0.35">
      <c r="A163" s="20">
        <v>1806</v>
      </c>
      <c r="B163" s="20" t="s">
        <v>199</v>
      </c>
      <c r="C163" s="20" t="s">
        <v>201</v>
      </c>
      <c r="D163" s="20">
        <f>(27.924+0.6*(3+3+2.2)+0.6*(3+2.45))*10.764</f>
        <v>388.73109600000004</v>
      </c>
      <c r="E163" s="20">
        <f>(3*1.5)*10.764</f>
        <v>48.437999999999995</v>
      </c>
      <c r="F163" s="20">
        <f t="shared" si="56"/>
        <v>670.40775360000009</v>
      </c>
      <c r="G163" s="143" t="str">
        <f t="shared" si="58"/>
        <v>18th Floor (Part Refuge Area)</v>
      </c>
      <c r="H163" s="144"/>
      <c r="I163" s="37"/>
      <c r="N163" s="2" t="str">
        <f t="shared" ca="1" si="57"/>
        <v>106,..,1806</v>
      </c>
      <c r="O163" s="2">
        <f t="shared" ref="O163:P163" ca="1" si="63">O162+1</f>
        <v>106</v>
      </c>
      <c r="P163" s="2">
        <f t="shared" ca="1" si="63"/>
        <v>1806</v>
      </c>
    </row>
    <row r="164" spans="1:16" s="2" customFormat="1" ht="15.75" customHeight="1" x14ac:dyDescent="0.35">
      <c r="A164" s="20">
        <v>1807</v>
      </c>
      <c r="B164" s="20" t="s">
        <v>199</v>
      </c>
      <c r="C164" s="20" t="s">
        <v>201</v>
      </c>
      <c r="D164" s="20">
        <f>(27.883+0.6*(3+2.75+2.7)+0.6*(2.65+2.4))*10.764</f>
        <v>387.32101199999994</v>
      </c>
      <c r="E164" s="20">
        <f>(2.7*1.5)*10.764</f>
        <v>43.594200000000008</v>
      </c>
      <c r="F164" s="20">
        <f t="shared" si="56"/>
        <v>663.30781919999993</v>
      </c>
      <c r="G164" s="143" t="str">
        <f t="shared" si="58"/>
        <v>18th Floor (Part Refuge Area)</v>
      </c>
      <c r="H164" s="144"/>
      <c r="I164" s="37"/>
      <c r="N164" s="2" t="str">
        <f t="shared" ca="1" si="57"/>
        <v>107,..,1807</v>
      </c>
      <c r="O164" s="2">
        <f t="shared" ref="O164:P164" ca="1" si="64">O163+1</f>
        <v>107</v>
      </c>
      <c r="P164" s="2">
        <f t="shared" ca="1" si="64"/>
        <v>1807</v>
      </c>
    </row>
    <row r="165" spans="1:16" s="2" customFormat="1" ht="15.75" customHeight="1" x14ac:dyDescent="0.35">
      <c r="A165" s="140" t="s">
        <v>222</v>
      </c>
      <c r="B165" s="141"/>
      <c r="C165" s="141"/>
      <c r="D165" s="141"/>
      <c r="E165" s="141"/>
      <c r="F165" s="141"/>
      <c r="G165" s="141"/>
      <c r="H165" s="142"/>
      <c r="I165" s="37"/>
    </row>
    <row r="166" spans="1:16" s="2" customFormat="1" ht="15.75" customHeight="1" x14ac:dyDescent="0.35">
      <c r="A166" s="20">
        <v>1901</v>
      </c>
      <c r="B166" s="20" t="s">
        <v>199</v>
      </c>
      <c r="C166" s="20" t="s">
        <v>202</v>
      </c>
      <c r="D166" s="20">
        <f>(34.737+0.6*(2.65+2.8+2.45+1.805)+0.6*(2.45+1.95))*10.764</f>
        <v>465.00479999999999</v>
      </c>
      <c r="E166" s="20">
        <f>(2.3*2.6+3*1.5)*10.764</f>
        <v>112.80672</v>
      </c>
      <c r="F166" s="20">
        <f t="shared" ref="F166:F172" si="65">D166*(($F$97)+1)+E166</f>
        <v>856.81440000000009</v>
      </c>
      <c r="G166" s="143" t="str">
        <f>A165</f>
        <v xml:space="preserve">19th Floor </v>
      </c>
      <c r="H166" s="144"/>
      <c r="I166" s="37"/>
      <c r="N166" s="2" t="str">
        <f t="shared" ref="N166:N172" ca="1" si="66">O166&amp;""&amp;",..,"&amp;""&amp;P166</f>
        <v>101,..,1901</v>
      </c>
      <c r="O166" s="2">
        <f ca="1">(SUMPRODUCT(MID(0&amp;(LEFT(A165,SUM(LEN(A165)-LEN(SUBSTITUTE(A165,{"0","1","2"},""))))), LARGE(INDEX(ISNUMBER(--MID((LEFT(A165,SUM(LEN(A165)-LEN(SUBSTITUTE(A165,{"0","1","2"},""))))), ROW(INDIRECT("1:"&amp;LEN((LEFT(A165,SUM(LEN(A165)-LEN(SUBSTITUTE(A165,{"0","1","2"},"")))))))), 1)) * ROW(INDIRECT("1:"&amp;LEN((LEFT(A165,SUM(LEN(A165)-LEN(SUBSTITUTE(A165,{"0","1","2"},"")))))))), 0), ROW(INDIRECT("1:"&amp;LEN((LEFT(A165,SUM(LEN(A165)-LEN(SUBSTITUTE(A165,{"0","1","2"},"")))))))))+1, 1) * 10^ROW(INDIRECT("1:"&amp;LEN((LEFT(A165,SUM(LEN(A165)-LEN(SUBSTITUTE(A165,{"0","1","2"},""))))))))/10))*100+1</f>
        <v>101</v>
      </c>
      <c r="P166" s="2">
        <f ca="1">(SUMPRODUCT(MID(0&amp;(--TRIM(RIGHT(SUBSTITUTE(LEFT(A165,_xlfn.AGGREGATE(16,6,FIND({0,1,2,3,4,5,6,7,8,9},A165,ROW(INDIRECT("1:"&amp;LEN(A165)))),1))," ",REPT(" ",LEN(A165))),LEN(A165)))), LARGE(INDEX(ISNUMBER(--MID((--TRIM(RIGHT(SUBSTITUTE(LEFT(A165,_xlfn.AGGREGATE(16,6,FIND({0,1,2,3,4,5,6,7,8,9},A165,ROW(INDIRECT("1:"&amp;LEN(A165)))),1))," ",REPT(" ",LEN(A165))),LEN(A165)))), ROW(INDIRECT("1:"&amp;LEN((--TRIM(RIGHT(SUBSTITUTE(LEFT(A165,_xlfn.AGGREGATE(16,6,FIND({0,1,2,3,4,5,6,7,8,9},A165,ROW(INDIRECT("1:"&amp;LEN(A165)))),1))," ",REPT(" ",LEN(A165))),LEN(A165))))))), 1)) * ROW(INDIRECT("1:"&amp;LEN((--TRIM(RIGHT(SUBSTITUTE(LEFT(A165,_xlfn.AGGREGATE(16,6,FIND({0,1,2,3,4,5,6,7,8,9},A165,ROW(INDIRECT("1:"&amp;LEN(A165)))),1))," ",REPT(" ",LEN(A165))),LEN(A165))))))), 0), ROW(INDIRECT("1:"&amp;LEN((--TRIM(RIGHT(SUBSTITUTE(LEFT(A165,_xlfn.AGGREGATE(16,6,FIND({0,1,2,3,4,5,6,7,8,9},A165,ROW(INDIRECT("1:"&amp;LEN(A165)))),1))," ",REPT(" ",LEN(A165))),LEN(A165))))))))+1, 1) * 10^ROW(INDIRECT("1:"&amp;LEN((--TRIM(RIGHT(SUBSTITUTE(LEFT(A165,_xlfn.AGGREGATE(16,6,FIND({0,1,2,3,4,5,6,7,8,9},A165,ROW(INDIRECT("1:"&amp;LEN(A165)))),1))," ",REPT(" ",LEN(A165))),LEN(A165)))))))/10))*100+1</f>
        <v>1901</v>
      </c>
    </row>
    <row r="167" spans="1:16" s="2" customFormat="1" ht="15.75" customHeight="1" x14ac:dyDescent="0.35">
      <c r="A167" s="20">
        <v>1902</v>
      </c>
      <c r="B167" s="20" t="s">
        <v>200</v>
      </c>
      <c r="C167" s="20" t="s">
        <v>202</v>
      </c>
      <c r="D167" s="20">
        <f>(30.657+0.6*(3+2.45+2.2+1.805)+0.6*(2.25+1.85))*10.764</f>
        <v>417.53555999999998</v>
      </c>
      <c r="E167" s="20">
        <f>(2.15*2.5+2.7*1.5)*10.764</f>
        <v>101.4507</v>
      </c>
      <c r="F167" s="20">
        <f t="shared" si="65"/>
        <v>769.50759600000004</v>
      </c>
      <c r="G167" s="143" t="str">
        <f t="shared" ref="G167:G172" si="67">G166</f>
        <v xml:space="preserve">19th Floor </v>
      </c>
      <c r="H167" s="144"/>
      <c r="I167" s="37"/>
      <c r="N167" s="2" t="str">
        <f t="shared" ca="1" si="66"/>
        <v>102,..,1902</v>
      </c>
      <c r="O167" s="2">
        <f t="shared" ref="O167:P167" ca="1" si="68">O166+1</f>
        <v>102</v>
      </c>
      <c r="P167" s="2">
        <f t="shared" ca="1" si="68"/>
        <v>1902</v>
      </c>
    </row>
    <row r="168" spans="1:16" s="2" customFormat="1" ht="15.75" customHeight="1" x14ac:dyDescent="0.35">
      <c r="A168" s="20">
        <v>1903</v>
      </c>
      <c r="B168" s="20" t="s">
        <v>200</v>
      </c>
      <c r="C168" s="20" t="s">
        <v>202</v>
      </c>
      <c r="D168" s="20">
        <f>(30.657+0.6*(3+2.45+2.2+1.805)+0.6*(2.25+1.85))*10.764</f>
        <v>417.53555999999998</v>
      </c>
      <c r="E168" s="20">
        <f>(2.15*2.5+2.7*1.5)*10.764</f>
        <v>101.4507</v>
      </c>
      <c r="F168" s="20">
        <f t="shared" si="65"/>
        <v>769.50759600000004</v>
      </c>
      <c r="G168" s="143" t="str">
        <f t="shared" si="67"/>
        <v xml:space="preserve">19th Floor </v>
      </c>
      <c r="H168" s="144"/>
      <c r="I168" s="37"/>
      <c r="N168" s="2" t="str">
        <f t="shared" ca="1" si="66"/>
        <v>103,..,1903</v>
      </c>
      <c r="O168" s="2">
        <f t="shared" ref="O168:P168" ca="1" si="69">O167+1</f>
        <v>103</v>
      </c>
      <c r="P168" s="2">
        <f t="shared" ca="1" si="69"/>
        <v>1903</v>
      </c>
    </row>
    <row r="169" spans="1:16" s="2" customFormat="1" ht="15.75" customHeight="1" x14ac:dyDescent="0.35">
      <c r="A169" s="20">
        <v>1904</v>
      </c>
      <c r="B169" s="20" t="s">
        <v>199</v>
      </c>
      <c r="C169" s="20" t="s">
        <v>202</v>
      </c>
      <c r="D169" s="20">
        <f>(34.737+0.6*(2.65+2.8+2.45+1.805)+0.6*(1.95+2.4))*10.764</f>
        <v>464.68187999999998</v>
      </c>
      <c r="E169" s="20">
        <f>(2.3*2.5+3*1.5)*10.764</f>
        <v>110.33099999999999</v>
      </c>
      <c r="F169" s="20">
        <f t="shared" si="65"/>
        <v>853.82200799999998</v>
      </c>
      <c r="G169" s="143" t="str">
        <f t="shared" si="67"/>
        <v xml:space="preserve">19th Floor </v>
      </c>
      <c r="H169" s="144"/>
      <c r="I169" s="37"/>
      <c r="N169" s="2" t="str">
        <f t="shared" ca="1" si="66"/>
        <v>104,..,1904</v>
      </c>
      <c r="O169" s="2">
        <f t="shared" ref="O169:P169" ca="1" si="70">O168+1</f>
        <v>104</v>
      </c>
      <c r="P169" s="2">
        <f t="shared" ca="1" si="70"/>
        <v>1904</v>
      </c>
    </row>
    <row r="170" spans="1:16" s="2" customFormat="1" ht="15.75" customHeight="1" x14ac:dyDescent="0.35">
      <c r="A170" s="20">
        <v>1905</v>
      </c>
      <c r="B170" s="20" t="s">
        <v>199</v>
      </c>
      <c r="C170" s="20" t="s">
        <v>201</v>
      </c>
      <c r="D170" s="20">
        <f>(27.871+0.6*(2.75+2.7)+0.6*(2.7+2.4))*10.764</f>
        <v>368.13956400000001</v>
      </c>
      <c r="E170" s="20">
        <f>(2.65*1.5)*10.764</f>
        <v>42.786899999999996</v>
      </c>
      <c r="F170" s="20">
        <f t="shared" si="65"/>
        <v>631.81020239999998</v>
      </c>
      <c r="G170" s="143" t="str">
        <f t="shared" si="67"/>
        <v xml:space="preserve">19th Floor </v>
      </c>
      <c r="H170" s="144"/>
      <c r="I170" s="37"/>
      <c r="N170" s="2" t="str">
        <f t="shared" ca="1" si="66"/>
        <v>105,..,1905</v>
      </c>
      <c r="O170" s="2">
        <f t="shared" ref="O170:P170" ca="1" si="71">O169+1</f>
        <v>105</v>
      </c>
      <c r="P170" s="2">
        <f t="shared" ca="1" si="71"/>
        <v>1905</v>
      </c>
    </row>
    <row r="171" spans="1:16" s="2" customFormat="1" ht="15.75" customHeight="1" x14ac:dyDescent="0.35">
      <c r="A171" s="20">
        <v>1906</v>
      </c>
      <c r="B171" s="20" t="s">
        <v>199</v>
      </c>
      <c r="C171" s="20" t="s">
        <v>201</v>
      </c>
      <c r="D171" s="20">
        <f>(27.871+0.6*(3+2.2)+0.6*(3+2.45))*10.764</f>
        <v>368.78540400000003</v>
      </c>
      <c r="E171" s="20">
        <f>(3*1.5)*10.764</f>
        <v>48.437999999999995</v>
      </c>
      <c r="F171" s="20">
        <f t="shared" si="65"/>
        <v>638.49464640000008</v>
      </c>
      <c r="G171" s="143" t="str">
        <f t="shared" si="67"/>
        <v xml:space="preserve">19th Floor </v>
      </c>
      <c r="H171" s="144"/>
      <c r="I171" s="37"/>
      <c r="N171" s="2" t="str">
        <f t="shared" ca="1" si="66"/>
        <v>106,..,1906</v>
      </c>
      <c r="O171" s="2">
        <f t="shared" ref="O171:P171" ca="1" si="72">O170+1</f>
        <v>106</v>
      </c>
      <c r="P171" s="2">
        <f t="shared" ca="1" si="72"/>
        <v>1906</v>
      </c>
    </row>
    <row r="172" spans="1:16" s="2" customFormat="1" ht="15.75" customHeight="1" x14ac:dyDescent="0.35">
      <c r="A172" s="20">
        <v>1907</v>
      </c>
      <c r="B172" s="20" t="s">
        <v>199</v>
      </c>
      <c r="C172" s="20" t="s">
        <v>201</v>
      </c>
      <c r="D172" s="20">
        <f>(27.88+0.6*(2.7+2.75+2.135)+0.6*(2.7+2.4))*10.764</f>
        <v>382.02512399999995</v>
      </c>
      <c r="E172" s="20">
        <f>(2.65*1.5)*10.764</f>
        <v>42.786899999999996</v>
      </c>
      <c r="F172" s="20">
        <f t="shared" si="65"/>
        <v>654.02709839999989</v>
      </c>
      <c r="G172" s="143" t="str">
        <f t="shared" si="67"/>
        <v xml:space="preserve">19th Floor </v>
      </c>
      <c r="H172" s="144"/>
      <c r="I172" s="37"/>
      <c r="N172" s="2" t="str">
        <f t="shared" ca="1" si="66"/>
        <v>107,..,1907</v>
      </c>
      <c r="O172" s="2">
        <f t="shared" ref="O172:P172" ca="1" si="73">O171+1</f>
        <v>107</v>
      </c>
      <c r="P172" s="2">
        <f t="shared" ca="1" si="73"/>
        <v>1907</v>
      </c>
    </row>
    <row r="173" spans="1:16" s="2" customFormat="1" ht="15.75" customHeight="1" x14ac:dyDescent="0.35">
      <c r="A173" s="140" t="s">
        <v>223</v>
      </c>
      <c r="B173" s="141"/>
      <c r="C173" s="141"/>
      <c r="D173" s="141"/>
      <c r="E173" s="141"/>
      <c r="F173" s="141"/>
      <c r="G173" s="141"/>
      <c r="H173" s="142"/>
      <c r="I173" s="37"/>
    </row>
    <row r="174" spans="1:16" s="2" customFormat="1" ht="15.75" customHeight="1" x14ac:dyDescent="0.35">
      <c r="A174" s="20">
        <v>2001</v>
      </c>
      <c r="B174" s="20" t="s">
        <v>200</v>
      </c>
      <c r="C174" s="20" t="s">
        <v>202</v>
      </c>
      <c r="D174" s="20">
        <f>(35.264+0.6*(2.65+2.8+2.45+1.806)+0.6*(1.95+3))*10.764</f>
        <v>474.23600639999995</v>
      </c>
      <c r="E174" s="20">
        <f>(2.5*1.5)*10.764</f>
        <v>40.364999999999995</v>
      </c>
      <c r="F174" s="20">
        <f t="shared" ref="F174:F180" si="74">D174*(($F$97)+1)+E174</f>
        <v>799.14261023999995</v>
      </c>
      <c r="G174" s="143" t="str">
        <f>A173</f>
        <v xml:space="preserve">20th Floor </v>
      </c>
      <c r="H174" s="144"/>
      <c r="I174" s="37"/>
      <c r="N174" s="2" t="str">
        <f t="shared" ref="N174:N180" ca="1" si="75">O174&amp;""&amp;",..,"&amp;""&amp;P174</f>
        <v>2001,..,2001</v>
      </c>
      <c r="O174" s="2">
        <f ca="1">(SUMPRODUCT(MID(0&amp;(LEFT(A173,SUM(LEN(A173)-LEN(SUBSTITUTE(A173,{"0","1","2"},""))))), LARGE(INDEX(ISNUMBER(--MID((LEFT(A173,SUM(LEN(A173)-LEN(SUBSTITUTE(A173,{"0","1","2"},""))))), ROW(INDIRECT("1:"&amp;LEN((LEFT(A173,SUM(LEN(A173)-LEN(SUBSTITUTE(A173,{"0","1","2"},"")))))))), 1)) * ROW(INDIRECT("1:"&amp;LEN((LEFT(A173,SUM(LEN(A173)-LEN(SUBSTITUTE(A173,{"0","1","2"},"")))))))), 0), ROW(INDIRECT("1:"&amp;LEN((LEFT(A173,SUM(LEN(A173)-LEN(SUBSTITUTE(A173,{"0","1","2"},"")))))))))+1, 1) * 10^ROW(INDIRECT("1:"&amp;LEN((LEFT(A173,SUM(LEN(A173)-LEN(SUBSTITUTE(A173,{"0","1","2"},""))))))))/10))*100+1</f>
        <v>2001</v>
      </c>
      <c r="P174" s="2">
        <f ca="1">(SUMPRODUCT(MID(0&amp;(--TRIM(RIGHT(SUBSTITUTE(LEFT(A173,_xlfn.AGGREGATE(16,6,FIND({0,1,2,3,4,5,6,7,8,9},A173,ROW(INDIRECT("1:"&amp;LEN(A173)))),1))," ",REPT(" ",LEN(A173))),LEN(A173)))), LARGE(INDEX(ISNUMBER(--MID((--TRIM(RIGHT(SUBSTITUTE(LEFT(A173,_xlfn.AGGREGATE(16,6,FIND({0,1,2,3,4,5,6,7,8,9},A173,ROW(INDIRECT("1:"&amp;LEN(A173)))),1))," ",REPT(" ",LEN(A173))),LEN(A173)))), ROW(INDIRECT("1:"&amp;LEN((--TRIM(RIGHT(SUBSTITUTE(LEFT(A173,_xlfn.AGGREGATE(16,6,FIND({0,1,2,3,4,5,6,7,8,9},A173,ROW(INDIRECT("1:"&amp;LEN(A173)))),1))," ",REPT(" ",LEN(A173))),LEN(A173))))))), 1)) * ROW(INDIRECT("1:"&amp;LEN((--TRIM(RIGHT(SUBSTITUTE(LEFT(A173,_xlfn.AGGREGATE(16,6,FIND({0,1,2,3,4,5,6,7,8,9},A173,ROW(INDIRECT("1:"&amp;LEN(A173)))),1))," ",REPT(" ",LEN(A173))),LEN(A173))))))), 0), ROW(INDIRECT("1:"&amp;LEN((--TRIM(RIGHT(SUBSTITUTE(LEFT(A173,_xlfn.AGGREGATE(16,6,FIND({0,1,2,3,4,5,6,7,8,9},A173,ROW(INDIRECT("1:"&amp;LEN(A173)))),1))," ",REPT(" ",LEN(A173))),LEN(A173))))))))+1, 1) * 10^ROW(INDIRECT("1:"&amp;LEN((--TRIM(RIGHT(SUBSTITUTE(LEFT(A173,_xlfn.AGGREGATE(16,6,FIND({0,1,2,3,4,5,6,7,8,9},A173,ROW(INDIRECT("1:"&amp;LEN(A173)))),1))," ",REPT(" ",LEN(A173))),LEN(A173)))))))/10))*100+1</f>
        <v>2001</v>
      </c>
    </row>
    <row r="175" spans="1:16" s="2" customFormat="1" ht="15.75" customHeight="1" x14ac:dyDescent="0.35">
      <c r="A175" s="20">
        <v>2002</v>
      </c>
      <c r="B175" s="20" t="s">
        <v>200</v>
      </c>
      <c r="C175" s="20" t="s">
        <v>201</v>
      </c>
      <c r="D175" s="20">
        <f>(26.158+0.6*(3+2.45+1.8)+0.6*(1.85+2.2))*10.764</f>
        <v>354.54463199999998</v>
      </c>
      <c r="E175" s="20">
        <f>(2.55*2.5)*10.764</f>
        <v>68.620499999999993</v>
      </c>
      <c r="F175" s="20">
        <f t="shared" si="74"/>
        <v>635.89191119999998</v>
      </c>
      <c r="G175" s="143" t="str">
        <f t="shared" ref="G175:G180" si="76">G174</f>
        <v xml:space="preserve">20th Floor </v>
      </c>
      <c r="H175" s="144"/>
      <c r="I175" s="37"/>
      <c r="N175" s="2" t="str">
        <f t="shared" ca="1" si="75"/>
        <v>2002,..,2002</v>
      </c>
      <c r="O175" s="2">
        <f t="shared" ref="O175:P175" ca="1" si="77">O174+1</f>
        <v>2002</v>
      </c>
      <c r="P175" s="2">
        <f t="shared" ca="1" si="77"/>
        <v>2002</v>
      </c>
    </row>
    <row r="176" spans="1:16" s="2" customFormat="1" ht="15.75" customHeight="1" x14ac:dyDescent="0.35">
      <c r="A176" s="20">
        <v>2003</v>
      </c>
      <c r="B176" s="20" t="s">
        <v>200</v>
      </c>
      <c r="C176" s="20" t="s">
        <v>201</v>
      </c>
      <c r="D176" s="20">
        <f>(26.158+0.6*(3+2.45+1.8)+0.6*(1.85+2.2))*10.764</f>
        <v>354.54463199999998</v>
      </c>
      <c r="E176" s="20">
        <f>(2.55*2.5)*10.764</f>
        <v>68.620499999999993</v>
      </c>
      <c r="F176" s="20">
        <f t="shared" si="74"/>
        <v>635.89191119999998</v>
      </c>
      <c r="G176" s="143" t="str">
        <f t="shared" si="76"/>
        <v xml:space="preserve">20th Floor </v>
      </c>
      <c r="H176" s="144"/>
      <c r="I176" s="37"/>
      <c r="N176" s="2" t="str">
        <f t="shared" ca="1" si="75"/>
        <v>2003,..,2003</v>
      </c>
      <c r="O176" s="2">
        <f t="shared" ref="O176:P176" ca="1" si="78">O175+1</f>
        <v>2003</v>
      </c>
      <c r="P176" s="2">
        <f t="shared" ca="1" si="78"/>
        <v>2003</v>
      </c>
    </row>
    <row r="177" spans="1:16" s="2" customFormat="1" ht="15.75" customHeight="1" x14ac:dyDescent="0.35">
      <c r="A177" s="20">
        <v>2004</v>
      </c>
      <c r="B177" s="20" t="s">
        <v>200</v>
      </c>
      <c r="C177" s="20" t="s">
        <v>202</v>
      </c>
      <c r="D177" s="20">
        <f>(35.264+0.6*(2.65+2.8+2.45+1.805)+0.6*(1.95+3))*10.764</f>
        <v>474.22954800000002</v>
      </c>
      <c r="E177" s="20">
        <f>(2.5*1.5)*10.764</f>
        <v>40.364999999999995</v>
      </c>
      <c r="F177" s="20">
        <f t="shared" si="74"/>
        <v>799.13227680000011</v>
      </c>
      <c r="G177" s="143" t="str">
        <f t="shared" si="76"/>
        <v xml:space="preserve">20th Floor </v>
      </c>
      <c r="H177" s="144"/>
      <c r="I177" s="37"/>
      <c r="N177" s="2" t="str">
        <f t="shared" ca="1" si="75"/>
        <v>2004,..,2004</v>
      </c>
      <c r="O177" s="2">
        <f t="shared" ref="O177:P177" ca="1" si="79">O176+1</f>
        <v>2004</v>
      </c>
      <c r="P177" s="2">
        <f t="shared" ca="1" si="79"/>
        <v>2004</v>
      </c>
    </row>
    <row r="178" spans="1:16" s="2" customFormat="1" ht="15.75" customHeight="1" x14ac:dyDescent="0.35">
      <c r="A178" s="20">
        <v>2005</v>
      </c>
      <c r="B178" s="20" t="s">
        <v>199</v>
      </c>
      <c r="C178" s="20" t="s">
        <v>201</v>
      </c>
      <c r="D178" s="20">
        <f>(27.871+0.6*(2.75+2.75)+0.6*(2.65+2.4))*10.764</f>
        <v>368.13956400000001</v>
      </c>
      <c r="E178" s="20">
        <f>(2.7*1.5)*10.764</f>
        <v>43.594200000000008</v>
      </c>
      <c r="F178" s="20">
        <f t="shared" si="74"/>
        <v>632.61750240000003</v>
      </c>
      <c r="G178" s="143" t="str">
        <f t="shared" si="76"/>
        <v xml:space="preserve">20th Floor </v>
      </c>
      <c r="H178" s="144"/>
      <c r="I178" s="37"/>
      <c r="N178" s="2" t="str">
        <f t="shared" ca="1" si="75"/>
        <v>2005,..,2005</v>
      </c>
      <c r="O178" s="2">
        <f t="shared" ref="O178:P178" ca="1" si="80">O177+1</f>
        <v>2005</v>
      </c>
      <c r="P178" s="2">
        <f t="shared" ca="1" si="80"/>
        <v>2005</v>
      </c>
    </row>
    <row r="179" spans="1:16" s="2" customFormat="1" ht="15.75" customHeight="1" x14ac:dyDescent="0.35">
      <c r="A179" s="20">
        <v>2006</v>
      </c>
      <c r="B179" s="20" t="s">
        <v>199</v>
      </c>
      <c r="C179" s="20" t="s">
        <v>201</v>
      </c>
      <c r="D179" s="20">
        <f>(27.873+0.6*(3+1.44)+0.6*(3+2.45))*10.764</f>
        <v>363.89854800000001</v>
      </c>
      <c r="E179" s="20">
        <f>(3*1.5)*10.764</f>
        <v>48.437999999999995</v>
      </c>
      <c r="F179" s="20">
        <f t="shared" si="74"/>
        <v>630.67567680000002</v>
      </c>
      <c r="G179" s="143" t="str">
        <f t="shared" si="76"/>
        <v xml:space="preserve">20th Floor </v>
      </c>
      <c r="H179" s="144"/>
      <c r="I179" s="37"/>
      <c r="N179" s="2" t="str">
        <f t="shared" ca="1" si="75"/>
        <v>2006,..,2006</v>
      </c>
      <c r="O179" s="2">
        <f t="shared" ref="O179:P179" ca="1" si="81">O178+1</f>
        <v>2006</v>
      </c>
      <c r="P179" s="2">
        <f t="shared" ca="1" si="81"/>
        <v>2006</v>
      </c>
    </row>
    <row r="180" spans="1:16" s="2" customFormat="1" ht="15.75" customHeight="1" x14ac:dyDescent="0.35">
      <c r="A180" s="20">
        <v>2007</v>
      </c>
      <c r="B180" s="20" t="s">
        <v>199</v>
      </c>
      <c r="C180" s="20" t="s">
        <v>201</v>
      </c>
      <c r="D180" s="20">
        <f>(27.871+0.6*(2.7+2.75)+0.6*(2.4+2.65))*10.764</f>
        <v>367.816644</v>
      </c>
      <c r="E180" s="20">
        <f>(2.7*1.5)*10.764</f>
        <v>43.594200000000008</v>
      </c>
      <c r="F180" s="20">
        <f t="shared" si="74"/>
        <v>632.10083040000006</v>
      </c>
      <c r="G180" s="143" t="str">
        <f t="shared" si="76"/>
        <v xml:space="preserve">20th Floor </v>
      </c>
      <c r="H180" s="144"/>
      <c r="I180" s="37"/>
      <c r="N180" s="2" t="str">
        <f t="shared" ca="1" si="75"/>
        <v>2007,..,2007</v>
      </c>
      <c r="O180" s="2">
        <f t="shared" ref="O180:P180" ca="1" si="82">O179+1</f>
        <v>2007</v>
      </c>
      <c r="P180" s="2">
        <f t="shared" ca="1" si="82"/>
        <v>2007</v>
      </c>
    </row>
    <row r="181" spans="1:16" s="2" customFormat="1" ht="15.75" customHeight="1" x14ac:dyDescent="0.35">
      <c r="A181" s="140" t="s">
        <v>224</v>
      </c>
      <c r="B181" s="141"/>
      <c r="C181" s="141"/>
      <c r="D181" s="141"/>
      <c r="E181" s="141"/>
      <c r="F181" s="141"/>
      <c r="G181" s="141"/>
      <c r="H181" s="142"/>
      <c r="I181" s="37"/>
    </row>
    <row r="182" spans="1:16" s="2" customFormat="1" ht="15.75" customHeight="1" x14ac:dyDescent="0.35">
      <c r="A182" s="20">
        <v>2101</v>
      </c>
      <c r="B182" s="20" t="s">
        <v>200</v>
      </c>
      <c r="C182" s="20" t="s">
        <v>202</v>
      </c>
      <c r="D182" s="20">
        <f>(35.328+0.6*(2.65+2.8+2.45+1.806)+0.6*(3+1.95))*10.764</f>
        <v>474.92490240000001</v>
      </c>
      <c r="E182" s="20">
        <f>(2.2*2.5)*10.764</f>
        <v>59.201999999999998</v>
      </c>
      <c r="F182" s="20">
        <f t="shared" ref="F182:F188" si="83">D182*(($F$97)+1)+E182</f>
        <v>819.08184384000003</v>
      </c>
      <c r="G182" s="143" t="str">
        <f>A181</f>
        <v xml:space="preserve">21th Floor </v>
      </c>
      <c r="H182" s="144"/>
      <c r="I182" s="37"/>
      <c r="N182" s="2" t="str">
        <f t="shared" ref="N182:N188" ca="1" si="84">O182&amp;""&amp;",..,"&amp;""&amp;P182</f>
        <v>2101,..,2101</v>
      </c>
      <c r="O182" s="2">
        <f ca="1">(SUMPRODUCT(MID(0&amp;(LEFT(A181,SUM(LEN(A181)-LEN(SUBSTITUTE(A181,{"0","1","2"},""))))), LARGE(INDEX(ISNUMBER(--MID((LEFT(A181,SUM(LEN(A181)-LEN(SUBSTITUTE(A181,{"0","1","2"},""))))), ROW(INDIRECT("1:"&amp;LEN((LEFT(A181,SUM(LEN(A181)-LEN(SUBSTITUTE(A181,{"0","1","2"},"")))))))), 1)) * ROW(INDIRECT("1:"&amp;LEN((LEFT(A181,SUM(LEN(A181)-LEN(SUBSTITUTE(A181,{"0","1","2"},"")))))))), 0), ROW(INDIRECT("1:"&amp;LEN((LEFT(A181,SUM(LEN(A181)-LEN(SUBSTITUTE(A181,{"0","1","2"},"")))))))))+1, 1) * 10^ROW(INDIRECT("1:"&amp;LEN((LEFT(A181,SUM(LEN(A181)-LEN(SUBSTITUTE(A181,{"0","1","2"},""))))))))/10))*100+1</f>
        <v>2101</v>
      </c>
      <c r="P182" s="2">
        <f ca="1">(SUMPRODUCT(MID(0&amp;(--TRIM(RIGHT(SUBSTITUTE(LEFT(A181,_xlfn.AGGREGATE(16,6,FIND({0,1,2,3,4,5,6,7,8,9},A181,ROW(INDIRECT("1:"&amp;LEN(A181)))),1))," ",REPT(" ",LEN(A181))),LEN(A181)))), LARGE(INDEX(ISNUMBER(--MID((--TRIM(RIGHT(SUBSTITUTE(LEFT(A181,_xlfn.AGGREGATE(16,6,FIND({0,1,2,3,4,5,6,7,8,9},A181,ROW(INDIRECT("1:"&amp;LEN(A181)))),1))," ",REPT(" ",LEN(A181))),LEN(A181)))), ROW(INDIRECT("1:"&amp;LEN((--TRIM(RIGHT(SUBSTITUTE(LEFT(A181,_xlfn.AGGREGATE(16,6,FIND({0,1,2,3,4,5,6,7,8,9},A181,ROW(INDIRECT("1:"&amp;LEN(A181)))),1))," ",REPT(" ",LEN(A181))),LEN(A181))))))), 1)) * ROW(INDIRECT("1:"&amp;LEN((--TRIM(RIGHT(SUBSTITUTE(LEFT(A181,_xlfn.AGGREGATE(16,6,FIND({0,1,2,3,4,5,6,7,8,9},A181,ROW(INDIRECT("1:"&amp;LEN(A181)))),1))," ",REPT(" ",LEN(A181))),LEN(A181))))))), 0), ROW(INDIRECT("1:"&amp;LEN((--TRIM(RIGHT(SUBSTITUTE(LEFT(A181,_xlfn.AGGREGATE(16,6,FIND({0,1,2,3,4,5,6,7,8,9},A181,ROW(INDIRECT("1:"&amp;LEN(A181)))),1))," ",REPT(" ",LEN(A181))),LEN(A181))))))))+1, 1) * 10^ROW(INDIRECT("1:"&amp;LEN((--TRIM(RIGHT(SUBSTITUTE(LEFT(A181,_xlfn.AGGREGATE(16,6,FIND({0,1,2,3,4,5,6,7,8,9},A181,ROW(INDIRECT("1:"&amp;LEN(A181)))),1))," ",REPT(" ",LEN(A181))),LEN(A181)))))))/10))*100+1</f>
        <v>2101</v>
      </c>
    </row>
    <row r="183" spans="1:16" s="2" customFormat="1" ht="15.75" customHeight="1" x14ac:dyDescent="0.35">
      <c r="A183" s="20">
        <v>2102</v>
      </c>
      <c r="B183" s="20" t="s">
        <v>200</v>
      </c>
      <c r="C183" s="20" t="s">
        <v>201</v>
      </c>
      <c r="D183" s="20">
        <f>(25.882+0.6*(3+2.45+1.8)+0.6*(2.25*0.6))*10.764</f>
        <v>334.13608799999997</v>
      </c>
      <c r="E183" s="20">
        <f>(2.2*2.5+3*1.5)*10.764</f>
        <v>107.63999999999999</v>
      </c>
      <c r="F183" s="20">
        <f t="shared" si="83"/>
        <v>642.25774079999997</v>
      </c>
      <c r="G183" s="143" t="str">
        <f t="shared" ref="G183:G188" si="85">G182</f>
        <v xml:space="preserve">21th Floor </v>
      </c>
      <c r="H183" s="144"/>
      <c r="I183" s="37"/>
      <c r="N183" s="2" t="str">
        <f t="shared" ca="1" si="84"/>
        <v>2102,..,2102</v>
      </c>
      <c r="O183" s="2">
        <f t="shared" ref="O183:P183" ca="1" si="86">O182+1</f>
        <v>2102</v>
      </c>
      <c r="P183" s="2">
        <f t="shared" ca="1" si="86"/>
        <v>2102</v>
      </c>
    </row>
    <row r="184" spans="1:16" s="2" customFormat="1" ht="15.75" customHeight="1" x14ac:dyDescent="0.35">
      <c r="A184" s="20">
        <v>2103</v>
      </c>
      <c r="B184" s="20" t="s">
        <v>200</v>
      </c>
      <c r="C184" s="20" t="s">
        <v>201</v>
      </c>
      <c r="D184" s="20">
        <f>(25.882+0.6*(3+2.45+1.8)+0.6*(2.25*0.6))*10.764</f>
        <v>334.13608799999997</v>
      </c>
      <c r="E184" s="20">
        <f>(2.2*2.5+3*1.5)*10.764</f>
        <v>107.63999999999999</v>
      </c>
      <c r="F184" s="20">
        <f t="shared" si="83"/>
        <v>642.25774079999997</v>
      </c>
      <c r="G184" s="143" t="str">
        <f t="shared" si="85"/>
        <v xml:space="preserve">21th Floor </v>
      </c>
      <c r="H184" s="144"/>
      <c r="I184" s="37"/>
      <c r="N184" s="2" t="str">
        <f t="shared" ca="1" si="84"/>
        <v>2103,..,2103</v>
      </c>
      <c r="O184" s="2">
        <f t="shared" ref="O184:P184" ca="1" si="87">O183+1</f>
        <v>2103</v>
      </c>
      <c r="P184" s="2">
        <f t="shared" ca="1" si="87"/>
        <v>2103</v>
      </c>
    </row>
    <row r="185" spans="1:16" s="2" customFormat="1" ht="15.75" customHeight="1" x14ac:dyDescent="0.35">
      <c r="A185" s="20">
        <v>2104</v>
      </c>
      <c r="B185" s="20" t="s">
        <v>200</v>
      </c>
      <c r="C185" s="20" t="s">
        <v>202</v>
      </c>
      <c r="D185" s="20">
        <f>(35.328+0.6*(2.65+2.8+2.45+1.808)+0.6*(1.95*0.6))*10.764</f>
        <v>450.52506719999997</v>
      </c>
      <c r="E185" s="20">
        <f>(2.2*2.5)*10.764</f>
        <v>59.201999999999998</v>
      </c>
      <c r="F185" s="20">
        <f t="shared" si="83"/>
        <v>780.04210751999994</v>
      </c>
      <c r="G185" s="143" t="str">
        <f t="shared" si="85"/>
        <v xml:space="preserve">21th Floor </v>
      </c>
      <c r="H185" s="144"/>
      <c r="I185" s="37"/>
      <c r="N185" s="2" t="str">
        <f t="shared" ca="1" si="84"/>
        <v>2104,..,2104</v>
      </c>
      <c r="O185" s="2">
        <f t="shared" ref="O185:P185" ca="1" si="88">O184+1</f>
        <v>2104</v>
      </c>
      <c r="P185" s="2">
        <f t="shared" ca="1" si="88"/>
        <v>2104</v>
      </c>
    </row>
    <row r="186" spans="1:16" s="2" customFormat="1" ht="15.75" customHeight="1" x14ac:dyDescent="0.35">
      <c r="A186" s="20">
        <v>2105</v>
      </c>
      <c r="B186" s="20" t="s">
        <v>199</v>
      </c>
      <c r="C186" s="20" t="s">
        <v>201</v>
      </c>
      <c r="D186" s="20">
        <f>(27.871+0.6*(2.75+2.75+0.535)+0.6*(2.7+2.4))*10.764</f>
        <v>371.91772799999995</v>
      </c>
      <c r="E186" s="20">
        <f>(2.2*2.5)*10.764</f>
        <v>59.201999999999998</v>
      </c>
      <c r="F186" s="20">
        <f t="shared" si="83"/>
        <v>654.27036479999992</v>
      </c>
      <c r="G186" s="143" t="str">
        <f t="shared" si="85"/>
        <v xml:space="preserve">21th Floor </v>
      </c>
      <c r="H186" s="144"/>
      <c r="I186" s="37"/>
      <c r="N186" s="2" t="str">
        <f t="shared" ca="1" si="84"/>
        <v>2105,..,2105</v>
      </c>
      <c r="O186" s="2">
        <f t="shared" ref="O186:P186" ca="1" si="89">O185+1</f>
        <v>2105</v>
      </c>
      <c r="P186" s="2">
        <f t="shared" ca="1" si="89"/>
        <v>2105</v>
      </c>
    </row>
    <row r="187" spans="1:16" s="2" customFormat="1" ht="15.75" customHeight="1" x14ac:dyDescent="0.35">
      <c r="A187" s="20">
        <v>2106</v>
      </c>
      <c r="B187" s="20" t="s">
        <v>199</v>
      </c>
      <c r="C187" s="20" t="s">
        <v>201</v>
      </c>
      <c r="D187" s="20">
        <f>(27.873+0.6*(3+1.44)+0.6*(3+2.45))*10.764</f>
        <v>363.89854800000001</v>
      </c>
      <c r="E187" s="20">
        <f>(3*1.5)*10.764</f>
        <v>48.437999999999995</v>
      </c>
      <c r="F187" s="20">
        <f t="shared" si="83"/>
        <v>630.67567680000002</v>
      </c>
      <c r="G187" s="143" t="str">
        <f t="shared" si="85"/>
        <v xml:space="preserve">21th Floor </v>
      </c>
      <c r="H187" s="144"/>
      <c r="I187" s="37"/>
      <c r="N187" s="2" t="str">
        <f t="shared" ca="1" si="84"/>
        <v>2106,..,2106</v>
      </c>
      <c r="O187" s="2">
        <f t="shared" ref="O187:P187" ca="1" si="90">O186+1</f>
        <v>2106</v>
      </c>
      <c r="P187" s="2">
        <f t="shared" ca="1" si="90"/>
        <v>2106</v>
      </c>
    </row>
    <row r="188" spans="1:16" s="2" customFormat="1" ht="15.75" customHeight="1" x14ac:dyDescent="0.35">
      <c r="A188" s="20">
        <v>2107</v>
      </c>
      <c r="B188" s="20" t="s">
        <v>199</v>
      </c>
      <c r="C188" s="20" t="s">
        <v>201</v>
      </c>
      <c r="D188" s="20">
        <f>(27.871+0.6*(2.75+2.7+0.985)+0.6*(2.7+2.4))*10.764</f>
        <v>374.50108799999998</v>
      </c>
      <c r="E188" s="20">
        <f>(2.65*1.5)*10.764</f>
        <v>42.786899999999996</v>
      </c>
      <c r="F188" s="20">
        <f t="shared" si="83"/>
        <v>641.98864079999998</v>
      </c>
      <c r="G188" s="143" t="str">
        <f t="shared" si="85"/>
        <v xml:space="preserve">21th Floor </v>
      </c>
      <c r="H188" s="144"/>
      <c r="I188" s="37"/>
      <c r="N188" s="2" t="str">
        <f t="shared" ca="1" si="84"/>
        <v>2107,..,2107</v>
      </c>
      <c r="O188" s="2">
        <f t="shared" ref="O188:P188" ca="1" si="91">O187+1</f>
        <v>2107</v>
      </c>
      <c r="P188" s="2">
        <f t="shared" ca="1" si="91"/>
        <v>2107</v>
      </c>
    </row>
    <row r="189" spans="1:16" s="2" customFormat="1" ht="15.75" customHeight="1" x14ac:dyDescent="0.35">
      <c r="A189" s="140" t="s">
        <v>225</v>
      </c>
      <c r="B189" s="141"/>
      <c r="C189" s="141"/>
      <c r="D189" s="141"/>
      <c r="E189" s="141"/>
      <c r="F189" s="141"/>
      <c r="G189" s="141"/>
      <c r="H189" s="142"/>
      <c r="I189" s="37"/>
    </row>
    <row r="190" spans="1:16" s="2" customFormat="1" ht="15.75" customHeight="1" x14ac:dyDescent="0.35">
      <c r="A190" s="20">
        <v>2201</v>
      </c>
      <c r="B190" s="20" t="s">
        <v>200</v>
      </c>
      <c r="C190" s="20" t="s">
        <v>202</v>
      </c>
      <c r="D190" s="20">
        <f>(35.328+0.6*(2.65+2.8+2.45+1.806)+0.6*(2.4+1.95))*10.764</f>
        <v>471.04986239999999</v>
      </c>
      <c r="E190" s="20">
        <f>(3*1.5)*10.764</f>
        <v>48.437999999999995</v>
      </c>
      <c r="F190" s="20">
        <f t="shared" ref="F190:F196" si="92">D190*(($F$97)+1)+E190</f>
        <v>802.11777984000003</v>
      </c>
      <c r="G190" s="143" t="str">
        <f>A189</f>
        <v xml:space="preserve">22th Floor </v>
      </c>
      <c r="H190" s="144"/>
      <c r="I190" s="37"/>
      <c r="N190" s="2" t="str">
        <f t="shared" ref="N190:N196" ca="1" si="93">O190&amp;""&amp;",..,"&amp;""&amp;P190</f>
        <v>2201,..,2201</v>
      </c>
      <c r="O190" s="2">
        <f ca="1">(SUMPRODUCT(MID(0&amp;(LEFT(A189,SUM(LEN(A189)-LEN(SUBSTITUTE(A189,{"0","1","2"},""))))), LARGE(INDEX(ISNUMBER(--MID((LEFT(A189,SUM(LEN(A189)-LEN(SUBSTITUTE(A189,{"0","1","2"},""))))), ROW(INDIRECT("1:"&amp;LEN((LEFT(A189,SUM(LEN(A189)-LEN(SUBSTITUTE(A189,{"0","1","2"},"")))))))), 1)) * ROW(INDIRECT("1:"&amp;LEN((LEFT(A189,SUM(LEN(A189)-LEN(SUBSTITUTE(A189,{"0","1","2"},"")))))))), 0), ROW(INDIRECT("1:"&amp;LEN((LEFT(A189,SUM(LEN(A189)-LEN(SUBSTITUTE(A189,{"0","1","2"},"")))))))))+1, 1) * 10^ROW(INDIRECT("1:"&amp;LEN((LEFT(A189,SUM(LEN(A189)-LEN(SUBSTITUTE(A189,{"0","1","2"},""))))))))/10))*100+1</f>
        <v>2201</v>
      </c>
      <c r="P190" s="2">
        <f ca="1">(SUMPRODUCT(MID(0&amp;(--TRIM(RIGHT(SUBSTITUTE(LEFT(A189,_xlfn.AGGREGATE(16,6,FIND({0,1,2,3,4,5,6,7,8,9},A189,ROW(INDIRECT("1:"&amp;LEN(A189)))),1))," ",REPT(" ",LEN(A189))),LEN(A189)))), LARGE(INDEX(ISNUMBER(--MID((--TRIM(RIGHT(SUBSTITUTE(LEFT(A189,_xlfn.AGGREGATE(16,6,FIND({0,1,2,3,4,5,6,7,8,9},A189,ROW(INDIRECT("1:"&amp;LEN(A189)))),1))," ",REPT(" ",LEN(A189))),LEN(A189)))), ROW(INDIRECT("1:"&amp;LEN((--TRIM(RIGHT(SUBSTITUTE(LEFT(A189,_xlfn.AGGREGATE(16,6,FIND({0,1,2,3,4,5,6,7,8,9},A189,ROW(INDIRECT("1:"&amp;LEN(A189)))),1))," ",REPT(" ",LEN(A189))),LEN(A189))))))), 1)) * ROW(INDIRECT("1:"&amp;LEN((--TRIM(RIGHT(SUBSTITUTE(LEFT(A189,_xlfn.AGGREGATE(16,6,FIND({0,1,2,3,4,5,6,7,8,9},A189,ROW(INDIRECT("1:"&amp;LEN(A189)))),1))," ",REPT(" ",LEN(A189))),LEN(A189))))))), 0), ROW(INDIRECT("1:"&amp;LEN((--TRIM(RIGHT(SUBSTITUTE(LEFT(A189,_xlfn.AGGREGATE(16,6,FIND({0,1,2,3,4,5,6,7,8,9},A189,ROW(INDIRECT("1:"&amp;LEN(A189)))),1))," ",REPT(" ",LEN(A189))),LEN(A189))))))))+1, 1) * 10^ROW(INDIRECT("1:"&amp;LEN((--TRIM(RIGHT(SUBSTITUTE(LEFT(A189,_xlfn.AGGREGATE(16,6,FIND({0,1,2,3,4,5,6,7,8,9},A189,ROW(INDIRECT("1:"&amp;LEN(A189)))),1))," ",REPT(" ",LEN(A189))),LEN(A189)))))))/10))*100+1</f>
        <v>2201</v>
      </c>
    </row>
    <row r="191" spans="1:16" s="2" customFormat="1" ht="15.75" customHeight="1" x14ac:dyDescent="0.35">
      <c r="A191" s="20">
        <v>2202</v>
      </c>
      <c r="B191" s="20" t="s">
        <v>200</v>
      </c>
      <c r="C191" s="20" t="s">
        <v>201</v>
      </c>
      <c r="D191" s="20">
        <f>(25.882+0.6*(3+2.45+1.8)+0.6*(3+2.2))*10.764</f>
        <v>359.00092799999993</v>
      </c>
      <c r="E191" s="20">
        <f>(2.35*1.5)*10.764</f>
        <v>37.943100000000001</v>
      </c>
      <c r="F191" s="20">
        <f t="shared" si="92"/>
        <v>612.34458479999989</v>
      </c>
      <c r="G191" s="143" t="str">
        <f t="shared" ref="G191:G196" si="94">G190</f>
        <v xml:space="preserve">22th Floor </v>
      </c>
      <c r="H191" s="144"/>
      <c r="I191" s="37"/>
      <c r="N191" s="2" t="str">
        <f t="shared" ca="1" si="93"/>
        <v>2202,..,2202</v>
      </c>
      <c r="O191" s="2">
        <f t="shared" ref="O191:P191" ca="1" si="95">O190+1</f>
        <v>2202</v>
      </c>
      <c r="P191" s="2">
        <f t="shared" ca="1" si="95"/>
        <v>2202</v>
      </c>
    </row>
    <row r="192" spans="1:16" s="2" customFormat="1" ht="15.75" customHeight="1" x14ac:dyDescent="0.35">
      <c r="A192" s="20">
        <v>2203</v>
      </c>
      <c r="B192" s="20" t="s">
        <v>200</v>
      </c>
      <c r="C192" s="20" t="s">
        <v>201</v>
      </c>
      <c r="D192" s="20">
        <f>(25.882+0.6*(3+2.45+1.8)+0.6*(3+2.2))*10.764</f>
        <v>359.00092799999993</v>
      </c>
      <c r="E192" s="20">
        <f>(2.35*1.5)*10.764</f>
        <v>37.943100000000001</v>
      </c>
      <c r="F192" s="20">
        <f t="shared" si="92"/>
        <v>612.34458479999989</v>
      </c>
      <c r="G192" s="143" t="str">
        <f t="shared" si="94"/>
        <v xml:space="preserve">22th Floor </v>
      </c>
      <c r="H192" s="144"/>
      <c r="I192" s="37"/>
      <c r="N192" s="2" t="str">
        <f t="shared" ca="1" si="93"/>
        <v>2203,..,2203</v>
      </c>
      <c r="O192" s="2">
        <f t="shared" ref="O192:P192" ca="1" si="96">O191+1</f>
        <v>2203</v>
      </c>
      <c r="P192" s="2">
        <f t="shared" ca="1" si="96"/>
        <v>2203</v>
      </c>
    </row>
    <row r="193" spans="1:16" s="2" customFormat="1" ht="15.75" customHeight="1" x14ac:dyDescent="0.35">
      <c r="A193" s="20">
        <v>2204</v>
      </c>
      <c r="B193" s="20" t="s">
        <v>200</v>
      </c>
      <c r="C193" s="20" t="s">
        <v>202</v>
      </c>
      <c r="D193" s="20">
        <f>(35.328+0.6*(2.65+2.8+2.45+1.806)+0.6*(2.4+1.95))*10.764</f>
        <v>471.04986239999999</v>
      </c>
      <c r="E193" s="20">
        <f>(3*1.5)*10.764</f>
        <v>48.437999999999995</v>
      </c>
      <c r="F193" s="20">
        <f t="shared" si="92"/>
        <v>802.11777984000003</v>
      </c>
      <c r="G193" s="143" t="str">
        <f t="shared" si="94"/>
        <v xml:space="preserve">22th Floor </v>
      </c>
      <c r="H193" s="144"/>
      <c r="I193" s="37"/>
      <c r="N193" s="2" t="str">
        <f t="shared" ca="1" si="93"/>
        <v>2204,..,2204</v>
      </c>
      <c r="O193" s="2">
        <f t="shared" ref="O193:P193" ca="1" si="97">O192+1</f>
        <v>2204</v>
      </c>
      <c r="P193" s="2">
        <f t="shared" ca="1" si="97"/>
        <v>2204</v>
      </c>
    </row>
    <row r="194" spans="1:16" s="2" customFormat="1" ht="15.75" customHeight="1" x14ac:dyDescent="0.35">
      <c r="A194" s="20">
        <v>2205</v>
      </c>
      <c r="B194" s="20" t="s">
        <v>199</v>
      </c>
      <c r="C194" s="20" t="s">
        <v>201</v>
      </c>
      <c r="D194" s="20">
        <f>(27.871+0.6*(2.75+2.75+0.98)+0.6*(2.7+2.4))*10.764</f>
        <v>374.79171600000001</v>
      </c>
      <c r="E194" s="20">
        <f>(2.7*1.5)*10.764</f>
        <v>43.594200000000008</v>
      </c>
      <c r="F194" s="20">
        <f t="shared" si="92"/>
        <v>643.26094560000001</v>
      </c>
      <c r="G194" s="143" t="str">
        <f t="shared" si="94"/>
        <v xml:space="preserve">22th Floor </v>
      </c>
      <c r="H194" s="144"/>
      <c r="I194" s="37"/>
      <c r="N194" s="2" t="str">
        <f t="shared" ca="1" si="93"/>
        <v>2205,..,2205</v>
      </c>
      <c r="O194" s="2">
        <f t="shared" ref="O194:P194" ca="1" si="98">O193+1</f>
        <v>2205</v>
      </c>
      <c r="P194" s="2">
        <f t="shared" ca="1" si="98"/>
        <v>2205</v>
      </c>
    </row>
    <row r="195" spans="1:16" s="2" customFormat="1" ht="15.75" customHeight="1" x14ac:dyDescent="0.35">
      <c r="A195" s="20">
        <v>2206</v>
      </c>
      <c r="B195" s="20" t="s">
        <v>199</v>
      </c>
      <c r="C195" s="20" t="s">
        <v>201</v>
      </c>
      <c r="D195" s="20">
        <f>(27.873+0.6*(3+1.44)+0.6*(3+2.45))*10.764</f>
        <v>363.89854800000001</v>
      </c>
      <c r="E195" s="20">
        <f>(3*1.5)*10.764</f>
        <v>48.437999999999995</v>
      </c>
      <c r="F195" s="20">
        <f t="shared" si="92"/>
        <v>630.67567680000002</v>
      </c>
      <c r="G195" s="143" t="str">
        <f t="shared" si="94"/>
        <v xml:space="preserve">22th Floor </v>
      </c>
      <c r="H195" s="144"/>
      <c r="I195" s="37"/>
      <c r="N195" s="2" t="str">
        <f t="shared" ca="1" si="93"/>
        <v>2206,..,2206</v>
      </c>
      <c r="O195" s="2">
        <f t="shared" ref="O195:P195" ca="1" si="99">O194+1</f>
        <v>2206</v>
      </c>
      <c r="P195" s="2">
        <f t="shared" ca="1" si="99"/>
        <v>2206</v>
      </c>
    </row>
    <row r="196" spans="1:16" s="2" customFormat="1" ht="15.75" customHeight="1" x14ac:dyDescent="0.35">
      <c r="A196" s="20">
        <v>2207</v>
      </c>
      <c r="B196" s="20" t="s">
        <v>199</v>
      </c>
      <c r="C196" s="20" t="s">
        <v>201</v>
      </c>
      <c r="D196" s="20">
        <f>(27.871+0.6*(2.7+2.75+0.985)+0.6*(2.4+2.7))*10.764</f>
        <v>374.50108799999998</v>
      </c>
      <c r="E196" s="20">
        <f>(2.7*1.5)*10.764</f>
        <v>43.594200000000008</v>
      </c>
      <c r="F196" s="20">
        <f t="shared" si="92"/>
        <v>642.79594080000004</v>
      </c>
      <c r="G196" s="143" t="str">
        <f t="shared" si="94"/>
        <v xml:space="preserve">22th Floor </v>
      </c>
      <c r="H196" s="144"/>
      <c r="I196" s="37"/>
      <c r="N196" s="2" t="str">
        <f t="shared" ca="1" si="93"/>
        <v>2207,..,2207</v>
      </c>
      <c r="O196" s="2">
        <f t="shared" ref="O196:P196" ca="1" si="100">O195+1</f>
        <v>2207</v>
      </c>
      <c r="P196" s="2">
        <f t="shared" ca="1" si="100"/>
        <v>2207</v>
      </c>
    </row>
    <row r="197" spans="1:16" s="2" customFormat="1" ht="15.75" customHeight="1" x14ac:dyDescent="0.35">
      <c r="A197" s="140" t="s">
        <v>226</v>
      </c>
      <c r="B197" s="141"/>
      <c r="C197" s="141"/>
      <c r="D197" s="141"/>
      <c r="E197" s="141"/>
      <c r="F197" s="141"/>
      <c r="G197" s="141"/>
      <c r="H197" s="142"/>
      <c r="I197" s="37"/>
    </row>
    <row r="198" spans="1:16" s="2" customFormat="1" ht="15.75" customHeight="1" x14ac:dyDescent="0.35">
      <c r="A198" s="20">
        <v>2301</v>
      </c>
      <c r="B198" s="20" t="s">
        <v>200</v>
      </c>
      <c r="C198" s="20" t="s">
        <v>202</v>
      </c>
      <c r="D198" s="20">
        <f>(36.477+0.6*(2.65+2.8+2.45+1.806)+0.6*(1.95+3))*10.764</f>
        <v>487.29273839999991</v>
      </c>
      <c r="E198" s="20">
        <f>(2.3*2.5+2.5*1.5)*10.764</f>
        <v>102.258</v>
      </c>
      <c r="F198" s="20">
        <f t="shared" ref="F198:F201" si="101">D198*(($F$97)+1)+E198</f>
        <v>881.92638143999989</v>
      </c>
      <c r="G198" s="143" t="str">
        <f>A197</f>
        <v xml:space="preserve">23th Floor </v>
      </c>
      <c r="H198" s="144"/>
      <c r="I198" s="37"/>
      <c r="N198" s="2" t="str">
        <f t="shared" ref="N198:N204" ca="1" si="102">O198&amp;""&amp;",..,"&amp;""&amp;P198</f>
        <v>201,..,2301</v>
      </c>
      <c r="O198" s="2">
        <f ca="1">(SUMPRODUCT(MID(0&amp;(LEFT(A197,SUM(LEN(A197)-LEN(SUBSTITUTE(A197,{"0","1","2"},""))))), LARGE(INDEX(ISNUMBER(--MID((LEFT(A197,SUM(LEN(A197)-LEN(SUBSTITUTE(A197,{"0","1","2"},""))))), ROW(INDIRECT("1:"&amp;LEN((LEFT(A197,SUM(LEN(A197)-LEN(SUBSTITUTE(A197,{"0","1","2"},"")))))))), 1)) * ROW(INDIRECT("1:"&amp;LEN((LEFT(A197,SUM(LEN(A197)-LEN(SUBSTITUTE(A197,{"0","1","2"},"")))))))), 0), ROW(INDIRECT("1:"&amp;LEN((LEFT(A197,SUM(LEN(A197)-LEN(SUBSTITUTE(A197,{"0","1","2"},"")))))))))+1, 1) * 10^ROW(INDIRECT("1:"&amp;LEN((LEFT(A197,SUM(LEN(A197)-LEN(SUBSTITUTE(A197,{"0","1","2"},""))))))))/10))*100+1</f>
        <v>201</v>
      </c>
      <c r="P198" s="2">
        <f ca="1">(SUMPRODUCT(MID(0&amp;(--TRIM(RIGHT(SUBSTITUTE(LEFT(A197,_xlfn.AGGREGATE(16,6,FIND({0,1,2,3,4,5,6,7,8,9},A197,ROW(INDIRECT("1:"&amp;LEN(A197)))),1))," ",REPT(" ",LEN(A197))),LEN(A197)))), LARGE(INDEX(ISNUMBER(--MID((--TRIM(RIGHT(SUBSTITUTE(LEFT(A197,_xlfn.AGGREGATE(16,6,FIND({0,1,2,3,4,5,6,7,8,9},A197,ROW(INDIRECT("1:"&amp;LEN(A197)))),1))," ",REPT(" ",LEN(A197))),LEN(A197)))), ROW(INDIRECT("1:"&amp;LEN((--TRIM(RIGHT(SUBSTITUTE(LEFT(A197,_xlfn.AGGREGATE(16,6,FIND({0,1,2,3,4,5,6,7,8,9},A197,ROW(INDIRECT("1:"&amp;LEN(A197)))),1))," ",REPT(" ",LEN(A197))),LEN(A197))))))), 1)) * ROW(INDIRECT("1:"&amp;LEN((--TRIM(RIGHT(SUBSTITUTE(LEFT(A197,_xlfn.AGGREGATE(16,6,FIND({0,1,2,3,4,5,6,7,8,9},A197,ROW(INDIRECT("1:"&amp;LEN(A197)))),1))," ",REPT(" ",LEN(A197))),LEN(A197))))))), 0), ROW(INDIRECT("1:"&amp;LEN((--TRIM(RIGHT(SUBSTITUTE(LEFT(A197,_xlfn.AGGREGATE(16,6,FIND({0,1,2,3,4,5,6,7,8,9},A197,ROW(INDIRECT("1:"&amp;LEN(A197)))),1))," ",REPT(" ",LEN(A197))),LEN(A197))))))))+1, 1) * 10^ROW(INDIRECT("1:"&amp;LEN((--TRIM(RIGHT(SUBSTITUTE(LEFT(A197,_xlfn.AGGREGATE(16,6,FIND({0,1,2,3,4,5,6,7,8,9},A197,ROW(INDIRECT("1:"&amp;LEN(A197)))),1))," ",REPT(" ",LEN(A197))),LEN(A197)))))))/10))*100+1</f>
        <v>2301</v>
      </c>
    </row>
    <row r="199" spans="1:16" s="2" customFormat="1" ht="15.75" customHeight="1" x14ac:dyDescent="0.35">
      <c r="A199" s="20">
        <v>2302</v>
      </c>
      <c r="B199" s="20" t="s">
        <v>200</v>
      </c>
      <c r="C199" s="20" t="s">
        <v>202</v>
      </c>
      <c r="D199" s="20">
        <f>(30.897+0.6*(3+1.8+2.2+1.8)+0.6*(1.85+2.25))*10.764</f>
        <v>415.888668</v>
      </c>
      <c r="E199" s="20">
        <f>(2.15*2.5+2.7*1.5)*10.764</f>
        <v>101.4507</v>
      </c>
      <c r="F199" s="20">
        <f t="shared" si="101"/>
        <v>766.87256880000007</v>
      </c>
      <c r="G199" s="143" t="str">
        <f t="shared" ref="G199:G203" si="103">G198</f>
        <v xml:space="preserve">23th Floor </v>
      </c>
      <c r="H199" s="144"/>
      <c r="I199" s="37"/>
      <c r="N199" s="2" t="str">
        <f t="shared" ca="1" si="102"/>
        <v>202,..,2302</v>
      </c>
      <c r="O199" s="2">
        <f t="shared" ref="O199:P199" ca="1" si="104">O198+1</f>
        <v>202</v>
      </c>
      <c r="P199" s="2">
        <f t="shared" ca="1" si="104"/>
        <v>2302</v>
      </c>
    </row>
    <row r="200" spans="1:16" s="2" customFormat="1" ht="15.75" customHeight="1" x14ac:dyDescent="0.35">
      <c r="A200" s="20">
        <v>2303</v>
      </c>
      <c r="B200" s="20" t="s">
        <v>200</v>
      </c>
      <c r="C200" s="20" t="s">
        <v>202</v>
      </c>
      <c r="D200" s="20">
        <f>(30.897+0.6*(3+1.8+2.2+1.8)+0.6*(1.85+2.25))*10.764</f>
        <v>415.888668</v>
      </c>
      <c r="E200" s="20">
        <f>(2.15*2.5+2.7*1.5)*10.764</f>
        <v>101.4507</v>
      </c>
      <c r="F200" s="20">
        <f t="shared" si="101"/>
        <v>766.87256880000007</v>
      </c>
      <c r="G200" s="143" t="str">
        <f t="shared" si="103"/>
        <v xml:space="preserve">23th Floor </v>
      </c>
      <c r="H200" s="144"/>
      <c r="I200" s="37"/>
      <c r="N200" s="2" t="str">
        <f t="shared" ca="1" si="102"/>
        <v>203,..,2303</v>
      </c>
      <c r="O200" s="2">
        <f t="shared" ref="O200:P200" ca="1" si="105">O199+1</f>
        <v>203</v>
      </c>
      <c r="P200" s="2">
        <f t="shared" ca="1" si="105"/>
        <v>2303</v>
      </c>
    </row>
    <row r="201" spans="1:16" s="2" customFormat="1" ht="15.75" customHeight="1" x14ac:dyDescent="0.35">
      <c r="A201" s="20">
        <v>2304</v>
      </c>
      <c r="B201" s="20" t="s">
        <v>200</v>
      </c>
      <c r="C201" s="20" t="s">
        <v>202</v>
      </c>
      <c r="D201" s="20">
        <f>(36.477+0.6*(2.65+2.8+2.45+1.806)+0.6*(1.95+3))*10.764</f>
        <v>487.29273839999991</v>
      </c>
      <c r="E201" s="20">
        <f>(2.3*2.5+2.5*1.5)*10.764</f>
        <v>102.258</v>
      </c>
      <c r="F201" s="20">
        <f t="shared" si="101"/>
        <v>881.92638143999989</v>
      </c>
      <c r="G201" s="143" t="str">
        <f t="shared" si="103"/>
        <v xml:space="preserve">23th Floor </v>
      </c>
      <c r="H201" s="144"/>
      <c r="I201" s="37"/>
      <c r="N201" s="2" t="str">
        <f t="shared" ca="1" si="102"/>
        <v>204,..,2304</v>
      </c>
      <c r="O201" s="2">
        <f t="shared" ref="O201:P201" ca="1" si="106">O200+1</f>
        <v>204</v>
      </c>
      <c r="P201" s="2">
        <f t="shared" ca="1" si="106"/>
        <v>2304</v>
      </c>
    </row>
    <row r="202" spans="1:16" s="2" customFormat="1" ht="15.75" customHeight="1" x14ac:dyDescent="0.35">
      <c r="A202" s="20">
        <v>2305</v>
      </c>
      <c r="B202" s="133" t="s">
        <v>227</v>
      </c>
      <c r="C202" s="146"/>
      <c r="D202" s="146"/>
      <c r="E202" s="146"/>
      <c r="F202" s="134"/>
      <c r="G202" s="143" t="str">
        <f t="shared" si="103"/>
        <v xml:space="preserve">23th Floor </v>
      </c>
      <c r="H202" s="144"/>
      <c r="I202" s="37"/>
      <c r="N202" s="2" t="str">
        <f t="shared" ca="1" si="102"/>
        <v>205,..,2305</v>
      </c>
      <c r="O202" s="2">
        <f t="shared" ref="O202:P202" ca="1" si="107">O201+1</f>
        <v>205</v>
      </c>
      <c r="P202" s="2">
        <f t="shared" ca="1" si="107"/>
        <v>2305</v>
      </c>
    </row>
    <row r="203" spans="1:16" s="2" customFormat="1" ht="15.75" customHeight="1" x14ac:dyDescent="0.35">
      <c r="A203" s="20">
        <v>2306</v>
      </c>
      <c r="B203" s="135"/>
      <c r="C203" s="147"/>
      <c r="D203" s="147"/>
      <c r="E203" s="147"/>
      <c r="F203" s="136"/>
      <c r="G203" s="143" t="str">
        <f t="shared" si="103"/>
        <v xml:space="preserve">23th Floor </v>
      </c>
      <c r="H203" s="144"/>
      <c r="I203" s="37"/>
      <c r="N203" s="2" t="str">
        <f t="shared" ca="1" si="102"/>
        <v>206,..,2306</v>
      </c>
      <c r="O203" s="2">
        <f t="shared" ref="O203:P203" ca="1" si="108">O202+1</f>
        <v>206</v>
      </c>
      <c r="P203" s="2">
        <f t="shared" ca="1" si="108"/>
        <v>2306</v>
      </c>
    </row>
    <row r="204" spans="1:16" s="2" customFormat="1" ht="15.75" customHeight="1" x14ac:dyDescent="0.35">
      <c r="A204" s="20">
        <v>2307</v>
      </c>
      <c r="B204" s="137"/>
      <c r="C204" s="148"/>
      <c r="D204" s="148"/>
      <c r="E204" s="148"/>
      <c r="F204" s="138"/>
      <c r="G204" s="143" t="str">
        <f>G203</f>
        <v xml:space="preserve">23th Floor </v>
      </c>
      <c r="H204" s="144"/>
      <c r="I204" s="37"/>
      <c r="N204" s="2" t="str">
        <f t="shared" ca="1" si="102"/>
        <v>207,..,2307</v>
      </c>
      <c r="O204" s="2">
        <f ca="1">O203+1</f>
        <v>207</v>
      </c>
      <c r="P204" s="2">
        <f ca="1">P203+1</f>
        <v>2307</v>
      </c>
    </row>
    <row r="205" spans="1:16" x14ac:dyDescent="0.35">
      <c r="A205" s="73" t="s">
        <v>234</v>
      </c>
      <c r="B205" s="73"/>
      <c r="C205" s="73"/>
      <c r="D205" s="73"/>
      <c r="E205" s="73"/>
      <c r="F205" s="73"/>
      <c r="G205" s="73"/>
      <c r="H205" s="73"/>
    </row>
    <row r="206" spans="1:16" x14ac:dyDescent="0.35">
      <c r="A206" s="73" t="s">
        <v>235</v>
      </c>
      <c r="B206" s="73"/>
      <c r="C206" s="73"/>
      <c r="D206" s="73"/>
      <c r="E206" s="73"/>
      <c r="F206" s="73"/>
      <c r="G206" s="73"/>
      <c r="H206" s="73"/>
    </row>
    <row r="207" spans="1:16" s="1" customFormat="1" x14ac:dyDescent="0.35">
      <c r="A207" s="156" t="s">
        <v>78</v>
      </c>
      <c r="B207" s="156"/>
      <c r="C207" s="156"/>
      <c r="D207" s="156"/>
      <c r="E207" s="156"/>
      <c r="F207" s="156"/>
      <c r="G207" s="156"/>
      <c r="H207" s="156"/>
    </row>
    <row r="208" spans="1:16" s="1" customFormat="1" x14ac:dyDescent="0.35">
      <c r="A208" s="42">
        <v>1</v>
      </c>
      <c r="B208" s="153" t="s">
        <v>228</v>
      </c>
      <c r="C208" s="154"/>
      <c r="D208" s="154"/>
      <c r="E208" s="154"/>
      <c r="F208" s="154"/>
      <c r="G208" s="154"/>
      <c r="H208" s="155"/>
    </row>
    <row r="209" spans="1:8" s="1" customFormat="1" x14ac:dyDescent="0.35">
      <c r="A209" s="42">
        <f>A208+1</f>
        <v>2</v>
      </c>
      <c r="B209" s="153" t="s">
        <v>229</v>
      </c>
      <c r="C209" s="154"/>
      <c r="D209" s="154"/>
      <c r="E209" s="154"/>
      <c r="F209" s="154"/>
      <c r="G209" s="154"/>
      <c r="H209" s="155"/>
    </row>
    <row r="210" spans="1:8" s="1" customFormat="1" x14ac:dyDescent="0.35">
      <c r="A210" s="42">
        <f t="shared" ref="A210:A214" si="109">A209+1</f>
        <v>3</v>
      </c>
      <c r="B210" s="150" t="s">
        <v>162</v>
      </c>
      <c r="C210" s="151"/>
      <c r="D210" s="151"/>
      <c r="E210" s="151"/>
      <c r="F210" s="151"/>
      <c r="G210" s="151"/>
      <c r="H210" s="152"/>
    </row>
    <row r="211" spans="1:8" s="1" customFormat="1" x14ac:dyDescent="0.35">
      <c r="A211" s="42">
        <f t="shared" si="109"/>
        <v>4</v>
      </c>
      <c r="B211" s="150" t="s">
        <v>230</v>
      </c>
      <c r="C211" s="151"/>
      <c r="D211" s="151"/>
      <c r="E211" s="151"/>
      <c r="F211" s="151"/>
      <c r="G211" s="151"/>
      <c r="H211" s="152"/>
    </row>
    <row r="212" spans="1:8" s="1" customFormat="1" x14ac:dyDescent="0.35">
      <c r="A212" s="42">
        <f t="shared" si="109"/>
        <v>5</v>
      </c>
      <c r="B212" s="150" t="s">
        <v>163</v>
      </c>
      <c r="C212" s="151"/>
      <c r="D212" s="151"/>
      <c r="E212" s="151"/>
      <c r="F212" s="151"/>
      <c r="G212" s="151"/>
      <c r="H212" s="152"/>
    </row>
    <row r="213" spans="1:8" s="1" customFormat="1" x14ac:dyDescent="0.35">
      <c r="A213" s="42">
        <f t="shared" si="109"/>
        <v>6</v>
      </c>
      <c r="B213" s="150" t="s">
        <v>164</v>
      </c>
      <c r="C213" s="151"/>
      <c r="D213" s="151"/>
      <c r="E213" s="151"/>
      <c r="F213" s="151"/>
      <c r="G213" s="151"/>
      <c r="H213" s="152"/>
    </row>
    <row r="214" spans="1:8" s="1" customFormat="1" x14ac:dyDescent="0.35">
      <c r="A214" s="42">
        <f t="shared" si="109"/>
        <v>7</v>
      </c>
      <c r="B214" s="153" t="s">
        <v>231</v>
      </c>
      <c r="C214" s="154"/>
      <c r="D214" s="154"/>
      <c r="E214" s="154"/>
      <c r="F214" s="154"/>
      <c r="G214" s="154"/>
      <c r="H214" s="155"/>
    </row>
    <row r="215" spans="1:8" x14ac:dyDescent="0.35">
      <c r="A215" s="89" t="s">
        <v>71</v>
      </c>
      <c r="B215" s="89"/>
      <c r="C215" s="89"/>
      <c r="D215" s="89"/>
      <c r="E215" s="89"/>
      <c r="F215" s="89"/>
      <c r="G215" s="89"/>
      <c r="H215" s="89"/>
    </row>
    <row r="216" spans="1:8" x14ac:dyDescent="0.35">
      <c r="A216" s="69" t="s">
        <v>72</v>
      </c>
      <c r="B216" s="69"/>
      <c r="C216" s="69"/>
      <c r="D216" s="69"/>
      <c r="E216" s="69"/>
      <c r="F216" s="69"/>
      <c r="G216" s="69"/>
      <c r="H216" s="69"/>
    </row>
    <row r="217" spans="1:8" ht="15.75" customHeight="1" x14ac:dyDescent="0.35">
      <c r="A217" s="158" t="s">
        <v>73</v>
      </c>
      <c r="B217" s="158"/>
      <c r="C217" s="158"/>
      <c r="D217" s="158"/>
      <c r="E217" s="158"/>
      <c r="F217" s="158"/>
      <c r="G217" s="158"/>
      <c r="H217" s="158"/>
    </row>
    <row r="218" spans="1:8" x14ac:dyDescent="0.35">
      <c r="A218" s="69" t="s">
        <v>74</v>
      </c>
      <c r="B218" s="69"/>
      <c r="C218" s="69"/>
      <c r="D218" s="69"/>
      <c r="E218" s="69"/>
      <c r="F218" s="69"/>
      <c r="G218" s="69"/>
      <c r="H218" s="69"/>
    </row>
    <row r="219" spans="1:8" x14ac:dyDescent="0.35">
      <c r="A219" s="69" t="s">
        <v>75</v>
      </c>
      <c r="B219" s="69"/>
      <c r="C219" s="69"/>
      <c r="D219" s="69"/>
      <c r="E219" s="69"/>
      <c r="F219" s="69"/>
      <c r="G219" s="69"/>
      <c r="H219" s="69"/>
    </row>
    <row r="220" spans="1:8" x14ac:dyDescent="0.35">
      <c r="A220" s="69" t="s">
        <v>165</v>
      </c>
      <c r="B220" s="69"/>
      <c r="C220" s="69"/>
      <c r="D220" s="69"/>
      <c r="E220" s="69"/>
      <c r="F220" s="69"/>
      <c r="G220" s="69"/>
      <c r="H220" s="69"/>
    </row>
    <row r="221" spans="1:8" ht="35.25" customHeight="1" x14ac:dyDescent="0.35">
      <c r="A221" s="71" t="s">
        <v>166</v>
      </c>
      <c r="B221" s="71"/>
      <c r="C221" s="71"/>
      <c r="D221" s="71"/>
      <c r="E221" s="71"/>
      <c r="F221" s="71"/>
      <c r="G221" s="71"/>
      <c r="H221" s="71"/>
    </row>
    <row r="222" spans="1:8" x14ac:dyDescent="0.35">
      <c r="A222" s="149" t="s">
        <v>108</v>
      </c>
      <c r="B222" s="149"/>
      <c r="C222" s="149" t="s">
        <v>233</v>
      </c>
      <c r="D222" s="149"/>
      <c r="E222" s="149" t="s">
        <v>144</v>
      </c>
      <c r="F222" s="149"/>
      <c r="G222" s="149" t="s">
        <v>232</v>
      </c>
      <c r="H222" s="149"/>
    </row>
    <row r="223" spans="1:8" x14ac:dyDescent="0.35">
      <c r="A223" s="157" t="s">
        <v>111</v>
      </c>
      <c r="B223" s="157"/>
      <c r="C223" s="157"/>
      <c r="D223" s="157"/>
      <c r="E223" s="157"/>
      <c r="F223" s="157"/>
      <c r="G223" s="157"/>
      <c r="H223" s="157"/>
    </row>
    <row r="224" spans="1:8" x14ac:dyDescent="0.35">
      <c r="A224" s="157"/>
      <c r="B224" s="157"/>
      <c r="C224" s="157"/>
      <c r="D224" s="157"/>
      <c r="E224" s="157"/>
      <c r="F224" s="157"/>
      <c r="G224" s="157"/>
      <c r="H224" s="157"/>
    </row>
    <row r="225" spans="1:8" x14ac:dyDescent="0.35">
      <c r="A225" s="157"/>
      <c r="B225" s="157"/>
      <c r="C225" s="157"/>
      <c r="D225" s="157"/>
      <c r="E225" s="157"/>
      <c r="F225" s="157"/>
      <c r="G225" s="157"/>
      <c r="H225" s="157"/>
    </row>
    <row r="226" spans="1:8" x14ac:dyDescent="0.35">
      <c r="A226" s="157"/>
      <c r="B226" s="157"/>
      <c r="C226" s="157"/>
      <c r="D226" s="157"/>
      <c r="E226" s="157"/>
      <c r="F226" s="157"/>
      <c r="G226" s="157"/>
      <c r="H226" s="157"/>
    </row>
    <row r="227" spans="1:8" x14ac:dyDescent="0.35">
      <c r="A227" s="15" t="s">
        <v>76</v>
      </c>
      <c r="B227" s="16"/>
      <c r="C227" s="16"/>
      <c r="D227" s="15" t="str">
        <f>E8</f>
        <v>Radhe Mohan</v>
      </c>
      <c r="F227" s="16"/>
      <c r="G227" s="16"/>
      <c r="H227" s="16"/>
    </row>
    <row r="228" spans="1:8" x14ac:dyDescent="0.35">
      <c r="A228" s="16"/>
      <c r="B228" s="16"/>
      <c r="C228" s="16"/>
      <c r="D228" s="16"/>
      <c r="E228" s="16"/>
      <c r="F228" s="16"/>
      <c r="G228" s="16"/>
      <c r="H228" s="16"/>
    </row>
    <row r="229" spans="1:8" x14ac:dyDescent="0.35">
      <c r="A229" s="16"/>
      <c r="B229" s="16"/>
      <c r="C229" s="16"/>
      <c r="D229" s="16"/>
      <c r="E229" s="16"/>
      <c r="F229" s="16"/>
      <c r="G229" s="16"/>
      <c r="H229" s="16"/>
    </row>
    <row r="230" spans="1:8" ht="15" customHeight="1" x14ac:dyDescent="0.35"/>
    <row r="271" spans="1:1" x14ac:dyDescent="0.35">
      <c r="A271" s="18" t="s">
        <v>77</v>
      </c>
    </row>
  </sheetData>
  <mergeCells count="327">
    <mergeCell ref="A206:H206"/>
    <mergeCell ref="G196:H196"/>
    <mergeCell ref="A197:H197"/>
    <mergeCell ref="G198:H198"/>
    <mergeCell ref="G199:H199"/>
    <mergeCell ref="G200:H200"/>
    <mergeCell ref="G201:H201"/>
    <mergeCell ref="G202:H202"/>
    <mergeCell ref="G203:H203"/>
    <mergeCell ref="G204:H204"/>
    <mergeCell ref="B202:F204"/>
    <mergeCell ref="G187:H187"/>
    <mergeCell ref="G188:H188"/>
    <mergeCell ref="A189:H189"/>
    <mergeCell ref="G190:H190"/>
    <mergeCell ref="G191:H191"/>
    <mergeCell ref="G192:H192"/>
    <mergeCell ref="G193:H193"/>
    <mergeCell ref="G194:H194"/>
    <mergeCell ref="G195:H195"/>
    <mergeCell ref="G178:H178"/>
    <mergeCell ref="G179:H179"/>
    <mergeCell ref="G180:H180"/>
    <mergeCell ref="A181:H181"/>
    <mergeCell ref="G182:H182"/>
    <mergeCell ref="G183:H183"/>
    <mergeCell ref="G184:H184"/>
    <mergeCell ref="G185:H185"/>
    <mergeCell ref="G186:H186"/>
    <mergeCell ref="G169:H169"/>
    <mergeCell ref="G170:H170"/>
    <mergeCell ref="G171:H171"/>
    <mergeCell ref="G172:H172"/>
    <mergeCell ref="A173:H173"/>
    <mergeCell ref="G174:H174"/>
    <mergeCell ref="G175:H175"/>
    <mergeCell ref="G176:H176"/>
    <mergeCell ref="G177:H177"/>
    <mergeCell ref="C48:H48"/>
    <mergeCell ref="G111:H111"/>
    <mergeCell ref="G105:H105"/>
    <mergeCell ref="G102:H102"/>
    <mergeCell ref="A80:E80"/>
    <mergeCell ref="A82:E82"/>
    <mergeCell ref="F82:H82"/>
    <mergeCell ref="A83:E83"/>
    <mergeCell ref="A85:E85"/>
    <mergeCell ref="F79:H79"/>
    <mergeCell ref="A84:E84"/>
    <mergeCell ref="A55:C55"/>
    <mergeCell ref="A56:C56"/>
    <mergeCell ref="D55:H55"/>
    <mergeCell ref="E63:F72"/>
    <mergeCell ref="G63:H72"/>
    <mergeCell ref="A71:B71"/>
    <mergeCell ref="A72:B72"/>
    <mergeCell ref="D56:H56"/>
    <mergeCell ref="D53:H53"/>
    <mergeCell ref="A53:C53"/>
    <mergeCell ref="A70:B70"/>
    <mergeCell ref="F83:H83"/>
    <mergeCell ref="A77:E77"/>
    <mergeCell ref="G110:H110"/>
    <mergeCell ref="A165:H165"/>
    <mergeCell ref="G166:H166"/>
    <mergeCell ref="G167:H167"/>
    <mergeCell ref="G168:H168"/>
    <mergeCell ref="C96:C97"/>
    <mergeCell ref="G107:H107"/>
    <mergeCell ref="C91:D91"/>
    <mergeCell ref="G91:H91"/>
    <mergeCell ref="D96:D97"/>
    <mergeCell ref="E96:E97"/>
    <mergeCell ref="G96:H97"/>
    <mergeCell ref="A98:H98"/>
    <mergeCell ref="G139:H139"/>
    <mergeCell ref="G121:H121"/>
    <mergeCell ref="C92:D92"/>
    <mergeCell ref="E92:F92"/>
    <mergeCell ref="G92:H92"/>
    <mergeCell ref="G137:H137"/>
    <mergeCell ref="G122:H122"/>
    <mergeCell ref="A157:H157"/>
    <mergeCell ref="G158:H158"/>
    <mergeCell ref="G159:H159"/>
    <mergeCell ref="G160:H160"/>
    <mergeCell ref="B214:H214"/>
    <mergeCell ref="B208:H208"/>
    <mergeCell ref="B209:H209"/>
    <mergeCell ref="B210:H210"/>
    <mergeCell ref="B211:H211"/>
    <mergeCell ref="B212:H212"/>
    <mergeCell ref="L101:M101"/>
    <mergeCell ref="A95:H95"/>
    <mergeCell ref="A96:A97"/>
    <mergeCell ref="G106:H106"/>
    <mergeCell ref="G114:H114"/>
    <mergeCell ref="G113:H113"/>
    <mergeCell ref="G115:H115"/>
    <mergeCell ref="A99:H99"/>
    <mergeCell ref="A100:H100"/>
    <mergeCell ref="G108:H108"/>
    <mergeCell ref="G116:H116"/>
    <mergeCell ref="A117:H117"/>
    <mergeCell ref="G118:H118"/>
    <mergeCell ref="G119:H119"/>
    <mergeCell ref="G120:H120"/>
    <mergeCell ref="L133:M133"/>
    <mergeCell ref="G136:H136"/>
    <mergeCell ref="G112:H112"/>
    <mergeCell ref="A38:D38"/>
    <mergeCell ref="E38:H38"/>
    <mergeCell ref="F31:H31"/>
    <mergeCell ref="F32:H32"/>
    <mergeCell ref="C30:E30"/>
    <mergeCell ref="F33:H33"/>
    <mergeCell ref="F34:H34"/>
    <mergeCell ref="A36:B36"/>
    <mergeCell ref="E36:F36"/>
    <mergeCell ref="C36:D36"/>
    <mergeCell ref="G36:H36"/>
    <mergeCell ref="F30:H30"/>
    <mergeCell ref="A31:B31"/>
    <mergeCell ref="A30:B30"/>
    <mergeCell ref="C31:E31"/>
    <mergeCell ref="A32:B32"/>
    <mergeCell ref="C32:E32"/>
    <mergeCell ref="A35:H35"/>
    <mergeCell ref="A34:B34"/>
    <mergeCell ref="A37:H37"/>
    <mergeCell ref="C34:E34"/>
    <mergeCell ref="E24:H24"/>
    <mergeCell ref="A26:D26"/>
    <mergeCell ref="E26:H26"/>
    <mergeCell ref="A23:D23"/>
    <mergeCell ref="E23:H23"/>
    <mergeCell ref="A27:D27"/>
    <mergeCell ref="E27:H27"/>
    <mergeCell ref="A24:D24"/>
    <mergeCell ref="A33:B33"/>
    <mergeCell ref="C33:E33"/>
    <mergeCell ref="A28:D28"/>
    <mergeCell ref="E28:H28"/>
    <mergeCell ref="A29:D29"/>
    <mergeCell ref="E29:H29"/>
    <mergeCell ref="A25:D25"/>
    <mergeCell ref="E25:H25"/>
    <mergeCell ref="A22:D22"/>
    <mergeCell ref="E22:H22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E7:H7"/>
    <mergeCell ref="A15:B15"/>
    <mergeCell ref="A11:D11"/>
    <mergeCell ref="E11:H11"/>
    <mergeCell ref="A13:D13"/>
    <mergeCell ref="A12:D12"/>
    <mergeCell ref="E12:H12"/>
    <mergeCell ref="A20:D21"/>
    <mergeCell ref="E20:H21"/>
    <mergeCell ref="E13:H13"/>
    <mergeCell ref="A14:B14"/>
    <mergeCell ref="C14:H14"/>
    <mergeCell ref="C15:H15"/>
    <mergeCell ref="E41:H41"/>
    <mergeCell ref="E42:H42"/>
    <mergeCell ref="E43:H43"/>
    <mergeCell ref="A41:D41"/>
    <mergeCell ref="A42:D42"/>
    <mergeCell ref="A43:D43"/>
    <mergeCell ref="A44:H44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0:D10"/>
    <mergeCell ref="E10:H10"/>
    <mergeCell ref="A5:D5"/>
    <mergeCell ref="E5:H5"/>
    <mergeCell ref="A6:D6"/>
    <mergeCell ref="E6:H6"/>
    <mergeCell ref="A7:D7"/>
    <mergeCell ref="A69:B69"/>
    <mergeCell ref="A62:B62"/>
    <mergeCell ref="A65:B65"/>
    <mergeCell ref="D57:H57"/>
    <mergeCell ref="C61:H61"/>
    <mergeCell ref="A64:B64"/>
    <mergeCell ref="A66:B66"/>
    <mergeCell ref="E62:F62"/>
    <mergeCell ref="A61:B61"/>
    <mergeCell ref="A59:B59"/>
    <mergeCell ref="C59:H59"/>
    <mergeCell ref="A67:B67"/>
    <mergeCell ref="A58:C58"/>
    <mergeCell ref="D58:H58"/>
    <mergeCell ref="A63:B63"/>
    <mergeCell ref="G62:H62"/>
    <mergeCell ref="A57:C57"/>
    <mergeCell ref="A223:H226"/>
    <mergeCell ref="A222:B222"/>
    <mergeCell ref="E222:F222"/>
    <mergeCell ref="C222:D222"/>
    <mergeCell ref="G222:H222"/>
    <mergeCell ref="A88:E88"/>
    <mergeCell ref="F88:H88"/>
    <mergeCell ref="A89:E89"/>
    <mergeCell ref="F89:H89"/>
    <mergeCell ref="A101:H101"/>
    <mergeCell ref="A92:B92"/>
    <mergeCell ref="A218:H218"/>
    <mergeCell ref="A90:H90"/>
    <mergeCell ref="A221:H221"/>
    <mergeCell ref="A219:H219"/>
    <mergeCell ref="A207:H207"/>
    <mergeCell ref="B96:B97"/>
    <mergeCell ref="A205:H205"/>
    <mergeCell ref="A109:H109"/>
    <mergeCell ref="A220:H220"/>
    <mergeCell ref="A217:H217"/>
    <mergeCell ref="A91:B91"/>
    <mergeCell ref="A215:H215"/>
    <mergeCell ref="B213:H213"/>
    <mergeCell ref="A216:H216"/>
    <mergeCell ref="E91:F91"/>
    <mergeCell ref="A73:E73"/>
    <mergeCell ref="F73:H73"/>
    <mergeCell ref="A93:H93"/>
    <mergeCell ref="G104:H104"/>
    <mergeCell ref="F84:H84"/>
    <mergeCell ref="F80:H80"/>
    <mergeCell ref="F87:H87"/>
    <mergeCell ref="F85:H85"/>
    <mergeCell ref="A94:H94"/>
    <mergeCell ref="A86:E86"/>
    <mergeCell ref="G103:H103"/>
    <mergeCell ref="A75:B75"/>
    <mergeCell ref="A76:H76"/>
    <mergeCell ref="C75:H75"/>
    <mergeCell ref="F78:H78"/>
    <mergeCell ref="A78:E78"/>
    <mergeCell ref="A87:E87"/>
    <mergeCell ref="A79:E79"/>
    <mergeCell ref="A81:E81"/>
    <mergeCell ref="F81:H81"/>
    <mergeCell ref="G134:H134"/>
    <mergeCell ref="G135:H135"/>
    <mergeCell ref="E39:H39"/>
    <mergeCell ref="A39:D39"/>
    <mergeCell ref="A68:B68"/>
    <mergeCell ref="A45:B45"/>
    <mergeCell ref="C45:E45"/>
    <mergeCell ref="G45:H45"/>
    <mergeCell ref="G47:H47"/>
    <mergeCell ref="D51:H51"/>
    <mergeCell ref="C47:E47"/>
    <mergeCell ref="A54:C54"/>
    <mergeCell ref="D54:H54"/>
    <mergeCell ref="C46:E46"/>
    <mergeCell ref="A49:B49"/>
    <mergeCell ref="C49:E49"/>
    <mergeCell ref="A46:B46"/>
    <mergeCell ref="A50:H50"/>
    <mergeCell ref="G46:H46"/>
    <mergeCell ref="A47:B48"/>
    <mergeCell ref="A51:C51"/>
    <mergeCell ref="A52:C52"/>
    <mergeCell ref="D52:H52"/>
    <mergeCell ref="G49:H49"/>
    <mergeCell ref="A40:D40"/>
    <mergeCell ref="E40:H40"/>
    <mergeCell ref="F77:H77"/>
    <mergeCell ref="A74:H74"/>
    <mergeCell ref="G143:H143"/>
    <mergeCell ref="G144:H144"/>
    <mergeCell ref="G145:H145"/>
    <mergeCell ref="G146:H146"/>
    <mergeCell ref="G147:H147"/>
    <mergeCell ref="G148:H148"/>
    <mergeCell ref="G138:H138"/>
    <mergeCell ref="A125:H125"/>
    <mergeCell ref="G123:H123"/>
    <mergeCell ref="G124:H124"/>
    <mergeCell ref="A133:H133"/>
    <mergeCell ref="G140:H140"/>
    <mergeCell ref="G126:H126"/>
    <mergeCell ref="G127:H127"/>
    <mergeCell ref="G128:H128"/>
    <mergeCell ref="G129:H129"/>
    <mergeCell ref="G130:H130"/>
    <mergeCell ref="G131:H131"/>
    <mergeCell ref="G132:H132"/>
    <mergeCell ref="A141:H141"/>
    <mergeCell ref="G142:H142"/>
    <mergeCell ref="F86:H86"/>
    <mergeCell ref="G161:H161"/>
    <mergeCell ref="G162:H162"/>
    <mergeCell ref="G163:H163"/>
    <mergeCell ref="G164:H164"/>
    <mergeCell ref="A149:H149"/>
    <mergeCell ref="G150:H150"/>
    <mergeCell ref="G151:H151"/>
    <mergeCell ref="G152:H152"/>
    <mergeCell ref="G153:H153"/>
    <mergeCell ref="G154:H154"/>
    <mergeCell ref="G155:H155"/>
    <mergeCell ref="G156:H156"/>
  </mergeCells>
  <printOptions horizontalCentered="1"/>
  <pageMargins left="0.39370078740157483" right="0.39370078740157483" top="0.78740157480314965" bottom="0.78740157480314965" header="0.19685039370078741" footer="0.19685039370078741"/>
  <pageSetup orientation="portrait" r:id="rId1"/>
  <headerFooter>
    <oddHeader>&amp;C&amp;G</oddHeader>
    <oddFooter>&amp;L&amp;"Times New Roman,Bold"&amp;12Ref No: &amp;F&amp;R&amp;"Times New Roman,Bold"&amp;12&amp;G                                                           &amp;P</oddFooter>
  </headerFooter>
  <rowBreaks count="2" manualBreakCount="2">
    <brk id="226" max="16383" man="1"/>
    <brk id="270" max="16383" man="1"/>
  </rowBreaks>
  <drawing r:id="rId2"/>
  <legacyDrawingHF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2:L36"/>
  <sheetViews>
    <sheetView workbookViewId="0">
      <selection activeCell="F21" sqref="F21"/>
    </sheetView>
  </sheetViews>
  <sheetFormatPr defaultRowHeight="14.5" x14ac:dyDescent="0.35"/>
  <cols>
    <col min="2" max="2" width="12.26953125" customWidth="1"/>
  </cols>
  <sheetData>
    <row r="2" spans="1:12" x14ac:dyDescent="0.35">
      <c r="B2" s="3" t="s">
        <v>79</v>
      </c>
      <c r="C2" s="181"/>
      <c r="D2" s="181"/>
    </row>
    <row r="3" spans="1:12" x14ac:dyDescent="0.35">
      <c r="D3" s="4"/>
      <c r="E3" s="4"/>
      <c r="F3" s="4"/>
      <c r="G3" s="4"/>
      <c r="H3" s="4"/>
      <c r="I3" s="4"/>
    </row>
    <row r="4" spans="1:12" x14ac:dyDescent="0.35">
      <c r="A4" s="3" t="s">
        <v>80</v>
      </c>
      <c r="B4" s="5" t="s">
        <v>81</v>
      </c>
      <c r="C4" s="182" t="s">
        <v>82</v>
      </c>
      <c r="D4" s="182"/>
      <c r="E4" s="182"/>
      <c r="F4" s="6"/>
      <c r="G4" s="182" t="s">
        <v>83</v>
      </c>
      <c r="H4" s="182"/>
      <c r="I4" s="182"/>
      <c r="J4" s="182" t="s">
        <v>84</v>
      </c>
      <c r="K4" s="182"/>
      <c r="L4" s="182"/>
    </row>
    <row r="5" spans="1:12" x14ac:dyDescent="0.35">
      <c r="A5" s="3">
        <v>202</v>
      </c>
      <c r="B5" s="5"/>
      <c r="C5" s="5" t="s">
        <v>85</v>
      </c>
      <c r="D5" s="5" t="s">
        <v>86</v>
      </c>
      <c r="E5" s="5" t="s">
        <v>63</v>
      </c>
      <c r="F5" s="5"/>
      <c r="G5" s="5" t="s">
        <v>85</v>
      </c>
      <c r="H5" s="5" t="s">
        <v>86</v>
      </c>
      <c r="I5" s="5" t="s">
        <v>63</v>
      </c>
      <c r="J5" s="5" t="s">
        <v>85</v>
      </c>
      <c r="K5" s="5" t="s">
        <v>86</v>
      </c>
      <c r="L5" s="5" t="s">
        <v>63</v>
      </c>
    </row>
    <row r="6" spans="1:12" x14ac:dyDescent="0.35">
      <c r="B6" s="7" t="s">
        <v>87</v>
      </c>
      <c r="C6" s="7"/>
      <c r="D6" s="7"/>
      <c r="E6" s="7">
        <f>C6*D6</f>
        <v>0</v>
      </c>
      <c r="F6" s="7" t="s">
        <v>88</v>
      </c>
      <c r="G6" s="7"/>
      <c r="H6" s="7"/>
      <c r="I6" s="7">
        <f>G6*H6</f>
        <v>0</v>
      </c>
      <c r="J6" s="7"/>
      <c r="K6" s="7"/>
      <c r="L6" s="7">
        <f>J6*K6</f>
        <v>0</v>
      </c>
    </row>
    <row r="7" spans="1:12" x14ac:dyDescent="0.35">
      <c r="B7" s="7"/>
      <c r="C7" s="7"/>
      <c r="D7" s="7"/>
      <c r="E7" s="7">
        <f t="shared" ref="E7:E33" si="0">C7*D7</f>
        <v>0</v>
      </c>
      <c r="F7" s="7" t="s">
        <v>89</v>
      </c>
      <c r="G7" s="7"/>
      <c r="H7" s="7"/>
      <c r="I7" s="7">
        <f t="shared" ref="I7:I29" si="1">G7*H7</f>
        <v>0</v>
      </c>
      <c r="J7" s="7"/>
      <c r="K7" s="7"/>
      <c r="L7" s="7">
        <f t="shared" ref="L7:L29" si="2">J7*K7</f>
        <v>0</v>
      </c>
    </row>
    <row r="8" spans="1:12" x14ac:dyDescent="0.35">
      <c r="B8" s="7"/>
      <c r="C8" s="7"/>
      <c r="D8" s="7"/>
      <c r="E8" s="7">
        <f t="shared" si="0"/>
        <v>0</v>
      </c>
      <c r="F8" s="7"/>
      <c r="G8" s="7"/>
      <c r="H8" s="7"/>
      <c r="I8" s="7">
        <f t="shared" si="1"/>
        <v>0</v>
      </c>
      <c r="J8" s="7"/>
      <c r="K8" s="7"/>
      <c r="L8" s="7">
        <f t="shared" si="2"/>
        <v>0</v>
      </c>
    </row>
    <row r="9" spans="1:12" x14ac:dyDescent="0.35">
      <c r="B9" s="7" t="s">
        <v>90</v>
      </c>
      <c r="C9" s="7"/>
      <c r="D9" s="7"/>
      <c r="E9" s="7">
        <f t="shared" si="0"/>
        <v>0</v>
      </c>
      <c r="F9" s="7" t="s">
        <v>88</v>
      </c>
      <c r="G9" s="7"/>
      <c r="H9" s="7"/>
      <c r="I9" s="7">
        <f t="shared" si="1"/>
        <v>0</v>
      </c>
      <c r="J9" s="7"/>
      <c r="K9" s="7"/>
      <c r="L9" s="7">
        <f t="shared" si="2"/>
        <v>0</v>
      </c>
    </row>
    <row r="10" spans="1:12" x14ac:dyDescent="0.35">
      <c r="B10" s="7"/>
      <c r="C10" s="7"/>
      <c r="D10" s="7"/>
      <c r="E10" s="7">
        <f t="shared" si="0"/>
        <v>0</v>
      </c>
      <c r="F10" s="7" t="s">
        <v>89</v>
      </c>
      <c r="G10" s="7"/>
      <c r="H10" s="7"/>
      <c r="I10" s="7">
        <f t="shared" si="1"/>
        <v>0</v>
      </c>
      <c r="J10" s="7"/>
      <c r="K10" s="7"/>
      <c r="L10" s="7">
        <f t="shared" si="2"/>
        <v>0</v>
      </c>
    </row>
    <row r="11" spans="1:12" x14ac:dyDescent="0.35">
      <c r="B11" s="7"/>
      <c r="C11" s="7"/>
      <c r="D11" s="7"/>
      <c r="E11" s="7">
        <f t="shared" si="0"/>
        <v>0</v>
      </c>
      <c r="F11" s="7"/>
      <c r="G11" s="7"/>
      <c r="H11" s="7"/>
      <c r="I11" s="7">
        <f t="shared" si="1"/>
        <v>0</v>
      </c>
      <c r="J11" s="7"/>
      <c r="K11" s="7"/>
      <c r="L11" s="7">
        <f t="shared" si="2"/>
        <v>0</v>
      </c>
    </row>
    <row r="12" spans="1:12" x14ac:dyDescent="0.35">
      <c r="B12" s="7"/>
      <c r="C12" s="7"/>
      <c r="D12" s="7"/>
      <c r="E12" s="7">
        <f t="shared" si="0"/>
        <v>0</v>
      </c>
      <c r="F12" s="7"/>
      <c r="G12" s="7"/>
      <c r="H12" s="7"/>
      <c r="I12" s="7">
        <f t="shared" si="1"/>
        <v>0</v>
      </c>
      <c r="J12" s="7"/>
      <c r="K12" s="7"/>
      <c r="L12" s="7">
        <f t="shared" si="2"/>
        <v>0</v>
      </c>
    </row>
    <row r="13" spans="1:12" x14ac:dyDescent="0.35">
      <c r="B13" s="7" t="s">
        <v>91</v>
      </c>
      <c r="C13" s="7"/>
      <c r="D13" s="7"/>
      <c r="E13" s="7">
        <f t="shared" si="0"/>
        <v>0</v>
      </c>
      <c r="F13" s="7" t="s">
        <v>88</v>
      </c>
      <c r="G13" s="7"/>
      <c r="H13" s="7"/>
      <c r="I13" s="7">
        <f t="shared" si="1"/>
        <v>0</v>
      </c>
      <c r="J13" s="7"/>
      <c r="K13" s="7"/>
      <c r="L13" s="7">
        <f t="shared" si="2"/>
        <v>0</v>
      </c>
    </row>
    <row r="14" spans="1:12" x14ac:dyDescent="0.35">
      <c r="B14" s="7"/>
      <c r="C14" s="7"/>
      <c r="D14" s="7"/>
      <c r="E14" s="7">
        <f t="shared" si="0"/>
        <v>0</v>
      </c>
      <c r="F14" s="7" t="s">
        <v>89</v>
      </c>
      <c r="G14" s="7"/>
      <c r="H14" s="7"/>
      <c r="I14" s="7">
        <f t="shared" si="1"/>
        <v>0</v>
      </c>
      <c r="J14" s="7"/>
      <c r="K14" s="7"/>
      <c r="L14" s="7">
        <f t="shared" si="2"/>
        <v>0</v>
      </c>
    </row>
    <row r="15" spans="1:12" x14ac:dyDescent="0.35">
      <c r="B15" s="7"/>
      <c r="C15" s="7"/>
      <c r="D15" s="7"/>
      <c r="E15" s="7">
        <f t="shared" si="0"/>
        <v>0</v>
      </c>
      <c r="F15" s="7"/>
      <c r="G15" s="7"/>
      <c r="H15" s="7"/>
      <c r="I15" s="7">
        <f t="shared" si="1"/>
        <v>0</v>
      </c>
      <c r="J15" s="7"/>
      <c r="K15" s="7"/>
      <c r="L15" s="7">
        <f t="shared" si="2"/>
        <v>0</v>
      </c>
    </row>
    <row r="16" spans="1:12" x14ac:dyDescent="0.35">
      <c r="B16" s="7"/>
      <c r="C16" s="7"/>
      <c r="D16" s="7"/>
      <c r="E16" s="7">
        <f t="shared" si="0"/>
        <v>0</v>
      </c>
      <c r="F16" s="7"/>
      <c r="G16" s="7"/>
      <c r="H16" s="7"/>
      <c r="I16" s="7">
        <f t="shared" si="1"/>
        <v>0</v>
      </c>
      <c r="J16" s="7"/>
      <c r="K16" s="7"/>
      <c r="L16" s="7">
        <f t="shared" si="2"/>
        <v>0</v>
      </c>
    </row>
    <row r="17" spans="2:12" x14ac:dyDescent="0.35">
      <c r="B17" s="7" t="s">
        <v>92</v>
      </c>
      <c r="C17" s="7"/>
      <c r="D17" s="7"/>
      <c r="E17" s="7">
        <f t="shared" si="0"/>
        <v>0</v>
      </c>
      <c r="F17" s="7" t="s">
        <v>88</v>
      </c>
      <c r="G17" s="7"/>
      <c r="H17" s="7"/>
      <c r="I17" s="7">
        <f t="shared" si="1"/>
        <v>0</v>
      </c>
      <c r="J17" s="7"/>
      <c r="K17" s="7"/>
      <c r="L17" s="7">
        <f t="shared" si="2"/>
        <v>0</v>
      </c>
    </row>
    <row r="18" spans="2:12" x14ac:dyDescent="0.35">
      <c r="B18" s="7"/>
      <c r="C18" s="7"/>
      <c r="D18" s="7"/>
      <c r="E18" s="7">
        <f t="shared" si="0"/>
        <v>0</v>
      </c>
      <c r="F18" s="7" t="s">
        <v>89</v>
      </c>
      <c r="G18" s="7"/>
      <c r="H18" s="7"/>
      <c r="I18" s="7">
        <f t="shared" si="1"/>
        <v>0</v>
      </c>
      <c r="J18" s="7"/>
      <c r="K18" s="7"/>
      <c r="L18" s="7">
        <f t="shared" si="2"/>
        <v>0</v>
      </c>
    </row>
    <row r="19" spans="2:12" x14ac:dyDescent="0.35">
      <c r="B19" s="7"/>
      <c r="C19" s="7"/>
      <c r="D19" s="7"/>
      <c r="E19" s="7">
        <f t="shared" si="0"/>
        <v>0</v>
      </c>
      <c r="F19" s="7"/>
      <c r="G19" s="7"/>
      <c r="H19" s="7"/>
      <c r="I19" s="7">
        <f t="shared" si="1"/>
        <v>0</v>
      </c>
      <c r="J19" s="7"/>
      <c r="K19" s="7"/>
      <c r="L19" s="7">
        <f t="shared" si="2"/>
        <v>0</v>
      </c>
    </row>
    <row r="20" spans="2:12" x14ac:dyDescent="0.35">
      <c r="B20" s="7" t="s">
        <v>92</v>
      </c>
      <c r="C20" s="7"/>
      <c r="D20" s="7"/>
      <c r="E20" s="7">
        <f t="shared" si="0"/>
        <v>0</v>
      </c>
      <c r="F20" s="7" t="s">
        <v>88</v>
      </c>
      <c r="G20" s="7"/>
      <c r="H20" s="7"/>
      <c r="I20" s="7">
        <f t="shared" si="1"/>
        <v>0</v>
      </c>
      <c r="J20" s="7"/>
      <c r="K20" s="7"/>
      <c r="L20" s="7">
        <f t="shared" si="2"/>
        <v>0</v>
      </c>
    </row>
    <row r="21" spans="2:12" x14ac:dyDescent="0.35">
      <c r="B21" s="7"/>
      <c r="C21" s="7"/>
      <c r="D21" s="7"/>
      <c r="E21" s="7">
        <f t="shared" si="0"/>
        <v>0</v>
      </c>
      <c r="F21" s="7" t="s">
        <v>89</v>
      </c>
      <c r="G21" s="7"/>
      <c r="H21" s="7"/>
      <c r="I21" s="7">
        <f t="shared" si="1"/>
        <v>0</v>
      </c>
      <c r="J21" s="7"/>
      <c r="K21" s="7"/>
      <c r="L21" s="7">
        <f t="shared" si="2"/>
        <v>0</v>
      </c>
    </row>
    <row r="22" spans="2:12" x14ac:dyDescent="0.35">
      <c r="B22" s="7"/>
      <c r="C22" s="7"/>
      <c r="D22" s="7"/>
      <c r="E22" s="7">
        <f t="shared" si="0"/>
        <v>0</v>
      </c>
      <c r="F22" s="7"/>
      <c r="G22" s="7"/>
      <c r="H22" s="7"/>
      <c r="I22" s="7">
        <f t="shared" si="1"/>
        <v>0</v>
      </c>
      <c r="J22" s="7"/>
      <c r="K22" s="7"/>
      <c r="L22" s="7">
        <f t="shared" si="2"/>
        <v>0</v>
      </c>
    </row>
    <row r="23" spans="2:12" x14ac:dyDescent="0.35">
      <c r="B23" s="7" t="s">
        <v>93</v>
      </c>
      <c r="C23" s="7"/>
      <c r="D23" s="7"/>
      <c r="E23" s="7">
        <f t="shared" si="0"/>
        <v>0</v>
      </c>
      <c r="F23" s="7" t="s">
        <v>94</v>
      </c>
      <c r="G23" s="7"/>
      <c r="H23" s="7"/>
      <c r="I23" s="7">
        <f t="shared" si="1"/>
        <v>0</v>
      </c>
      <c r="J23" s="7"/>
      <c r="K23" s="7"/>
      <c r="L23" s="7">
        <f t="shared" si="2"/>
        <v>0</v>
      </c>
    </row>
    <row r="24" spans="2:12" x14ac:dyDescent="0.35">
      <c r="B24" s="7" t="s">
        <v>95</v>
      </c>
      <c r="C24" s="7"/>
      <c r="D24" s="7"/>
      <c r="E24" s="7">
        <f t="shared" si="0"/>
        <v>0</v>
      </c>
      <c r="F24" s="7" t="s">
        <v>94</v>
      </c>
      <c r="G24" s="7"/>
      <c r="H24" s="7"/>
      <c r="I24" s="7">
        <f t="shared" si="1"/>
        <v>0</v>
      </c>
      <c r="J24" s="7"/>
      <c r="K24" s="7"/>
      <c r="L24" s="7">
        <f t="shared" si="2"/>
        <v>0</v>
      </c>
    </row>
    <row r="25" spans="2:12" x14ac:dyDescent="0.35">
      <c r="B25" s="7" t="s">
        <v>96</v>
      </c>
      <c r="C25" s="7"/>
      <c r="D25" s="7"/>
      <c r="E25" s="7">
        <f t="shared" si="0"/>
        <v>0</v>
      </c>
      <c r="F25" s="7" t="s">
        <v>94</v>
      </c>
      <c r="G25" s="7"/>
      <c r="H25" s="7"/>
      <c r="I25" s="7">
        <f t="shared" si="1"/>
        <v>0</v>
      </c>
      <c r="J25" s="7"/>
      <c r="K25" s="7"/>
      <c r="L25" s="7">
        <f t="shared" si="2"/>
        <v>0</v>
      </c>
    </row>
    <row r="26" spans="2:12" x14ac:dyDescent="0.35">
      <c r="B26" s="7"/>
      <c r="C26" s="7"/>
      <c r="D26" s="7"/>
      <c r="E26" s="7">
        <f t="shared" si="0"/>
        <v>0</v>
      </c>
      <c r="F26" s="7"/>
      <c r="G26" s="7"/>
      <c r="H26" s="7"/>
      <c r="I26" s="7">
        <f t="shared" si="1"/>
        <v>0</v>
      </c>
      <c r="J26" s="7"/>
      <c r="K26" s="7"/>
      <c r="L26" s="7">
        <f t="shared" si="2"/>
        <v>0</v>
      </c>
    </row>
    <row r="27" spans="2:12" x14ac:dyDescent="0.35">
      <c r="B27" s="7" t="s">
        <v>97</v>
      </c>
      <c r="C27" s="7"/>
      <c r="D27" s="7"/>
      <c r="E27" s="7">
        <f t="shared" si="0"/>
        <v>0</v>
      </c>
      <c r="F27" s="7"/>
      <c r="G27" s="7"/>
      <c r="H27" s="7"/>
      <c r="I27" s="7">
        <f t="shared" si="1"/>
        <v>0</v>
      </c>
      <c r="J27" s="7"/>
      <c r="K27" s="7"/>
      <c r="L27" s="7">
        <f t="shared" si="2"/>
        <v>0</v>
      </c>
    </row>
    <row r="28" spans="2:12" x14ac:dyDescent="0.35">
      <c r="B28" s="7" t="s">
        <v>98</v>
      </c>
      <c r="C28" s="7"/>
      <c r="D28" s="7"/>
      <c r="E28" s="7">
        <f t="shared" si="0"/>
        <v>0</v>
      </c>
      <c r="F28" s="7"/>
      <c r="G28" s="7"/>
      <c r="H28" s="7"/>
      <c r="I28" s="7">
        <f t="shared" si="1"/>
        <v>0</v>
      </c>
      <c r="J28" s="7"/>
      <c r="K28" s="7"/>
      <c r="L28" s="7">
        <f t="shared" si="2"/>
        <v>0</v>
      </c>
    </row>
    <row r="29" spans="2:12" x14ac:dyDescent="0.35">
      <c r="B29" s="7" t="s">
        <v>99</v>
      </c>
      <c r="C29" s="7"/>
      <c r="D29" s="7"/>
      <c r="E29" s="7">
        <f t="shared" si="0"/>
        <v>0</v>
      </c>
      <c r="F29" s="7"/>
      <c r="G29" s="7"/>
      <c r="H29" s="7"/>
      <c r="I29" s="7">
        <f t="shared" si="1"/>
        <v>0</v>
      </c>
      <c r="J29" s="7"/>
      <c r="K29" s="7"/>
      <c r="L29" s="7">
        <f t="shared" si="2"/>
        <v>0</v>
      </c>
    </row>
    <row r="30" spans="2:12" x14ac:dyDescent="0.35">
      <c r="B30" s="7" t="s">
        <v>100</v>
      </c>
      <c r="C30" s="7"/>
      <c r="D30" s="7"/>
      <c r="E30" s="7">
        <f t="shared" si="0"/>
        <v>0</v>
      </c>
      <c r="F30" s="7"/>
      <c r="G30" s="7"/>
      <c r="H30" s="7"/>
      <c r="I30" s="7">
        <f>G30*H30</f>
        <v>0</v>
      </c>
      <c r="J30" s="7"/>
      <c r="K30" s="7"/>
      <c r="L30" s="7">
        <f>J30*K30</f>
        <v>0</v>
      </c>
    </row>
    <row r="31" spans="2:12" x14ac:dyDescent="0.35">
      <c r="B31" s="7"/>
      <c r="C31" s="7"/>
      <c r="D31" s="7"/>
      <c r="E31" s="7">
        <f t="shared" si="0"/>
        <v>0</v>
      </c>
      <c r="F31" s="7"/>
      <c r="G31" s="7"/>
      <c r="H31" s="7"/>
      <c r="I31" s="7">
        <f>G31*H31</f>
        <v>0</v>
      </c>
      <c r="J31" s="7"/>
      <c r="K31" s="7"/>
      <c r="L31" s="7">
        <f>J31*K31</f>
        <v>0</v>
      </c>
    </row>
    <row r="32" spans="2:12" x14ac:dyDescent="0.35">
      <c r="B32" s="7"/>
      <c r="C32" s="7"/>
      <c r="D32" s="7"/>
      <c r="E32" s="7">
        <f t="shared" si="0"/>
        <v>0</v>
      </c>
      <c r="F32" s="7"/>
      <c r="G32" s="7"/>
      <c r="H32" s="7"/>
      <c r="I32" s="7">
        <f>G32*H32</f>
        <v>0</v>
      </c>
      <c r="J32" s="7"/>
      <c r="K32" s="7"/>
      <c r="L32" s="7">
        <f>J32*K32</f>
        <v>0</v>
      </c>
    </row>
    <row r="33" spans="2:12" x14ac:dyDescent="0.35">
      <c r="B33" s="7"/>
      <c r="C33" s="7"/>
      <c r="D33" s="7"/>
      <c r="E33" s="7">
        <f t="shared" si="0"/>
        <v>0</v>
      </c>
      <c r="F33" s="7"/>
      <c r="G33" s="7"/>
      <c r="H33" s="7"/>
      <c r="I33" s="7">
        <f>G33*H33</f>
        <v>0</v>
      </c>
      <c r="J33" s="7"/>
      <c r="K33" s="7"/>
      <c r="L33" s="7">
        <f>J33*K33</f>
        <v>0</v>
      </c>
    </row>
    <row r="34" spans="2:12" x14ac:dyDescent="0.35">
      <c r="B34" s="7" t="s">
        <v>64</v>
      </c>
      <c r="C34" s="7"/>
      <c r="D34" s="7">
        <f>E34*10.764</f>
        <v>0</v>
      </c>
      <c r="E34" s="7">
        <f>SUM(E6:E33)</f>
        <v>0</v>
      </c>
      <c r="F34" s="7"/>
      <c r="G34" s="7"/>
      <c r="H34" s="7">
        <f>I34*10.764</f>
        <v>0</v>
      </c>
      <c r="I34" s="7">
        <f>SUM(I6:I33)</f>
        <v>0</v>
      </c>
      <c r="J34" s="7"/>
      <c r="K34" s="7">
        <f>L34*10.764</f>
        <v>0</v>
      </c>
      <c r="L34" s="7">
        <f>SUM(L6:L33)</f>
        <v>0</v>
      </c>
    </row>
    <row r="36" spans="2:12" x14ac:dyDescent="0.35">
      <c r="D36">
        <f>D34+H34</f>
        <v>0</v>
      </c>
      <c r="E36">
        <f>E34+I34</f>
        <v>0</v>
      </c>
    </row>
  </sheetData>
  <mergeCells count="4">
    <mergeCell ref="C2:D2"/>
    <mergeCell ref="C4:E4"/>
    <mergeCell ref="G4:I4"/>
    <mergeCell ref="J4:L4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115" zoomScaleNormal="115" workbookViewId="0">
      <selection activeCell="H5" sqref="H5"/>
    </sheetView>
  </sheetViews>
  <sheetFormatPr defaultColWidth="8.7265625" defaultRowHeight="14.5" x14ac:dyDescent="0.35"/>
  <cols>
    <col min="1" max="1" width="8.7265625" style="24"/>
    <col min="2" max="2" width="22.1796875" style="24" customWidth="1"/>
    <col min="3" max="3" width="37" style="24" customWidth="1"/>
    <col min="4" max="5" width="11.453125" style="24" customWidth="1"/>
    <col min="6" max="6" width="14" style="24" customWidth="1"/>
    <col min="7" max="7" width="20" style="24" customWidth="1"/>
    <col min="8" max="8" width="16.453125" style="24" customWidth="1"/>
    <col min="9" max="16384" width="8.7265625" style="24"/>
  </cols>
  <sheetData>
    <row r="1" spans="1:9" ht="15" customHeight="1" x14ac:dyDescent="0.35"/>
    <row r="2" spans="1:9" ht="15" customHeight="1" x14ac:dyDescent="0.35">
      <c r="A2" s="25"/>
      <c r="B2" s="25"/>
      <c r="C2" s="25"/>
      <c r="D2" s="25"/>
      <c r="E2" s="25"/>
      <c r="F2" s="25"/>
      <c r="G2" s="25"/>
      <c r="H2" s="25"/>
    </row>
    <row r="3" spans="1:9" ht="15.75" customHeight="1" x14ac:dyDescent="0.35">
      <c r="A3" s="25"/>
      <c r="B3" s="183" t="s">
        <v>145</v>
      </c>
      <c r="C3" s="183"/>
      <c r="D3" s="183"/>
      <c r="E3" s="183"/>
      <c r="F3" s="183"/>
      <c r="G3" s="183"/>
      <c r="H3" s="183"/>
    </row>
    <row r="4" spans="1:9" x14ac:dyDescent="0.35">
      <c r="A4" s="25"/>
      <c r="B4" s="26" t="s">
        <v>146</v>
      </c>
      <c r="C4" s="26" t="s">
        <v>147</v>
      </c>
      <c r="D4" s="26" t="s">
        <v>80</v>
      </c>
      <c r="E4" s="26" t="s">
        <v>148</v>
      </c>
      <c r="F4" s="26" t="s">
        <v>154</v>
      </c>
      <c r="G4" s="26" t="s">
        <v>155</v>
      </c>
      <c r="H4" s="26" t="s">
        <v>149</v>
      </c>
    </row>
    <row r="5" spans="1:9" ht="15" customHeight="1" x14ac:dyDescent="0.35">
      <c r="A5" s="25"/>
      <c r="B5" s="28" t="s">
        <v>150</v>
      </c>
      <c r="C5" s="29"/>
      <c r="D5" s="28"/>
      <c r="E5" s="28"/>
      <c r="F5" s="30">
        <f>E5*1.6</f>
        <v>0</v>
      </c>
      <c r="G5" s="30" t="e">
        <f>H5/F5</f>
        <v>#DIV/0!</v>
      </c>
      <c r="H5" s="31"/>
    </row>
    <row r="6" spans="1:9" x14ac:dyDescent="0.35">
      <c r="A6" s="25"/>
      <c r="B6" s="28" t="s">
        <v>150</v>
      </c>
      <c r="C6" s="32"/>
      <c r="D6" s="28"/>
      <c r="E6" s="28"/>
      <c r="F6" s="30">
        <f t="shared" ref="F6:F11" si="0">E6*1.6</f>
        <v>0</v>
      </c>
      <c r="G6" s="30" t="e">
        <f t="shared" ref="G6:G11" si="1">H6/F6</f>
        <v>#DIV/0!</v>
      </c>
      <c r="H6" s="31"/>
    </row>
    <row r="7" spans="1:9" ht="15" customHeight="1" x14ac:dyDescent="0.35">
      <c r="A7" s="25"/>
      <c r="B7" s="28" t="s">
        <v>150</v>
      </c>
      <c r="C7" s="29"/>
      <c r="D7" s="28"/>
      <c r="E7" s="28"/>
      <c r="F7" s="30">
        <f t="shared" si="0"/>
        <v>0</v>
      </c>
      <c r="G7" s="30" t="e">
        <f t="shared" si="1"/>
        <v>#DIV/0!</v>
      </c>
      <c r="H7" s="31"/>
    </row>
    <row r="8" spans="1:9" x14ac:dyDescent="0.35">
      <c r="A8" s="25"/>
      <c r="B8" s="28" t="s">
        <v>150</v>
      </c>
      <c r="C8" s="32"/>
      <c r="D8" s="28"/>
      <c r="E8" s="28"/>
      <c r="F8" s="30">
        <f t="shared" si="0"/>
        <v>0</v>
      </c>
      <c r="G8" s="30" t="e">
        <f t="shared" si="1"/>
        <v>#DIV/0!</v>
      </c>
      <c r="H8" s="31"/>
    </row>
    <row r="9" spans="1:9" ht="15" customHeight="1" x14ac:dyDescent="0.35">
      <c r="A9" s="25"/>
      <c r="B9" s="28" t="s">
        <v>150</v>
      </c>
      <c r="C9" s="32"/>
      <c r="D9" s="28"/>
      <c r="E9" s="28"/>
      <c r="F9" s="30">
        <f t="shared" si="0"/>
        <v>0</v>
      </c>
      <c r="G9" s="30" t="e">
        <f t="shared" si="1"/>
        <v>#DIV/0!</v>
      </c>
      <c r="H9" s="31"/>
    </row>
    <row r="10" spans="1:9" ht="15" customHeight="1" x14ac:dyDescent="0.35">
      <c r="A10" s="25"/>
      <c r="B10" s="28" t="s">
        <v>151</v>
      </c>
      <c r="C10" s="29"/>
      <c r="D10" s="28"/>
      <c r="E10" s="28"/>
      <c r="F10" s="30">
        <f t="shared" si="0"/>
        <v>0</v>
      </c>
      <c r="G10" s="30" t="e">
        <f t="shared" si="1"/>
        <v>#DIV/0!</v>
      </c>
      <c r="H10" s="31"/>
    </row>
    <row r="11" spans="1:9" ht="15" customHeight="1" x14ac:dyDescent="0.35">
      <c r="A11" s="25"/>
      <c r="B11" s="28" t="s">
        <v>151</v>
      </c>
      <c r="C11" s="29"/>
      <c r="D11" s="28"/>
      <c r="E11" s="28"/>
      <c r="F11" s="30">
        <f t="shared" si="0"/>
        <v>0</v>
      </c>
      <c r="G11" s="30" t="e">
        <f t="shared" si="1"/>
        <v>#DIV/0!</v>
      </c>
      <c r="H11" s="31"/>
    </row>
    <row r="12" spans="1:9" ht="15" customHeight="1" x14ac:dyDescent="0.35">
      <c r="A12" s="25"/>
      <c r="B12" s="33" t="s">
        <v>152</v>
      </c>
      <c r="C12" s="28"/>
      <c r="D12" s="28"/>
      <c r="E12" s="28"/>
      <c r="F12" s="28"/>
      <c r="G12" s="34" t="e">
        <f>AVERAGE(G5:G11)</f>
        <v>#DIV/0!</v>
      </c>
      <c r="H12" s="28"/>
    </row>
    <row r="13" spans="1:9" ht="15" customHeight="1" x14ac:dyDescent="0.35">
      <c r="B13" s="33" t="s">
        <v>153</v>
      </c>
      <c r="C13" s="28"/>
      <c r="D13" s="28"/>
      <c r="E13" s="28"/>
      <c r="F13" s="35"/>
      <c r="G13" s="33"/>
      <c r="H13" s="33"/>
      <c r="I13" s="27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workbookViewId="0">
      <selection activeCell="G16" sqref="G16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5</vt:i4>
      </vt:variant>
      <vt:variant>
        <vt:lpstr>Named Ranges</vt:lpstr>
      </vt:variant>
      <vt:variant>
        <vt:i4>2</vt:i4>
      </vt:variant>
    </vt:vector>
  </HeadingPairs>
  <TitlesOfParts>
    <vt:vector size="7" baseType="lpstr">
      <vt:lpstr>Report (2)</vt:lpstr>
      <vt:lpstr>Report</vt:lpstr>
      <vt:lpstr>Flat detail</vt:lpstr>
      <vt:lpstr>valuation</vt:lpstr>
      <vt:lpstr>Note</vt:lpstr>
      <vt:lpstr>Report!Print_Area</vt:lpstr>
      <vt:lpstr>'Report (2)'!Print_Area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2025-06-10T10:19:40Z</cp:lastPrinted>
  <dcterms:created xsi:type="dcterms:W3CDTF">2019-07-16T09:29:46Z</dcterms:created>
  <dcterms:modified xsi:type="dcterms:W3CDTF">2025-09-19T05:34:18Z</dcterms:modified>
</cp:coreProperties>
</file>